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omments3.xml" ContentType="application/vnd.openxmlformats-officedocument.spreadsheetml.comment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10905" yWindow="630" windowWidth="6885" windowHeight="4275" tabRatio="925" firstSheet="30" activeTab="40"/>
  </bookViews>
  <sheets>
    <sheet name="Arabic" sheetId="56" r:id="rId1"/>
    <sheet name="English" sheetId="57" r:id="rId2"/>
    <sheet name="si_1" sheetId="2" r:id="rId3"/>
    <sheet name="si_2" sheetId="55" r:id="rId4"/>
    <sheet name="si_3" sheetId="4" r:id="rId5"/>
    <sheet name="si_4" sheetId="5" r:id="rId6"/>
    <sheet name="si_5" sheetId="6" r:id="rId7"/>
    <sheet name="si_6" sheetId="7" r:id="rId8"/>
    <sheet name="si_7" sheetId="8" r:id="rId9"/>
    <sheet name="si_8" sheetId="9" r:id="rId10"/>
    <sheet name="si_9" sheetId="10" r:id="rId11"/>
    <sheet name="si_10" sheetId="11" r:id="rId12"/>
    <sheet name="si_11" sheetId="12" r:id="rId13"/>
    <sheet name="si_12" sheetId="13" r:id="rId14"/>
    <sheet name="si_13" sheetId="14" r:id="rId15"/>
    <sheet name="si_14" sheetId="15" r:id="rId16"/>
    <sheet name="si_15" sheetId="17" r:id="rId17"/>
    <sheet name="si_16" sheetId="18" r:id="rId18"/>
    <sheet name="si_17" sheetId="19" r:id="rId19"/>
    <sheet name="si_18" sheetId="20" r:id="rId20"/>
    <sheet name="si_19" sheetId="21" r:id="rId21"/>
    <sheet name="si_20" sheetId="63" r:id="rId22"/>
    <sheet name="si_20a" sheetId="22" r:id="rId23"/>
    <sheet name="si_20b" sheetId="23" r:id="rId24"/>
    <sheet name="si_20c" sheetId="24" r:id="rId25"/>
    <sheet name="si_21" sheetId="25" r:id="rId26"/>
    <sheet name="si_22" sheetId="26" r:id="rId27"/>
    <sheet name="si_23" sheetId="27" r:id="rId28"/>
    <sheet name="si_24" sheetId="28" r:id="rId29"/>
    <sheet name="si_25" sheetId="29" r:id="rId30"/>
    <sheet name="si_26" sheetId="30" r:id="rId31"/>
    <sheet name="si_27" sheetId="31" r:id="rId32"/>
    <sheet name="si_28" sheetId="32" r:id="rId33"/>
    <sheet name="si_29" sheetId="33" r:id="rId34"/>
    <sheet name="si_30" sheetId="34" r:id="rId35"/>
    <sheet name="si_31" sheetId="35" r:id="rId36"/>
    <sheet name="si_32" sheetId="36" r:id="rId37"/>
    <sheet name="si_33" sheetId="37" r:id="rId38"/>
    <sheet name="si_34" sheetId="38" r:id="rId39"/>
    <sheet name="si_35" sheetId="39" r:id="rId40"/>
    <sheet name="si_36" sheetId="40" r:id="rId41"/>
    <sheet name="si_37" sheetId="41" r:id="rId42"/>
    <sheet name="si_38" sheetId="42" r:id="rId43"/>
    <sheet name="si_39" sheetId="43" r:id="rId44"/>
    <sheet name="si_40a" sheetId="44" r:id="rId45"/>
    <sheet name="si_40b" sheetId="45" r:id="rId46"/>
    <sheet name="si_40c" sheetId="46" r:id="rId47"/>
    <sheet name="si_40d" sheetId="59" r:id="rId48"/>
    <sheet name="si_41" sheetId="47" r:id="rId49"/>
    <sheet name="si_42" sheetId="48" r:id="rId50"/>
    <sheet name="si_43" sheetId="49" r:id="rId51"/>
    <sheet name="si_44" sheetId="50" r:id="rId52"/>
    <sheet name="si_45" sheetId="51" r:id="rId53"/>
    <sheet name="si_46a" sheetId="52" r:id="rId54"/>
    <sheet name="si_46b" sheetId="53" r:id="rId55"/>
    <sheet name="si_46c" sheetId="61" r:id="rId56"/>
    <sheet name="si_47" sheetId="54" r:id="rId57"/>
  </sheets>
  <definedNames>
    <definedName name="_xlnm.Database" localSheetId="12">si_11!$O$10</definedName>
    <definedName name="_xlnm.Database" localSheetId="13">si_12!$K$10</definedName>
    <definedName name="_xlnm.Database" localSheetId="4">si_3!$O$9</definedName>
    <definedName name="_xlnm.Database" localSheetId="5">si_4!$R$17</definedName>
    <definedName name="_xlnm.Database">#REF!</definedName>
    <definedName name="_xlnm.Print_Area" localSheetId="0">Arabic!$B$6:$O$44</definedName>
    <definedName name="_xlnm.Print_Area" localSheetId="1">English!$C$41:$G$66</definedName>
    <definedName name="_xlnm.Print_Area" localSheetId="2">si_1!$F$3:$N$78</definedName>
    <definedName name="_xlnm.Print_Area" localSheetId="11">si_10!$W$3:$AL$44</definedName>
    <definedName name="_xlnm.Print_Area" localSheetId="12">si_11!$E$50:$S$92</definedName>
    <definedName name="_xlnm.Print_Area" localSheetId="13">si_12!$E$3:$O$36</definedName>
    <definedName name="_xlnm.Print_Area" localSheetId="14">si_13!$E$3:$K$67</definedName>
    <definedName name="_xlnm.Print_Area" localSheetId="15">si_14!$E$1:$K$32</definedName>
    <definedName name="_xlnm.Print_Area" localSheetId="16">si_15!$E$3:$K$67</definedName>
    <definedName name="_xlnm.Print_Area" localSheetId="17">si_16!$D$3:$V$25</definedName>
    <definedName name="_xlnm.Print_Area" localSheetId="18">si_17!$E$3:$P$81</definedName>
    <definedName name="_xlnm.Print_Area" localSheetId="19">si_18!$D$3:$Y$57</definedName>
    <definedName name="_xlnm.Print_Area" localSheetId="20">si_19!$D$3:$T$57</definedName>
    <definedName name="_xlnm.Print_Area" localSheetId="3">si_2!$F$3:$K$76</definedName>
    <definedName name="_xlnm.Print_Area" localSheetId="21">si_20!$J$114:$O$183</definedName>
    <definedName name="_xlnm.Print_Area" localSheetId="22">si_20a!$AN$3:$AY$48</definedName>
    <definedName name="_xlnm.Print_Area" localSheetId="23">si_20b!$V$3:$AH$54</definedName>
    <definedName name="_xlnm.Print_Area" localSheetId="24">si_20c!$O$1:$AH$69</definedName>
    <definedName name="_xlnm.Print_Area" localSheetId="25">si_21!$F$3:$O$74</definedName>
    <definedName name="_xlnm.Print_Area" localSheetId="26">si_22!$D$3:$M$78</definedName>
    <definedName name="_xlnm.Print_Area" localSheetId="27">si_23!$D$3:$O$81</definedName>
    <definedName name="_xlnm.Print_Area" localSheetId="28">si_24!$D$3:$P$79</definedName>
    <definedName name="_xlnm.Print_Area" localSheetId="29">si_25!$D$3:$P$79</definedName>
    <definedName name="_xlnm.Print_Area" localSheetId="30">si_26!$D$3:$O$75</definedName>
    <definedName name="_xlnm.Print_Area" localSheetId="31">si_27!$D$3:$O$76</definedName>
    <definedName name="_xlnm.Print_Area" localSheetId="32">si_28!$D$3:$Q$68</definedName>
    <definedName name="_xlnm.Print_Area" localSheetId="33">si_29!$F$3:$S$65</definedName>
    <definedName name="_xlnm.Print_Area" localSheetId="4">si_3!$F$3:$S$48</definedName>
    <definedName name="_xlnm.Print_Area" localSheetId="34">si_30!$E$3:$R$83</definedName>
    <definedName name="_xlnm.Print_Area" localSheetId="35">si_31!$E$3:$R$83</definedName>
    <definedName name="_xlnm.Print_Area" localSheetId="36">si_32!$C$3:$T$85</definedName>
    <definedName name="_xlnm.Print_Area" localSheetId="37">si_33!$F$3:$S$88</definedName>
    <definedName name="_xlnm.Print_Area" localSheetId="38">si_34!$D$3:$Q$71</definedName>
    <definedName name="_xlnm.Print_Area" localSheetId="39">si_35!$D$3:$K$80</definedName>
    <definedName name="_xlnm.Print_Area" localSheetId="40">si_36!$D$3:$M$63</definedName>
    <definedName name="_xlnm.Print_Area" localSheetId="41">si_37!$D$3:$O$45</definedName>
    <definedName name="_xlnm.Print_Area" localSheetId="42">si_38!$F$3:$S$76</definedName>
    <definedName name="_xlnm.Print_Area" localSheetId="43">si_39!$F$3:$R$82</definedName>
    <definedName name="_xlnm.Print_Area" localSheetId="5">si_4!$F$56:$V$103</definedName>
    <definedName name="_xlnm.Print_Area" localSheetId="44">si_40a!$D$3:$Q$64</definedName>
    <definedName name="_xlnm.Print_Area" localSheetId="45">si_40b!$D$3:$Q$47</definedName>
    <definedName name="_xlnm.Print_Area" localSheetId="46">si_40c!$O$3:$Y$54</definedName>
    <definedName name="_xlnm.Print_Area" localSheetId="47">si_40d!$V$1:$AH$52</definedName>
    <definedName name="_xlnm.Print_Area" localSheetId="48">si_41!$E$3:$R$66</definedName>
    <definedName name="_xlnm.Print_Area" localSheetId="49">si_42!$E$3:$R$65</definedName>
    <definedName name="_xlnm.Print_Area" localSheetId="50">si_43!$D$3:$K$74</definedName>
    <definedName name="_xlnm.Print_Area" localSheetId="51">si_44!$D$65:$N$125</definedName>
    <definedName name="_xlnm.Print_Area" localSheetId="52">si_45!$E$3:$P$66</definedName>
    <definedName name="_xlnm.Print_Area" localSheetId="53">si_46a!$Q$3:$AD$56</definedName>
    <definedName name="_xlnm.Print_Area" localSheetId="54">si_46b!$D$3:$P$42</definedName>
    <definedName name="_xlnm.Print_Area" localSheetId="55">si_46c!$I$1:$V$40</definedName>
    <definedName name="_xlnm.Print_Area" localSheetId="56">si_47!$D$3:$L$55</definedName>
    <definedName name="_xlnm.Print_Area" localSheetId="6">si_5!$D$49:$S$92</definedName>
    <definedName name="_xlnm.Print_Area" localSheetId="7">si_6!$E$47:$U$88</definedName>
    <definedName name="_xlnm.Print_Area" localSheetId="8">si_7!$E$49:$R$91</definedName>
    <definedName name="_xlnm.Print_Area" localSheetId="9">si_8!$E$53:$R$95</definedName>
    <definedName name="_xlnm.Print_Area" localSheetId="10">si_9!$Z$3:$AO$50</definedName>
  </definedNames>
  <calcPr calcId="162913"/>
</workbook>
</file>

<file path=xl/calcChain.xml><?xml version="1.0" encoding="utf-8"?>
<calcChain xmlns="http://schemas.openxmlformats.org/spreadsheetml/2006/main">
  <c r="I49" i="59" l="1"/>
  <c r="J49" i="59"/>
  <c r="K49" i="59"/>
  <c r="L49" i="59"/>
  <c r="D57" i="33" l="1"/>
  <c r="N55" i="33"/>
  <c r="N54" i="33"/>
  <c r="M56" i="32" l="1"/>
  <c r="M55" i="32"/>
  <c r="C66" i="31" l="1"/>
  <c r="C65" i="31"/>
  <c r="C64" i="31"/>
  <c r="C63" i="31"/>
  <c r="C62" i="31"/>
  <c r="K62" i="31" s="1"/>
  <c r="C61" i="31"/>
  <c r="K61" i="31" s="1"/>
  <c r="C66" i="30" l="1"/>
  <c r="C65" i="30"/>
  <c r="C64" i="30"/>
  <c r="C63" i="30"/>
  <c r="C62" i="30"/>
  <c r="K62" i="30" s="1"/>
  <c r="C61" i="30"/>
  <c r="K61" i="30" s="1"/>
  <c r="M71" i="28" l="1"/>
  <c r="M70" i="28"/>
  <c r="M69" i="28"/>
  <c r="M68" i="28"/>
  <c r="M67" i="28"/>
  <c r="M66" i="28"/>
  <c r="M71" i="29" l="1"/>
  <c r="M70" i="29"/>
  <c r="C69" i="29"/>
  <c r="M69" i="29" s="1"/>
  <c r="M68" i="29"/>
  <c r="M67" i="29"/>
  <c r="M66" i="29"/>
  <c r="E71" i="27" l="1"/>
  <c r="G69" i="27"/>
  <c r="F69" i="27"/>
  <c r="E69" i="27"/>
  <c r="C69" i="27"/>
  <c r="K68" i="27"/>
  <c r="K67" i="27"/>
  <c r="F66" i="27"/>
  <c r="E66" i="27"/>
  <c r="K69" i="27" l="1"/>
  <c r="K66" i="27"/>
  <c r="I68" i="26"/>
  <c r="I67" i="26"/>
  <c r="I65" i="26"/>
  <c r="I64" i="26"/>
  <c r="E63" i="26"/>
  <c r="I63" i="26" s="1"/>
  <c r="K65" i="25" l="1"/>
  <c r="J65" i="25"/>
  <c r="K63" i="25"/>
  <c r="J63" i="25"/>
  <c r="K62" i="25"/>
  <c r="J62" i="25"/>
  <c r="K61" i="25"/>
  <c r="J61" i="25"/>
  <c r="G60" i="25"/>
  <c r="F60" i="25"/>
  <c r="E60" i="25"/>
  <c r="K60" i="25" s="1"/>
  <c r="D60" i="25"/>
  <c r="J60" i="25" s="1"/>
  <c r="F69" i="19" l="1"/>
  <c r="I68" i="19"/>
  <c r="F68" i="19"/>
  <c r="I67" i="19"/>
  <c r="F67" i="19"/>
  <c r="I66" i="19"/>
  <c r="F66" i="19"/>
  <c r="I65" i="19"/>
  <c r="C65" i="19" s="1"/>
  <c r="F65" i="19"/>
  <c r="B65" i="19"/>
  <c r="I64" i="19"/>
  <c r="C64" i="19" s="1"/>
  <c r="F64" i="19"/>
  <c r="I63" i="19"/>
  <c r="C63" i="19" s="1"/>
  <c r="F63" i="19"/>
  <c r="B63" i="19" s="1"/>
  <c r="I62" i="19"/>
  <c r="C62" i="19" s="1"/>
  <c r="F62" i="19"/>
  <c r="B62" i="19" s="1"/>
  <c r="F61" i="19"/>
  <c r="B61" i="19"/>
  <c r="F60" i="19"/>
  <c r="C60" i="19" s="1"/>
  <c r="B60" i="19"/>
  <c r="I59" i="19"/>
  <c r="C59" i="19" s="1"/>
  <c r="F59" i="19"/>
  <c r="B59" i="19"/>
  <c r="F58" i="19"/>
  <c r="C58" i="19" s="1"/>
  <c r="I57" i="19"/>
  <c r="F57" i="19"/>
  <c r="B57" i="19" s="1"/>
  <c r="I56" i="19"/>
  <c r="F56" i="19"/>
  <c r="B56" i="19" s="1"/>
  <c r="C56" i="19"/>
  <c r="I55" i="19"/>
  <c r="F55" i="19"/>
  <c r="B55" i="19" s="1"/>
  <c r="C55" i="19"/>
  <c r="I54" i="19"/>
  <c r="F54" i="19"/>
  <c r="B54" i="19" s="1"/>
  <c r="C54" i="19"/>
  <c r="I53" i="19"/>
  <c r="F53" i="19"/>
  <c r="B53" i="19" s="1"/>
  <c r="C53" i="19"/>
  <c r="I52" i="19"/>
  <c r="F52" i="19"/>
  <c r="B52" i="19" s="1"/>
  <c r="C52" i="19"/>
  <c r="I51" i="19"/>
  <c r="F51" i="19"/>
  <c r="B51" i="19" s="1"/>
  <c r="C51" i="19"/>
  <c r="I50" i="19"/>
  <c r="F50" i="19"/>
  <c r="B50" i="19" s="1"/>
  <c r="C50" i="19"/>
  <c r="I49" i="19"/>
  <c r="F49" i="19"/>
  <c r="B49" i="19" s="1"/>
  <c r="C49" i="19"/>
  <c r="I48" i="19"/>
  <c r="F48" i="19"/>
  <c r="B48" i="19" s="1"/>
  <c r="C48" i="19"/>
  <c r="I47" i="19"/>
  <c r="F47" i="19"/>
  <c r="B47" i="19" s="1"/>
  <c r="C47" i="19"/>
  <c r="I46" i="19"/>
  <c r="F46" i="19"/>
  <c r="B46" i="19" s="1"/>
  <c r="C46" i="19"/>
  <c r="I45" i="19"/>
  <c r="F45" i="19"/>
  <c r="B45" i="19" s="1"/>
  <c r="C45" i="19"/>
  <c r="I44" i="19"/>
  <c r="F44" i="19"/>
  <c r="B44" i="19" s="1"/>
  <c r="C44" i="19"/>
  <c r="I43" i="19"/>
  <c r="F43" i="19"/>
  <c r="B43" i="19" s="1"/>
  <c r="C43" i="19"/>
  <c r="I42" i="19"/>
  <c r="F42" i="19"/>
  <c r="B42" i="19" s="1"/>
  <c r="C42" i="19"/>
  <c r="I41" i="19"/>
  <c r="F41" i="19"/>
  <c r="B41" i="19" s="1"/>
  <c r="C41" i="19"/>
  <c r="I40" i="19"/>
  <c r="F40" i="19"/>
  <c r="B40" i="19" s="1"/>
  <c r="C40" i="19"/>
  <c r="I39" i="19"/>
  <c r="C39" i="19"/>
  <c r="B39" i="19"/>
  <c r="I38" i="19"/>
  <c r="F38" i="19"/>
  <c r="C38" i="19"/>
  <c r="B38" i="19"/>
  <c r="I37" i="19"/>
  <c r="F37" i="19"/>
  <c r="C37" i="19"/>
  <c r="B37" i="19"/>
  <c r="F36" i="19"/>
  <c r="C36" i="19" s="1"/>
  <c r="B36" i="19"/>
  <c r="I35" i="19"/>
  <c r="C35" i="19" s="1"/>
  <c r="B35" i="19"/>
  <c r="I34" i="19"/>
  <c r="C34" i="19" s="1"/>
  <c r="F34" i="19"/>
  <c r="B34" i="19" s="1"/>
  <c r="I33" i="19"/>
  <c r="C33" i="19" s="1"/>
  <c r="F33" i="19"/>
  <c r="B33" i="19" s="1"/>
  <c r="I32" i="19"/>
  <c r="C32" i="19"/>
  <c r="B32" i="19"/>
  <c r="I31" i="19"/>
  <c r="F31" i="19"/>
  <c r="B31" i="19" s="1"/>
  <c r="C31" i="19"/>
  <c r="I30" i="19"/>
  <c r="F30" i="19"/>
  <c r="B30" i="19" s="1"/>
  <c r="C30" i="19"/>
  <c r="F29" i="19"/>
  <c r="C29" i="19"/>
  <c r="B29" i="19"/>
  <c r="I28" i="19"/>
  <c r="F28" i="19"/>
  <c r="C28" i="19"/>
  <c r="B28" i="19"/>
  <c r="I27" i="19"/>
  <c r="F27" i="19"/>
  <c r="C27" i="19"/>
  <c r="B27" i="19"/>
  <c r="F26" i="19"/>
  <c r="C26" i="19" s="1"/>
  <c r="B26" i="19"/>
  <c r="I25" i="19"/>
  <c r="C25" i="19" s="1"/>
  <c r="F25" i="19"/>
  <c r="B25" i="19"/>
  <c r="I24" i="19"/>
  <c r="C24" i="19" s="1"/>
  <c r="F24" i="19"/>
  <c r="B24" i="19"/>
  <c r="I23" i="19"/>
  <c r="C23" i="19" s="1"/>
  <c r="F23" i="19"/>
  <c r="B23" i="19"/>
  <c r="I22" i="19"/>
  <c r="C22" i="19" s="1"/>
  <c r="F22" i="19"/>
  <c r="B22" i="19"/>
  <c r="C21" i="19"/>
  <c r="B21" i="19"/>
  <c r="I20" i="19"/>
  <c r="F20" i="19"/>
  <c r="B20" i="19" s="1"/>
  <c r="C20" i="19"/>
  <c r="I19" i="19"/>
  <c r="F19" i="19"/>
  <c r="B19" i="19" s="1"/>
  <c r="C19" i="19"/>
  <c r="I18" i="19"/>
  <c r="C18" i="19"/>
  <c r="B18" i="19"/>
  <c r="I17" i="19"/>
  <c r="F17" i="19"/>
  <c r="C17" i="19"/>
  <c r="B17" i="19"/>
  <c r="I16" i="19"/>
  <c r="C16" i="19" s="1"/>
  <c r="B16" i="19"/>
  <c r="I15" i="19"/>
  <c r="C15" i="19" s="1"/>
  <c r="F15" i="19"/>
  <c r="B15" i="19"/>
  <c r="I14" i="19"/>
  <c r="C14" i="19" s="1"/>
  <c r="F14" i="19"/>
  <c r="B14" i="19"/>
  <c r="I13" i="19"/>
  <c r="C13" i="19" s="1"/>
  <c r="F13" i="19"/>
  <c r="B13" i="19"/>
  <c r="B58" i="19" l="1"/>
  <c r="L90" i="48" l="1"/>
  <c r="G90" i="48"/>
  <c r="B90" i="48"/>
  <c r="G89" i="48"/>
  <c r="L89" i="48" s="1"/>
  <c r="B89" i="48"/>
  <c r="G88" i="48"/>
  <c r="B88" i="48"/>
  <c r="L88" i="48" s="1"/>
  <c r="G87" i="48"/>
  <c r="L87" i="48" s="1"/>
  <c r="B87" i="48"/>
  <c r="L86" i="48"/>
  <c r="G86" i="48"/>
  <c r="B86" i="48"/>
  <c r="G85" i="48"/>
  <c r="L85" i="48" s="1"/>
  <c r="B85" i="48"/>
  <c r="L84" i="48"/>
  <c r="G84" i="48"/>
  <c r="L83" i="48"/>
  <c r="G83" i="48"/>
  <c r="G82" i="48"/>
  <c r="B82" i="48"/>
  <c r="L82" i="48" s="1"/>
  <c r="L81" i="48"/>
  <c r="G60" i="48"/>
  <c r="B60" i="48"/>
  <c r="L60" i="48" s="1"/>
  <c r="G59" i="48"/>
  <c r="L59" i="48" s="1"/>
  <c r="B59" i="48"/>
  <c r="L58" i="48"/>
  <c r="G58" i="48"/>
  <c r="B58" i="48"/>
  <c r="G57" i="48"/>
  <c r="L57" i="48" s="1"/>
  <c r="B57" i="48"/>
  <c r="G56" i="48"/>
  <c r="B56" i="48"/>
  <c r="L56" i="48" s="1"/>
  <c r="G55" i="48"/>
  <c r="L55" i="48" s="1"/>
  <c r="B55" i="48"/>
  <c r="L54" i="48"/>
  <c r="G54" i="48"/>
  <c r="B54" i="48"/>
  <c r="G53" i="48"/>
  <c r="L53" i="48" s="1"/>
  <c r="B53" i="48"/>
  <c r="G52" i="48"/>
  <c r="B52" i="48"/>
  <c r="L52" i="48" s="1"/>
  <c r="G51" i="48"/>
  <c r="L51" i="48" s="1"/>
  <c r="B51" i="48"/>
  <c r="L50" i="48"/>
  <c r="G50" i="48"/>
  <c r="B50" i="48"/>
  <c r="G49" i="48"/>
  <c r="L49" i="48" s="1"/>
  <c r="B49" i="48"/>
  <c r="G48" i="48"/>
  <c r="B48" i="48"/>
  <c r="L48" i="48" s="1"/>
  <c r="G47" i="48"/>
  <c r="L47" i="48" s="1"/>
  <c r="B47" i="48"/>
  <c r="L46" i="48"/>
  <c r="G46" i="48"/>
  <c r="B46" i="48"/>
  <c r="G45" i="48"/>
  <c r="L45" i="48" s="1"/>
  <c r="B45" i="48"/>
  <c r="G44" i="48"/>
  <c r="B44" i="48"/>
  <c r="L44" i="48" s="1"/>
  <c r="G43" i="48"/>
  <c r="L43" i="48" s="1"/>
  <c r="B43" i="48"/>
  <c r="L42" i="48"/>
  <c r="G42" i="48"/>
  <c r="B42" i="48"/>
  <c r="G41" i="48"/>
  <c r="L41" i="48" s="1"/>
  <c r="B41" i="48"/>
  <c r="G40" i="48"/>
  <c r="B40" i="48"/>
  <c r="L40" i="48" s="1"/>
  <c r="G39" i="48"/>
  <c r="L39" i="48" s="1"/>
  <c r="B39" i="48"/>
  <c r="L38" i="48"/>
  <c r="G38" i="48"/>
  <c r="B38" i="48"/>
  <c r="G37" i="48"/>
  <c r="L37" i="48" s="1"/>
  <c r="B37" i="48"/>
  <c r="G36" i="48"/>
  <c r="B36" i="48"/>
  <c r="L36" i="48" s="1"/>
  <c r="G35" i="48"/>
  <c r="L35" i="48" s="1"/>
  <c r="B35" i="48"/>
  <c r="L34" i="48"/>
  <c r="G34" i="48"/>
  <c r="B34" i="48"/>
  <c r="G33" i="48"/>
  <c r="L33" i="48" s="1"/>
  <c r="B33" i="48"/>
  <c r="G32" i="48"/>
  <c r="B32" i="48"/>
  <c r="L32" i="48" s="1"/>
  <c r="G31" i="48"/>
  <c r="L31" i="48" s="1"/>
  <c r="B31" i="48"/>
  <c r="L30" i="48"/>
  <c r="G30" i="48"/>
  <c r="B30" i="48"/>
  <c r="G29" i="48"/>
  <c r="L29" i="48" s="1"/>
  <c r="B29" i="48"/>
  <c r="G28" i="48"/>
  <c r="B28" i="48"/>
  <c r="L28" i="48" s="1"/>
  <c r="G27" i="48"/>
  <c r="L27" i="48" s="1"/>
  <c r="B27" i="48"/>
  <c r="L26" i="48"/>
  <c r="G26" i="48"/>
  <c r="B26" i="48"/>
  <c r="G25" i="48"/>
  <c r="L25" i="48" s="1"/>
  <c r="B25" i="48"/>
  <c r="G24" i="48"/>
  <c r="B24" i="48"/>
  <c r="L24" i="48" s="1"/>
  <c r="G23" i="48"/>
  <c r="L23" i="48" s="1"/>
  <c r="B23" i="48"/>
  <c r="L22" i="48"/>
  <c r="G22" i="48"/>
  <c r="B22" i="48"/>
  <c r="G21" i="48"/>
  <c r="L21" i="48" s="1"/>
  <c r="B21" i="48"/>
  <c r="G20" i="48"/>
  <c r="B20" i="48"/>
  <c r="L20" i="48" s="1"/>
  <c r="G19" i="48"/>
  <c r="L19" i="48" s="1"/>
  <c r="B19" i="48"/>
  <c r="L18" i="48"/>
  <c r="G18" i="48"/>
  <c r="B18" i="48"/>
  <c r="G17" i="48"/>
  <c r="L17" i="48" s="1"/>
  <c r="B17" i="48"/>
  <c r="G16" i="48"/>
  <c r="B16" i="48"/>
  <c r="L16" i="48" s="1"/>
  <c r="G15" i="48"/>
  <c r="L15" i="48" s="1"/>
  <c r="B15" i="48"/>
  <c r="H91" i="47" l="1"/>
  <c r="M91" i="47" s="1"/>
  <c r="C91" i="47"/>
  <c r="M90" i="47"/>
  <c r="H90" i="47"/>
  <c r="C90" i="47"/>
  <c r="H89" i="47"/>
  <c r="M89" i="47" s="1"/>
  <c r="C89" i="47"/>
  <c r="H88" i="47"/>
  <c r="M88" i="47" s="1"/>
  <c r="C88" i="47"/>
  <c r="H87" i="47"/>
  <c r="M87" i="47" s="1"/>
  <c r="C87" i="47"/>
  <c r="M86" i="47"/>
  <c r="H86" i="47"/>
  <c r="C86" i="47"/>
  <c r="H85" i="47"/>
  <c r="M85" i="47" s="1"/>
  <c r="C85" i="47"/>
  <c r="H84" i="47"/>
  <c r="M84" i="47" s="1"/>
  <c r="C84" i="47"/>
  <c r="H83" i="47"/>
  <c r="M83" i="47" s="1"/>
  <c r="C83" i="47"/>
  <c r="M61" i="47"/>
  <c r="H61" i="47"/>
  <c r="C61" i="47"/>
  <c r="H60" i="47"/>
  <c r="M60" i="47" s="1"/>
  <c r="C60" i="47"/>
  <c r="H59" i="47"/>
  <c r="M59" i="47" s="1"/>
  <c r="C59" i="47"/>
  <c r="H58" i="47"/>
  <c r="M58" i="47" s="1"/>
  <c r="C58" i="47"/>
  <c r="M57" i="47"/>
  <c r="H57" i="47"/>
  <c r="C57" i="47"/>
  <c r="H56" i="47"/>
  <c r="M56" i="47" s="1"/>
  <c r="C56" i="47"/>
  <c r="H55" i="47"/>
  <c r="M55" i="47" s="1"/>
  <c r="C55" i="47"/>
  <c r="H54" i="47"/>
  <c r="M54" i="47" s="1"/>
  <c r="C54" i="47"/>
  <c r="M53" i="47"/>
  <c r="H53" i="47"/>
  <c r="C53" i="47"/>
  <c r="H52" i="47"/>
  <c r="M52" i="47" s="1"/>
  <c r="C52" i="47"/>
  <c r="H51" i="47"/>
  <c r="M51" i="47" s="1"/>
  <c r="C51" i="47"/>
  <c r="H50" i="47"/>
  <c r="M50" i="47" s="1"/>
  <c r="C50" i="47"/>
  <c r="M49" i="47"/>
  <c r="H49" i="47"/>
  <c r="C49" i="47"/>
  <c r="H48" i="47"/>
  <c r="M48" i="47" s="1"/>
  <c r="C48" i="47"/>
  <c r="H47" i="47"/>
  <c r="M47" i="47" s="1"/>
  <c r="C47" i="47"/>
  <c r="H46" i="47"/>
  <c r="M46" i="47" s="1"/>
  <c r="C46" i="47"/>
  <c r="M45" i="47"/>
  <c r="H45" i="47"/>
  <c r="C45" i="47"/>
  <c r="H44" i="47"/>
  <c r="M44" i="47" s="1"/>
  <c r="C44" i="47"/>
  <c r="H43" i="47"/>
  <c r="M43" i="47" s="1"/>
  <c r="C43" i="47"/>
  <c r="H42" i="47"/>
  <c r="M42" i="47" s="1"/>
  <c r="C42" i="47"/>
  <c r="M41" i="47"/>
  <c r="H41" i="47"/>
  <c r="C41" i="47"/>
  <c r="H40" i="47"/>
  <c r="M40" i="47" s="1"/>
  <c r="C40" i="47"/>
  <c r="H39" i="47"/>
  <c r="M39" i="47" s="1"/>
  <c r="C39" i="47"/>
  <c r="H38" i="47"/>
  <c r="M38" i="47" s="1"/>
  <c r="C38" i="47"/>
  <c r="M37" i="47"/>
  <c r="H37" i="47"/>
  <c r="C37" i="47"/>
  <c r="H36" i="47"/>
  <c r="M36" i="47" s="1"/>
  <c r="C36" i="47"/>
  <c r="H35" i="47"/>
  <c r="M35" i="47" s="1"/>
  <c r="C35" i="47"/>
  <c r="H34" i="47"/>
  <c r="M34" i="47" s="1"/>
  <c r="C34" i="47"/>
  <c r="M33" i="47"/>
  <c r="H33" i="47"/>
  <c r="C33" i="47"/>
  <c r="H32" i="47"/>
  <c r="M32" i="47" s="1"/>
  <c r="C32" i="47"/>
  <c r="H31" i="47"/>
  <c r="M31" i="47" s="1"/>
  <c r="C31" i="47"/>
  <c r="H30" i="47"/>
  <c r="M30" i="47" s="1"/>
  <c r="C30" i="47"/>
  <c r="M29" i="47"/>
  <c r="H29" i="47"/>
  <c r="C29" i="47"/>
  <c r="H28" i="47"/>
  <c r="M28" i="47" s="1"/>
  <c r="C28" i="47"/>
  <c r="H27" i="47"/>
  <c r="M27" i="47" s="1"/>
  <c r="C27" i="47"/>
  <c r="H26" i="47"/>
  <c r="M26" i="47" s="1"/>
  <c r="C26" i="47"/>
  <c r="M25" i="47"/>
  <c r="H25" i="47"/>
  <c r="C25" i="47"/>
  <c r="H24" i="47"/>
  <c r="M24" i="47" s="1"/>
  <c r="C24" i="47"/>
  <c r="H23" i="47"/>
  <c r="M23" i="47" s="1"/>
  <c r="C23" i="47"/>
  <c r="H22" i="47"/>
  <c r="M22" i="47" s="1"/>
  <c r="C22" i="47"/>
  <c r="M21" i="47"/>
  <c r="H21" i="47"/>
  <c r="C21" i="47"/>
  <c r="H20" i="47"/>
  <c r="M20" i="47" s="1"/>
  <c r="C20" i="47"/>
  <c r="H19" i="47"/>
  <c r="M19" i="47" s="1"/>
  <c r="C19" i="47"/>
  <c r="H18" i="47"/>
  <c r="M18" i="47" s="1"/>
  <c r="C18" i="47"/>
  <c r="M17" i="47"/>
  <c r="H17" i="47"/>
  <c r="C17" i="47"/>
  <c r="H16" i="47"/>
  <c r="M16" i="47" s="1"/>
  <c r="C16" i="47"/>
  <c r="AK23" i="59" l="1"/>
  <c r="AF23" i="59"/>
  <c r="AF49" i="59" s="1"/>
  <c r="AF18" i="59"/>
  <c r="AF48" i="59" l="1"/>
  <c r="G62" i="39" l="1"/>
  <c r="G58" i="39"/>
  <c r="G41" i="39"/>
  <c r="G38" i="39"/>
  <c r="G36" i="39"/>
  <c r="H30" i="39"/>
  <c r="G30" i="39"/>
  <c r="H29" i="39"/>
  <c r="G29" i="39"/>
  <c r="H28" i="39"/>
  <c r="G28" i="39"/>
  <c r="H27" i="39"/>
  <c r="G27" i="39"/>
  <c r="H26" i="39"/>
  <c r="G26" i="39"/>
  <c r="G25" i="39"/>
  <c r="H24" i="39"/>
  <c r="G24" i="39" s="1"/>
  <c r="H23" i="39"/>
  <c r="G23" i="39"/>
  <c r="H22" i="39"/>
  <c r="G22" i="39" s="1"/>
  <c r="H21" i="39"/>
  <c r="G21" i="39"/>
  <c r="H20" i="39"/>
  <c r="G20" i="39" s="1"/>
  <c r="H19" i="39"/>
  <c r="G19" i="39"/>
  <c r="Z87" i="51" l="1"/>
  <c r="Z86" i="51"/>
  <c r="Z85" i="51"/>
  <c r="Z84" i="51"/>
  <c r="Z83" i="51"/>
  <c r="Z82" i="51"/>
  <c r="Z81" i="51"/>
  <c r="Z80" i="51"/>
  <c r="Z63" i="51"/>
  <c r="Z62" i="51"/>
  <c r="Z61" i="51"/>
  <c r="Z60" i="51"/>
  <c r="Z59" i="51"/>
  <c r="Z58" i="51"/>
  <c r="Z57" i="51"/>
  <c r="Z56" i="51"/>
  <c r="Z55" i="51"/>
  <c r="Z54" i="51"/>
  <c r="Z53" i="51"/>
  <c r="Z52" i="51"/>
  <c r="Z51" i="51"/>
  <c r="Z50" i="51"/>
  <c r="Z49" i="51"/>
  <c r="Z48" i="51"/>
  <c r="Z47" i="51"/>
  <c r="Z46" i="51"/>
  <c r="Z45" i="51"/>
  <c r="Z44" i="51"/>
  <c r="Z43" i="51"/>
  <c r="Z42" i="51"/>
  <c r="Z41" i="51"/>
  <c r="Z40" i="51"/>
  <c r="Z39" i="51"/>
  <c r="Z38" i="51"/>
  <c r="Z37" i="51"/>
  <c r="Z36" i="51"/>
  <c r="Z35" i="51"/>
  <c r="Z34" i="51"/>
  <c r="Z33" i="51"/>
  <c r="Z32" i="51"/>
  <c r="Z31" i="51"/>
  <c r="Z30" i="51"/>
  <c r="Z29" i="51"/>
  <c r="Z28" i="51"/>
  <c r="Z27" i="51"/>
  <c r="Z26" i="51"/>
  <c r="Z25" i="51"/>
  <c r="Z24" i="51"/>
  <c r="Z23" i="51"/>
  <c r="Z22" i="51"/>
  <c r="Z21" i="51"/>
  <c r="Z20" i="51"/>
  <c r="Z19" i="51"/>
  <c r="D34" i="50" l="1"/>
  <c r="H39" i="15" l="1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I16" i="15"/>
  <c r="I17" i="15" s="1"/>
  <c r="I18" i="15" s="1"/>
  <c r="I19" i="15" s="1"/>
  <c r="I20" i="15" s="1"/>
  <c r="I21" i="15" s="1"/>
  <c r="I22" i="15" s="1"/>
  <c r="I23" i="15" s="1"/>
  <c r="I24" i="15" s="1"/>
  <c r="I25" i="15" s="1"/>
  <c r="I26" i="15" s="1"/>
  <c r="I27" i="15" s="1"/>
  <c r="I28" i="15" s="1"/>
  <c r="I29" i="15" s="1"/>
  <c r="I30" i="15" s="1"/>
  <c r="I31" i="15" s="1"/>
  <c r="I32" i="15" s="1"/>
  <c r="I33" i="15" s="1"/>
  <c r="H16" i="15"/>
  <c r="H15" i="15"/>
  <c r="H14" i="15"/>
  <c r="H40" i="14" l="1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I17" i="14"/>
  <c r="I18" i="14" s="1"/>
  <c r="I19" i="14" s="1"/>
  <c r="I20" i="14" s="1"/>
  <c r="I21" i="14" s="1"/>
  <c r="I22" i="14" s="1"/>
  <c r="I23" i="14" s="1"/>
  <c r="I24" i="14" s="1"/>
  <c r="I25" i="14" s="1"/>
  <c r="I26" i="14" s="1"/>
  <c r="I27" i="14" s="1"/>
  <c r="I28" i="14" s="1"/>
  <c r="I29" i="14" s="1"/>
  <c r="I30" i="14" s="1"/>
  <c r="I31" i="14" s="1"/>
  <c r="I32" i="14" s="1"/>
  <c r="I33" i="14" s="1"/>
  <c r="I34" i="14" s="1"/>
  <c r="H17" i="14"/>
  <c r="H16" i="14"/>
  <c r="H15" i="14"/>
  <c r="I43" i="13" l="1"/>
  <c r="C43" i="13"/>
  <c r="I42" i="13"/>
  <c r="C42" i="13"/>
  <c r="I41" i="13"/>
  <c r="C41" i="13"/>
  <c r="I40" i="13"/>
  <c r="C40" i="13"/>
  <c r="I39" i="13"/>
  <c r="I38" i="13"/>
  <c r="I37" i="13"/>
  <c r="C37" i="13"/>
  <c r="I36" i="13"/>
  <c r="C36" i="13"/>
  <c r="I35" i="13"/>
  <c r="C35" i="13" s="1"/>
  <c r="I34" i="13"/>
  <c r="C34" i="13"/>
  <c r="I33" i="13"/>
  <c r="C33" i="13"/>
  <c r="I32" i="13"/>
  <c r="C32" i="13"/>
  <c r="I31" i="13"/>
  <c r="C31" i="13" s="1"/>
  <c r="I30" i="13"/>
  <c r="C30" i="13"/>
  <c r="I29" i="13"/>
  <c r="C29" i="13"/>
  <c r="I28" i="13"/>
  <c r="C28" i="13"/>
  <c r="I27" i="13"/>
  <c r="C27" i="13" s="1"/>
  <c r="I26" i="13"/>
  <c r="C26" i="13"/>
  <c r="I25" i="13"/>
  <c r="C25" i="13"/>
  <c r="I24" i="13"/>
  <c r="C24" i="13"/>
  <c r="I23" i="13"/>
  <c r="C23" i="13" s="1"/>
  <c r="I22" i="13"/>
  <c r="C22" i="13"/>
  <c r="I21" i="13"/>
  <c r="C21" i="13"/>
  <c r="K20" i="13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I20" i="13"/>
  <c r="C20" i="13"/>
  <c r="K19" i="13"/>
  <c r="I19" i="13"/>
  <c r="K18" i="13"/>
  <c r="I18" i="13"/>
  <c r="I17" i="13"/>
  <c r="I16" i="13"/>
  <c r="M90" i="12" l="1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O18" i="12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M18" i="12"/>
  <c r="M17" i="12"/>
  <c r="AD85" i="11" l="1"/>
  <c r="AE85" i="11" s="1"/>
  <c r="Z85" i="11"/>
  <c r="V85" i="11"/>
  <c r="R85" i="11"/>
  <c r="N85" i="11"/>
  <c r="J85" i="11"/>
  <c r="AD84" i="11"/>
  <c r="Z84" i="11"/>
  <c r="V84" i="11"/>
  <c r="R84" i="11"/>
  <c r="AE84" i="11" s="1"/>
  <c r="N84" i="11"/>
  <c r="J84" i="11"/>
  <c r="AD83" i="11"/>
  <c r="AE83" i="11" s="1"/>
  <c r="Z83" i="11"/>
  <c r="V83" i="11"/>
  <c r="R83" i="11"/>
  <c r="N83" i="11"/>
  <c r="J83" i="11"/>
  <c r="AD82" i="11"/>
  <c r="AE82" i="11" s="1"/>
  <c r="Z82" i="11"/>
  <c r="V82" i="11"/>
  <c r="R82" i="11"/>
  <c r="N82" i="11"/>
  <c r="J82" i="11"/>
  <c r="AD81" i="11"/>
  <c r="AE81" i="11" s="1"/>
  <c r="Z81" i="11"/>
  <c r="V81" i="11"/>
  <c r="R81" i="11"/>
  <c r="N81" i="11"/>
  <c r="J81" i="11"/>
  <c r="AD80" i="11"/>
  <c r="Z80" i="11"/>
  <c r="V80" i="11"/>
  <c r="R80" i="11"/>
  <c r="AE80" i="11" s="1"/>
  <c r="N80" i="11"/>
  <c r="J80" i="11"/>
  <c r="AD79" i="11"/>
  <c r="AE79" i="11" s="1"/>
  <c r="Z79" i="11"/>
  <c r="V79" i="11"/>
  <c r="R79" i="11"/>
  <c r="N79" i="11"/>
  <c r="J79" i="11"/>
  <c r="AD78" i="11"/>
  <c r="AE78" i="11" s="1"/>
  <c r="Z78" i="11"/>
  <c r="V78" i="11"/>
  <c r="R78" i="11"/>
  <c r="N78" i="11"/>
  <c r="J78" i="11"/>
  <c r="AD77" i="11"/>
  <c r="AE77" i="11" s="1"/>
  <c r="Z77" i="11"/>
  <c r="V77" i="11"/>
  <c r="R77" i="11"/>
  <c r="N77" i="11"/>
  <c r="J77" i="11"/>
  <c r="AD76" i="11"/>
  <c r="Y76" i="11"/>
  <c r="W76" i="11"/>
  <c r="Z76" i="11" s="1"/>
  <c r="AE76" i="11" s="1"/>
  <c r="V76" i="11"/>
  <c r="R76" i="11"/>
  <c r="M76" i="11"/>
  <c r="N76" i="11" s="1"/>
  <c r="L76" i="11"/>
  <c r="K76" i="11"/>
  <c r="J76" i="11"/>
  <c r="AD75" i="11"/>
  <c r="Y75" i="11"/>
  <c r="W75" i="11"/>
  <c r="Z75" i="11" s="1"/>
  <c r="V75" i="11"/>
  <c r="R75" i="11"/>
  <c r="M75" i="11"/>
  <c r="N75" i="11" s="1"/>
  <c r="L75" i="11"/>
  <c r="K75" i="11"/>
  <c r="J75" i="11"/>
  <c r="AD74" i="11"/>
  <c r="Y74" i="11"/>
  <c r="X74" i="11"/>
  <c r="Z74" i="11" s="1"/>
  <c r="AE74" i="11" s="1"/>
  <c r="W74" i="11"/>
  <c r="V74" i="11"/>
  <c r="R74" i="11"/>
  <c r="N74" i="11"/>
  <c r="M74" i="11"/>
  <c r="L74" i="11"/>
  <c r="K74" i="11"/>
  <c r="J74" i="11"/>
  <c r="AD73" i="11"/>
  <c r="Y73" i="11"/>
  <c r="Z73" i="11" s="1"/>
  <c r="W73" i="11"/>
  <c r="V73" i="11"/>
  <c r="R73" i="11"/>
  <c r="N73" i="11"/>
  <c r="M73" i="11"/>
  <c r="K73" i="11"/>
  <c r="J73" i="11"/>
  <c r="AD72" i="11"/>
  <c r="Y72" i="11"/>
  <c r="W72" i="11"/>
  <c r="Z72" i="11" s="1"/>
  <c r="AE72" i="11" s="1"/>
  <c r="V72" i="11"/>
  <c r="R72" i="11"/>
  <c r="M72" i="11"/>
  <c r="N72" i="11" s="1"/>
  <c r="K72" i="11"/>
  <c r="J72" i="11"/>
  <c r="AD71" i="11"/>
  <c r="AE71" i="11" s="1"/>
  <c r="Y71" i="11"/>
  <c r="W71" i="11"/>
  <c r="Z71" i="11" s="1"/>
  <c r="V71" i="11"/>
  <c r="R71" i="11"/>
  <c r="M71" i="11"/>
  <c r="N71" i="11" s="1"/>
  <c r="K71" i="11"/>
  <c r="J71" i="11"/>
  <c r="AD70" i="11"/>
  <c r="AE70" i="11" s="1"/>
  <c r="Z70" i="11"/>
  <c r="V70" i="11"/>
  <c r="R70" i="11"/>
  <c r="N70" i="11"/>
  <c r="J70" i="11"/>
  <c r="AD69" i="11"/>
  <c r="Y69" i="11"/>
  <c r="Z69" i="11" s="1"/>
  <c r="W69" i="11"/>
  <c r="V69" i="11"/>
  <c r="R69" i="11"/>
  <c r="N69" i="11"/>
  <c r="M69" i="11"/>
  <c r="K69" i="11"/>
  <c r="J69" i="11"/>
  <c r="AD68" i="11"/>
  <c r="Y68" i="11"/>
  <c r="Z68" i="11" s="1"/>
  <c r="W68" i="11"/>
  <c r="V68" i="11"/>
  <c r="R68" i="11"/>
  <c r="N68" i="11"/>
  <c r="M68" i="11"/>
  <c r="K68" i="11"/>
  <c r="J68" i="11"/>
  <c r="AD67" i="11"/>
  <c r="AE67" i="11" s="1"/>
  <c r="Z67" i="11"/>
  <c r="Y67" i="11"/>
  <c r="W67" i="11"/>
  <c r="V67" i="11"/>
  <c r="R67" i="11"/>
  <c r="M67" i="11"/>
  <c r="N67" i="11" s="1"/>
  <c r="K67" i="11"/>
  <c r="J67" i="11"/>
  <c r="AD66" i="11"/>
  <c r="Y66" i="11"/>
  <c r="W66" i="11"/>
  <c r="Z66" i="11" s="1"/>
  <c r="V66" i="11"/>
  <c r="R66" i="11"/>
  <c r="M66" i="11"/>
  <c r="N66" i="11" s="1"/>
  <c r="K66" i="11"/>
  <c r="J66" i="11"/>
  <c r="AG65" i="11"/>
  <c r="AG66" i="11" s="1"/>
  <c r="AG67" i="11" s="1"/>
  <c r="AG68" i="11" s="1"/>
  <c r="AD65" i="11"/>
  <c r="Y65" i="11"/>
  <c r="W65" i="11"/>
  <c r="Z65" i="11" s="1"/>
  <c r="AE65" i="11" s="1"/>
  <c r="V65" i="11"/>
  <c r="R65" i="11"/>
  <c r="M65" i="11"/>
  <c r="N65" i="11" s="1"/>
  <c r="L65" i="11"/>
  <c r="K65" i="11"/>
  <c r="J65" i="11"/>
  <c r="C65" i="11"/>
  <c r="C66" i="11" s="1"/>
  <c r="C67" i="11" s="1"/>
  <c r="C68" i="11" s="1"/>
  <c r="AG64" i="11"/>
  <c r="AD64" i="11"/>
  <c r="Z64" i="11"/>
  <c r="Y64" i="11"/>
  <c r="W64" i="11"/>
  <c r="V64" i="11"/>
  <c r="R64" i="11"/>
  <c r="M64" i="11"/>
  <c r="N64" i="11" s="1"/>
  <c r="L64" i="11"/>
  <c r="K64" i="11"/>
  <c r="J64" i="11"/>
  <c r="C64" i="11"/>
  <c r="AD63" i="11"/>
  <c r="AE63" i="11" s="1"/>
  <c r="Y63" i="11"/>
  <c r="X63" i="11"/>
  <c r="W63" i="11"/>
  <c r="Z63" i="11" s="1"/>
  <c r="V63" i="11"/>
  <c r="R63" i="11"/>
  <c r="M63" i="11"/>
  <c r="N63" i="11" s="1"/>
  <c r="K63" i="11"/>
  <c r="J63" i="11"/>
  <c r="AD62" i="11"/>
  <c r="Y62" i="11"/>
  <c r="W62" i="11"/>
  <c r="Z62" i="11" s="1"/>
  <c r="V62" i="11"/>
  <c r="R62" i="11"/>
  <c r="M62" i="11"/>
  <c r="N62" i="11" s="1"/>
  <c r="L62" i="11"/>
  <c r="K62" i="11"/>
  <c r="J62" i="11"/>
  <c r="AD61" i="11"/>
  <c r="AE61" i="11" s="1"/>
  <c r="Z61" i="11"/>
  <c r="V61" i="11"/>
  <c r="R61" i="11"/>
  <c r="N61" i="11"/>
  <c r="M61" i="11"/>
  <c r="K61" i="11"/>
  <c r="J61" i="11"/>
  <c r="AD60" i="11"/>
  <c r="Z60" i="11"/>
  <c r="V60" i="11"/>
  <c r="R60" i="11"/>
  <c r="M60" i="11"/>
  <c r="N60" i="11" s="1"/>
  <c r="K60" i="11"/>
  <c r="J60" i="11"/>
  <c r="AD59" i="11"/>
  <c r="Z59" i="11"/>
  <c r="V59" i="11"/>
  <c r="R59" i="11"/>
  <c r="M59" i="11"/>
  <c r="N59" i="11" s="1"/>
  <c r="K59" i="11"/>
  <c r="J59" i="11"/>
  <c r="AD58" i="11"/>
  <c r="Z58" i="11"/>
  <c r="V58" i="11"/>
  <c r="R58" i="11"/>
  <c r="M58" i="11"/>
  <c r="N58" i="11" s="1"/>
  <c r="K58" i="11"/>
  <c r="J58" i="11"/>
  <c r="AD43" i="11"/>
  <c r="AE43" i="11" s="1"/>
  <c r="Z43" i="11"/>
  <c r="V43" i="11"/>
  <c r="R43" i="11"/>
  <c r="N43" i="11"/>
  <c r="J43" i="11"/>
  <c r="AD42" i="11"/>
  <c r="AE42" i="11" s="1"/>
  <c r="Z42" i="11"/>
  <c r="V42" i="11"/>
  <c r="R42" i="11"/>
  <c r="N42" i="11"/>
  <c r="J42" i="11"/>
  <c r="AD41" i="11"/>
  <c r="AE41" i="11" s="1"/>
  <c r="Z41" i="11"/>
  <c r="V41" i="11"/>
  <c r="R41" i="11"/>
  <c r="N41" i="11"/>
  <c r="J41" i="11"/>
  <c r="AD40" i="11"/>
  <c r="Z40" i="11"/>
  <c r="V40" i="11"/>
  <c r="R40" i="11"/>
  <c r="AE40" i="11" s="1"/>
  <c r="N40" i="11"/>
  <c r="J40" i="11"/>
  <c r="AD39" i="11"/>
  <c r="AE39" i="11" s="1"/>
  <c r="Z39" i="11"/>
  <c r="V39" i="11"/>
  <c r="R39" i="11"/>
  <c r="N39" i="11"/>
  <c r="J39" i="11"/>
  <c r="AD38" i="11"/>
  <c r="AE38" i="11" s="1"/>
  <c r="Z38" i="11"/>
  <c r="V38" i="11"/>
  <c r="R38" i="11"/>
  <c r="N38" i="11"/>
  <c r="J38" i="11"/>
  <c r="AD37" i="11"/>
  <c r="AE37" i="11" s="1"/>
  <c r="Z37" i="11"/>
  <c r="V37" i="11"/>
  <c r="R37" i="11"/>
  <c r="N37" i="11"/>
  <c r="J37" i="11"/>
  <c r="AD36" i="11"/>
  <c r="Z36" i="11"/>
  <c r="V36" i="11"/>
  <c r="R36" i="11"/>
  <c r="AE36" i="11" s="1"/>
  <c r="N36" i="11"/>
  <c r="J36" i="11"/>
  <c r="AD35" i="11"/>
  <c r="AE35" i="11" s="1"/>
  <c r="Z35" i="11"/>
  <c r="V35" i="11"/>
  <c r="R35" i="11"/>
  <c r="N35" i="11"/>
  <c r="J35" i="11"/>
  <c r="AD34" i="11"/>
  <c r="AE34" i="11" s="1"/>
  <c r="Z34" i="11"/>
  <c r="V34" i="11"/>
  <c r="R34" i="11"/>
  <c r="N34" i="11"/>
  <c r="J34" i="11"/>
  <c r="AD33" i="11"/>
  <c r="AE33" i="11" s="1"/>
  <c r="Z33" i="11"/>
  <c r="V33" i="11"/>
  <c r="R33" i="11"/>
  <c r="N33" i="11"/>
  <c r="J33" i="11"/>
  <c r="AD32" i="11"/>
  <c r="Z32" i="11"/>
  <c r="V32" i="11"/>
  <c r="R32" i="11"/>
  <c r="AE32" i="11" s="1"/>
  <c r="N32" i="11"/>
  <c r="J32" i="11"/>
  <c r="AD31" i="11"/>
  <c r="AE31" i="11" s="1"/>
  <c r="Z31" i="11"/>
  <c r="V31" i="11"/>
  <c r="R31" i="11"/>
  <c r="N31" i="11"/>
  <c r="J31" i="11"/>
  <c r="AD30" i="11"/>
  <c r="AE30" i="11" s="1"/>
  <c r="Z30" i="11"/>
  <c r="V30" i="11"/>
  <c r="R30" i="11"/>
  <c r="N30" i="11"/>
  <c r="J30" i="11"/>
  <c r="AD29" i="11"/>
  <c r="AE29" i="11" s="1"/>
  <c r="Z29" i="11"/>
  <c r="V29" i="11"/>
  <c r="R29" i="11"/>
  <c r="N29" i="11"/>
  <c r="J29" i="11"/>
  <c r="AD28" i="11"/>
  <c r="Z28" i="11"/>
  <c r="V28" i="11"/>
  <c r="R28" i="11"/>
  <c r="AE28" i="11" s="1"/>
  <c r="N28" i="11"/>
  <c r="J28" i="11"/>
  <c r="AD27" i="11"/>
  <c r="AE27" i="11" s="1"/>
  <c r="Z27" i="11"/>
  <c r="V27" i="11"/>
  <c r="R27" i="11"/>
  <c r="N27" i="11"/>
  <c r="J27" i="11"/>
  <c r="AD26" i="11"/>
  <c r="AE26" i="11" s="1"/>
  <c r="Z26" i="11"/>
  <c r="V26" i="11"/>
  <c r="R26" i="11"/>
  <c r="N26" i="11"/>
  <c r="J26" i="11"/>
  <c r="AD25" i="11"/>
  <c r="AE25" i="11" s="1"/>
  <c r="Z25" i="11"/>
  <c r="V25" i="11"/>
  <c r="R25" i="11"/>
  <c r="N25" i="11"/>
  <c r="J25" i="11"/>
  <c r="AE24" i="11"/>
  <c r="AD24" i="11"/>
  <c r="Z24" i="11"/>
  <c r="V24" i="11"/>
  <c r="R24" i="11"/>
  <c r="N24" i="11"/>
  <c r="J24" i="11"/>
  <c r="AD23" i="11"/>
  <c r="AE23" i="11" s="1"/>
  <c r="Z23" i="11"/>
  <c r="V23" i="11"/>
  <c r="R23" i="11"/>
  <c r="N23" i="11"/>
  <c r="J23" i="11"/>
  <c r="AD22" i="11"/>
  <c r="AE22" i="11" s="1"/>
  <c r="Z22" i="11"/>
  <c r="V22" i="11"/>
  <c r="R22" i="11"/>
  <c r="N22" i="11"/>
  <c r="J22" i="11"/>
  <c r="AD21" i="11"/>
  <c r="AE21" i="11" s="1"/>
  <c r="Z21" i="11"/>
  <c r="V21" i="11"/>
  <c r="R21" i="11"/>
  <c r="N21" i="11"/>
  <c r="J21" i="11"/>
  <c r="AD20" i="11"/>
  <c r="Z20" i="11"/>
  <c r="V20" i="11"/>
  <c r="R20" i="11"/>
  <c r="AE20" i="11" s="1"/>
  <c r="N20" i="11"/>
  <c r="J20" i="11"/>
  <c r="AD19" i="11"/>
  <c r="AE19" i="11" s="1"/>
  <c r="Z19" i="11"/>
  <c r="V19" i="11"/>
  <c r="R19" i="11"/>
  <c r="N19" i="11"/>
  <c r="J19" i="11"/>
  <c r="AD18" i="11"/>
  <c r="AE18" i="11" s="1"/>
  <c r="Z18" i="11"/>
  <c r="V18" i="11"/>
  <c r="R18" i="11"/>
  <c r="N18" i="11"/>
  <c r="J18" i="11"/>
  <c r="AD17" i="11"/>
  <c r="AE17" i="11" s="1"/>
  <c r="Z17" i="11"/>
  <c r="V17" i="11"/>
  <c r="R17" i="11"/>
  <c r="N17" i="11"/>
  <c r="J17" i="11"/>
  <c r="AD16" i="11"/>
  <c r="Z16" i="11"/>
  <c r="V16" i="11"/>
  <c r="R16" i="11"/>
  <c r="AE16" i="11" s="1"/>
  <c r="N16" i="11"/>
  <c r="J16" i="11"/>
  <c r="AD15" i="11"/>
  <c r="AE15" i="11" s="1"/>
  <c r="Z15" i="11"/>
  <c r="V15" i="11"/>
  <c r="R15" i="11"/>
  <c r="N15" i="11"/>
  <c r="J15" i="11"/>
  <c r="AE58" i="11" l="1"/>
  <c r="AE68" i="11"/>
  <c r="AE73" i="11"/>
  <c r="AE69" i="11"/>
  <c r="AE59" i="11"/>
  <c r="AE60" i="11"/>
  <c r="AE62" i="11"/>
  <c r="AE64" i="11"/>
  <c r="AE66" i="11"/>
  <c r="AE75" i="11"/>
  <c r="AJ44" i="10" l="1"/>
  <c r="AJ42" i="10"/>
  <c r="AI42" i="10"/>
  <c r="AI43" i="10" s="1"/>
  <c r="AH42" i="10"/>
  <c r="AH43" i="10" s="1"/>
  <c r="AG42" i="10"/>
  <c r="AG43" i="10" s="1"/>
  <c r="AF42" i="10"/>
  <c r="AF43" i="10" s="1"/>
  <c r="AE42" i="10"/>
  <c r="AE43" i="10" s="1"/>
  <c r="AD42" i="10"/>
  <c r="AD43" i="10" s="1"/>
  <c r="AC42" i="10"/>
  <c r="AC43" i="10" s="1"/>
  <c r="AB42" i="10"/>
  <c r="AB43" i="10" s="1"/>
  <c r="AA42" i="10"/>
  <c r="AA43" i="10" s="1"/>
  <c r="Z42" i="10"/>
  <c r="Z43" i="10" s="1"/>
  <c r="Y42" i="10"/>
  <c r="Y43" i="10" s="1"/>
  <c r="X42" i="10"/>
  <c r="X43" i="10" s="1"/>
  <c r="W42" i="10"/>
  <c r="W43" i="10" s="1"/>
  <c r="V42" i="10"/>
  <c r="V43" i="10" s="1"/>
  <c r="U42" i="10"/>
  <c r="U43" i="10" s="1"/>
  <c r="T42" i="10"/>
  <c r="T43" i="10" s="1"/>
  <c r="S42" i="10"/>
  <c r="S43" i="10" s="1"/>
  <c r="R42" i="10"/>
  <c r="R43" i="10" s="1"/>
  <c r="Q42" i="10"/>
  <c r="Q43" i="10" s="1"/>
  <c r="P42" i="10"/>
  <c r="P43" i="10" s="1"/>
  <c r="O42" i="10"/>
  <c r="O43" i="10" s="1"/>
  <c r="N42" i="10"/>
  <c r="N43" i="10" s="1"/>
  <c r="M42" i="10"/>
  <c r="M43" i="10" s="1"/>
  <c r="L42" i="10"/>
  <c r="L43" i="10" s="1"/>
  <c r="K42" i="10"/>
  <c r="K43" i="10" s="1"/>
  <c r="J42" i="10"/>
  <c r="J43" i="10" s="1"/>
  <c r="I42" i="10"/>
  <c r="I43" i="10" s="1"/>
  <c r="AJ39" i="10"/>
  <c r="AI39" i="10"/>
  <c r="AH39" i="10"/>
  <c r="AG39" i="10"/>
  <c r="AF39" i="10"/>
  <c r="AE39" i="10"/>
  <c r="AD39" i="10"/>
  <c r="AB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AJ29" i="10"/>
  <c r="AI29" i="10"/>
  <c r="AH29" i="10"/>
  <c r="AG29" i="10"/>
  <c r="AF29" i="10"/>
  <c r="AE29" i="10"/>
  <c r="AD29" i="10"/>
  <c r="AB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B93" i="9" l="1"/>
  <c r="B92" i="9"/>
  <c r="B91" i="9"/>
  <c r="B90" i="9"/>
  <c r="B89" i="9"/>
  <c r="B88" i="9"/>
  <c r="B87" i="9"/>
  <c r="B86" i="9"/>
  <c r="B85" i="9"/>
  <c r="B84" i="9"/>
  <c r="B83" i="9"/>
  <c r="B82" i="9"/>
  <c r="M81" i="9"/>
  <c r="B81" i="9" s="1"/>
  <c r="J81" i="9"/>
  <c r="M80" i="9"/>
  <c r="J80" i="9"/>
  <c r="B80" i="9"/>
  <c r="M79" i="9"/>
  <c r="J79" i="9"/>
  <c r="B79" i="9"/>
  <c r="B78" i="9"/>
  <c r="B77" i="9"/>
  <c r="M76" i="9"/>
  <c r="B76" i="9" s="1"/>
  <c r="J76" i="9"/>
  <c r="M75" i="9"/>
  <c r="B75" i="9" s="1"/>
  <c r="J75" i="9"/>
  <c r="M74" i="9"/>
  <c r="B74" i="9" s="1"/>
  <c r="J74" i="9"/>
  <c r="M73" i="9"/>
  <c r="B73" i="9" s="1"/>
  <c r="J73" i="9"/>
  <c r="N72" i="9"/>
  <c r="N73" i="9" s="1"/>
  <c r="N74" i="9" s="1"/>
  <c r="N75" i="9" s="1"/>
  <c r="N76" i="9" s="1"/>
  <c r="M72" i="9"/>
  <c r="B72" i="9" s="1"/>
  <c r="J72" i="9"/>
  <c r="M71" i="9"/>
  <c r="J71" i="9"/>
  <c r="B71" i="9"/>
  <c r="M70" i="9"/>
  <c r="J70" i="9"/>
  <c r="B70" i="9"/>
  <c r="M69" i="9"/>
  <c r="B69" i="9" s="1"/>
  <c r="J69" i="9"/>
  <c r="M68" i="9"/>
  <c r="B68" i="9" s="1"/>
  <c r="J68" i="9"/>
  <c r="M67" i="9"/>
  <c r="J67" i="9"/>
  <c r="B67" i="9"/>
  <c r="M66" i="9"/>
  <c r="J66" i="9"/>
  <c r="B66" i="9"/>
  <c r="M47" i="9"/>
  <c r="B47" i="9" s="1"/>
  <c r="L47" i="9"/>
  <c r="M46" i="9"/>
  <c r="L46" i="9"/>
  <c r="B46" i="9" s="1"/>
  <c r="M45" i="9"/>
  <c r="L45" i="9"/>
  <c r="B45" i="9"/>
  <c r="M44" i="9"/>
  <c r="L44" i="9"/>
  <c r="B44" i="9"/>
  <c r="B43" i="9"/>
  <c r="B42" i="9"/>
  <c r="B41" i="9"/>
  <c r="B40" i="9"/>
  <c r="B39" i="9"/>
  <c r="B38" i="9"/>
  <c r="B37" i="9"/>
  <c r="B36" i="9"/>
  <c r="B35" i="9"/>
  <c r="E34" i="9"/>
  <c r="D34" i="9"/>
  <c r="B34" i="9"/>
  <c r="E33" i="9"/>
  <c r="B33" i="9" s="1"/>
  <c r="D33" i="9"/>
  <c r="E32" i="9"/>
  <c r="D32" i="9"/>
  <c r="B32" i="9" s="1"/>
  <c r="E31" i="9"/>
  <c r="D31" i="9"/>
  <c r="B31" i="9"/>
  <c r="E30" i="9"/>
  <c r="B30" i="9"/>
  <c r="B29" i="9"/>
  <c r="B28" i="9"/>
  <c r="B27" i="9"/>
  <c r="B26" i="9"/>
  <c r="B25" i="9"/>
  <c r="B24" i="9"/>
  <c r="B23" i="9"/>
  <c r="B22" i="9"/>
  <c r="B21" i="9"/>
  <c r="B20" i="9"/>
  <c r="B19" i="9"/>
  <c r="I90" i="8" l="1"/>
  <c r="C90" i="8" s="1"/>
  <c r="I89" i="8"/>
  <c r="C89" i="8" s="1"/>
  <c r="I88" i="8"/>
  <c r="C88" i="8" s="1"/>
  <c r="I87" i="8"/>
  <c r="C87" i="8" s="1"/>
  <c r="I86" i="8"/>
  <c r="C86" i="8" s="1"/>
  <c r="I85" i="8"/>
  <c r="C85" i="8" s="1"/>
  <c r="I84" i="8"/>
  <c r="C84" i="8" s="1"/>
  <c r="J83" i="8"/>
  <c r="D83" i="8"/>
  <c r="C83" i="8"/>
  <c r="J82" i="8"/>
  <c r="I82" i="8"/>
  <c r="D82" i="8"/>
  <c r="C82" i="8"/>
  <c r="J81" i="8"/>
  <c r="I81" i="8"/>
  <c r="D81" i="8"/>
  <c r="C81" i="8"/>
  <c r="J80" i="8"/>
  <c r="I80" i="8"/>
  <c r="D80" i="8"/>
  <c r="C80" i="8"/>
  <c r="I79" i="8"/>
  <c r="D79" i="8"/>
  <c r="C79" i="8" s="1"/>
  <c r="J78" i="8"/>
  <c r="I78" i="8" s="1"/>
  <c r="D78" i="8"/>
  <c r="C78" i="8" s="1"/>
  <c r="J77" i="8"/>
  <c r="I77" i="8" s="1"/>
  <c r="D77" i="8"/>
  <c r="C77" i="8" s="1"/>
  <c r="J76" i="8"/>
  <c r="I76" i="8" s="1"/>
  <c r="D76" i="8"/>
  <c r="C76" i="8" s="1"/>
  <c r="I75" i="8"/>
  <c r="C75" i="8" s="1"/>
  <c r="J74" i="8"/>
  <c r="I74" i="8" s="1"/>
  <c r="C74" i="8" s="1"/>
  <c r="J73" i="8"/>
  <c r="I73" i="8" s="1"/>
  <c r="D73" i="8"/>
  <c r="C73" i="8" s="1"/>
  <c r="J72" i="8"/>
  <c r="I72" i="8"/>
  <c r="C72" i="8" s="1"/>
  <c r="D72" i="8"/>
  <c r="J71" i="8"/>
  <c r="I71" i="8" s="1"/>
  <c r="D71" i="8"/>
  <c r="N70" i="8"/>
  <c r="N71" i="8" s="1"/>
  <c r="N72" i="8" s="1"/>
  <c r="N73" i="8" s="1"/>
  <c r="J70" i="8"/>
  <c r="I70" i="8"/>
  <c r="D70" i="8"/>
  <c r="C70" i="8"/>
  <c r="N69" i="8"/>
  <c r="J69" i="8"/>
  <c r="I69" i="8" s="1"/>
  <c r="D69" i="8"/>
  <c r="J68" i="8"/>
  <c r="I68" i="8" s="1"/>
  <c r="D68" i="8"/>
  <c r="J67" i="8"/>
  <c r="D67" i="8"/>
  <c r="J66" i="8"/>
  <c r="D66" i="8"/>
  <c r="J65" i="8"/>
  <c r="D65" i="8"/>
  <c r="J64" i="8"/>
  <c r="D64" i="8"/>
  <c r="J63" i="8"/>
  <c r="D63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N19" i="8"/>
  <c r="N20" i="8" s="1"/>
  <c r="N21" i="8" s="1"/>
  <c r="N22" i="8" s="1"/>
  <c r="N23" i="8" s="1"/>
  <c r="N24" i="8" s="1"/>
  <c r="N25" i="8" s="1"/>
  <c r="N26" i="8" s="1"/>
  <c r="N27" i="8" s="1"/>
  <c r="N28" i="8" s="1"/>
  <c r="N29" i="8" s="1"/>
  <c r="N30" i="8" s="1"/>
  <c r="N31" i="8" s="1"/>
  <c r="N32" i="8" s="1"/>
  <c r="N33" i="8" s="1"/>
  <c r="N34" i="8" s="1"/>
  <c r="N35" i="8" s="1"/>
  <c r="N36" i="8" s="1"/>
  <c r="N37" i="8" s="1"/>
  <c r="N38" i="8" s="1"/>
  <c r="N39" i="8" s="1"/>
  <c r="N40" i="8" s="1"/>
  <c r="N41" i="8" s="1"/>
  <c r="N42" i="8" s="1"/>
  <c r="N43" i="8" s="1"/>
  <c r="N44" i="8" s="1"/>
  <c r="N45" i="8" s="1"/>
  <c r="C19" i="8"/>
  <c r="N18" i="8"/>
  <c r="C18" i="8"/>
  <c r="C17" i="8"/>
  <c r="C69" i="8" l="1"/>
  <c r="C71" i="8"/>
  <c r="C68" i="8"/>
  <c r="C86" i="7" l="1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E63" i="7"/>
  <c r="C63" i="7" s="1"/>
  <c r="E62" i="7"/>
  <c r="C62" i="7"/>
  <c r="E61" i="7"/>
  <c r="C61" i="7" s="1"/>
  <c r="E60" i="7"/>
  <c r="C60" i="7"/>
  <c r="E59" i="7"/>
  <c r="C59" i="7" s="1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89" i="6" l="1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Q68" i="6"/>
  <c r="Q69" i="6" s="1"/>
  <c r="Q70" i="6" s="1"/>
  <c r="Q71" i="6" s="1"/>
  <c r="Q72" i="6" s="1"/>
  <c r="C68" i="6"/>
  <c r="C67" i="6"/>
  <c r="C66" i="6"/>
  <c r="C65" i="6"/>
  <c r="C64" i="6"/>
  <c r="C63" i="6"/>
  <c r="C62" i="6"/>
  <c r="G45" i="6"/>
  <c r="D45" i="6"/>
  <c r="C45" i="6" s="1"/>
  <c r="G44" i="6"/>
  <c r="D44" i="6"/>
  <c r="C44" i="6" s="1"/>
  <c r="G43" i="6"/>
  <c r="D43" i="6"/>
  <c r="C43" i="6" s="1"/>
  <c r="G42" i="6"/>
  <c r="D42" i="6"/>
  <c r="C42" i="6" s="1"/>
  <c r="G41" i="6"/>
  <c r="C41" i="6"/>
  <c r="G40" i="6"/>
  <c r="D40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P18" i="6"/>
  <c r="Q19" i="6" s="1"/>
  <c r="Q20" i="6" s="1"/>
  <c r="Q21" i="6" s="1"/>
  <c r="Q22" i="6" s="1"/>
  <c r="Q23" i="6" s="1"/>
  <c r="Q24" i="6" s="1"/>
  <c r="Q25" i="6" s="1"/>
  <c r="Q26" i="6" s="1"/>
  <c r="Q27" i="6" s="1"/>
  <c r="Q28" i="6" s="1"/>
  <c r="Q29" i="6" s="1"/>
  <c r="Q30" i="6" s="1"/>
  <c r="Q31" i="6" s="1"/>
  <c r="Q32" i="6" s="1"/>
  <c r="Q33" i="6" s="1"/>
  <c r="Q34" i="6" s="1"/>
  <c r="Q35" i="6" s="1"/>
  <c r="Q36" i="6" s="1"/>
  <c r="Q37" i="6" s="1"/>
  <c r="Q38" i="6" s="1"/>
  <c r="Q39" i="6" s="1"/>
  <c r="Q40" i="6" s="1"/>
  <c r="Q41" i="6" s="1"/>
  <c r="Q42" i="6" s="1"/>
  <c r="Q43" i="6" s="1"/>
  <c r="Q44" i="6" s="1"/>
  <c r="Q45" i="6" s="1"/>
  <c r="P63" i="6" s="1"/>
  <c r="P64" i="6" s="1"/>
  <c r="C18" i="6"/>
  <c r="C17" i="6"/>
  <c r="J101" i="5" l="1"/>
  <c r="C101" i="5"/>
  <c r="B101" i="5" s="1"/>
  <c r="J100" i="5"/>
  <c r="C100" i="5"/>
  <c r="B100" i="5"/>
  <c r="J99" i="5"/>
  <c r="C99" i="5"/>
  <c r="B99" i="5"/>
  <c r="J98" i="5"/>
  <c r="B98" i="5" s="1"/>
  <c r="C98" i="5"/>
  <c r="J97" i="5"/>
  <c r="C97" i="5"/>
  <c r="B97" i="5" s="1"/>
  <c r="J96" i="5"/>
  <c r="C96" i="5"/>
  <c r="B96" i="5"/>
  <c r="J95" i="5"/>
  <c r="C95" i="5"/>
  <c r="B95" i="5"/>
  <c r="J94" i="5"/>
  <c r="B94" i="5" s="1"/>
  <c r="F94" i="5"/>
  <c r="E94" i="5"/>
  <c r="C94" i="5"/>
  <c r="J93" i="5"/>
  <c r="F93" i="5"/>
  <c r="E93" i="5"/>
  <c r="C93" i="5"/>
  <c r="B93" i="5" s="1"/>
  <c r="J92" i="5"/>
  <c r="F92" i="5"/>
  <c r="C92" i="5" s="1"/>
  <c r="B92" i="5" s="1"/>
  <c r="E92" i="5"/>
  <c r="D92" i="5"/>
  <c r="J91" i="5"/>
  <c r="F91" i="5"/>
  <c r="E91" i="5"/>
  <c r="D91" i="5"/>
  <c r="C91" i="5"/>
  <c r="B91" i="5" s="1"/>
  <c r="J90" i="5"/>
  <c r="F90" i="5"/>
  <c r="C90" i="5" s="1"/>
  <c r="B90" i="5" s="1"/>
  <c r="E90" i="5"/>
  <c r="J89" i="5"/>
  <c r="F89" i="5"/>
  <c r="C89" i="5" s="1"/>
  <c r="B89" i="5" s="1"/>
  <c r="J88" i="5"/>
  <c r="F88" i="5"/>
  <c r="C88" i="5" s="1"/>
  <c r="B88" i="5" s="1"/>
  <c r="E88" i="5"/>
  <c r="D88" i="5"/>
  <c r="J87" i="5"/>
  <c r="F87" i="5"/>
  <c r="C87" i="5" s="1"/>
  <c r="B87" i="5" s="1"/>
  <c r="E87" i="5"/>
  <c r="D87" i="5"/>
  <c r="J86" i="5"/>
  <c r="C86" i="5"/>
  <c r="B86" i="5" s="1"/>
  <c r="J85" i="5"/>
  <c r="F85" i="5"/>
  <c r="C85" i="5" s="1"/>
  <c r="B85" i="5" s="1"/>
  <c r="E85" i="5"/>
  <c r="D85" i="5"/>
  <c r="J84" i="5"/>
  <c r="F84" i="5"/>
  <c r="E84" i="5"/>
  <c r="D84" i="5"/>
  <c r="C84" i="5"/>
  <c r="B84" i="5" s="1"/>
  <c r="J83" i="5"/>
  <c r="F83" i="5"/>
  <c r="C83" i="5" s="1"/>
  <c r="B83" i="5" s="1"/>
  <c r="E83" i="5"/>
  <c r="D83" i="5"/>
  <c r="J82" i="5"/>
  <c r="F82" i="5"/>
  <c r="E82" i="5"/>
  <c r="D82" i="5"/>
  <c r="C82" i="5"/>
  <c r="B82" i="5" s="1"/>
  <c r="J81" i="5"/>
  <c r="F81" i="5"/>
  <c r="C81" i="5" s="1"/>
  <c r="B81" i="5" s="1"/>
  <c r="E81" i="5"/>
  <c r="D81" i="5"/>
  <c r="J80" i="5"/>
  <c r="F80" i="5"/>
  <c r="E80" i="5"/>
  <c r="D80" i="5"/>
  <c r="C80" i="5"/>
  <c r="B80" i="5" s="1"/>
  <c r="J79" i="5"/>
  <c r="F79" i="5"/>
  <c r="C79" i="5" s="1"/>
  <c r="B79" i="5" s="1"/>
  <c r="E79" i="5"/>
  <c r="D79" i="5"/>
  <c r="J78" i="5"/>
  <c r="B78" i="5" s="1"/>
  <c r="C78" i="5"/>
  <c r="J77" i="5"/>
  <c r="F77" i="5"/>
  <c r="C77" i="5" s="1"/>
  <c r="B77" i="5" s="1"/>
  <c r="E77" i="5"/>
  <c r="D77" i="5"/>
  <c r="J76" i="5"/>
  <c r="F76" i="5"/>
  <c r="C76" i="5" s="1"/>
  <c r="B76" i="5" s="1"/>
  <c r="E76" i="5"/>
  <c r="D76" i="5"/>
  <c r="J75" i="5"/>
  <c r="F75" i="5"/>
  <c r="C75" i="5" s="1"/>
  <c r="B75" i="5" s="1"/>
  <c r="E75" i="5"/>
  <c r="D75" i="5"/>
  <c r="J74" i="5"/>
  <c r="F74" i="5"/>
  <c r="C74" i="5" s="1"/>
  <c r="B74" i="5" s="1"/>
  <c r="E74" i="5"/>
  <c r="D74" i="5"/>
  <c r="J73" i="5"/>
  <c r="F73" i="5"/>
  <c r="C73" i="5" s="1"/>
  <c r="B73" i="5" s="1"/>
  <c r="E73" i="5"/>
  <c r="D73" i="5"/>
  <c r="K47" i="5"/>
  <c r="J47" i="5"/>
  <c r="E47" i="5"/>
  <c r="D47" i="5"/>
  <c r="K46" i="5"/>
  <c r="J46" i="5"/>
  <c r="E46" i="5"/>
  <c r="D46" i="5"/>
  <c r="K45" i="5"/>
  <c r="J45" i="5"/>
  <c r="E45" i="5"/>
  <c r="D45" i="5"/>
  <c r="K44" i="5"/>
  <c r="J44" i="5"/>
  <c r="E44" i="5"/>
  <c r="D44" i="5"/>
  <c r="K43" i="5"/>
  <c r="J43" i="5"/>
  <c r="E43" i="5"/>
  <c r="D43" i="5"/>
  <c r="K42" i="5"/>
  <c r="J42" i="5"/>
  <c r="E42" i="5"/>
  <c r="D42" i="5"/>
  <c r="K41" i="5"/>
  <c r="J41" i="5"/>
  <c r="E41" i="5"/>
  <c r="D41" i="5"/>
  <c r="K40" i="5"/>
  <c r="J40" i="5"/>
  <c r="E40" i="5"/>
  <c r="D40" i="5"/>
  <c r="K39" i="5"/>
  <c r="J39" i="5"/>
  <c r="E39" i="5"/>
  <c r="D39" i="5"/>
  <c r="K38" i="5"/>
  <c r="J38" i="5"/>
  <c r="E38" i="5"/>
  <c r="D38" i="5"/>
  <c r="K37" i="5"/>
  <c r="J37" i="5"/>
  <c r="E37" i="5"/>
  <c r="D37" i="5"/>
  <c r="K36" i="5"/>
  <c r="J36" i="5"/>
  <c r="E36" i="5"/>
  <c r="D36" i="5"/>
  <c r="K35" i="5"/>
  <c r="J35" i="5"/>
  <c r="E35" i="5"/>
  <c r="D35" i="5"/>
  <c r="K34" i="5"/>
  <c r="J34" i="5"/>
  <c r="E34" i="5"/>
  <c r="D34" i="5"/>
  <c r="K33" i="5"/>
  <c r="J33" i="5"/>
  <c r="E33" i="5"/>
  <c r="D33" i="5"/>
  <c r="K32" i="5"/>
  <c r="J32" i="5"/>
  <c r="E32" i="5"/>
  <c r="D32" i="5"/>
  <c r="K31" i="5"/>
  <c r="J31" i="5"/>
  <c r="E31" i="5"/>
  <c r="D31" i="5"/>
  <c r="K30" i="5"/>
  <c r="J30" i="5"/>
  <c r="E30" i="5"/>
  <c r="D30" i="5"/>
  <c r="K29" i="5"/>
  <c r="J29" i="5"/>
  <c r="E29" i="5"/>
  <c r="D29" i="5"/>
  <c r="K28" i="5"/>
  <c r="J28" i="5"/>
  <c r="E28" i="5"/>
  <c r="D28" i="5"/>
  <c r="K27" i="5"/>
  <c r="J27" i="5"/>
  <c r="E27" i="5"/>
  <c r="D27" i="5"/>
  <c r="K26" i="5"/>
  <c r="J26" i="5"/>
  <c r="E26" i="5"/>
  <c r="D26" i="5"/>
  <c r="K25" i="5"/>
  <c r="J25" i="5"/>
  <c r="E25" i="5"/>
  <c r="D25" i="5"/>
  <c r="K24" i="5"/>
  <c r="J24" i="5"/>
  <c r="E24" i="5"/>
  <c r="D24" i="5"/>
  <c r="K23" i="5"/>
  <c r="J23" i="5"/>
  <c r="E23" i="5"/>
  <c r="D23" i="5"/>
  <c r="K22" i="5"/>
  <c r="J22" i="5"/>
  <c r="E22" i="5"/>
  <c r="D22" i="5"/>
  <c r="K21" i="5"/>
  <c r="J21" i="5"/>
  <c r="E21" i="5"/>
  <c r="D21" i="5"/>
  <c r="K20" i="5"/>
  <c r="J20" i="5"/>
  <c r="E20" i="5"/>
  <c r="D20" i="5"/>
  <c r="K19" i="5"/>
  <c r="J19" i="5"/>
  <c r="E19" i="5"/>
  <c r="D19" i="5"/>
  <c r="L94" i="4" l="1"/>
  <c r="H94" i="4"/>
  <c r="D94" i="4" s="1"/>
  <c r="C94" i="4" s="1"/>
  <c r="L93" i="4"/>
  <c r="H93" i="4"/>
  <c r="D93" i="4" s="1"/>
  <c r="C93" i="4" s="1"/>
  <c r="L92" i="4"/>
  <c r="H92" i="4"/>
  <c r="D92" i="4" s="1"/>
  <c r="C92" i="4" s="1"/>
  <c r="L91" i="4"/>
  <c r="H91" i="4"/>
  <c r="D91" i="4" s="1"/>
  <c r="C91" i="4" s="1"/>
  <c r="L90" i="4"/>
  <c r="H90" i="4"/>
  <c r="D90" i="4" s="1"/>
  <c r="C90" i="4" s="1"/>
  <c r="L89" i="4"/>
  <c r="H89" i="4"/>
  <c r="D89" i="4" s="1"/>
  <c r="C89" i="4" s="1"/>
  <c r="L88" i="4"/>
  <c r="H88" i="4"/>
  <c r="D88" i="4" s="1"/>
  <c r="C88" i="4" s="1"/>
  <c r="L87" i="4"/>
  <c r="H87" i="4"/>
  <c r="D87" i="4" s="1"/>
  <c r="C87" i="4" s="1"/>
  <c r="L86" i="4"/>
  <c r="D86" i="4"/>
  <c r="C86" i="4" s="1"/>
  <c r="L85" i="4"/>
  <c r="H85" i="4"/>
  <c r="D85" i="4"/>
  <c r="C85" i="4" s="1"/>
  <c r="L84" i="4"/>
  <c r="H84" i="4"/>
  <c r="D84" i="4"/>
  <c r="C84" i="4" s="1"/>
  <c r="L83" i="4"/>
  <c r="H83" i="4"/>
  <c r="D83" i="4"/>
  <c r="C83" i="4" s="1"/>
  <c r="L82" i="4"/>
  <c r="H82" i="4"/>
  <c r="D82" i="4"/>
  <c r="C82" i="4" s="1"/>
  <c r="L81" i="4"/>
  <c r="H81" i="4"/>
  <c r="D81" i="4"/>
  <c r="C81" i="4" s="1"/>
  <c r="L80" i="4"/>
  <c r="H80" i="4"/>
  <c r="D80" i="4"/>
  <c r="C80" i="4" s="1"/>
  <c r="L79" i="4"/>
  <c r="H79" i="4"/>
  <c r="D79" i="4"/>
  <c r="C79" i="4" s="1"/>
  <c r="L78" i="4"/>
  <c r="H78" i="4"/>
  <c r="D78" i="4"/>
  <c r="C78" i="4" s="1"/>
  <c r="L77" i="4"/>
  <c r="H77" i="4"/>
  <c r="D77" i="4" s="1"/>
  <c r="C77" i="4" s="1"/>
  <c r="L76" i="4"/>
  <c r="H76" i="4"/>
  <c r="D76" i="4"/>
  <c r="C76" i="4" s="1"/>
  <c r="P75" i="4"/>
  <c r="P76" i="4" s="1"/>
  <c r="P77" i="4" s="1"/>
  <c r="L75" i="4"/>
  <c r="H75" i="4"/>
  <c r="D75" i="4" s="1"/>
  <c r="C75" i="4" s="1"/>
  <c r="L74" i="4"/>
  <c r="H74" i="4"/>
  <c r="D74" i="4" s="1"/>
  <c r="C74" i="4" s="1"/>
  <c r="L73" i="4"/>
  <c r="H73" i="4"/>
  <c r="D73" i="4" s="1"/>
  <c r="C73" i="4" s="1"/>
  <c r="L72" i="4"/>
  <c r="H72" i="4"/>
  <c r="D72" i="4" s="1"/>
  <c r="C72" i="4" s="1"/>
  <c r="L71" i="4"/>
  <c r="H71" i="4"/>
  <c r="D71" i="4" s="1"/>
  <c r="C71" i="4" s="1"/>
  <c r="L70" i="4"/>
  <c r="H70" i="4"/>
  <c r="D70" i="4" s="1"/>
  <c r="C70" i="4" s="1"/>
  <c r="L69" i="4"/>
  <c r="H69" i="4"/>
  <c r="D69" i="4" s="1"/>
  <c r="C69" i="4" s="1"/>
  <c r="L68" i="4"/>
  <c r="H68" i="4"/>
  <c r="D68" i="4" s="1"/>
  <c r="C68" i="4" s="1"/>
  <c r="L67" i="4"/>
  <c r="H67" i="4"/>
  <c r="D67" i="4" s="1"/>
  <c r="C67" i="4" s="1"/>
  <c r="L66" i="4"/>
  <c r="H66" i="4"/>
  <c r="D66" i="4" s="1"/>
  <c r="C66" i="4" s="1"/>
  <c r="L44" i="4"/>
  <c r="I44" i="4" s="1"/>
  <c r="C44" i="4" s="1"/>
  <c r="K44" i="4"/>
  <c r="L43" i="4"/>
  <c r="K43" i="4"/>
  <c r="I43" i="4" s="1"/>
  <c r="C43" i="4" s="1"/>
  <c r="L42" i="4"/>
  <c r="K42" i="4"/>
  <c r="I42" i="4"/>
  <c r="C42" i="4" s="1"/>
  <c r="M41" i="4"/>
  <c r="L41" i="4"/>
  <c r="I41" i="4" s="1"/>
  <c r="C41" i="4" s="1"/>
  <c r="K41" i="4"/>
  <c r="M40" i="4"/>
  <c r="L40" i="4"/>
  <c r="K40" i="4"/>
  <c r="J40" i="4"/>
  <c r="I40" i="4" s="1"/>
  <c r="C40" i="4" s="1"/>
  <c r="L39" i="4"/>
  <c r="K39" i="4"/>
  <c r="J39" i="4"/>
  <c r="I39" i="4" s="1"/>
  <c r="C39" i="4" s="1"/>
  <c r="M38" i="4"/>
  <c r="L38" i="4"/>
  <c r="K38" i="4"/>
  <c r="I38" i="4" s="1"/>
  <c r="C38" i="4" s="1"/>
  <c r="J38" i="4"/>
  <c r="D38" i="4"/>
  <c r="M37" i="4"/>
  <c r="L37" i="4"/>
  <c r="K37" i="4"/>
  <c r="I37" i="4" s="1"/>
  <c r="C37" i="4" s="1"/>
  <c r="J37" i="4"/>
  <c r="D37" i="4"/>
  <c r="M36" i="4"/>
  <c r="L36" i="4"/>
  <c r="K36" i="4"/>
  <c r="I36" i="4" s="1"/>
  <c r="C36" i="4" s="1"/>
  <c r="J36" i="4"/>
  <c r="D36" i="4"/>
  <c r="M35" i="4"/>
  <c r="L35" i="4"/>
  <c r="K35" i="4"/>
  <c r="I35" i="4" s="1"/>
  <c r="C35" i="4" s="1"/>
  <c r="J35" i="4"/>
  <c r="D35" i="4"/>
  <c r="M34" i="4"/>
  <c r="L34" i="4"/>
  <c r="K34" i="4"/>
  <c r="I34" i="4" s="1"/>
  <c r="C34" i="4" s="1"/>
  <c r="J34" i="4"/>
  <c r="M33" i="4"/>
  <c r="L33" i="4"/>
  <c r="K33" i="4"/>
  <c r="J33" i="4"/>
  <c r="I33" i="4" s="1"/>
  <c r="C33" i="4" s="1"/>
  <c r="D33" i="4"/>
  <c r="M32" i="4"/>
  <c r="K32" i="4"/>
  <c r="J32" i="4"/>
  <c r="I32" i="4"/>
  <c r="C32" i="4" s="1"/>
  <c r="D32" i="4"/>
  <c r="M31" i="4"/>
  <c r="I31" i="4" s="1"/>
  <c r="C31" i="4" s="1"/>
  <c r="L31" i="4"/>
  <c r="D31" i="4"/>
  <c r="M30" i="4"/>
  <c r="L30" i="4"/>
  <c r="I30" i="4"/>
  <c r="C30" i="4" s="1"/>
  <c r="D30" i="4"/>
  <c r="L29" i="4"/>
  <c r="K29" i="4"/>
  <c r="J29" i="4"/>
  <c r="I29" i="4" s="1"/>
  <c r="C29" i="4" s="1"/>
  <c r="D29" i="4"/>
  <c r="L28" i="4"/>
  <c r="K28" i="4"/>
  <c r="I28" i="4" s="1"/>
  <c r="C28" i="4" s="1"/>
  <c r="J28" i="4"/>
  <c r="D28" i="4"/>
  <c r="L27" i="4"/>
  <c r="J27" i="4"/>
  <c r="I27" i="4"/>
  <c r="C27" i="4" s="1"/>
  <c r="D27" i="4"/>
  <c r="J26" i="4"/>
  <c r="I26" i="4" s="1"/>
  <c r="C26" i="4" s="1"/>
  <c r="D26" i="4"/>
  <c r="J25" i="4"/>
  <c r="I25" i="4"/>
  <c r="D25" i="4"/>
  <c r="C25" i="4"/>
  <c r="J24" i="4"/>
  <c r="I24" i="4" s="1"/>
  <c r="C24" i="4" s="1"/>
  <c r="M23" i="4"/>
  <c r="J23" i="4"/>
  <c r="I23" i="4"/>
  <c r="C23" i="4" s="1"/>
  <c r="D23" i="4"/>
  <c r="I22" i="4"/>
  <c r="C22" i="4" s="1"/>
  <c r="D22" i="4"/>
  <c r="I21" i="4"/>
  <c r="C21" i="4" s="1"/>
  <c r="D21" i="4"/>
  <c r="I20" i="4"/>
  <c r="C20" i="4" s="1"/>
  <c r="D20" i="4"/>
  <c r="I19" i="4"/>
  <c r="C19" i="4" s="1"/>
  <c r="D19" i="4"/>
  <c r="I18" i="4"/>
  <c r="C18" i="4" s="1"/>
  <c r="N17" i="4"/>
  <c r="O18" i="4" s="1"/>
  <c r="O19" i="4" s="1"/>
  <c r="O20" i="4" s="1"/>
  <c r="O21" i="4" s="1"/>
  <c r="O22" i="4" s="1"/>
  <c r="O23" i="4" s="1"/>
  <c r="O24" i="4" s="1"/>
  <c r="O25" i="4" s="1"/>
  <c r="O26" i="4" s="1"/>
  <c r="O27" i="4" s="1"/>
  <c r="O28" i="4" s="1"/>
  <c r="O29" i="4" s="1"/>
  <c r="O30" i="4" s="1"/>
  <c r="O31" i="4" s="1"/>
  <c r="O32" i="4" s="1"/>
  <c r="O33" i="4" s="1"/>
  <c r="O34" i="4" s="1"/>
  <c r="O35" i="4" s="1"/>
  <c r="O36" i="4" s="1"/>
  <c r="O37" i="4" s="1"/>
  <c r="O38" i="4" s="1"/>
  <c r="O39" i="4" s="1"/>
  <c r="O40" i="4" s="1"/>
  <c r="O41" i="4" s="1"/>
  <c r="O42" i="4" s="1"/>
  <c r="O43" i="4" s="1"/>
  <c r="O44" i="4" s="1"/>
  <c r="I17" i="4"/>
  <c r="C17" i="4" s="1"/>
  <c r="D17" i="4"/>
  <c r="I16" i="4"/>
  <c r="D16" i="4"/>
  <c r="C16" i="4"/>
  <c r="M51" i="55" l="1"/>
  <c r="M52" i="55" s="1"/>
  <c r="M53" i="55" s="1"/>
  <c r="M54" i="55" s="1"/>
  <c r="M55" i="55" s="1"/>
  <c r="M56" i="55" s="1"/>
  <c r="M57" i="55" s="1"/>
  <c r="M58" i="55" s="1"/>
  <c r="M59" i="55" s="1"/>
  <c r="M60" i="55" s="1"/>
  <c r="M61" i="55" s="1"/>
  <c r="A51" i="55"/>
  <c r="A52" i="55" s="1"/>
  <c r="A53" i="55" s="1"/>
  <c r="A54" i="55" s="1"/>
  <c r="A55" i="55" s="1"/>
  <c r="A56" i="55" s="1"/>
  <c r="A57" i="55" s="1"/>
  <c r="A58" i="55" s="1"/>
  <c r="A59" i="55" s="1"/>
  <c r="A60" i="55" s="1"/>
  <c r="A61" i="55" s="1"/>
  <c r="M50" i="55"/>
  <c r="A50" i="55"/>
  <c r="S51" i="2" l="1"/>
  <c r="S52" i="2" s="1"/>
  <c r="S53" i="2" s="1"/>
  <c r="S54" i="2" s="1"/>
  <c r="S55" i="2" s="1"/>
  <c r="S56" i="2" s="1"/>
  <c r="S57" i="2" s="1"/>
  <c r="S58" i="2" s="1"/>
  <c r="S59" i="2" s="1"/>
  <c r="S60" i="2" s="1"/>
  <c r="S61" i="2" s="1"/>
  <c r="A51" i="2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S50" i="2"/>
  <c r="A50" i="2"/>
  <c r="N53" i="33" l="1"/>
  <c r="N52" i="33"/>
  <c r="N51" i="33"/>
  <c r="N50" i="33"/>
  <c r="N49" i="33"/>
  <c r="N48" i="33"/>
  <c r="N47" i="33"/>
  <c r="N46" i="33"/>
  <c r="N45" i="33"/>
  <c r="N44" i="33"/>
  <c r="N43" i="33"/>
  <c r="N42" i="33"/>
  <c r="N41" i="33"/>
  <c r="N40" i="33"/>
  <c r="N39" i="33"/>
  <c r="N38" i="33"/>
  <c r="N37" i="33"/>
  <c r="N36" i="33"/>
  <c r="N35" i="33"/>
  <c r="N34" i="33"/>
  <c r="N33" i="33"/>
  <c r="N32" i="33"/>
  <c r="N31" i="33"/>
  <c r="N30" i="33"/>
  <c r="N29" i="33"/>
  <c r="N28" i="33"/>
  <c r="N27" i="33"/>
  <c r="N26" i="33"/>
  <c r="N25" i="33"/>
  <c r="N24" i="33"/>
  <c r="N23" i="33"/>
  <c r="N22" i="33"/>
  <c r="N21" i="33"/>
  <c r="N20" i="33"/>
  <c r="N19" i="33"/>
  <c r="M54" i="32"/>
  <c r="M53" i="32"/>
  <c r="M52" i="32"/>
  <c r="M51" i="32"/>
  <c r="M50" i="32"/>
  <c r="M49" i="32"/>
  <c r="M48" i="32"/>
  <c r="M47" i="32"/>
  <c r="M46" i="32"/>
  <c r="M45" i="32"/>
  <c r="M44" i="32"/>
  <c r="M43" i="32"/>
  <c r="M42" i="32"/>
  <c r="M41" i="32"/>
  <c r="M40" i="32"/>
  <c r="M39" i="32"/>
  <c r="M38" i="32"/>
  <c r="M37" i="32"/>
  <c r="M36" i="32"/>
  <c r="M35" i="32"/>
  <c r="M34" i="32"/>
  <c r="M33" i="32"/>
  <c r="M32" i="32"/>
  <c r="M31" i="32"/>
  <c r="M30" i="32"/>
  <c r="M29" i="32"/>
  <c r="M28" i="32"/>
  <c r="E27" i="32"/>
  <c r="E26" i="32"/>
  <c r="E25" i="32"/>
  <c r="E24" i="32"/>
  <c r="E23" i="32"/>
  <c r="E22" i="32"/>
  <c r="E21" i="32"/>
  <c r="E20" i="32"/>
  <c r="K60" i="31"/>
  <c r="C60" i="31"/>
  <c r="C59" i="31"/>
  <c r="K59" i="31" s="1"/>
  <c r="K58" i="31"/>
  <c r="C58" i="31"/>
  <c r="C57" i="31"/>
  <c r="K57" i="31" s="1"/>
  <c r="K56" i="31"/>
  <c r="C56" i="31"/>
  <c r="C55" i="31"/>
  <c r="K55" i="31" s="1"/>
  <c r="K54" i="31"/>
  <c r="C54" i="31"/>
  <c r="C53" i="31"/>
  <c r="K53" i="31" s="1"/>
  <c r="K52" i="31"/>
  <c r="C52" i="31"/>
  <c r="K51" i="31"/>
  <c r="K50" i="31"/>
  <c r="K49" i="31"/>
  <c r="K48" i="31"/>
  <c r="K47" i="31"/>
  <c r="K46" i="31"/>
  <c r="K45" i="31"/>
  <c r="K44" i="31"/>
  <c r="K43" i="31"/>
  <c r="K42" i="31"/>
  <c r="K41" i="31"/>
  <c r="K40" i="31"/>
  <c r="K39" i="31"/>
  <c r="K38" i="31"/>
  <c r="K37" i="31"/>
  <c r="K36" i="31"/>
  <c r="K35" i="31"/>
  <c r="K34" i="31"/>
  <c r="K33" i="31"/>
  <c r="K32" i="31"/>
  <c r="K31" i="31"/>
  <c r="K30" i="31"/>
  <c r="K29" i="31"/>
  <c r="K28" i="31"/>
  <c r="C27" i="31"/>
  <c r="K27" i="31" s="1"/>
  <c r="K26" i="31"/>
  <c r="K25" i="31"/>
  <c r="K24" i="31"/>
  <c r="K23" i="31"/>
  <c r="K22" i="31"/>
  <c r="K21" i="31"/>
  <c r="K20" i="31"/>
  <c r="K19" i="31"/>
  <c r="K18" i="31"/>
  <c r="K17" i="31"/>
  <c r="K16" i="31"/>
  <c r="K15" i="31"/>
  <c r="C60" i="30"/>
  <c r="K60" i="30" s="1"/>
  <c r="C59" i="30"/>
  <c r="K59" i="30" s="1"/>
  <c r="C58" i="30"/>
  <c r="K58" i="30" s="1"/>
  <c r="C57" i="30"/>
  <c r="K57" i="30" s="1"/>
  <c r="K56" i="30"/>
  <c r="C56" i="30"/>
  <c r="K55" i="30"/>
  <c r="C55" i="30"/>
  <c r="K54" i="30"/>
  <c r="C54" i="30"/>
  <c r="C53" i="30"/>
  <c r="K53" i="30" s="1"/>
  <c r="C52" i="30"/>
  <c r="K52" i="30" s="1"/>
  <c r="K51" i="30"/>
  <c r="K50" i="30"/>
  <c r="K49" i="30"/>
  <c r="K48" i="30"/>
  <c r="K47" i="30"/>
  <c r="C47" i="30"/>
  <c r="K46" i="30"/>
  <c r="K45" i="30"/>
  <c r="K44" i="30"/>
  <c r="K43" i="30"/>
  <c r="K42" i="30"/>
  <c r="I41" i="30"/>
  <c r="K41" i="30" s="1"/>
  <c r="I40" i="30"/>
  <c r="K40" i="30" s="1"/>
  <c r="I39" i="30"/>
  <c r="C39" i="30"/>
  <c r="K38" i="30"/>
  <c r="I38" i="30"/>
  <c r="I37" i="30"/>
  <c r="K37" i="30" s="1"/>
  <c r="K36" i="30"/>
  <c r="I36" i="30"/>
  <c r="I35" i="30"/>
  <c r="K35" i="30" s="1"/>
  <c r="I34" i="30"/>
  <c r="K34" i="30" s="1"/>
  <c r="I33" i="30"/>
  <c r="K33" i="30" s="1"/>
  <c r="K32" i="30"/>
  <c r="K31" i="30"/>
  <c r="K30" i="30"/>
  <c r="K29" i="30"/>
  <c r="K28" i="30"/>
  <c r="C28" i="30"/>
  <c r="K27" i="30"/>
  <c r="K26" i="30"/>
  <c r="K25" i="30"/>
  <c r="K24" i="30"/>
  <c r="K23" i="30"/>
  <c r="K22" i="30"/>
  <c r="K21" i="30"/>
  <c r="K20" i="30"/>
  <c r="K19" i="30"/>
  <c r="K18" i="30"/>
  <c r="K17" i="30"/>
  <c r="K16" i="30"/>
  <c r="K15" i="30"/>
  <c r="M65" i="29"/>
  <c r="M64" i="29"/>
  <c r="M63" i="29"/>
  <c r="M62" i="29"/>
  <c r="M61" i="29"/>
  <c r="M60" i="29"/>
  <c r="M59" i="29"/>
  <c r="M58" i="29"/>
  <c r="M57" i="29"/>
  <c r="M56" i="29"/>
  <c r="M55" i="29"/>
  <c r="M54" i="29"/>
  <c r="M53" i="29"/>
  <c r="M52" i="29"/>
  <c r="M51" i="29"/>
  <c r="M50" i="29"/>
  <c r="M49" i="29"/>
  <c r="M48" i="29"/>
  <c r="M47" i="29"/>
  <c r="M46" i="29"/>
  <c r="C45" i="29"/>
  <c r="M45" i="29" s="1"/>
  <c r="C44" i="29"/>
  <c r="M44" i="29" s="1"/>
  <c r="M43" i="29"/>
  <c r="M42" i="29"/>
  <c r="M41" i="29"/>
  <c r="M40" i="29"/>
  <c r="M39" i="29"/>
  <c r="M38" i="29"/>
  <c r="M37" i="29"/>
  <c r="M36" i="29"/>
  <c r="M35" i="29"/>
  <c r="C35" i="29"/>
  <c r="C34" i="29"/>
  <c r="M34" i="29" s="1"/>
  <c r="M33" i="29"/>
  <c r="C32" i="29"/>
  <c r="M32" i="29" s="1"/>
  <c r="M31" i="29"/>
  <c r="M30" i="29"/>
  <c r="M29" i="29"/>
  <c r="M28" i="29"/>
  <c r="M27" i="29"/>
  <c r="M26" i="29"/>
  <c r="M25" i="29"/>
  <c r="M24" i="29"/>
  <c r="M23" i="29"/>
  <c r="M22" i="29"/>
  <c r="M21" i="29"/>
  <c r="M20" i="29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4" i="28"/>
  <c r="C44" i="28"/>
  <c r="M43" i="28"/>
  <c r="M42" i="28"/>
  <c r="M41" i="28"/>
  <c r="M40" i="28"/>
  <c r="M39" i="28"/>
  <c r="M38" i="28"/>
  <c r="M37" i="28"/>
  <c r="M36" i="28"/>
  <c r="M35" i="28"/>
  <c r="M34" i="28"/>
  <c r="M33" i="28"/>
  <c r="C33" i="28"/>
  <c r="M32" i="28"/>
  <c r="M31" i="28"/>
  <c r="M30" i="28"/>
  <c r="M29" i="28"/>
  <c r="M28" i="28"/>
  <c r="M27" i="28"/>
  <c r="M26" i="28"/>
  <c r="M25" i="28"/>
  <c r="M24" i="28"/>
  <c r="M23" i="28"/>
  <c r="M22" i="28"/>
  <c r="M21" i="28"/>
  <c r="M20" i="28"/>
  <c r="G65" i="27"/>
  <c r="F65" i="27"/>
  <c r="E65" i="27"/>
  <c r="G64" i="27"/>
  <c r="F64" i="27"/>
  <c r="K64" i="27" s="1"/>
  <c r="E64" i="27"/>
  <c r="G63" i="27"/>
  <c r="F63" i="27"/>
  <c r="E63" i="27"/>
  <c r="G62" i="27"/>
  <c r="F62" i="27"/>
  <c r="E62" i="27"/>
  <c r="G61" i="27"/>
  <c r="F61" i="27"/>
  <c r="E61" i="27"/>
  <c r="K60" i="27"/>
  <c r="K59" i="27"/>
  <c r="K58" i="27"/>
  <c r="K57" i="27"/>
  <c r="K56" i="27"/>
  <c r="K55" i="27"/>
  <c r="K54" i="27"/>
  <c r="G53" i="27"/>
  <c r="K53" i="27" s="1"/>
  <c r="F53" i="27"/>
  <c r="E53" i="27"/>
  <c r="G52" i="27"/>
  <c r="K52" i="27" s="1"/>
  <c r="F52" i="27"/>
  <c r="E52" i="27"/>
  <c r="K51" i="27"/>
  <c r="G51" i="27"/>
  <c r="F51" i="27"/>
  <c r="E51" i="27"/>
  <c r="G50" i="27"/>
  <c r="K50" i="27" s="1"/>
  <c r="F50" i="27"/>
  <c r="E50" i="27"/>
  <c r="G49" i="27"/>
  <c r="K49" i="27" s="1"/>
  <c r="F49" i="27"/>
  <c r="E49" i="27"/>
  <c r="K48" i="27"/>
  <c r="G48" i="27"/>
  <c r="F48" i="27"/>
  <c r="E48" i="27"/>
  <c r="G47" i="27"/>
  <c r="K47" i="27" s="1"/>
  <c r="F47" i="27"/>
  <c r="E47" i="27"/>
  <c r="G46" i="27"/>
  <c r="K46" i="27" s="1"/>
  <c r="F46" i="27"/>
  <c r="E46" i="27"/>
  <c r="K45" i="27"/>
  <c r="C45" i="27"/>
  <c r="C44" i="27"/>
  <c r="K44" i="27" s="1"/>
  <c r="K43" i="27"/>
  <c r="K42" i="27"/>
  <c r="K41" i="27"/>
  <c r="K40" i="27"/>
  <c r="K39" i="27"/>
  <c r="K38" i="27"/>
  <c r="K37" i="27"/>
  <c r="K36" i="27"/>
  <c r="C35" i="27"/>
  <c r="K35" i="27" s="1"/>
  <c r="C34" i="27"/>
  <c r="K34" i="27" s="1"/>
  <c r="K33" i="27"/>
  <c r="K32" i="27"/>
  <c r="C32" i="27"/>
  <c r="K31" i="27"/>
  <c r="K30" i="27"/>
  <c r="K29" i="27"/>
  <c r="K28" i="27"/>
  <c r="K27" i="27"/>
  <c r="K26" i="27"/>
  <c r="K25" i="27"/>
  <c r="K24" i="27"/>
  <c r="K23" i="27"/>
  <c r="K22" i="27"/>
  <c r="K21" i="27"/>
  <c r="K20" i="27"/>
  <c r="I62" i="26"/>
  <c r="E62" i="26"/>
  <c r="I61" i="26"/>
  <c r="E61" i="26"/>
  <c r="E60" i="26"/>
  <c r="E59" i="26"/>
  <c r="I59" i="26" s="1"/>
  <c r="I58" i="26"/>
  <c r="E58" i="26"/>
  <c r="I57" i="26"/>
  <c r="I56" i="26"/>
  <c r="I55" i="26"/>
  <c r="I54" i="26"/>
  <c r="I53" i="26"/>
  <c r="I52" i="26"/>
  <c r="I51" i="26"/>
  <c r="I50" i="26"/>
  <c r="E50" i="26"/>
  <c r="I49" i="26"/>
  <c r="I48" i="26"/>
  <c r="E48" i="26"/>
  <c r="D48" i="26"/>
  <c r="I47" i="26"/>
  <c r="E47" i="26"/>
  <c r="D47" i="26"/>
  <c r="E46" i="26"/>
  <c r="I46" i="26" s="1"/>
  <c r="D46" i="26"/>
  <c r="E45" i="26"/>
  <c r="D45" i="26"/>
  <c r="I45" i="26" s="1"/>
  <c r="I44" i="26"/>
  <c r="E44" i="26"/>
  <c r="D44" i="26"/>
  <c r="I43" i="26"/>
  <c r="E43" i="26"/>
  <c r="D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C30" i="26"/>
  <c r="I30" i="26" s="1"/>
  <c r="I29" i="26"/>
  <c r="I28" i="26"/>
  <c r="I27" i="26"/>
  <c r="I26" i="26"/>
  <c r="I25" i="26"/>
  <c r="I24" i="26"/>
  <c r="I23" i="26"/>
  <c r="I22" i="26"/>
  <c r="I21" i="26"/>
  <c r="I20" i="26"/>
  <c r="I19" i="26"/>
  <c r="I18" i="26"/>
  <c r="I17" i="26"/>
  <c r="G59" i="25"/>
  <c r="K59" i="25" s="1"/>
  <c r="F59" i="25"/>
  <c r="E59" i="25"/>
  <c r="D59" i="25"/>
  <c r="J59" i="25" s="1"/>
  <c r="K58" i="25"/>
  <c r="J58" i="25"/>
  <c r="K57" i="25"/>
  <c r="J57" i="25"/>
  <c r="K56" i="25"/>
  <c r="J56" i="25"/>
  <c r="K55" i="25"/>
  <c r="J55" i="25"/>
  <c r="K54" i="25"/>
  <c r="J54" i="25"/>
  <c r="K53" i="25"/>
  <c r="J53" i="25"/>
  <c r="K52" i="25"/>
  <c r="J52" i="25"/>
  <c r="K51" i="25"/>
  <c r="J51" i="25"/>
  <c r="K50" i="25"/>
  <c r="J50" i="25"/>
  <c r="K49" i="25"/>
  <c r="J49" i="25"/>
  <c r="K48" i="25"/>
  <c r="J48" i="25"/>
  <c r="K47" i="25"/>
  <c r="J47" i="25"/>
  <c r="K46" i="25"/>
  <c r="J46" i="25"/>
  <c r="E45" i="25"/>
  <c r="D45" i="25"/>
  <c r="E44" i="25"/>
  <c r="D44" i="25"/>
  <c r="E43" i="25"/>
  <c r="D43" i="25"/>
  <c r="E42" i="25"/>
  <c r="D42" i="25"/>
  <c r="E41" i="25"/>
  <c r="D41" i="25"/>
  <c r="E40" i="25"/>
  <c r="D40" i="25"/>
  <c r="E39" i="25"/>
  <c r="D39" i="25"/>
  <c r="E38" i="25"/>
  <c r="D38" i="25"/>
  <c r="E37" i="25"/>
  <c r="D37" i="25"/>
  <c r="E36" i="25"/>
  <c r="D36" i="25"/>
  <c r="E35" i="25"/>
  <c r="D35" i="25"/>
  <c r="E34" i="25"/>
  <c r="D34" i="25"/>
  <c r="E33" i="25"/>
  <c r="D33" i="25"/>
  <c r="E32" i="25"/>
  <c r="D32" i="25"/>
  <c r="E31" i="25"/>
  <c r="D31" i="25"/>
  <c r="E30" i="25"/>
  <c r="D30" i="25"/>
  <c r="E29" i="25"/>
  <c r="D29" i="25"/>
  <c r="E28" i="25"/>
  <c r="D28" i="25"/>
  <c r="E27" i="25"/>
  <c r="D27" i="25"/>
  <c r="E26" i="25"/>
  <c r="D26" i="25"/>
  <c r="E25" i="25"/>
  <c r="D25" i="25"/>
  <c r="E24" i="25"/>
  <c r="D24" i="25"/>
  <c r="E23" i="25"/>
  <c r="D23" i="25"/>
  <c r="E22" i="25"/>
  <c r="D22" i="25"/>
  <c r="E21" i="25"/>
  <c r="D21" i="25"/>
  <c r="E20" i="25"/>
  <c r="D20" i="25"/>
  <c r="E19" i="25"/>
  <c r="D19" i="25"/>
  <c r="E18" i="25"/>
  <c r="D18" i="25"/>
  <c r="E17" i="25"/>
  <c r="D17" i="25"/>
  <c r="E16" i="25"/>
  <c r="D16" i="25"/>
  <c r="E15" i="25"/>
  <c r="D15" i="25"/>
  <c r="E14" i="25"/>
  <c r="D14" i="25"/>
  <c r="AB41" i="21"/>
  <c r="AA41" i="21"/>
  <c r="Z41" i="21"/>
  <c r="AB38" i="21"/>
  <c r="AB37" i="21" s="1"/>
  <c r="AB36" i="21" s="1"/>
  <c r="AA38" i="21"/>
  <c r="Z38" i="21"/>
  <c r="AA36" i="21"/>
  <c r="Z36" i="21"/>
  <c r="AG51" i="20"/>
  <c r="AF51" i="20"/>
  <c r="AE51" i="20"/>
  <c r="AD51" i="20"/>
  <c r="AC51" i="20"/>
  <c r="AB51" i="20"/>
  <c r="AA51" i="20"/>
  <c r="Z51" i="20"/>
  <c r="Y51" i="20"/>
  <c r="X51" i="20"/>
  <c r="W51" i="20"/>
  <c r="T51" i="20"/>
  <c r="S51" i="20"/>
  <c r="R51" i="20"/>
  <c r="P51" i="20"/>
  <c r="N51" i="20"/>
  <c r="AK48" i="20"/>
  <c r="AJ48" i="20"/>
  <c r="AI48" i="20"/>
  <c r="AH48" i="20"/>
  <c r="AG48" i="20"/>
  <c r="AF48" i="20"/>
  <c r="AE48" i="20"/>
  <c r="AD48" i="20"/>
  <c r="AC48" i="20"/>
  <c r="AB48" i="20"/>
  <c r="AA48" i="20"/>
  <c r="Z48" i="20"/>
  <c r="Y48" i="20"/>
  <c r="X48" i="20"/>
  <c r="W48" i="20"/>
  <c r="R48" i="20"/>
  <c r="N48" i="20"/>
  <c r="V20" i="20"/>
  <c r="U20" i="20"/>
  <c r="T20" i="20"/>
  <c r="S20" i="20"/>
  <c r="R20" i="20"/>
  <c r="Q20" i="20"/>
  <c r="P20" i="20"/>
  <c r="O20" i="20"/>
  <c r="O16" i="20" s="1"/>
  <c r="M20" i="20"/>
  <c r="M16" i="20" s="1"/>
  <c r="L20" i="20"/>
  <c r="K20" i="20"/>
  <c r="J20" i="20"/>
  <c r="J16" i="20" s="1"/>
  <c r="V17" i="20"/>
  <c r="U17" i="20"/>
  <c r="T17" i="20"/>
  <c r="S17" i="20"/>
  <c r="R17" i="20"/>
  <c r="Q17" i="20"/>
  <c r="J17" i="20"/>
  <c r="I17" i="20"/>
  <c r="V16" i="20"/>
  <c r="V51" i="20" s="1"/>
  <c r="U16" i="20"/>
  <c r="U51" i="20" s="1"/>
  <c r="T16" i="20"/>
  <c r="T48" i="20" s="1"/>
  <c r="S16" i="20"/>
  <c r="S48" i="20" s="1"/>
  <c r="Q16" i="20"/>
  <c r="Q51" i="20" s="1"/>
  <c r="P16" i="20"/>
  <c r="P48" i="20" s="1"/>
  <c r="L16" i="20"/>
  <c r="K16" i="20"/>
  <c r="I16" i="20"/>
  <c r="K61" i="27" l="1"/>
  <c r="K65" i="27"/>
  <c r="K62" i="27"/>
  <c r="K63" i="27"/>
  <c r="K39" i="30"/>
  <c r="V48" i="20"/>
  <c r="Q48" i="20"/>
  <c r="U48" i="20"/>
  <c r="K66" i="38" l="1"/>
  <c r="L66" i="38" s="1"/>
  <c r="K65" i="38"/>
  <c r="L65" i="38" s="1"/>
  <c r="K64" i="38"/>
  <c r="L64" i="38" s="1"/>
  <c r="K63" i="38"/>
  <c r="F62" i="38"/>
  <c r="K62" i="38" s="1"/>
  <c r="L62" i="38" s="1"/>
  <c r="O68" i="56" l="1"/>
  <c r="O69" i="56" s="1"/>
  <c r="O13" i="56"/>
  <c r="O14" i="56" s="1"/>
  <c r="O15" i="56" s="1"/>
  <c r="O16" i="56" s="1"/>
  <c r="O17" i="56" s="1"/>
  <c r="O18" i="56" s="1"/>
  <c r="O19" i="56" s="1"/>
  <c r="O20" i="56" s="1"/>
  <c r="O21" i="56" s="1"/>
  <c r="O22" i="56" s="1"/>
  <c r="O23" i="56" s="1"/>
  <c r="O24" i="56" s="1"/>
  <c r="X23" i="53"/>
  <c r="X18" i="53"/>
  <c r="X16" i="53" s="1"/>
  <c r="U19" i="46"/>
  <c r="U14" i="46"/>
  <c r="F61" i="38"/>
  <c r="K61" i="38" s="1"/>
  <c r="L61" i="38" s="1"/>
  <c r="F60" i="38"/>
  <c r="K60" i="38" s="1"/>
  <c r="L60" i="38" s="1"/>
  <c r="F59" i="38"/>
  <c r="K59" i="38" s="1"/>
  <c r="L59" i="38" s="1"/>
  <c r="F58" i="38"/>
  <c r="K58" i="38" s="1"/>
  <c r="L58" i="38" s="1"/>
  <c r="K57" i="38"/>
  <c r="L57" i="38" s="1"/>
  <c r="F57" i="38"/>
  <c r="F56" i="38"/>
  <c r="K56" i="38" s="1"/>
  <c r="L56" i="38" s="1"/>
  <c r="F55" i="38"/>
  <c r="K55" i="38" s="1"/>
  <c r="L55" i="38" s="1"/>
  <c r="F54" i="38"/>
  <c r="K54" i="38" s="1"/>
  <c r="L54" i="38" s="1"/>
  <c r="K53" i="38"/>
  <c r="L53" i="38" s="1"/>
  <c r="F53" i="38"/>
  <c r="F52" i="38"/>
  <c r="K52" i="38" s="1"/>
  <c r="F51" i="38"/>
  <c r="K51" i="38" s="1"/>
  <c r="F50" i="38"/>
  <c r="K50" i="38" s="1"/>
  <c r="L50" i="38" s="1"/>
  <c r="F49" i="38"/>
  <c r="K49" i="38" s="1"/>
  <c r="L49" i="38" s="1"/>
  <c r="F48" i="38"/>
  <c r="K48" i="38" s="1"/>
  <c r="L48" i="38" s="1"/>
  <c r="K47" i="38"/>
  <c r="L47" i="38" s="1"/>
  <c r="K46" i="38"/>
  <c r="L46" i="38" s="1"/>
  <c r="K45" i="38"/>
  <c r="L45" i="38" s="1"/>
  <c r="K44" i="38"/>
  <c r="L44" i="38" s="1"/>
  <c r="K43" i="38"/>
  <c r="L43" i="38" s="1"/>
  <c r="K42" i="38"/>
  <c r="L42" i="38" s="1"/>
  <c r="K41" i="38"/>
  <c r="L41" i="38" s="1"/>
  <c r="K40" i="38"/>
  <c r="L40" i="38" s="1"/>
  <c r="K39" i="38"/>
  <c r="L39" i="38" s="1"/>
  <c r="K38" i="38"/>
  <c r="L38" i="38" s="1"/>
  <c r="K37" i="38"/>
  <c r="L37" i="38" s="1"/>
  <c r="K36" i="38"/>
  <c r="L36" i="38" s="1"/>
  <c r="L35" i="38"/>
  <c r="L34" i="38"/>
  <c r="L33" i="38"/>
  <c r="L32" i="38"/>
  <c r="L30" i="38"/>
  <c r="L29" i="38"/>
  <c r="AN47" i="22"/>
  <c r="AM47" i="22"/>
  <c r="AL47" i="22"/>
  <c r="AT42" i="22"/>
  <c r="AT41" i="22" s="1"/>
  <c r="AS42" i="22"/>
  <c r="AS41" i="22" s="1"/>
  <c r="AR42" i="22"/>
  <c r="AQ42" i="22"/>
  <c r="AP42" i="22"/>
  <c r="AO42" i="22"/>
  <c r="AN42" i="22"/>
  <c r="AM42" i="22"/>
  <c r="AL42" i="22"/>
  <c r="AK42" i="22"/>
  <c r="AJ42" i="22"/>
  <c r="AI42" i="22"/>
  <c r="AH42" i="22"/>
  <c r="AG42" i="22"/>
  <c r="AO41" i="22"/>
  <c r="AK39" i="22"/>
  <c r="AK37" i="22" s="1"/>
  <c r="AK36" i="22" s="1"/>
  <c r="AJ39" i="22"/>
  <c r="AJ37" i="22" s="1"/>
  <c r="AJ36" i="22" s="1"/>
  <c r="AM38" i="22"/>
  <c r="AM37" i="22" s="1"/>
  <c r="AM36" i="22" s="1"/>
  <c r="AL37" i="22"/>
  <c r="AL36" i="22" s="1"/>
  <c r="AI37" i="22"/>
  <c r="AI36" i="22" s="1"/>
  <c r="AH37" i="22"/>
  <c r="AR36" i="22"/>
  <c r="AQ36" i="22"/>
  <c r="AP36" i="22"/>
  <c r="AP41" i="22" s="1"/>
  <c r="AO36" i="22"/>
  <c r="AN36" i="22"/>
  <c r="AH36" i="22"/>
  <c r="AH41" i="22" s="1"/>
  <c r="AG36" i="22"/>
  <c r="AG41" i="22" s="1"/>
  <c r="AK41" i="22" l="1"/>
  <c r="AJ41" i="22"/>
  <c r="AN41" i="22"/>
  <c r="AR41" i="22"/>
  <c r="U13" i="46"/>
  <c r="U50" i="46" s="1"/>
  <c r="AL41" i="22"/>
  <c r="AI41" i="22"/>
  <c r="AQ41" i="22"/>
  <c r="AM41" i="22"/>
  <c r="X39" i="53"/>
  <c r="O25" i="56"/>
  <c r="O27" i="56" s="1"/>
  <c r="O29" i="56" s="1"/>
  <c r="O32" i="56" s="1"/>
  <c r="O33" i="56" s="1"/>
  <c r="O26" i="56"/>
  <c r="O28" i="56" s="1"/>
  <c r="O70" i="56"/>
  <c r="O34" i="56" l="1"/>
  <c r="O40" i="56"/>
  <c r="O41" i="56" s="1"/>
  <c r="O42" i="56" s="1"/>
  <c r="O43" i="56" s="1"/>
  <c r="O44" i="56" s="1"/>
  <c r="O45" i="56" s="1"/>
  <c r="O46" i="56" s="1"/>
  <c r="O47" i="56" s="1"/>
  <c r="O48" i="56" s="1"/>
  <c r="O49" i="56" s="1"/>
  <c r="O50" i="56" s="1"/>
  <c r="O51" i="56" s="1"/>
  <c r="O52" i="56" s="1"/>
  <c r="O53" i="56" s="1"/>
  <c r="O56" i="56" s="1"/>
  <c r="O57" i="56" s="1"/>
  <c r="O58" i="56" s="1"/>
  <c r="O59" i="56" s="1"/>
  <c r="O61" i="56" s="1"/>
  <c r="O60" i="56" s="1"/>
  <c r="O62" i="56" s="1"/>
  <c r="O63" i="56" s="1"/>
  <c r="O64" i="56" s="1"/>
</calcChain>
</file>

<file path=xl/comments1.xml><?xml version="1.0" encoding="utf-8"?>
<comments xmlns="http://schemas.openxmlformats.org/spreadsheetml/2006/main">
  <authors>
    <author>Author</author>
  </authors>
  <commentList>
    <comment ref="B37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38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33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L74" authorId="0" shapeId="0">
      <text>
        <r>
          <rPr>
            <b/>
            <sz val="9"/>
            <color indexed="81"/>
            <rFont val="Tahoma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<sst xmlns="http://schemas.openxmlformats.org/spreadsheetml/2006/main" count="8104" uniqueCount="3132">
  <si>
    <t xml:space="preserve"> جدول رقم (1) : تفرع البنوك الاردنية المرخصة العاملة في الاردن (تابع)</t>
  </si>
  <si>
    <t xml:space="preserve"> جدول رقم (1) : تفرع البنوك الاردنية المرخصة العاملة في الاردن</t>
  </si>
  <si>
    <t xml:space="preserve"> TABLE NO. (1) :  BRANCHING OF JORDANIAN LICENSED BANKS (CONTINUED)</t>
  </si>
  <si>
    <t xml:space="preserve"> TABLE NO. (1) : BRANCHING OF JORDANIAN LICENSED BANKS </t>
  </si>
  <si>
    <t>Bank Name and Year of Establishment</t>
  </si>
  <si>
    <t xml:space="preserve"> اسم البنك وتاريخ التأسيس </t>
  </si>
  <si>
    <t>البنوك الاسلامية</t>
  </si>
  <si>
    <t>البنوك التجارية</t>
  </si>
  <si>
    <t xml:space="preserve"> </t>
  </si>
  <si>
    <t>Islamic Banks</t>
  </si>
  <si>
    <t>Commercial Banks</t>
  </si>
  <si>
    <t xml:space="preserve">البنك </t>
  </si>
  <si>
    <t xml:space="preserve">بنك </t>
  </si>
  <si>
    <t>بنك</t>
  </si>
  <si>
    <t>العربي</t>
  </si>
  <si>
    <t>سوسيته</t>
  </si>
  <si>
    <t>الاستثمار</t>
  </si>
  <si>
    <t>المؤسسة</t>
  </si>
  <si>
    <t xml:space="preserve">الاسكان </t>
  </si>
  <si>
    <t>البنك</t>
  </si>
  <si>
    <t xml:space="preserve">الاسلامي </t>
  </si>
  <si>
    <t>الاسلامي</t>
  </si>
  <si>
    <t xml:space="preserve">جنرال </t>
  </si>
  <si>
    <t xml:space="preserve">المال </t>
  </si>
  <si>
    <t>العربية المصرفية</t>
  </si>
  <si>
    <t xml:space="preserve">للتجارة </t>
  </si>
  <si>
    <t>التجاري</t>
  </si>
  <si>
    <t>الاردني</t>
  </si>
  <si>
    <t xml:space="preserve">القاهرة </t>
  </si>
  <si>
    <t xml:space="preserve">الاهلي </t>
  </si>
  <si>
    <t>عدد الفروع</t>
  </si>
  <si>
    <r>
      <t xml:space="preserve">الاسلامي </t>
    </r>
    <r>
      <rPr>
        <vertAlign val="superscript"/>
        <sz val="15"/>
        <rFont val="Times New Roman"/>
        <family val="1"/>
      </rPr>
      <t>(4)</t>
    </r>
  </si>
  <si>
    <t>الدولي</t>
  </si>
  <si>
    <r>
      <t xml:space="preserve">الاردن </t>
    </r>
    <r>
      <rPr>
        <vertAlign val="superscript"/>
        <sz val="15"/>
        <rFont val="Times New Roman"/>
        <family val="1"/>
      </rPr>
      <t>(3)</t>
    </r>
  </si>
  <si>
    <t>الاتحاد</t>
  </si>
  <si>
    <t>الاستثماري</t>
  </si>
  <si>
    <t xml:space="preserve">الاردني </t>
  </si>
  <si>
    <t>(الاردن)</t>
  </si>
  <si>
    <t>والتمويل</t>
  </si>
  <si>
    <t>الكويتي</t>
  </si>
  <si>
    <t>عمان</t>
  </si>
  <si>
    <r>
      <t xml:space="preserve">الاردني </t>
    </r>
    <r>
      <rPr>
        <vertAlign val="superscript"/>
        <sz val="15"/>
        <rFont val="Times New Roman"/>
        <family val="1"/>
      </rPr>
      <t>(2)</t>
    </r>
  </si>
  <si>
    <t>الاردن</t>
  </si>
  <si>
    <r>
      <t xml:space="preserve">داخل المملكة </t>
    </r>
    <r>
      <rPr>
        <vertAlign val="superscript"/>
        <sz val="15"/>
        <rFont val="Times New Roman"/>
        <family val="1"/>
      </rPr>
      <t>(1)</t>
    </r>
  </si>
  <si>
    <t xml:space="preserve">Islamic </t>
  </si>
  <si>
    <t>Societe</t>
  </si>
  <si>
    <t>Arab</t>
  </si>
  <si>
    <t xml:space="preserve">The Housing </t>
  </si>
  <si>
    <t>International</t>
  </si>
  <si>
    <t>Jordan</t>
  </si>
  <si>
    <t>Generale</t>
  </si>
  <si>
    <t xml:space="preserve">Jordan </t>
  </si>
  <si>
    <t xml:space="preserve">Banking </t>
  </si>
  <si>
    <t xml:space="preserve">Bank for </t>
  </si>
  <si>
    <t xml:space="preserve">Cairo </t>
  </si>
  <si>
    <t>De Banque -</t>
  </si>
  <si>
    <t>Union</t>
  </si>
  <si>
    <t>Investment</t>
  </si>
  <si>
    <t>Capital</t>
  </si>
  <si>
    <t>Corporation</t>
  </si>
  <si>
    <t>Trade &amp;</t>
  </si>
  <si>
    <t xml:space="preserve">Commercial </t>
  </si>
  <si>
    <t>Kuwait</t>
  </si>
  <si>
    <t>Amman</t>
  </si>
  <si>
    <t xml:space="preserve">Ahli </t>
  </si>
  <si>
    <t>Bank</t>
  </si>
  <si>
    <t xml:space="preserve">No. of </t>
  </si>
  <si>
    <r>
      <t xml:space="preserve">Bank </t>
    </r>
    <r>
      <rPr>
        <vertAlign val="superscript"/>
        <sz val="15"/>
        <rFont val="Times New Roman"/>
        <family val="1"/>
      </rPr>
      <t>(4)</t>
    </r>
  </si>
  <si>
    <t xml:space="preserve">Bank  </t>
  </si>
  <si>
    <r>
      <t>Jordanie</t>
    </r>
    <r>
      <rPr>
        <vertAlign val="superscript"/>
        <sz val="15"/>
        <rFont val="Times New Roman"/>
        <family val="1"/>
      </rPr>
      <t>(3)</t>
    </r>
  </si>
  <si>
    <t xml:space="preserve">Bank </t>
  </si>
  <si>
    <t>(Jordan)</t>
  </si>
  <si>
    <t>Finance</t>
  </si>
  <si>
    <r>
      <t xml:space="preserve">Bank </t>
    </r>
    <r>
      <rPr>
        <vertAlign val="superscript"/>
        <sz val="15"/>
        <rFont val="Times New Roman"/>
        <family val="1"/>
      </rPr>
      <t>(2)</t>
    </r>
  </si>
  <si>
    <t>of Jordan</t>
  </si>
  <si>
    <t>Branches in</t>
  </si>
  <si>
    <r>
      <t xml:space="preserve"> the Kingdom</t>
    </r>
    <r>
      <rPr>
        <vertAlign val="superscript"/>
        <sz val="15"/>
        <rFont val="Times New Roman"/>
        <family val="1"/>
      </rPr>
      <t>(1)</t>
    </r>
  </si>
  <si>
    <t>-</t>
  </si>
  <si>
    <t xml:space="preserve">    (1)  : Represent the Headquarters and number of Branches.</t>
  </si>
  <si>
    <t xml:space="preserve">  (1)  :   تشمل عدد الفروع داخل المملكة بما فيها المركز الرئيسي.</t>
  </si>
  <si>
    <t xml:space="preserve">    (2)  :  Business Bank merged with Jordan Ahli Bank on January 17, 1997. Also,Bank of Philadelphia merged with Jordan Ahli Bank on July 5, 2005.</t>
  </si>
  <si>
    <t xml:space="preserve">  (2)  :  اندمج بنك الاعمال مع  البنك الاهلي الاردني  بتاريخ 1997/1/17، كما اندمج بنك فيلادلفيا مع البنك الاهلي الاردني بتاريخ  2005/7/5.</t>
  </si>
  <si>
    <t xml:space="preserve">    (3)  :  Middle East Investment Bank before June 23, 2003.</t>
  </si>
  <si>
    <t xml:space="preserve">  (3)  :  بنك الشرق الاوسط  للاستثمار قبل  تاريخ 2003/6/23.</t>
  </si>
  <si>
    <t xml:space="preserve">    (4)  :  The Industrial Development Bank (IDB) has been abolished as a specialized credit institution by the Law of Abolishing IDB Law for 2008 No. </t>
  </si>
  <si>
    <t xml:space="preserve">  (4)  :  تم إلغاء بنك الإنماء الصناعي كمؤسسة اقراض متخصصة بموجب قانون إلغاء قانون بنك الإنماء الصناعي لسنة 2008 رقم 26/2008، </t>
  </si>
  <si>
    <t xml:space="preserve">             26/2008, final approval was granted to practice its Operations as an Islamic Bank to become Jordan Dubai Islamic Bank which started its work on 3/1/2010.</t>
  </si>
  <si>
    <t xml:space="preserve">.وتم منحه موافقة نهائية لممارسة أعماله المصرفية كبنك إسلامي تحت اسم بنك الأردن دبي الإسلامي الذي باشر أعماله بتاريخ 2010/1/3           </t>
  </si>
  <si>
    <r>
      <t>جدول رقم (3) : المسح النقدي للجهاز المصرفي</t>
    </r>
    <r>
      <rPr>
        <b/>
        <vertAlign val="superscript"/>
        <sz val="14"/>
        <rFont val="Times New Roman"/>
        <family val="1"/>
      </rPr>
      <t>(1)</t>
    </r>
  </si>
  <si>
    <r>
      <t>TABLE NO.(3) : MONETARY  SURVEY OF THE BANKING SYSTEM</t>
    </r>
    <r>
      <rPr>
        <b/>
        <vertAlign val="superscript"/>
        <sz val="14"/>
        <rFont val="Times New Roman"/>
        <family val="1"/>
      </rPr>
      <t>(1)</t>
    </r>
    <r>
      <rPr>
        <b/>
        <sz val="14"/>
        <rFont val="Times New Roman"/>
        <family val="1"/>
      </rPr>
      <t xml:space="preserve"> </t>
    </r>
    <r>
      <rPr>
        <b/>
        <sz val="18"/>
        <rFont val="Times New Roman"/>
        <family val="1"/>
      </rPr>
      <t xml:space="preserve">    </t>
    </r>
  </si>
  <si>
    <t xml:space="preserve">JD Million </t>
  </si>
  <si>
    <t>مليون دينار</t>
  </si>
  <si>
    <t>الديون على</t>
  </si>
  <si>
    <t>رأس المال</t>
  </si>
  <si>
    <t>عرض</t>
  </si>
  <si>
    <t>الموجودات</t>
  </si>
  <si>
    <t>البلديات</t>
  </si>
  <si>
    <t>القطاع</t>
  </si>
  <si>
    <t>الاخرى</t>
  </si>
  <si>
    <t>والاحتياطيات</t>
  </si>
  <si>
    <t>المطلوبات</t>
  </si>
  <si>
    <t>الودائع</t>
  </si>
  <si>
    <t>شبه</t>
  </si>
  <si>
    <t>النقد</t>
  </si>
  <si>
    <t xml:space="preserve"> =</t>
  </si>
  <si>
    <t>والمؤسسات</t>
  </si>
  <si>
    <t>الخاص</t>
  </si>
  <si>
    <t>نهاية</t>
  </si>
  <si>
    <t>(صافي)</t>
  </si>
  <si>
    <t>والمخصصات</t>
  </si>
  <si>
    <t>الأجنبية</t>
  </si>
  <si>
    <t>الحكومية</t>
  </si>
  <si>
    <t>(ع١)</t>
  </si>
  <si>
    <t>الحكومة</t>
  </si>
  <si>
    <r>
      <t xml:space="preserve"> </t>
    </r>
    <r>
      <rPr>
        <vertAlign val="superscript"/>
        <sz val="18"/>
        <rFont val="Times New Roman"/>
        <family val="1"/>
      </rPr>
      <t>(3)</t>
    </r>
    <r>
      <rPr>
        <sz val="18"/>
        <rFont val="Times New Roman"/>
        <family val="1"/>
      </rPr>
      <t xml:space="preserve"> العامة </t>
    </r>
  </si>
  <si>
    <r>
      <t xml:space="preserve">(مقيم) </t>
    </r>
    <r>
      <rPr>
        <vertAlign val="superscript"/>
        <sz val="18"/>
        <rFont val="Times New Roman"/>
        <family val="1"/>
      </rPr>
      <t>(2)</t>
    </r>
  </si>
  <si>
    <t>الفترة</t>
  </si>
  <si>
    <t>Capital,</t>
  </si>
  <si>
    <t>Claims on</t>
  </si>
  <si>
    <t>Other</t>
  </si>
  <si>
    <t>Reserves</t>
  </si>
  <si>
    <t>Govern-</t>
  </si>
  <si>
    <t>Money</t>
  </si>
  <si>
    <t>Assets</t>
  </si>
  <si>
    <t>Municipalities</t>
  </si>
  <si>
    <t>Private</t>
  </si>
  <si>
    <t>Items</t>
  </si>
  <si>
    <t>and</t>
  </si>
  <si>
    <t>Foreign</t>
  </si>
  <si>
    <t>ment</t>
  </si>
  <si>
    <t>Quasi-</t>
  </si>
  <si>
    <t>Supply</t>
  </si>
  <si>
    <t>=</t>
  </si>
  <si>
    <t>and Public</t>
  </si>
  <si>
    <t>Sector</t>
  </si>
  <si>
    <t xml:space="preserve">Foreign </t>
  </si>
  <si>
    <t>End of</t>
  </si>
  <si>
    <t>(Net)</t>
  </si>
  <si>
    <t>Allowances</t>
  </si>
  <si>
    <t>Liabilities</t>
  </si>
  <si>
    <t>Deposits</t>
  </si>
  <si>
    <t>(M1)</t>
  </si>
  <si>
    <r>
      <t>Entities</t>
    </r>
    <r>
      <rPr>
        <vertAlign val="superscript"/>
        <sz val="18"/>
        <rFont val="Times New Roman"/>
        <family val="1"/>
      </rPr>
      <t xml:space="preserve"> (3)</t>
    </r>
  </si>
  <si>
    <r>
      <t>(Resident)</t>
    </r>
    <r>
      <rPr>
        <vertAlign val="superscript"/>
        <sz val="18"/>
        <rFont val="Times New Roman"/>
        <family val="1"/>
      </rPr>
      <t>(2)</t>
    </r>
  </si>
  <si>
    <t>Period</t>
  </si>
  <si>
    <t xml:space="preserve">  (1) :  Includes Central Bank of Jordan and Licensed Banks.</t>
  </si>
  <si>
    <t xml:space="preserve">(1)  :  يشتمل على البنك المركزي الاردني والبنوك المرخصة. </t>
  </si>
  <si>
    <t xml:space="preserve">  (2) :  Include Claims on Financial Institutions.</t>
  </si>
  <si>
    <t>(2)  :  يشتمل على ديون المؤسسات المالية.</t>
  </si>
  <si>
    <t xml:space="preserve">  (3) :  Include Claims on Specialized Credit Iinstitutions.</t>
  </si>
  <si>
    <t>(3)  :  يشتمل على ديون مؤسسات الاقراض المتخصصة.</t>
  </si>
  <si>
    <r>
      <t xml:space="preserve">جدول رقم (3) : المسح النقدي للجهاز المصرفي  (تابع) </t>
    </r>
    <r>
      <rPr>
        <b/>
        <vertAlign val="superscript"/>
        <sz val="14"/>
        <rFont val="Times New Roman"/>
        <family val="1"/>
      </rPr>
      <t xml:space="preserve">(1) </t>
    </r>
  </si>
  <si>
    <r>
      <t>TABLE NO.(3) : MONETARY SURVEY OF THE BANKING SYSTEM (CONTINUED)</t>
    </r>
    <r>
      <rPr>
        <b/>
        <vertAlign val="superscript"/>
        <sz val="12"/>
        <rFont val="Times New Roman"/>
        <family val="1"/>
      </rPr>
      <t>(1)</t>
    </r>
    <r>
      <rPr>
        <b/>
        <sz val="12"/>
        <rFont val="Times New Roman"/>
        <family val="1"/>
      </rPr>
      <t xml:space="preserve">     </t>
    </r>
  </si>
  <si>
    <t>Domestic Assets (Net)</t>
  </si>
  <si>
    <t>(الموجودات المحلية (صافي</t>
  </si>
  <si>
    <t>الموجودات الاجنبية (صافي)</t>
  </si>
  <si>
    <t>صافي الديون على القطاع العام</t>
  </si>
  <si>
    <t>Foreign Assets (Net)</t>
  </si>
  <si>
    <t>الديون</t>
  </si>
  <si>
    <t>Net Claims on Public Sector</t>
  </si>
  <si>
    <t>على</t>
  </si>
  <si>
    <t>صافي الديون</t>
  </si>
  <si>
    <t>صافي</t>
  </si>
  <si>
    <t>على الحكومة</t>
  </si>
  <si>
    <t>العوامل</t>
  </si>
  <si>
    <t>المؤسسات</t>
  </si>
  <si>
    <t>المركزية</t>
  </si>
  <si>
    <t xml:space="preserve">المركزية </t>
  </si>
  <si>
    <t>البنوك</t>
  </si>
  <si>
    <t>النقد(ع٢)</t>
  </si>
  <si>
    <t>المجموع</t>
  </si>
  <si>
    <r>
      <t xml:space="preserve">المالية </t>
    </r>
    <r>
      <rPr>
        <vertAlign val="superscript"/>
        <sz val="15"/>
        <rFont val="Times New Roman"/>
        <family val="1"/>
      </rPr>
      <t>(6)</t>
    </r>
  </si>
  <si>
    <t>(مقيم)</t>
  </si>
  <si>
    <r>
      <t xml:space="preserve">العامة </t>
    </r>
    <r>
      <rPr>
        <vertAlign val="superscript"/>
        <sz val="15"/>
        <rFont val="Times New Roman"/>
        <family val="1"/>
      </rPr>
      <t>(5)</t>
    </r>
  </si>
  <si>
    <t>بموازنات مستقلة</t>
  </si>
  <si>
    <t>ضمن الموازنة</t>
  </si>
  <si>
    <t>المرخصة</t>
  </si>
  <si>
    <t>المركزي</t>
  </si>
  <si>
    <t>Net Claims</t>
  </si>
  <si>
    <t>on Central</t>
  </si>
  <si>
    <t>Financial</t>
  </si>
  <si>
    <t>Public</t>
  </si>
  <si>
    <t>Gov., Own</t>
  </si>
  <si>
    <t>Gov., General</t>
  </si>
  <si>
    <t>Licensed</t>
  </si>
  <si>
    <t>Central</t>
  </si>
  <si>
    <t>(M2)</t>
  </si>
  <si>
    <t>Total</t>
  </si>
  <si>
    <r>
      <t>Institutions</t>
    </r>
    <r>
      <rPr>
        <vertAlign val="superscript"/>
        <sz val="15"/>
        <rFont val="Times New Roman"/>
        <family val="1"/>
      </rPr>
      <t>(6)</t>
    </r>
  </si>
  <si>
    <t>(Resident)</t>
  </si>
  <si>
    <r>
      <t>Entities</t>
    </r>
    <r>
      <rPr>
        <vertAlign val="superscript"/>
        <sz val="15"/>
        <rFont val="Times New Roman"/>
        <family val="1"/>
      </rPr>
      <t>(5)</t>
    </r>
  </si>
  <si>
    <t>Budget</t>
  </si>
  <si>
    <t>Banks</t>
  </si>
  <si>
    <r>
      <rPr>
        <vertAlign val="superscript"/>
        <sz val="12"/>
        <rFont val="Times New Roman"/>
        <family val="1"/>
      </rPr>
      <t>(4)</t>
    </r>
    <r>
      <rPr>
        <sz val="16"/>
        <rFont val="Times New Roman"/>
        <family val="1"/>
      </rPr>
      <t>1993</t>
    </r>
  </si>
  <si>
    <r>
      <t xml:space="preserve"> </t>
    </r>
    <r>
      <rPr>
        <vertAlign val="superscript"/>
        <sz val="14"/>
        <rFont val="Times New Roman"/>
        <family val="1"/>
      </rPr>
      <t>(7)</t>
    </r>
    <r>
      <rPr>
        <sz val="16"/>
        <rFont val="Times New Roman"/>
        <family val="1"/>
      </rPr>
      <t>1998</t>
    </r>
  </si>
  <si>
    <t xml:space="preserve">  (4) :  Effective December 1993, Data were Reclassified According to New  </t>
  </si>
  <si>
    <t>(4)  :  تم اعادة تصنيف البيانات اعتبارا من كانون اول 1993</t>
  </si>
  <si>
    <t xml:space="preserve">           Definitions of Monetary Sectors.</t>
  </si>
  <si>
    <t xml:space="preserve">          بموجب تعاريف جديدة للقطاعات النقدية.</t>
  </si>
  <si>
    <t xml:space="preserve">  (5) :  Includes Municipalities &amp; Local Governments, Public non-Financial </t>
  </si>
  <si>
    <t>(5)  :  تشتمل على البلديات والمجالس القروية والمؤسسات العامة غير المالية</t>
  </si>
  <si>
    <t xml:space="preserve">          Institutions and Social Security Corporation.</t>
  </si>
  <si>
    <t xml:space="preserve">          ومؤسسة الضمان الاجتماعي.</t>
  </si>
  <si>
    <t xml:space="preserve">  (6) :  Includes non-Banking Financial Institutions and other Banking Institutions.</t>
  </si>
  <si>
    <t>(6)  :  تشتمل  على  المؤسسات المالية غير المصرفية والمؤسسات  المصرفية  الاخرى.</t>
  </si>
  <si>
    <t xml:space="preserve">  (7) :  Public Sector Accounts were Reclassified.</t>
  </si>
  <si>
    <t>(7)  :  تم اعادة تصنيف حسابات مؤسسات القطاع العام.</t>
  </si>
  <si>
    <t>جدول رقم (4)  : عرض النقــــــــــــــد</t>
  </si>
  <si>
    <t>TABLE NO. (4) : MONEY SUPPLY</t>
  </si>
  <si>
    <t xml:space="preserve"> مليون  دينار</t>
  </si>
  <si>
    <t>شبه النقد</t>
  </si>
  <si>
    <t>ودائع تحت الطلب</t>
  </si>
  <si>
    <t xml:space="preserve">Quasi-Money </t>
  </si>
  <si>
    <t>Demand Deposits</t>
  </si>
  <si>
    <t>بلديات</t>
  </si>
  <si>
    <t>ومؤسسات</t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</si>
  <si>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(ع22)</t>
    </r>
  </si>
  <si>
    <t>(ع2)</t>
  </si>
  <si>
    <t>عامة</t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</si>
  <si>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(ع11)</t>
    </r>
  </si>
  <si>
    <t>(ع1)</t>
  </si>
  <si>
    <t>المتداول</t>
  </si>
  <si>
    <t>Municipa-</t>
  </si>
  <si>
    <t>lities and</t>
  </si>
  <si>
    <t>Currency</t>
  </si>
  <si>
    <t xml:space="preserve">in  </t>
  </si>
  <si>
    <t xml:space="preserve">End of </t>
  </si>
  <si>
    <r>
      <t>(M22)</t>
    </r>
    <r>
      <rPr>
        <vertAlign val="superscript"/>
        <sz val="16"/>
        <rFont val="Times New Roman"/>
        <family val="1"/>
      </rPr>
      <t>(2)</t>
    </r>
  </si>
  <si>
    <t>Entities</t>
  </si>
  <si>
    <r>
      <t>(M11)</t>
    </r>
    <r>
      <rPr>
        <vertAlign val="superscript"/>
        <sz val="16"/>
        <rFont val="Times New Roman"/>
        <family val="1"/>
      </rPr>
      <t>(1)</t>
    </r>
  </si>
  <si>
    <t>Circulation</t>
  </si>
  <si>
    <t xml:space="preserve">Period 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</si>
  <si>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</si>
  <si>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</si>
  <si>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</si>
  <si>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</si>
  <si>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</si>
  <si>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</si>
  <si>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</si>
  <si>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</si>
  <si>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</si>
  <si>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</si>
  <si>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</si>
  <si>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</si>
  <si>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</si>
  <si>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</si>
  <si>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</si>
  <si>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</si>
  <si>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</si>
  <si>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</si>
  <si>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</si>
  <si>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</si>
  <si>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</si>
  <si>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</si>
  <si>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 xml:space="preserve">(1)  :  M11=M1+ Demand Deposits with Specialized Credit Institutions and Other Financial </t>
  </si>
  <si>
    <t xml:space="preserve">(1)  : ع11= ع1 + ودائع تحت الطلب لدى مؤسسات الاقراض المتخصصة والمؤسسات المالية الأخرى   </t>
  </si>
  <si>
    <r>
      <t xml:space="preserve">Institutions </t>
    </r>
    <r>
      <rPr>
        <i/>
        <sz val="14"/>
        <rFont val="Times New Roman"/>
        <family val="1"/>
      </rPr>
      <t>minus</t>
    </r>
    <r>
      <rPr>
        <sz val="14"/>
        <rFont val="Times New Roman"/>
        <family val="1"/>
      </rPr>
      <t xml:space="preserve"> Cash with Specialized Credit Institutions and Other Financial Institutions</t>
    </r>
  </si>
  <si>
    <t xml:space="preserve">  ويطرح النقد في الصندوق لدى مؤسسات الاقراض المتخصصة والمؤسسات المالية الاخرى وودائع مؤسسات</t>
  </si>
  <si>
    <r>
      <rPr>
        <i/>
        <sz val="14"/>
        <rFont val="Times New Roman"/>
        <family val="1"/>
      </rPr>
      <t>minus</t>
    </r>
    <r>
      <rPr>
        <sz val="14"/>
        <rFont val="Times New Roman"/>
        <family val="1"/>
      </rPr>
      <t xml:space="preserve"> Demand Deposits of Specialized Credit Institiutions with the Central Bank.</t>
    </r>
  </si>
  <si>
    <t xml:space="preserve">  الاقراض الجارية لدى البنك المركزي .</t>
  </si>
  <si>
    <t xml:space="preserve">(2)  :  M22=M11+ Quasi Money + Saving and Time Deposits with Specialized Credit Institutions, </t>
  </si>
  <si>
    <t xml:space="preserve">(2) :ع22=ع11+ شبه النقد + ودائع التوفيرولأجل لدى مؤسسات الاقراض المتخصصة والمؤسسات المالية الاخرى </t>
  </si>
  <si>
    <r>
      <t xml:space="preserve">Other Financial Institutions and Postal Bank </t>
    </r>
    <r>
      <rPr>
        <i/>
        <sz val="14"/>
        <rFont val="Times New Roman"/>
        <family val="1"/>
      </rPr>
      <t>minus</t>
    </r>
    <r>
      <rPr>
        <sz val="14"/>
        <rFont val="Times New Roman"/>
        <family val="1"/>
      </rPr>
      <t xml:space="preserve"> Time Deposits </t>
    </r>
  </si>
  <si>
    <t xml:space="preserve">   وصندوق توفير البريد ويطرح ودائع مؤسسات الاقراض الخاضعة لدى البنك المركزي.</t>
  </si>
  <si>
    <t>of Specialized Credit Institutions with the central bank.</t>
  </si>
  <si>
    <t>جدول رقم (4)  : عرض النقــــــــــــــد (تابع)</t>
  </si>
  <si>
    <t>TABLE NO. (4) : MONEY SUPPLY (CONTINUED)</t>
  </si>
  <si>
    <t>ودائع تحت الطلب بالدينار الاردني</t>
  </si>
  <si>
    <t>Quasi-Money</t>
  </si>
  <si>
    <t xml:space="preserve">Demand Deposits in </t>
  </si>
  <si>
    <t>ودائع التوفير ولاجل ( بالدينار والعملات الاجنبية)</t>
  </si>
  <si>
    <t>ودائع تحت الطلب بالعملات الاجنبية</t>
  </si>
  <si>
    <t>Jordan Dinar</t>
  </si>
  <si>
    <t xml:space="preserve"> Time and Saving Deposits </t>
  </si>
  <si>
    <t xml:space="preserve"> Demand Deposits in </t>
  </si>
  <si>
    <t xml:space="preserve"> (in JD &amp; Foreign Currencies)</t>
  </si>
  <si>
    <t xml:space="preserve"> Foreign Currencies</t>
  </si>
  <si>
    <t xml:space="preserve">القطاع </t>
  </si>
  <si>
    <t>مؤسسات</t>
  </si>
  <si>
    <t>مالية</t>
  </si>
  <si>
    <t>Institutions</t>
  </si>
  <si>
    <r>
      <t>(3)</t>
    </r>
    <r>
      <rPr>
        <sz val="16"/>
        <rFont val="Times New Roman"/>
        <family val="1"/>
      </rPr>
      <t>1993</t>
    </r>
  </si>
  <si>
    <r>
      <t>(4)</t>
    </r>
    <r>
      <rPr>
        <sz val="16"/>
        <rFont val="Times New Roman"/>
        <family val="1"/>
      </rPr>
      <t>1998</t>
    </r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</si>
  <si>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</si>
  <si>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</si>
  <si>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</si>
  <si>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</si>
  <si>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</si>
  <si>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</si>
  <si>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</si>
  <si>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</si>
  <si>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</si>
  <si>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</si>
  <si>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</si>
  <si>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</si>
  <si>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</si>
  <si>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</si>
  <si>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 xml:space="preserve">   (3)  :  Effective December 1993, Data were Reclassified According to New  </t>
  </si>
  <si>
    <t xml:space="preserve"> (3)  :  تم اعادة تصنيف البيانات اعتبارا من كانون اول 1993  </t>
  </si>
  <si>
    <t xml:space="preserve">            Definitions of Monetary Sectors.</t>
  </si>
  <si>
    <t xml:space="preserve">           بموجب تعاريف جديدة للقطاعات النقدية.</t>
  </si>
  <si>
    <t xml:space="preserve">   (4)  :  Public Sector Accounts were Reclassified.</t>
  </si>
  <si>
    <t xml:space="preserve"> (4)  :  تم اعادة تصنيف حسابات مؤسسات القطاع العام.</t>
  </si>
  <si>
    <t>(3)  :  تم اعادة تصنيف حسابات مؤسسات القطاع العام.</t>
  </si>
  <si>
    <t xml:space="preserve">   (3)  :  Public Sector Accounts were Reclassified.</t>
  </si>
  <si>
    <t xml:space="preserve">           تعاريف جديدة للقطاعات النقدية.</t>
  </si>
  <si>
    <t xml:space="preserve">             of Monetary Sectors.</t>
  </si>
  <si>
    <t xml:space="preserve">(2)  :  تم اعادة تصنيف البيانات اعتبارا من كانون اول 1993 بموجب </t>
  </si>
  <si>
    <t xml:space="preserve">   (2)  :  Effective December 1993, Data were Reclassified According to New Definitions</t>
  </si>
  <si>
    <t>(1)  :  تتضمن الديون على الخارج تنفيذا لاتفاقيات الدفع.</t>
  </si>
  <si>
    <t xml:space="preserve">   (1)  :  Includes Loans Arising from Payment Agreements.</t>
  </si>
  <si>
    <r>
      <rPr>
        <vertAlign val="superscript"/>
        <sz val="14"/>
        <rFont val="Times New Roman"/>
        <family val="1"/>
      </rPr>
      <t>(3)</t>
    </r>
    <r>
      <rPr>
        <sz val="16"/>
        <rFont val="Times New Roman"/>
        <family val="1"/>
      </rPr>
      <t>1998</t>
    </r>
  </si>
  <si>
    <t>1997</t>
  </si>
  <si>
    <t>1996</t>
  </si>
  <si>
    <r>
      <rPr>
        <vertAlign val="superscript"/>
        <sz val="14"/>
        <rFont val="Times New Roman"/>
        <family val="1"/>
      </rPr>
      <t>(2)</t>
    </r>
    <r>
      <rPr>
        <sz val="16"/>
        <rFont val="Times New Roman"/>
        <family val="1"/>
      </rPr>
      <t>1993</t>
    </r>
  </si>
  <si>
    <t>Gold</t>
  </si>
  <si>
    <t>SDRs</t>
  </si>
  <si>
    <t>&amp; Deposits</t>
  </si>
  <si>
    <t>Bills</t>
  </si>
  <si>
    <r>
      <t xml:space="preserve">Assets </t>
    </r>
    <r>
      <rPr>
        <vertAlign val="superscript"/>
        <sz val="14"/>
        <rFont val="Times New Roman"/>
        <family val="1"/>
      </rPr>
      <t>(1)</t>
    </r>
  </si>
  <si>
    <t>Govt.</t>
  </si>
  <si>
    <t>End  of</t>
  </si>
  <si>
    <t>Balances</t>
  </si>
  <si>
    <t>Treasury</t>
  </si>
  <si>
    <t>Cash,</t>
  </si>
  <si>
    <t>Bonds &amp;</t>
  </si>
  <si>
    <t>الذهب</t>
  </si>
  <si>
    <t>الخاصة</t>
  </si>
  <si>
    <t>جاهزة</t>
  </si>
  <si>
    <t>واذونات</t>
  </si>
  <si>
    <t>اخرى</t>
  </si>
  <si>
    <t>العامة</t>
  </si>
  <si>
    <t>المالية</t>
  </si>
  <si>
    <t>السحب</t>
  </si>
  <si>
    <t>وودائع</t>
  </si>
  <si>
    <t>سندات</t>
  </si>
  <si>
    <t>اجنبية</t>
  </si>
  <si>
    <t>موجودات</t>
  </si>
  <si>
    <t>مجموع</t>
  </si>
  <si>
    <t>حقوق</t>
  </si>
  <si>
    <t>وارصدة</t>
  </si>
  <si>
    <r>
      <t xml:space="preserve">موجودات </t>
    </r>
    <r>
      <rPr>
        <vertAlign val="superscript"/>
        <sz val="14"/>
        <rFont val="Times New Roman"/>
        <family val="1"/>
      </rPr>
      <t>(1)</t>
    </r>
  </si>
  <si>
    <t>نقد</t>
  </si>
  <si>
    <t>الموجودات الاجنبية</t>
  </si>
  <si>
    <t>Foreign Assets</t>
  </si>
  <si>
    <t>الموجودات المحلية</t>
  </si>
  <si>
    <t>Domestic Assets</t>
  </si>
  <si>
    <t xml:space="preserve">JD Million </t>
  </si>
  <si>
    <t xml:space="preserve"> TABLE NO. (5) : ASSETS  OF THE CENTRAL BANK OF JORDAN (CONTINUED)</t>
  </si>
  <si>
    <t>جدول رقم (5) : موجودات البنك المركزي الاردني (تابع)</t>
  </si>
  <si>
    <t>Currencies</t>
  </si>
  <si>
    <t xml:space="preserve">Financial Inst. </t>
  </si>
  <si>
    <t xml:space="preserve">Banks </t>
  </si>
  <si>
    <t xml:space="preserve"> Notes</t>
  </si>
  <si>
    <t>with  Local</t>
  </si>
  <si>
    <t>Credit</t>
  </si>
  <si>
    <t xml:space="preserve"> Bonds and</t>
  </si>
  <si>
    <t>Assets in</t>
  </si>
  <si>
    <t xml:space="preserve">to Local &amp; </t>
  </si>
  <si>
    <t>Specialized</t>
  </si>
  <si>
    <t>Public Entities</t>
  </si>
  <si>
    <t>Subscription</t>
  </si>
  <si>
    <t xml:space="preserve">Govt. and </t>
  </si>
  <si>
    <t>الاجنبية</t>
  </si>
  <si>
    <t>المحلية</t>
  </si>
  <si>
    <t>الدولية</t>
  </si>
  <si>
    <t>المتخصصة</t>
  </si>
  <si>
    <t>الخزينة</t>
  </si>
  <si>
    <t>بالعملات</t>
  </si>
  <si>
    <t xml:space="preserve">البنوك </t>
  </si>
  <si>
    <t xml:space="preserve">الماليه </t>
  </si>
  <si>
    <t>الاقراض</t>
  </si>
  <si>
    <t>اذونات</t>
  </si>
  <si>
    <t xml:space="preserve">موجودات </t>
  </si>
  <si>
    <t>ودائع لدى</t>
  </si>
  <si>
    <t xml:space="preserve">المؤسسات </t>
  </si>
  <si>
    <t>المساهمة في</t>
  </si>
  <si>
    <t>وأوراق</t>
  </si>
  <si>
    <t xml:space="preserve"> Foreign Assets</t>
  </si>
  <si>
    <t>القروض والسلف</t>
  </si>
  <si>
    <t>Loans and Advances</t>
  </si>
  <si>
    <t>الموجودات  الأجنبية</t>
  </si>
  <si>
    <t>الموجودات بالدينار الاردني</t>
  </si>
  <si>
    <t>Assets in JD</t>
  </si>
  <si>
    <t xml:space="preserve"> TABLE NO. (5) : ASSETS  OF THE CENTRAL BANK OF JORDAN</t>
  </si>
  <si>
    <t xml:space="preserve">جدول رقم (5) : موجودات البنك المركزي الاردني </t>
  </si>
  <si>
    <t>جدول رقم (6) : مطلوبات البنك المركزي الاردني</t>
  </si>
  <si>
    <t xml:space="preserve">TABLE NO. (6) :  LIABILITIES OF THE CENTRAL BANK OF JORDAN  </t>
  </si>
  <si>
    <t>Deposits &amp; Current Accounts</t>
  </si>
  <si>
    <t xml:space="preserve">  الحسابات الجارية والودائع</t>
  </si>
  <si>
    <t>هيئات</t>
  </si>
  <si>
    <t>مطلوبات</t>
  </si>
  <si>
    <t>الاحتياطي</t>
  </si>
  <si>
    <t>رأس</t>
  </si>
  <si>
    <t>المخصصات</t>
  </si>
  <si>
    <t>العام</t>
  </si>
  <si>
    <t>المال</t>
  </si>
  <si>
    <t>دولية</t>
  </si>
  <si>
    <t>المصدر</t>
  </si>
  <si>
    <t>Interna-</t>
  </si>
  <si>
    <t xml:space="preserve">Other </t>
  </si>
  <si>
    <t>General</t>
  </si>
  <si>
    <t>tional</t>
  </si>
  <si>
    <t xml:space="preserve">Public </t>
  </si>
  <si>
    <t>Reserve</t>
  </si>
  <si>
    <t>Issued</t>
  </si>
  <si>
    <t>1966</t>
  </si>
  <si>
    <t>1967</t>
  </si>
  <si>
    <t>1968</t>
  </si>
  <si>
    <t>1969</t>
  </si>
  <si>
    <t>1992</t>
  </si>
  <si>
    <t>جدول رقم (6) : مطلوبات البنك المركزي الاردني (تابع)</t>
  </si>
  <si>
    <t>TABLE NO. (6) :  LIABILITIES OF THE CENTRAL BANK OF JORDAN (CONTINUED)</t>
  </si>
  <si>
    <t>ودائع التوفير ولاجل</t>
  </si>
  <si>
    <t>ودائع البنوك المرخصة</t>
  </si>
  <si>
    <t>راس</t>
  </si>
  <si>
    <t>ودائع</t>
  </si>
  <si>
    <t>Time and Saving Deposits</t>
  </si>
  <si>
    <t>Banks' Deposits</t>
  </si>
  <si>
    <t>بالدينار</t>
  </si>
  <si>
    <t xml:space="preserve">Reserves </t>
  </si>
  <si>
    <t>In Foreign</t>
  </si>
  <si>
    <t>In</t>
  </si>
  <si>
    <t xml:space="preserve">&amp; Allowances </t>
  </si>
  <si>
    <t>JD</t>
  </si>
  <si>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1993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</si>
  <si>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1998</t>
    </r>
  </si>
  <si>
    <t>1999</t>
  </si>
  <si>
    <t xml:space="preserve">  (1) :  Effective December 1993, Data were Reclassified According to New Definitions</t>
  </si>
  <si>
    <t>(1)  :  تم اعادة تصنيف البيانات اعتبارا من كانون اول 1993 بموجب</t>
  </si>
  <si>
    <t xml:space="preserve">           of Monetary Sectors.</t>
  </si>
  <si>
    <t xml:space="preserve">          تعاريف جديدة للقطاعات النقدية.</t>
  </si>
  <si>
    <t xml:space="preserve">  (2) :  Public Sector Accounts were Reclassified.</t>
  </si>
  <si>
    <t>(2)  :  تم اعادة تصنيف حسابات مؤسسات القطاع العام.</t>
  </si>
  <si>
    <t>جدول رقم (7) : موجودات البنوك المرخصة</t>
  </si>
  <si>
    <t>TABLE NO. (7) : ASSETS OF THE LICENSED BANKS</t>
  </si>
  <si>
    <t xml:space="preserve">JD Million  </t>
  </si>
  <si>
    <t>ارصدة</t>
  </si>
  <si>
    <t>شيكات</t>
  </si>
  <si>
    <t>ارصـــدة</t>
  </si>
  <si>
    <t>لدى</t>
  </si>
  <si>
    <t>وسحوبات</t>
  </si>
  <si>
    <t>التسهيلات</t>
  </si>
  <si>
    <t>لـــدى</t>
  </si>
  <si>
    <t>استثمارات</t>
  </si>
  <si>
    <t>برسم</t>
  </si>
  <si>
    <t>الائتمانية</t>
  </si>
  <si>
    <t>والسندات</t>
  </si>
  <si>
    <t>بنـــوك</t>
  </si>
  <si>
    <t>في</t>
  </si>
  <si>
    <t>ثابتة</t>
  </si>
  <si>
    <t>محلية</t>
  </si>
  <si>
    <t>القبض</t>
  </si>
  <si>
    <t>واسناد القرض</t>
  </si>
  <si>
    <t>محليـــــة</t>
  </si>
  <si>
    <t>الصندوق</t>
  </si>
  <si>
    <t xml:space="preserve">Treasury </t>
  </si>
  <si>
    <t>Domestic</t>
  </si>
  <si>
    <t xml:space="preserve">Bills , Bonds  </t>
  </si>
  <si>
    <t>with</t>
  </si>
  <si>
    <t>with the</t>
  </si>
  <si>
    <t>Fixed</t>
  </si>
  <si>
    <t>Invest-</t>
  </si>
  <si>
    <t>Receiv-</t>
  </si>
  <si>
    <t>Facilities</t>
  </si>
  <si>
    <t>&amp; Corporate</t>
  </si>
  <si>
    <t>Local</t>
  </si>
  <si>
    <t>Cash in</t>
  </si>
  <si>
    <t>ments</t>
  </si>
  <si>
    <t>able</t>
  </si>
  <si>
    <t>Bonds</t>
  </si>
  <si>
    <t>Bank in JD</t>
  </si>
  <si>
    <t>Vaults</t>
  </si>
  <si>
    <t>جدول رقم (7) : موجودات البنوك المرخصة (تابع)</t>
  </si>
  <si>
    <t>TABLE NO. (7) : ASSETS OF THE LICENSED BANKS (CONTINUED)</t>
  </si>
  <si>
    <t xml:space="preserve"> Domestic Assets</t>
  </si>
  <si>
    <t xml:space="preserve"> الموجودات المحلية</t>
  </si>
  <si>
    <t>ارصدة لدى</t>
  </si>
  <si>
    <t xml:space="preserve">ارصدة </t>
  </si>
  <si>
    <t>نقد في</t>
  </si>
  <si>
    <t>البنك المركزي</t>
  </si>
  <si>
    <t>التسهيلات الائتمانية  </t>
  </si>
  <si>
    <t xml:space="preserve"> بالعملات</t>
  </si>
  <si>
    <t>القطاع الخاص</t>
  </si>
  <si>
    <t>للقطاع الخاص</t>
  </si>
  <si>
    <t>بنوك في</t>
  </si>
  <si>
    <t xml:space="preserve">الاجنبية </t>
  </si>
  <si>
    <t>الاحتياطيات</t>
  </si>
  <si>
    <t>القطاع العام</t>
  </si>
  <si>
    <t> (غير مقيم)</t>
  </si>
  <si>
    <t>الخارج</t>
  </si>
  <si>
    <t>with CBJ</t>
  </si>
  <si>
    <t>Credit Facilities</t>
  </si>
  <si>
    <t>in Foreign</t>
  </si>
  <si>
    <t xml:space="preserve"> to  Private Sector</t>
  </si>
  <si>
    <t>(In Foreign</t>
  </si>
  <si>
    <t xml:space="preserve"> (Resident)</t>
  </si>
  <si>
    <t xml:space="preserve"> (Non-Resident)</t>
  </si>
  <si>
    <t>Currencies)</t>
  </si>
  <si>
    <t xml:space="preserve">  (1)  :  Effective December 1993, Data were Reclassified According to New Definitions</t>
  </si>
  <si>
    <t xml:space="preserve"> (1)  :  تم اعادة تصنيف البيانات اعتبارا من كانون اول 1993 بموجب</t>
  </si>
  <si>
    <t xml:space="preserve">            of Monetary Sectors.</t>
  </si>
  <si>
    <t>:</t>
  </si>
  <si>
    <t xml:space="preserve">  (2)  :  Public Sector Accounts were Reclassified.</t>
  </si>
  <si>
    <t xml:space="preserve"> (2)  :  تم اعادة تصنيف حسابات مؤسسات القطاع العام.</t>
  </si>
  <si>
    <t xml:space="preserve">جدول رقم (8) : مطلوبات البنوك المرخصة  </t>
  </si>
  <si>
    <t xml:space="preserve">TABLE NO. (8) : LIABILITIES OF THE LICENSED BANKS </t>
  </si>
  <si>
    <t xml:space="preserve">  JD Million </t>
  </si>
  <si>
    <t xml:space="preserve">الاقتراض من </t>
  </si>
  <si>
    <t>احتياطيات</t>
  </si>
  <si>
    <t>بنوك محلية</t>
  </si>
  <si>
    <t>و</t>
  </si>
  <si>
    <t>والبنوك والمؤسسات</t>
  </si>
  <si>
    <t>مخصصات</t>
  </si>
  <si>
    <t xml:space="preserve"> الدفع</t>
  </si>
  <si>
    <t>Borrowing from</t>
  </si>
  <si>
    <t>Central Bank ,</t>
  </si>
  <si>
    <t>Local Banks</t>
  </si>
  <si>
    <t>Banks &amp;</t>
  </si>
  <si>
    <t>&amp; Financial</t>
  </si>
  <si>
    <t>Liabi-</t>
  </si>
  <si>
    <t>Allow-</t>
  </si>
  <si>
    <t>Government</t>
  </si>
  <si>
    <t>lities</t>
  </si>
  <si>
    <t>ances</t>
  </si>
  <si>
    <t>Payable</t>
  </si>
  <si>
    <t>جدول رقم (8) : مطلوبات البنوك المرخصة  (تابع)</t>
  </si>
  <si>
    <t>TABLE NO. (8) : LIABILITIES OF THE LICENSED BANKS (CONTINUED)</t>
  </si>
  <si>
    <t>ودائع التوفير ولأجل</t>
  </si>
  <si>
    <t>راس المال</t>
  </si>
  <si>
    <t xml:space="preserve">الاقتراض </t>
  </si>
  <si>
    <t>من البنك</t>
  </si>
  <si>
    <t>قطاع خاص</t>
  </si>
  <si>
    <t>Accounts &amp;</t>
  </si>
  <si>
    <t>From</t>
  </si>
  <si>
    <t>CBJ</t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</si>
  <si>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1993</t>
    </r>
  </si>
  <si>
    <r>
      <t>(2)</t>
    </r>
    <r>
      <rPr>
        <sz val="16"/>
        <rFont val="Times New Roman"/>
        <family val="1"/>
      </rPr>
      <t>1998</t>
    </r>
  </si>
  <si>
    <t xml:space="preserve">   (1)  :  Effective December 1993, Data were Reclassified According to New Definitions</t>
  </si>
  <si>
    <t xml:space="preserve">(1)  :  تم اعادة تصنيف البيانات اعتبارا من كانون اول 1993 بموجب </t>
  </si>
  <si>
    <t xml:space="preserve">   (2)  :  Public Sector Accounts were Reclassified.</t>
  </si>
  <si>
    <t>جدول رقم (9) :  الاحتياطيات الاجنبية للبنك المركزي الاردني (تابع) </t>
  </si>
  <si>
    <t>جدول رقم (9) :  الاحتياطيات الاجنبية للبنك المركزي الاردني </t>
  </si>
  <si>
    <t xml:space="preserve">TABLE NO.  (9) : CENTRAL BANK OF JORDAN FOREIGN RESERVES (CONTINUED) </t>
  </si>
  <si>
    <t xml:space="preserve">TABLE NO.  (9) : CENTRAL BANK OF JORDAN FOREIGN RESERVES </t>
  </si>
  <si>
    <t>JD Million</t>
  </si>
  <si>
    <t>  مليون  دينار</t>
  </si>
  <si>
    <t>End of Period</t>
  </si>
  <si>
    <t>نهاية  الفتــــــرة</t>
  </si>
  <si>
    <t>Assets in Gold and Foreign Currencies</t>
  </si>
  <si>
    <t>الموجودات  من  الذهب  والعملات  الاجنبية</t>
  </si>
  <si>
    <t>الذهــــــب</t>
  </si>
  <si>
    <t>(1)</t>
  </si>
  <si>
    <t>Ounces</t>
  </si>
  <si>
    <t>بالاونصات</t>
  </si>
  <si>
    <t>(2)</t>
  </si>
  <si>
    <t>Value</t>
  </si>
  <si>
    <t>القيمـــة</t>
  </si>
  <si>
    <t>Foreign Currencies</t>
  </si>
  <si>
    <t> </t>
  </si>
  <si>
    <t>العملات  الاجنبية</t>
  </si>
  <si>
    <t>(3)</t>
  </si>
  <si>
    <t>حقوق السحب الخاصة</t>
  </si>
  <si>
    <t>(4)</t>
  </si>
  <si>
    <t>Cash, Balances &amp; Deposits</t>
  </si>
  <si>
    <t>نقد وارصدة وودائع جاهزة</t>
  </si>
  <si>
    <t>(5)</t>
  </si>
  <si>
    <t>Bonds &amp; Treasury Bills</t>
  </si>
  <si>
    <t>سندات واذونات</t>
  </si>
  <si>
    <t>Other Assets in Foreign Currencies</t>
  </si>
  <si>
    <t>موجودات اخرى بالعملة  الاجنبية</t>
  </si>
  <si>
    <t>(6) Loans Arising From Payment Agreements</t>
  </si>
  <si>
    <t>ديون على الخارج تنفيذا لاتفاقيات الدفع</t>
  </si>
  <si>
    <t>(6)</t>
  </si>
  <si>
    <t>(7) Subscription to Inter. Financial Inst.</t>
  </si>
  <si>
    <t>المساهمة في المؤسسات المالية الدولية</t>
  </si>
  <si>
    <t>(7)</t>
  </si>
  <si>
    <t>(8)</t>
  </si>
  <si>
    <t>Total Assets in Gold and Foreign</t>
  </si>
  <si>
    <r>
      <t>  </t>
    </r>
    <r>
      <rPr>
        <b/>
        <sz val="16"/>
        <rFont val="Times New Roman"/>
        <family val="1"/>
      </rPr>
      <t>مجموع الموجودات من الذهب</t>
    </r>
  </si>
  <si>
    <t xml:space="preserve">      Currencies</t>
  </si>
  <si>
    <t>    والعملات الاجنبية</t>
  </si>
  <si>
    <t>Liabilities in Foreign Currencies</t>
  </si>
  <si>
    <t>المطلوبات  بالعملات  الاجنبية</t>
  </si>
  <si>
    <t>(9)</t>
  </si>
  <si>
    <t>Licensed Banks Deposits</t>
  </si>
  <si>
    <t>ودائع البنوك المرخصة</t>
  </si>
  <si>
    <t>(10)</t>
  </si>
  <si>
    <t>Non-Resident Deposits</t>
  </si>
  <si>
    <t>ودائع غير المقيمين</t>
  </si>
  <si>
    <t>(11)</t>
  </si>
  <si>
    <t>Central Government Deposits</t>
  </si>
  <si>
    <t>ودائع الحكومة المركزية</t>
  </si>
  <si>
    <t>(12)</t>
  </si>
  <si>
    <t>Public Entities Deposits</t>
  </si>
  <si>
    <t>ودائع المؤسسات العامة</t>
  </si>
  <si>
    <t>(13)</t>
  </si>
  <si>
    <t>Reserve Deposits</t>
  </si>
  <si>
    <t>ودائع الاحتياطي</t>
  </si>
  <si>
    <t>(14)</t>
  </si>
  <si>
    <t>اخرى </t>
  </si>
  <si>
    <t>(15)</t>
  </si>
  <si>
    <t xml:space="preserve">Total Liabilities in Foreign </t>
  </si>
  <si>
    <t xml:space="preserve">   مجموع  المطلوبات  بالعملة </t>
  </si>
  <si>
    <t xml:space="preserve"> Currencies</t>
  </si>
  <si>
    <t xml:space="preserve"> الاجنبيـــــة      </t>
  </si>
  <si>
    <t>Evaluated in Million of U.S. Dollar</t>
  </si>
  <si>
    <t>مقوماً  بالدولار الامريكي (مليون دولار)</t>
  </si>
  <si>
    <t>Note : Classification is Based on Currency Irrespective of Residency.</t>
  </si>
  <si>
    <t>ملاحظة : الاساس المعتمد للتصنيف هو نوع العملة بغض النظر عن الاقامة.</t>
  </si>
  <si>
    <t xml:space="preserve">              </t>
  </si>
  <si>
    <t>جدول رقم (10) : الودائع لدى البنوك المرخصة حسب الجهة المودعة ونوع الوديعة (تابع)</t>
  </si>
  <si>
    <t>جدول رقم (10) : الودائع لدى البنوك المرخصة حسب الجهة المودعة ونوع الوديعة</t>
  </si>
  <si>
    <t>TABLE NO. (10) :  DEPOSITS WITH LICENSED BANKS BY DEPOSITOR AND TYPE (CONTINUED)</t>
  </si>
  <si>
    <t xml:space="preserve">TABLE NO. (10) :  DEPOSITS WITH LICENSED BANKS BY DEPOSITOR AND TYPE </t>
  </si>
  <si>
    <t xml:space="preserve">الودائع حسب العملة </t>
  </si>
  <si>
    <t xml:space="preserve"> By Depositor</t>
  </si>
  <si>
    <t>الجهة المودعة</t>
  </si>
  <si>
    <t>Deposits by currency</t>
  </si>
  <si>
    <t>القطاع الخاص (غير مقيم)</t>
  </si>
  <si>
    <t>الحكومـــة</t>
  </si>
  <si>
    <t>مؤسسات  شبه حكومية</t>
  </si>
  <si>
    <t>البــلديات</t>
  </si>
  <si>
    <t>المؤسسات العامة</t>
  </si>
  <si>
    <t>القطاع الخاص(مقيم)</t>
  </si>
  <si>
    <t>بالعملة الاجنبية</t>
  </si>
  <si>
    <t>بالدينار الاردني</t>
  </si>
  <si>
    <t>Private Sector (Non-Resident)</t>
  </si>
  <si>
    <t>Semi-Government</t>
  </si>
  <si>
    <t>Private Sector (Resident)</t>
  </si>
  <si>
    <t>تحت</t>
  </si>
  <si>
    <t>لأجــل</t>
  </si>
  <si>
    <t>توفير</t>
  </si>
  <si>
    <t>الطلب</t>
  </si>
  <si>
    <t>Grand</t>
  </si>
  <si>
    <t>In JD</t>
  </si>
  <si>
    <t>Time</t>
  </si>
  <si>
    <t>Saving</t>
  </si>
  <si>
    <t>Demand</t>
  </si>
  <si>
    <t>جدول رقم (10) : الودائع لدى البنوك المرخصة حسب الجهة المودعة ونوع الوديعة (تابع)</t>
  </si>
  <si>
    <t>جدول رقم (10) :الودائع لدى البنوك المرخصة حسب الجهة المودعة ونوع الوديعة (تابع)</t>
  </si>
  <si>
    <t xml:space="preserve">Deposits by Currency </t>
  </si>
  <si>
    <t>الحكومـــة المركزية</t>
  </si>
  <si>
    <t>مؤسسات مالية غير مصرفية</t>
  </si>
  <si>
    <t>البــلديات والمجالس القروية</t>
  </si>
  <si>
    <t>القطاع الخاص (مقيم)</t>
  </si>
  <si>
    <t>Central Government</t>
  </si>
  <si>
    <t>Non-Banking Financial Institutions</t>
  </si>
  <si>
    <t>Municipalities &amp; Local Governments</t>
  </si>
  <si>
    <r>
      <t>1993</t>
    </r>
    <r>
      <rPr>
        <vertAlign val="superscript"/>
        <sz val="16"/>
        <rFont val="Times New Roman"/>
        <family val="1"/>
      </rPr>
      <t>(1)</t>
    </r>
  </si>
  <si>
    <r>
      <t>1998</t>
    </r>
    <r>
      <rPr>
        <vertAlign val="superscript"/>
        <sz val="16"/>
        <rFont val="Times New Roman"/>
        <family val="1"/>
      </rPr>
      <t>(2)</t>
    </r>
  </si>
  <si>
    <t xml:space="preserve">   (1)  :  Effective December 1993,Data were Reclassified According to New Definitions</t>
  </si>
  <si>
    <t xml:space="preserve">  (1)  :  تم اعادة تصنيف البيانات اعتبارا من كانون اول 1993 بموجب </t>
  </si>
  <si>
    <t xml:space="preserve">            تعاريف جديدة للقطاعات النقدية.</t>
  </si>
  <si>
    <t xml:space="preserve">   (2)   :  Public Sector Accounts were Reclassified.</t>
  </si>
  <si>
    <t xml:space="preserve">  (2)  :  تم اعادة تصنيف حسابات مؤسسات القطاع العام.</t>
  </si>
  <si>
    <t>جدول  رقم (11) : توزيع التسهيلات الائتمانية للبنوك المرخصة حسب القطاعات</t>
  </si>
  <si>
    <t>TABLE NO. (11) : SECTORIAL DISTRIBUTION OF OUTSTANDING LICENSED BANKS CREDIT</t>
  </si>
  <si>
    <t>أصحاب</t>
  </si>
  <si>
    <t>السياحة</t>
  </si>
  <si>
    <t>المهن و</t>
  </si>
  <si>
    <t xml:space="preserve">  مؤسسات</t>
  </si>
  <si>
    <t>والفنادق</t>
  </si>
  <si>
    <t>خدمات</t>
  </si>
  <si>
    <t>التجارة</t>
  </si>
  <si>
    <t>أخرى</t>
  </si>
  <si>
    <t>الافراد</t>
  </si>
  <si>
    <t>والمطاعم</t>
  </si>
  <si>
    <t>النقل</t>
  </si>
  <si>
    <t>الانشاءات</t>
  </si>
  <si>
    <t>العامــة</t>
  </si>
  <si>
    <t>الصناعـــة</t>
  </si>
  <si>
    <t>التعدين</t>
  </si>
  <si>
    <t>الزراعة</t>
  </si>
  <si>
    <t>Profess-</t>
  </si>
  <si>
    <t>Tourism,</t>
  </si>
  <si>
    <t>Munici-</t>
  </si>
  <si>
    <t>ionals &amp;</t>
  </si>
  <si>
    <t>Hotels</t>
  </si>
  <si>
    <t>palities</t>
  </si>
  <si>
    <t>Commerce</t>
  </si>
  <si>
    <t>Indivi-</t>
  </si>
  <si>
    <t>Institu-</t>
  </si>
  <si>
    <t>Restaur-</t>
  </si>
  <si>
    <t>Transpo-</t>
  </si>
  <si>
    <t>Construc-</t>
  </si>
  <si>
    <t>Agric-</t>
  </si>
  <si>
    <t>duals</t>
  </si>
  <si>
    <t>tions</t>
  </si>
  <si>
    <t>ants</t>
  </si>
  <si>
    <t>rtation</t>
  </si>
  <si>
    <t>tion</t>
  </si>
  <si>
    <t>Trade</t>
  </si>
  <si>
    <t>Industry</t>
  </si>
  <si>
    <t>Mining</t>
  </si>
  <si>
    <t>ulture</t>
  </si>
  <si>
    <t>جدول  رقم (11) : توزيع التسهيلات الائتمانية للبنوك المرخصة حسب القطاعات (تابع)</t>
  </si>
  <si>
    <t>TABLE NO. (11) : SECTORIAL DISTRIBUTION OF OUTSTANDING LICENSED BANKS CREDIT (CONTINUED)</t>
  </si>
  <si>
    <t>ومرافق</t>
  </si>
  <si>
    <t>التعديــن</t>
  </si>
  <si>
    <t xml:space="preserve"> Public Services</t>
  </si>
  <si>
    <t>Transpor-</t>
  </si>
  <si>
    <t>tation</t>
  </si>
  <si>
    <t>Services</t>
  </si>
  <si>
    <t>Utilities</t>
  </si>
  <si>
    <t>Construction</t>
  </si>
  <si>
    <t xml:space="preserve">                             </t>
  </si>
  <si>
    <t xml:space="preserve">   (1)  :  Effective December 1993, Data were Reclassified According to New Definitions </t>
  </si>
  <si>
    <t xml:space="preserve">.تعاريف جديدة للقطاعات النقدية          </t>
  </si>
  <si>
    <t xml:space="preserve">   (2)  :  Public Sector Accounts were Reclassified. </t>
  </si>
  <si>
    <t xml:space="preserve">جدول  رقم (12) : توزيع التسهيلات الائتمانية  للبنوك المرخصة حسب الجهة المقترضة ونوع العملة </t>
  </si>
  <si>
    <t>TABLE NO. (12) : CREDIT FACILITIES EXTENDED BY THE LICENSED BANKS 
ACCORDING TO BORROWER AND CURRENCY</t>
  </si>
  <si>
    <t>وفقا لنوع العملة</t>
  </si>
  <si>
    <t xml:space="preserve"> وفقاً للجهة المقترضة</t>
  </si>
  <si>
    <t>By Currency</t>
  </si>
  <si>
    <t>By Borrower</t>
  </si>
  <si>
    <t>القطاع الخاص </t>
  </si>
  <si>
    <t>المؤسسات المالية</t>
  </si>
  <si>
    <t>المؤسسات العامة</t>
  </si>
  <si>
    <t>الحكومة المركزية</t>
  </si>
  <si>
    <t>(غير مقيم)</t>
  </si>
  <si>
    <t xml:space="preserve"> In Foreign</t>
  </si>
  <si>
    <t xml:space="preserve">Private Sector </t>
  </si>
  <si>
    <t xml:space="preserve">Central </t>
  </si>
  <si>
    <t>Financial Institutions</t>
  </si>
  <si>
    <t xml:space="preserve">Government </t>
  </si>
  <si>
    <t>_</t>
  </si>
  <si>
    <t>جدول رقم (13) : موجودات فروع البنوك الاردنية العاملة في الاراضي الفلسطينية</t>
  </si>
  <si>
    <t xml:space="preserve">TABLE NO. (13) : ASSETS OF JORDANIAN BANKS' BRANCHES OPERATING IN PALESTINE </t>
  </si>
  <si>
    <t xml:space="preserve">مليون دينار </t>
  </si>
  <si>
    <t xml:space="preserve">أرصدة </t>
  </si>
  <si>
    <t>محفظــة </t>
  </si>
  <si>
    <t>التسهيـــــلات</t>
  </si>
  <si>
    <t> لدى الجهاز</t>
  </si>
  <si>
    <t>نقـــــد </t>
  </si>
  <si>
    <t>موجودات اخـرى</t>
  </si>
  <si>
    <t>الاوراق الماليــــة</t>
  </si>
  <si>
    <t> الائتمانية</t>
  </si>
  <si>
    <t>المصرفي</t>
  </si>
  <si>
    <t>فـي الصنــــدوق</t>
  </si>
  <si>
    <t xml:space="preserve">Balances with </t>
  </si>
  <si>
    <t xml:space="preserve">Cash in </t>
  </si>
  <si>
    <t>Other Assets</t>
  </si>
  <si>
    <t>Portfolio</t>
  </si>
  <si>
    <t>The Banking System</t>
  </si>
  <si>
    <t xml:space="preserve"> Assets</t>
  </si>
  <si>
    <t xml:space="preserve">جدول رقم (14)  : مطلوبات فروع البنوك الاردنية العاملة في الاراضي الفلسطينية  </t>
  </si>
  <si>
    <t>TABLE NO. (14) :LIABILITIES OF JORDANIAN BANKS' BRANCHES OPERATING IN PALESTINE</t>
  </si>
  <si>
    <t>مطلوبات  اخــــــرى</t>
  </si>
  <si>
    <t xml:space="preserve">رأس المال والاحتياطيات والمخصصات </t>
  </si>
  <si>
    <t>ودائع العمــــــلاء</t>
  </si>
  <si>
    <t>ودائع الجهاز المصرفي</t>
  </si>
  <si>
    <t xml:space="preserve">Capital, Reserves </t>
  </si>
  <si>
    <t>Customer's</t>
  </si>
  <si>
    <t>Deposits of</t>
  </si>
  <si>
    <t>Other Liabilities</t>
  </si>
  <si>
    <t>and Allowances</t>
  </si>
  <si>
    <t xml:space="preserve"> Banking System</t>
  </si>
  <si>
    <t>جدول رقم (15) : هيكل اسعار الفوائد</t>
  </si>
  <si>
    <t>TABLE NO. (15) : INTEREST RATES STRUCTURE</t>
  </si>
  <si>
    <t>Percentages</t>
  </si>
  <si>
    <t>نسب مئوية</t>
  </si>
  <si>
    <t>أسعار الفائدة على أدوات البنك المركزي</t>
  </si>
  <si>
    <t>Interest Rates on Central Bank Instruments</t>
  </si>
  <si>
    <t>سعر فائدة</t>
  </si>
  <si>
    <t xml:space="preserve">أسعار الفائدة على  شهادات الايداع </t>
  </si>
  <si>
    <t>سعر</t>
  </si>
  <si>
    <t>اتفاقيات اعادة</t>
  </si>
  <si>
    <t>Interest Rates on Certificates of Deposit</t>
  </si>
  <si>
    <t xml:space="preserve"> اعادة </t>
  </si>
  <si>
    <t xml:space="preserve">سعر فائدة اتفاقيات </t>
  </si>
  <si>
    <t>سعر فائدة نافذة</t>
  </si>
  <si>
    <t>الشراء</t>
  </si>
  <si>
    <t>الخصم</t>
  </si>
  <si>
    <r>
      <t>اعادة  الشراء</t>
    </r>
    <r>
      <rPr>
        <vertAlign val="superscript"/>
        <sz val="12"/>
        <rFont val="Times New Roman"/>
        <family val="1"/>
      </rPr>
      <t>(1)</t>
    </r>
  </si>
  <si>
    <t>الايداع لليلة واحدة</t>
  </si>
  <si>
    <t>لليلة الواحدة</t>
  </si>
  <si>
    <t>ستة أشهر</t>
  </si>
  <si>
    <t>ثلاثة اشهر</t>
  </si>
  <si>
    <t xml:space="preserve">    Interest Rate on   </t>
  </si>
  <si>
    <t>Overnight Deposit</t>
  </si>
  <si>
    <t xml:space="preserve">Re-discount </t>
  </si>
  <si>
    <r>
      <t>Repurchase  Agreements</t>
    </r>
    <r>
      <rPr>
        <vertAlign val="superscript"/>
        <sz val="12"/>
        <rFont val="Times New Roman"/>
        <family val="1"/>
      </rPr>
      <t>(1)</t>
    </r>
  </si>
  <si>
    <t xml:space="preserve"> Window Rate</t>
  </si>
  <si>
    <t>REPO</t>
  </si>
  <si>
    <t>Six Months</t>
  </si>
  <si>
    <t>Three Months</t>
  </si>
  <si>
    <t>Rate</t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</si>
  <si>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2008</t>
    </r>
  </si>
  <si>
    <t>(1) : Represent the Intrest Rate Repurchase Agreements for One week and Month .</t>
  </si>
  <si>
    <t>(1) :  يمثل سعر فائده اتفاقيات اعادة الشراء لاجل اسبوع وشهر.</t>
  </si>
  <si>
    <t xml:space="preserve">(2) : The Issuance of Certificates of Deposit for Three &amp; Six Months were Stopped since October 2008. </t>
  </si>
  <si>
    <t>(2) : تم التوقف عن اصدار شهادات الايداع لاجل ثلاثة وستة اشهر في تشرين الاول 2008.</t>
  </si>
  <si>
    <t>جدول رقم (15) : هيكل اسعار الفوائد (تابع)</t>
  </si>
  <si>
    <t>TABLE NO. (15) : INTEREST RATES STRUCTURE (CONTINUED)</t>
  </si>
  <si>
    <t>أسعار الفائدة لدى البنوك المرخصة</t>
  </si>
  <si>
    <t>Interest Rates of Licensed Banks</t>
  </si>
  <si>
    <t xml:space="preserve">سعر فائدة </t>
  </si>
  <si>
    <r>
      <t xml:space="preserve"> اسعار الفائدة على الودائع</t>
    </r>
    <r>
      <rPr>
        <vertAlign val="superscript"/>
        <sz val="12"/>
        <rFont val="Times New Roman"/>
        <family val="1"/>
      </rPr>
      <t>(2)</t>
    </r>
  </si>
  <si>
    <r>
      <t xml:space="preserve"> اسعار الفائدة  على التسهيلات الائتمانية </t>
    </r>
    <r>
      <rPr>
        <vertAlign val="superscript"/>
        <sz val="12"/>
        <rFont val="Times New Roman"/>
        <family val="1"/>
      </rPr>
      <t>(1)</t>
    </r>
  </si>
  <si>
    <t xml:space="preserve">سعر الإقراض </t>
  </si>
  <si>
    <r>
      <t>Interest Rates on Deposits Interest Rates</t>
    </r>
    <r>
      <rPr>
        <vertAlign val="superscript"/>
        <sz val="12"/>
        <rFont val="Times New Roman"/>
        <family val="1"/>
      </rPr>
      <t xml:space="preserve">(2) </t>
    </r>
  </si>
  <si>
    <r>
      <t xml:space="preserve"> Interest Rates on Credit Facilities </t>
    </r>
    <r>
      <rPr>
        <vertAlign val="superscript"/>
        <sz val="12"/>
        <rFont val="Times New Roman"/>
        <family val="1"/>
      </rPr>
      <t>(1)</t>
    </r>
  </si>
  <si>
    <r>
      <t>لأفضل العملاء</t>
    </r>
    <r>
      <rPr>
        <vertAlign val="superscript"/>
        <sz val="12"/>
        <rFont val="Times New Roman"/>
        <family val="1"/>
      </rPr>
      <t>(3)</t>
    </r>
  </si>
  <si>
    <t>بين البنوك</t>
  </si>
  <si>
    <t xml:space="preserve">كمبيالات واسناد </t>
  </si>
  <si>
    <t>Inter-</t>
  </si>
  <si>
    <t>لأجل</t>
  </si>
  <si>
    <t>تحت الطلب</t>
  </si>
  <si>
    <t>مخصومه</t>
  </si>
  <si>
    <t>قروض وسلف</t>
  </si>
  <si>
    <t>جاري مدين</t>
  </si>
  <si>
    <t xml:space="preserve">Prime Lending </t>
  </si>
  <si>
    <t xml:space="preserve">Discounted </t>
  </si>
  <si>
    <t xml:space="preserve">Loans &amp; </t>
  </si>
  <si>
    <r>
      <t xml:space="preserve">Rate </t>
    </r>
    <r>
      <rPr>
        <vertAlign val="superscript"/>
        <sz val="12"/>
        <rFont val="Times New Roman"/>
        <family val="1"/>
      </rPr>
      <t>(3)</t>
    </r>
  </si>
  <si>
    <t>Bills &amp; Bonds</t>
  </si>
  <si>
    <t>Advances</t>
  </si>
  <si>
    <t>Overdrafts</t>
  </si>
  <si>
    <t>8.0-9.0</t>
  </si>
  <si>
    <t>6-6.5</t>
  </si>
  <si>
    <t>8.0-8.75</t>
  </si>
  <si>
    <t>6.5-7</t>
  </si>
  <si>
    <t>5.5-6</t>
  </si>
  <si>
    <t>7.25-8.0</t>
  </si>
  <si>
    <t xml:space="preserve">  (1)   :   Represent Isnterest Rates weighted by Credit Facilities Volume for the Period 1990-2013.     </t>
  </si>
  <si>
    <t xml:space="preserve"> (1)  : تمثل سعر فائدة مرجح بحجم التسهيلات للفترة 1990-2013.</t>
  </si>
  <si>
    <t xml:space="preserve">  (2)   :   Represent Interest Rates Weighted by Deposits Volume for the Period 1990-2013. </t>
  </si>
  <si>
    <t xml:space="preserve"> (2)  : تمثل سعر فائدة مرجح بحجم الودائع للفترة 1990-2013.</t>
  </si>
  <si>
    <r>
      <t xml:space="preserve"> </t>
    </r>
    <r>
      <rPr>
        <sz val="14"/>
        <rFont val="Times New Roman"/>
        <family val="1"/>
      </rPr>
      <t xml:space="preserve"> (3)   :   Represent the Minimum Prime Lending Rate for Credit Extended by Licensed Banks.</t>
    </r>
  </si>
  <si>
    <t xml:space="preserve"> (3)  : تمثل الحد الأدنى لسعر فائدة الإقراض لأفضل العملاء للإئتمان الممنوح من قبل البنوك المرخصة.</t>
  </si>
  <si>
    <t xml:space="preserve">جدول رقم (16) : مؤشرات المتانة المالية </t>
  </si>
  <si>
    <t>TABLE NO.  (16) : FINANClAL SOUNDNESS INDICATORS</t>
  </si>
  <si>
    <t xml:space="preserve">  Capital Adequacy Ratio (%)</t>
  </si>
  <si>
    <t xml:space="preserve">  نسبة كفاية رأس المال (%)</t>
  </si>
  <si>
    <t xml:space="preserve">  Nonperforming Loans/Total Loans(%)</t>
  </si>
  <si>
    <t xml:space="preserve">   نسبة الديون غير العاملة/اجمالي الديون(%)
 </t>
  </si>
  <si>
    <t xml:space="preserve">  Coverage Ratio (%)</t>
  </si>
  <si>
    <t xml:space="preserve">  نسبة تغطية الديون غير العاملة (%)</t>
  </si>
  <si>
    <t xml:space="preserve">  Leverage Ratio (%)</t>
  </si>
  <si>
    <t xml:space="preserve">  نسبة الرفع المالي (%)</t>
  </si>
  <si>
    <t xml:space="preserve">  Return on Equity (ROE) (%)</t>
  </si>
  <si>
    <t xml:space="preserve">  العائد على حقوق المساهمين (%)</t>
  </si>
  <si>
    <t xml:space="preserve">  Return on Assets (ROA) (%)</t>
  </si>
  <si>
    <t xml:space="preserve">  العائد على الموجودات (%)</t>
  </si>
  <si>
    <t xml:space="preserve">  Interest Margin/gross income (%)</t>
  </si>
  <si>
    <t xml:space="preserve">  هامش الفائدة/اجمالي الدخل (%)</t>
  </si>
  <si>
    <t xml:space="preserve">  Net Profits Before Taxes (JD Million)</t>
  </si>
  <si>
    <t xml:space="preserve">  صافي الربح قبل الضريبة (مليون دينار)</t>
  </si>
  <si>
    <t xml:space="preserve">  Net Profits After Taxes (JD Million)</t>
  </si>
  <si>
    <t xml:space="preserve">  صافي الربح بعد الضريبة (مليون دينار)</t>
  </si>
  <si>
    <t xml:space="preserve">  Liquidity Ratio (%)</t>
  </si>
  <si>
    <t xml:space="preserve">  نسبة السيولة القانونية (%)</t>
  </si>
  <si>
    <t xml:space="preserve">  Growth Rate of Total Assets (%)</t>
  </si>
  <si>
    <t xml:space="preserve">  معدل نمو اجمالي الموجودات (%)</t>
  </si>
  <si>
    <t xml:space="preserve">  Growth Rate of Customer Deposits(%)</t>
  </si>
  <si>
    <t xml:space="preserve">  معدل نمو ودائع العملاء (%)</t>
  </si>
  <si>
    <t xml:space="preserve">  Growth Rate of Credit Facilities (%)</t>
  </si>
  <si>
    <t xml:space="preserve">  معدل نمو التسهيلات (%)</t>
  </si>
  <si>
    <r>
      <t>جدول رقم (17) : خلاصة الموازنة العامة للحكومة المركزية</t>
    </r>
    <r>
      <rPr>
        <b/>
        <vertAlign val="superscript"/>
        <sz val="20"/>
        <rFont val="Times New Roman"/>
        <family val="1"/>
      </rPr>
      <t>*</t>
    </r>
  </si>
  <si>
    <r>
      <t xml:space="preserve">TABLE NO.(17) : SUMMARY OF CENTRAL GOVERNMENT BUDGET </t>
    </r>
    <r>
      <rPr>
        <b/>
        <vertAlign val="superscript"/>
        <sz val="20"/>
        <rFont val="Times New Roman"/>
        <family val="1"/>
      </rPr>
      <t>*</t>
    </r>
  </si>
  <si>
    <t xml:space="preserve">العجز / الوفر الكلي </t>
  </si>
  <si>
    <t>اجمالي النفقات</t>
  </si>
  <si>
    <t>(قبل المنح)</t>
  </si>
  <si>
    <t>(بعد المنح )</t>
  </si>
  <si>
    <t>Total Expenditures</t>
  </si>
  <si>
    <t>Total Revenues and Grants</t>
  </si>
  <si>
    <t xml:space="preserve">النفقات </t>
  </si>
  <si>
    <t>النفقات</t>
  </si>
  <si>
    <t>الايرادات</t>
  </si>
  <si>
    <t>Overall Balance</t>
  </si>
  <si>
    <t>الرأسمالية</t>
  </si>
  <si>
    <t>الجارية</t>
  </si>
  <si>
    <t>الخارجية</t>
  </si>
  <si>
    <t>Deficit / Surplus</t>
  </si>
  <si>
    <t xml:space="preserve"> Deficit / Surplus</t>
  </si>
  <si>
    <t>Current</t>
  </si>
  <si>
    <t>External</t>
  </si>
  <si>
    <t>(Excluding  Grants)</t>
  </si>
  <si>
    <t>(Including Grants)</t>
  </si>
  <si>
    <t>Expenditures</t>
  </si>
  <si>
    <t>Grants</t>
  </si>
  <si>
    <t>Revenues</t>
  </si>
  <si>
    <t>1965/64</t>
  </si>
  <si>
    <t>1966/65</t>
  </si>
  <si>
    <r>
      <rPr>
        <vertAlign val="superscript"/>
        <sz val="19"/>
        <rFont val="Times New Roman"/>
        <family val="1"/>
      </rPr>
      <t>(1)</t>
    </r>
    <r>
      <rPr>
        <sz val="19"/>
        <rFont val="Times New Roman"/>
        <family val="1"/>
      </rPr>
      <t>1966</t>
    </r>
  </si>
  <si>
    <r>
      <rPr>
        <vertAlign val="superscript"/>
        <sz val="19"/>
        <rFont val="Times New Roman"/>
        <family val="1"/>
      </rPr>
      <t>(2)</t>
    </r>
    <r>
      <rPr>
        <sz val="19"/>
        <rFont val="Times New Roman"/>
        <family val="1"/>
      </rPr>
      <t>1993</t>
    </r>
  </si>
  <si>
    <r>
      <rPr>
        <vertAlign val="superscript"/>
        <sz val="19"/>
        <rFont val="Times New Roman"/>
        <family val="1"/>
      </rPr>
      <t>(3)</t>
    </r>
    <r>
      <rPr>
        <sz val="19"/>
        <rFont val="Times New Roman"/>
        <family val="1"/>
      </rPr>
      <t>-338.2</t>
    </r>
  </si>
  <si>
    <r>
      <rPr>
        <vertAlign val="superscript"/>
        <sz val="19"/>
        <rFont val="Times New Roman"/>
        <family val="1"/>
      </rPr>
      <t>(4)</t>
    </r>
    <r>
      <rPr>
        <sz val="19"/>
        <rFont val="Times New Roman"/>
        <family val="1"/>
      </rPr>
      <t>2010</t>
    </r>
  </si>
  <si>
    <r>
      <rPr>
        <vertAlign val="superscript"/>
        <sz val="19"/>
        <rFont val="Times New Roman"/>
        <family val="1"/>
      </rPr>
      <t>(5)</t>
    </r>
    <r>
      <rPr>
        <sz val="19"/>
        <rFont val="Times New Roman"/>
        <family val="1"/>
      </rPr>
      <t>2011</t>
    </r>
  </si>
  <si>
    <r>
      <rPr>
        <vertAlign val="superscript"/>
        <sz val="19"/>
        <rFont val="Times New Roman"/>
        <family val="1"/>
      </rPr>
      <t>(6)</t>
    </r>
    <r>
      <rPr>
        <sz val="19"/>
        <rFont val="Times New Roman"/>
        <family val="1"/>
      </rPr>
      <t>2012</t>
    </r>
  </si>
  <si>
    <t xml:space="preserve">  Source :   Ministry of Finance.</t>
  </si>
  <si>
    <t>المصــدر :  وزارة الماليــة.</t>
  </si>
  <si>
    <t xml:space="preserve">    (*)     :   Represents the Final Account. </t>
  </si>
  <si>
    <t>يمثل الحساب الختامي .</t>
  </si>
  <si>
    <t xml:space="preserve">   (*)     :  </t>
  </si>
  <si>
    <t xml:space="preserve">    (1)     :   Nine Months.</t>
  </si>
  <si>
    <t xml:space="preserve"> تسعة أشهـــر.</t>
  </si>
  <si>
    <t xml:space="preserve">   (1)     :  </t>
  </si>
  <si>
    <t xml:space="preserve">    (2)     :   Starting from October 2004, Data of Demostic Revenues, Foreign Grants and Current</t>
  </si>
  <si>
    <t>تم تعديل بيانات الايرادات المحلية والمساعدات الخارجية في ضوء المنهجية الجديدة المعتمدة والنفقات</t>
  </si>
  <si>
    <t xml:space="preserve">   (2)     :  </t>
  </si>
  <si>
    <t xml:space="preserve">                  Expenditures have been Adjusted in Light of The New Methodology Adopted by Ministry of </t>
  </si>
  <si>
    <t>الجارية اعتبارا من  شهر تشرين اول 2004 وذلك من قبل وزارة المالية  في احتساب هذه البيانات</t>
  </si>
  <si>
    <t xml:space="preserve">                 Finance: OilGrants were Re-evaluated According to International Oil Prices, at the Same Time, </t>
  </si>
  <si>
    <t>والمتمثلة بتقييم المنح النفطية وفقا  للاسعار العالمية واظهار بند دعم المحروقات في النفقات الجارية</t>
  </si>
  <si>
    <t xml:space="preserve">                  a New Item was Added under the Current Expenditures Representing Oil Subsidies and Oil </t>
  </si>
  <si>
    <t xml:space="preserve">وتعديل بيانات فائض النفط في بند الايرادات الجارية وتعديل بيانات فائض النفط في بند الايرادات  </t>
  </si>
  <si>
    <t xml:space="preserve">                 Surplus Included in Non-Tax Revenues was Adjusted Accordingly. This New Methodology .</t>
  </si>
  <si>
    <t xml:space="preserve">المختلفة ضمن الايرادات غير الضريبية. وقد تم عكس هذه المنهجية على البيانات منذ عام 1993.  </t>
  </si>
  <si>
    <t xml:space="preserve">                 has been Applied on Data Starting of 1993</t>
  </si>
  <si>
    <t xml:space="preserve">   (3)      :   Includes Irregular Revenues of JD 354.5 Million from Selling a land in Aqaba. </t>
  </si>
  <si>
    <t>تتضمن مبلغ (354.5) مليون دينار ايرادات غير متكررة والتي تمثل ثمن بيع ارض العقبة.</t>
  </si>
  <si>
    <t xml:space="preserve">   (3)     :  </t>
  </si>
  <si>
    <t xml:space="preserve">   (4)      :   Including the First &amp; Second Supplementary Budgets for 2010. </t>
  </si>
  <si>
    <t>تتضمن ملحقي الموازنة الاول والثاني لعام 2010 .</t>
  </si>
  <si>
    <t xml:space="preserve">   (4)     :  </t>
  </si>
  <si>
    <t xml:space="preserve">   (5)      :   Including the Supplementary Budget for 2011.</t>
  </si>
  <si>
    <t>تتضمن ملحق الموازنة لعام 2011 .</t>
  </si>
  <si>
    <t xml:space="preserve">   (5)     :  </t>
  </si>
  <si>
    <t xml:space="preserve">   (6)      :   Including the Supplementary Budget for 2012.</t>
  </si>
  <si>
    <t>تتضمن ملحق الموازنة لعام 2012 .</t>
  </si>
  <si>
    <t xml:space="preserve">   (6)     :  </t>
  </si>
  <si>
    <r>
      <t xml:space="preserve">جدول رقم (18) :  الرصيد القائم للـــدين العـــام الخـــــارجــــــــي (موازنة ومكفول) (تابع) </t>
    </r>
    <r>
      <rPr>
        <b/>
        <vertAlign val="superscript"/>
        <sz val="20"/>
        <rFont val="Times New Roman"/>
        <family val="1"/>
      </rPr>
      <t>(1)</t>
    </r>
    <r>
      <rPr>
        <b/>
        <sz val="20"/>
        <rFont val="Times New Roman"/>
        <family val="1"/>
      </rPr>
      <t xml:space="preserve">  </t>
    </r>
    <r>
      <rPr>
        <b/>
        <vertAlign val="superscript"/>
        <sz val="20"/>
        <rFont val="Times New Roman"/>
        <family val="1"/>
      </rPr>
      <t xml:space="preserve"> </t>
    </r>
  </si>
  <si>
    <r>
      <t>جدول رقم (18) :  الرصيد القائم للـــدين العـــام الخـــــارجــــــــي (موازنة ومكفول )</t>
    </r>
    <r>
      <rPr>
        <b/>
        <vertAlign val="superscript"/>
        <sz val="20"/>
        <rFont val="Times New Roman"/>
        <family val="1"/>
      </rPr>
      <t>(1)</t>
    </r>
    <r>
      <rPr>
        <b/>
        <sz val="20"/>
        <rFont val="Times New Roman"/>
        <family val="1"/>
      </rPr>
      <t xml:space="preserve"> </t>
    </r>
  </si>
  <si>
    <r>
      <t xml:space="preserve">TABLE NO. (18) :  OUTSTANDING BALANCE OF EXTERNAL PUBLIC DEBT (BUDGET AND GUARANTEED) (CONTINUED) </t>
    </r>
    <r>
      <rPr>
        <b/>
        <vertAlign val="superscript"/>
        <sz val="18"/>
        <rFont val="Times New Roman"/>
        <family val="1"/>
      </rPr>
      <t>(1)</t>
    </r>
  </si>
  <si>
    <r>
      <t xml:space="preserve">TABLE NO. (18) :  OUTSTANDING BALANCE OF EXTERNAL PUBLIC DEBT (BUDGET AND GUARANTEED) </t>
    </r>
    <r>
      <rPr>
        <b/>
        <vertAlign val="superscript"/>
        <sz val="18"/>
        <rFont val="Times New Roman"/>
        <family val="1"/>
      </rPr>
      <t>(1)</t>
    </r>
  </si>
  <si>
    <t xml:space="preserve"> JD Million</t>
  </si>
  <si>
    <t xml:space="preserve">Lending Source </t>
  </si>
  <si>
    <t>الجهــــة المقرضـــــــــــة</t>
  </si>
  <si>
    <t>1) Long-Term Loans</t>
  </si>
  <si>
    <t>1 ) قروض طويلة الاجل</t>
  </si>
  <si>
    <t xml:space="preserve">  A) Arab Governments</t>
  </si>
  <si>
    <t xml:space="preserve">     أ  ) حكومات عربيــــــة</t>
  </si>
  <si>
    <t>1. Bilateral Loans</t>
  </si>
  <si>
    <t xml:space="preserve">     1. القروض الثنائيــة</t>
  </si>
  <si>
    <t xml:space="preserve">2. Arab Funds  </t>
  </si>
  <si>
    <t xml:space="preserve">     2. الصناديق العربية </t>
  </si>
  <si>
    <t xml:space="preserve">  B) Industrial Countries</t>
  </si>
  <si>
    <t xml:space="preserve">     ب ) البلدان الصناعيــــــــة</t>
  </si>
  <si>
    <t>1. Bilateral Loans, of which :</t>
  </si>
  <si>
    <t xml:space="preserve">     1. القروض الثنائيـــة منهــا  :</t>
  </si>
  <si>
    <t>Germany</t>
  </si>
  <si>
    <t xml:space="preserve">   المانيـــــــــــــــــــــــــــا</t>
  </si>
  <si>
    <t>France</t>
  </si>
  <si>
    <t xml:space="preserve">   فرنســــــــــــــــــــــــــا</t>
  </si>
  <si>
    <t>Japan</t>
  </si>
  <si>
    <t xml:space="preserve">   اليابــــــــــــــــــــــــــان</t>
  </si>
  <si>
    <t>United States</t>
  </si>
  <si>
    <t xml:space="preserve">   الولايات المتحدة</t>
  </si>
  <si>
    <t>2. Export Credit Guarantees,</t>
  </si>
  <si>
    <t xml:space="preserve">     2. القروض التصديرية  منهــا  :</t>
  </si>
  <si>
    <t xml:space="preserve">    of which :     </t>
  </si>
  <si>
    <t>United Kingdom</t>
  </si>
  <si>
    <t xml:space="preserve">   المملكة المتحــــدة</t>
  </si>
  <si>
    <t xml:space="preserve">  D) Foreign Banks and Companies</t>
  </si>
  <si>
    <t xml:space="preserve">      د ) مصارف وشركات اجنبيــة</t>
  </si>
  <si>
    <t xml:space="preserve">  E) Multilateral Insts., of which :</t>
  </si>
  <si>
    <t xml:space="preserve">     هـ ) مؤسسات اقليمية و دولية منها  :</t>
  </si>
  <si>
    <t>IMF</t>
  </si>
  <si>
    <t>صندوق النقد الدولــــــــــــي</t>
  </si>
  <si>
    <t>IBRD and IDA</t>
  </si>
  <si>
    <t xml:space="preserve">البنك الدولي </t>
  </si>
  <si>
    <t>European Investment Bank</t>
  </si>
  <si>
    <t>بنك الاستثمار الاوروبي</t>
  </si>
  <si>
    <t>Islamic Development Bank</t>
  </si>
  <si>
    <t>البنك الاسلامي للتنمية</t>
  </si>
  <si>
    <t>Arab Monetary Fund</t>
  </si>
  <si>
    <t>صندوق النقد العربي</t>
  </si>
  <si>
    <t>Arab Fund for Economic</t>
  </si>
  <si>
    <t>الصندوق العربي للانماء</t>
  </si>
  <si>
    <t xml:space="preserve">   and Social Development   </t>
  </si>
  <si>
    <t xml:space="preserve">    الاقتصادي والاجتماعي</t>
  </si>
  <si>
    <t>2) Short-Term Loans</t>
  </si>
  <si>
    <t>2 ) قروض قصيرة الاجــل</t>
  </si>
  <si>
    <t>3) Bonds</t>
  </si>
  <si>
    <t xml:space="preserve">3 ) السندات </t>
  </si>
  <si>
    <t>4) Leasing Contracts</t>
  </si>
  <si>
    <t>4 ) عقـــود التأجيــــــر</t>
  </si>
  <si>
    <r>
      <t>5) Government Bonds</t>
    </r>
    <r>
      <rPr>
        <b/>
        <vertAlign val="superscript"/>
        <sz val="19"/>
        <rFont val="Times New Roman"/>
        <family val="1"/>
      </rPr>
      <t>(2)</t>
    </r>
  </si>
  <si>
    <r>
      <t>5 ) سندات حكومية</t>
    </r>
    <r>
      <rPr>
        <b/>
        <vertAlign val="superscript"/>
        <sz val="19"/>
        <rFont val="Times New Roman"/>
        <family val="1"/>
      </rPr>
      <t>(2)</t>
    </r>
  </si>
  <si>
    <t>Outstanding External Debt</t>
  </si>
  <si>
    <t xml:space="preserve"> الرصيد القائم للقروض</t>
  </si>
  <si>
    <t xml:space="preserve">  (Excluding Collateralized Bready Bonds)</t>
  </si>
  <si>
    <t xml:space="preserve"> (باستثناء سندات بريدي المضمونة)          </t>
  </si>
  <si>
    <t xml:space="preserve"> Collateralized Bready Bonds</t>
  </si>
  <si>
    <t xml:space="preserve"> سندات بريدي المضمونة</t>
  </si>
  <si>
    <t xml:space="preserve">  (Including Collateralized Bready Bonds)</t>
  </si>
  <si>
    <t xml:space="preserve"> (متضمنا سندات بريدي المضمونة)          </t>
  </si>
  <si>
    <t>Source  :  Ministry of Finance.</t>
  </si>
  <si>
    <t>المصدر :  وزارة الماليــــــة.</t>
  </si>
  <si>
    <r>
      <t xml:space="preserve">   Note  :  External debt outstanding represents disbursed debt outstanding </t>
    </r>
    <r>
      <rPr>
        <i/>
        <sz val="14"/>
        <rFont val="Times New Roman"/>
        <family val="1"/>
      </rPr>
      <t>minus</t>
    </r>
    <r>
      <rPr>
        <sz val="14"/>
        <rFont val="Times New Roman"/>
        <family val="1"/>
      </rPr>
      <t xml:space="preserve"> repayments.</t>
    </r>
  </si>
  <si>
    <r>
      <t xml:space="preserve">ملاحظة  :  يمثل الرصيد القائم لإجمالي القروض المسحوبة </t>
    </r>
    <r>
      <rPr>
        <i/>
        <sz val="14"/>
        <rFont val="Times New Roman"/>
        <family val="1"/>
      </rPr>
      <t>مطروحا منه</t>
    </r>
    <r>
      <rPr>
        <sz val="14"/>
        <rFont val="Times New Roman"/>
        <family val="1"/>
      </rPr>
      <t xml:space="preserve"> التسديدات.</t>
    </r>
  </si>
  <si>
    <t xml:space="preserve">    (1)    :  According to the New Methodology, Data Prior to1990 are not available.</t>
  </si>
  <si>
    <t xml:space="preserve">   (1)    :  البيانات للسنوات ما قبل عام 1990غير متوفرة نظرا لاختلاف اسلوب الاحتساب.</t>
  </si>
  <si>
    <t xml:space="preserve">    (2)    :  Includes Sovereign Eurobonds and domestic bonds in dollar.</t>
  </si>
  <si>
    <t xml:space="preserve">   (2)    :  تتضمن سندات الیورو بوند والسندات المحلیة بالدولار.</t>
  </si>
  <si>
    <t xml:space="preserve">                 </t>
  </si>
  <si>
    <t xml:space="preserve">               </t>
  </si>
  <si>
    <t> جدول رقم (19) : الدين  الداخلي للحكومة المركزية (ضمن الموازنة ومؤسسات حكومية بموازانات مستقلة) (تابع)</t>
  </si>
  <si>
    <t xml:space="preserve"> جدول رقم (19) : الدين الداخلي للحكومة المركزية (ضمن الموازنة ومؤسسات حكومية بموازنات مستقلة) </t>
  </si>
  <si>
    <t xml:space="preserve">TABLE NO. (19) : CENTRAL GOVERNMENT DOMESTIC DEBT </t>
  </si>
  <si>
    <t>( BUDGETARY CENTRAL GOVERNMENT AND OWN BUDGET AGENCIES )(CONTINUED)</t>
  </si>
  <si>
    <t>(BUDGETARY CENTRAL GOVERNMENT AND OWN BUDGET AGENCIES)</t>
  </si>
  <si>
    <t>نهايـــــــــة الفتـــــــــرة</t>
  </si>
  <si>
    <t xml:space="preserve"> Gross  Domestic Debt </t>
  </si>
  <si>
    <t>اجمالي الديـــن الداخلــــي</t>
  </si>
  <si>
    <t>1)  Budgetary  Central Government</t>
  </si>
  <si>
    <t>1) الحكومة المركزية (ضمن الموازنة)</t>
  </si>
  <si>
    <t>A) Treasury Bills and Bonds</t>
  </si>
  <si>
    <t>أ ) - سندات وأذونات خزينة</t>
  </si>
  <si>
    <t xml:space="preserve">    Bank Sources</t>
  </si>
  <si>
    <t>مصادر بنكية</t>
  </si>
  <si>
    <t xml:space="preserve">    Non - Bank Sources</t>
  </si>
  <si>
    <t>مصادر غير بنكية</t>
  </si>
  <si>
    <t>B) Development Bonds</t>
  </si>
  <si>
    <t>ب ) - سندات التنمية</t>
  </si>
  <si>
    <t>C) Loans &amp; Advances</t>
  </si>
  <si>
    <t>ج)  - قروض وسلف</t>
  </si>
  <si>
    <t xml:space="preserve">   Central Bank</t>
  </si>
  <si>
    <t>من البنك المركزي</t>
  </si>
  <si>
    <t xml:space="preserve">   Licensed Banks</t>
  </si>
  <si>
    <t>من بنوك تجارية</t>
  </si>
  <si>
    <t xml:space="preserve">   Non - Bank Sources</t>
  </si>
  <si>
    <t>من مصادر غير بنكية</t>
  </si>
  <si>
    <t xml:space="preserve"> 2) Own - Budget  Government Agencies </t>
  </si>
  <si>
    <t>2) المؤسسات الحكومية بموازنات مستقلة</t>
  </si>
  <si>
    <t>A) Corporate Bonds</t>
  </si>
  <si>
    <t>أ )  سندات واسناد قرض</t>
  </si>
  <si>
    <t>B) Direct Credit Facilities</t>
  </si>
  <si>
    <t>ب )  التسهيلات المباشرة</t>
  </si>
  <si>
    <t xml:space="preserve">Gross Government Deposits with </t>
  </si>
  <si>
    <t>اجمالي ودائــــع الحكومــــة لـــــدى </t>
  </si>
  <si>
    <t xml:space="preserve">      The Banking System</t>
  </si>
  <si>
    <t xml:space="preserve">    الجهـــاز المصرفـــي</t>
  </si>
  <si>
    <t xml:space="preserve">1) Budgetary Central Government's Deposits </t>
  </si>
  <si>
    <t>1) ودائع الحكومة المركزية (ضمن الموازنة)</t>
  </si>
  <si>
    <t xml:space="preserve">A) Ministry of Finance </t>
  </si>
  <si>
    <t>أ )   ودائع وزارة المالية</t>
  </si>
  <si>
    <r>
      <t xml:space="preserve">    With The Central Bank </t>
    </r>
    <r>
      <rPr>
        <b/>
        <vertAlign val="superscript"/>
        <sz val="16"/>
        <rFont val="Times New Roman"/>
        <family val="1"/>
      </rPr>
      <t>(1)</t>
    </r>
  </si>
  <si>
    <r>
      <t>في البنك المركزي </t>
    </r>
    <r>
      <rPr>
        <vertAlign val="superscript"/>
        <sz val="16"/>
        <rFont val="Times New Roman"/>
        <family val="1"/>
      </rPr>
      <t>(1)</t>
    </r>
  </si>
  <si>
    <t xml:space="preserve">    With Licensed Banks</t>
  </si>
  <si>
    <t>في البنوك التجارية</t>
  </si>
  <si>
    <t>B) Other Ministries</t>
  </si>
  <si>
    <t>ب )  ودائع الوزارات والدوائر الحكومية</t>
  </si>
  <si>
    <t xml:space="preserve">    With The Central Bank</t>
  </si>
  <si>
    <t>في البنك المركزي</t>
  </si>
  <si>
    <t xml:space="preserve">2) Own - Budget  Government </t>
  </si>
  <si>
    <t>2) ودائع المؤسسات الحكومية</t>
  </si>
  <si>
    <t xml:space="preserve">    Agencies Deposits</t>
  </si>
  <si>
    <t xml:space="preserve">      بموازنـــات مستقلـــــة</t>
  </si>
  <si>
    <t xml:space="preserve"> Net Budgetary Central Government </t>
  </si>
  <si>
    <r>
      <t>صافي الدين الداخلي للحكومة المركزية </t>
    </r>
    <r>
      <rPr>
        <b/>
        <vertAlign val="superscript"/>
        <sz val="16"/>
        <rFont val="Times New Roman"/>
        <family val="1"/>
      </rPr>
      <t> </t>
    </r>
  </si>
  <si>
    <r>
      <t xml:space="preserve">       Domestic Debt </t>
    </r>
    <r>
      <rPr>
        <b/>
        <vertAlign val="superscript"/>
        <sz val="16"/>
        <rFont val="Times New Roman"/>
        <family val="1"/>
      </rPr>
      <t xml:space="preserve">(2)  </t>
    </r>
  </si>
  <si>
    <r>
      <rPr>
        <b/>
        <vertAlign val="superscript"/>
        <sz val="16"/>
        <rFont val="Times New Roman"/>
        <family val="1"/>
      </rPr>
      <t>(2)</t>
    </r>
    <r>
      <rPr>
        <b/>
        <sz val="16"/>
        <rFont val="Times New Roman"/>
        <family val="1"/>
      </rPr>
      <t xml:space="preserve"> (ضمن الموازنة)</t>
    </r>
  </si>
  <si>
    <t xml:space="preserve"> Net Central Government  Domestic Debt </t>
  </si>
  <si>
    <t xml:space="preserve">صافي الدين الداخلي للحكومة المركزية </t>
  </si>
  <si>
    <r>
      <t xml:space="preserve">       (Budgetary and Own-Budget  Agencies)</t>
    </r>
    <r>
      <rPr>
        <b/>
        <vertAlign val="superscript"/>
        <sz val="16"/>
        <rFont val="Times New Roman"/>
        <family val="1"/>
      </rPr>
      <t xml:space="preserve">(3) </t>
    </r>
  </si>
  <si>
    <r>
      <t xml:space="preserve">    </t>
    </r>
    <r>
      <rPr>
        <b/>
        <vertAlign val="superscript"/>
        <sz val="16"/>
        <rFont val="Times New Roman"/>
        <family val="1"/>
      </rPr>
      <t xml:space="preserve"> (</t>
    </r>
    <r>
      <rPr>
        <b/>
        <sz val="16"/>
        <rFont val="Times New Roman"/>
        <family val="1"/>
      </rPr>
      <t xml:space="preserve">ضمن الموازنة وبموازنات مستقلة </t>
    </r>
    <r>
      <rPr>
        <b/>
        <vertAlign val="superscript"/>
        <sz val="16"/>
        <rFont val="Times New Roman"/>
        <family val="1"/>
      </rPr>
      <t xml:space="preserve">(3        </t>
    </r>
    <r>
      <rPr>
        <b/>
        <sz val="16"/>
        <rFont val="Times New Roman"/>
        <family val="1"/>
      </rPr>
      <t xml:space="preserve">        </t>
    </r>
  </si>
  <si>
    <t>Source :  Ministry of Finance .</t>
  </si>
  <si>
    <t>المصدر :  وزارة المالية.</t>
  </si>
  <si>
    <t xml:space="preserve">    (1)    :  Represent Net Treasury Overdraft </t>
  </si>
  <si>
    <t>(1)    :   يمثل صافي عجز حساب الخزينة</t>
  </si>
  <si>
    <r>
      <t xml:space="preserve">             (Treasury Overdraft Account </t>
    </r>
    <r>
      <rPr>
        <i/>
        <sz val="14"/>
        <rFont val="Times New Roman"/>
        <family val="1"/>
      </rPr>
      <t>minus</t>
    </r>
    <r>
      <rPr>
        <sz val="14"/>
        <rFont val="Times New Roman"/>
        <family val="1"/>
      </rPr>
      <t xml:space="preserve"> Ministry of Finance Gross Deposits with  the Central Bank) .</t>
    </r>
  </si>
  <si>
    <t xml:space="preserve">           (عجز حساب الخزينة - إجمالي ودائع وزارة المالية  لدى البنك المركزي).</t>
  </si>
  <si>
    <t xml:space="preserve">    (2)    :  Represents Gross Domestic Debt of Budgetary Central Government </t>
  </si>
  <si>
    <t>(2)    :   يمثل اجمالي الدين  الداخلي للحكومة المركزية (ضمن الموازنة)</t>
  </si>
  <si>
    <t xml:space="preserve">              Minus Gross  Budgetary Central Government's Deposits with the Banking System. </t>
  </si>
  <si>
    <t xml:space="preserve">            مطروحا منه اجمالي ودائع الحكومة المركزية (ضمن الموازنة ) لدى  الجهاز المصرفي.</t>
  </si>
  <si>
    <r>
      <t xml:space="preserve">    (3)   :  Represents Gross Domestic Debt </t>
    </r>
    <r>
      <rPr>
        <i/>
        <sz val="14"/>
        <rFont val="Times New Roman"/>
        <family val="1"/>
      </rPr>
      <t>minus</t>
    </r>
    <r>
      <rPr>
        <sz val="14"/>
        <rFont val="Times New Roman"/>
        <family val="1"/>
      </rPr>
      <t xml:space="preserve"> Gross Government's Deposits with the Banking System. </t>
    </r>
  </si>
  <si>
    <t>(3)    :   يمثل اجمالي الدين الداخلي مطروحا منه اجمالي ودائع الحكومة  لدى الجهاز المصرفي. </t>
  </si>
  <si>
    <t>جدول رقم (20/أ) : ميزان المدفوعات الاردني (تابع)</t>
  </si>
  <si>
    <t>جدول رقم (20/أ) : ميزان المدفوعات الاردني</t>
  </si>
  <si>
    <t xml:space="preserve"> TABLE  NO. (20/A) : JORDANIAN BALANCE OF PAYMENTS (CONTINUED) </t>
  </si>
  <si>
    <t xml:space="preserve"> TABLE  NO. (20/A) : JORDANIAN BALANCE OF PAYMENTS  </t>
  </si>
  <si>
    <t>مليون دينار</t>
  </si>
  <si>
    <t>Current Account</t>
  </si>
  <si>
    <t>الحســـــاب  الجــــاري               </t>
  </si>
  <si>
    <t>Goods and Services</t>
  </si>
  <si>
    <t xml:space="preserve"> البضائع  و الخدمــــــــات</t>
  </si>
  <si>
    <t>Trade Balance</t>
  </si>
  <si>
    <t>الميزان التجاري</t>
  </si>
  <si>
    <t/>
  </si>
  <si>
    <t xml:space="preserve"> Exports, f.o.b.</t>
  </si>
  <si>
    <t>الصادرات (فوب)</t>
  </si>
  <si>
    <t xml:space="preserve"> Imports, c.i.f.</t>
  </si>
  <si>
    <t>المستوردات (سيف)</t>
  </si>
  <si>
    <t>Services Balance</t>
  </si>
  <si>
    <t>ميزان الخدمات</t>
  </si>
  <si>
    <t>Workers' Remittances (Net)</t>
  </si>
  <si>
    <t>حوالات العاملين (صافي)</t>
  </si>
  <si>
    <t>Receipts</t>
  </si>
  <si>
    <t>مقبوضات </t>
  </si>
  <si>
    <t>Payments</t>
  </si>
  <si>
    <t>مدفوعات</t>
  </si>
  <si>
    <t xml:space="preserve">Travel (Net) </t>
  </si>
  <si>
    <t>السفـــــر(صافي)</t>
  </si>
  <si>
    <t>Investment Income (Net)</t>
  </si>
  <si>
    <t>n.a.</t>
  </si>
  <si>
    <t>دخل الاستثمار (صافي)</t>
  </si>
  <si>
    <t>Transportation (Net)</t>
  </si>
  <si>
    <t>النقل (صافي)</t>
  </si>
  <si>
    <t>Other (Net)</t>
  </si>
  <si>
    <t>اخـــرى (صافي)</t>
  </si>
  <si>
    <t>Current Transfers</t>
  </si>
  <si>
    <t xml:space="preserve">   تحويلات جارية</t>
  </si>
  <si>
    <t>Private (Net)</t>
  </si>
  <si>
    <t>خاصــــــــة (صافي)</t>
  </si>
  <si>
    <t>Public (Net)</t>
  </si>
  <si>
    <t>حكوميـــــة (صافي)</t>
  </si>
  <si>
    <t>Capital Account</t>
  </si>
  <si>
    <t xml:space="preserve"> حســاب  رأس  المــــال</t>
  </si>
  <si>
    <t>Public Sector (Net), of which :</t>
  </si>
  <si>
    <t>القطاع العام (صافي) ,منه:</t>
  </si>
  <si>
    <t>Loan Disbursements</t>
  </si>
  <si>
    <t>مسحوبات القروض</t>
  </si>
  <si>
    <t>Loan Amortization</t>
  </si>
  <si>
    <t>تسديدات القروض</t>
  </si>
  <si>
    <t>Private Sector (Net)</t>
  </si>
  <si>
    <t>القطاع الخاص (صافي)</t>
  </si>
  <si>
    <t>Net Errors and Omissions</t>
  </si>
  <si>
    <t xml:space="preserve">  صافي السهو والخطأ</t>
  </si>
  <si>
    <t>الميزان  الاجمالي</t>
  </si>
  <si>
    <t>Financing, of which :</t>
  </si>
  <si>
    <t>التمويـــــــل، منه:</t>
  </si>
  <si>
    <t xml:space="preserve">Rescheduled and Deffered Interests  </t>
  </si>
  <si>
    <t xml:space="preserve"> الفوائد المجدولة ومتأخرات السداد </t>
  </si>
  <si>
    <t xml:space="preserve">Rescheduled and Deffered Amortization  </t>
  </si>
  <si>
    <t xml:space="preserve"> الاقساط المجدولة ومتأخرات  السداد </t>
  </si>
  <si>
    <t>Change in Net Foreign Assets (Increase -)</t>
  </si>
  <si>
    <t> التغير في صافي الموجودات الاجنبية (الزيادة -)</t>
  </si>
  <si>
    <t>مليــون  دينــار</t>
  </si>
  <si>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2013</t>
    </r>
  </si>
  <si>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2012</t>
    </r>
  </si>
  <si>
    <t>الحســـــاب  الجــــاري             </t>
  </si>
  <si>
    <t>Trade Balance ( Net )</t>
  </si>
  <si>
    <t xml:space="preserve"> Exports, f.o.b., o/w:</t>
  </si>
  <si>
    <t xml:space="preserve">الصادرات (فوب) , منها: </t>
  </si>
  <si>
    <t>Non-Monetary Gold</t>
  </si>
  <si>
    <t>الذهب غير النقدي</t>
  </si>
  <si>
    <t xml:space="preserve"> Imports, f.o.b., o/w:</t>
  </si>
  <si>
    <t>المستوردات (فوب) , منها:</t>
  </si>
  <si>
    <t xml:space="preserve">Services Account </t>
  </si>
  <si>
    <t xml:space="preserve"> حساب الخدمات</t>
  </si>
  <si>
    <t>Travel (Net)*</t>
  </si>
  <si>
    <r>
      <t>السفر (صافي)</t>
    </r>
    <r>
      <rPr>
        <vertAlign val="superscript"/>
        <sz val="16"/>
        <rFont val="Times New Roman"/>
        <family val="1"/>
      </rPr>
      <t>*</t>
    </r>
  </si>
  <si>
    <t>النقل (صافي)</t>
  </si>
  <si>
    <t>Payments, o/w**:</t>
  </si>
  <si>
    <t>مدفوعات، منها:*</t>
  </si>
  <si>
    <t>Freight</t>
  </si>
  <si>
    <t xml:space="preserve">    الشحن</t>
  </si>
  <si>
    <t>Government Services (Net)</t>
  </si>
  <si>
    <t>خدمات حكومية (صافي)</t>
  </si>
  <si>
    <t xml:space="preserve">مقبوضات </t>
  </si>
  <si>
    <t>Other Services (Net)</t>
  </si>
  <si>
    <t>أخرى (صافي)</t>
  </si>
  <si>
    <t xml:space="preserve"> Income Account</t>
  </si>
  <si>
    <t xml:space="preserve">حساب الدخـــل </t>
  </si>
  <si>
    <t>Compensation of Employees ( Net )</t>
  </si>
  <si>
    <t>تعويضات العاملين (صافي)</t>
  </si>
  <si>
    <t>Investment Income (Net)**</t>
  </si>
  <si>
    <r>
      <t>دخل الاستثمار (صافي)</t>
    </r>
    <r>
      <rPr>
        <vertAlign val="superscript"/>
        <sz val="16"/>
        <rFont val="Times New Roman"/>
        <family val="1"/>
      </rPr>
      <t>**</t>
    </r>
  </si>
  <si>
    <t>Current Transfers (Net)</t>
  </si>
  <si>
    <t>تحويلات جارية (صافي)</t>
  </si>
  <si>
    <t>القطاع العام (صافي)</t>
  </si>
  <si>
    <t xml:space="preserve">Inflows  </t>
  </si>
  <si>
    <t>Outflows</t>
  </si>
  <si>
    <t>Other Sectors (Net)</t>
  </si>
  <si>
    <t xml:space="preserve">  القطاعات الاخرى (صافي)</t>
  </si>
  <si>
    <t>Inflows, o/w:</t>
  </si>
  <si>
    <t xml:space="preserve"> مقبوضات، منها:</t>
  </si>
  <si>
    <t>Workers' Remittances</t>
  </si>
  <si>
    <t>حوالات العاملين</t>
  </si>
  <si>
    <t>UN Compensations</t>
  </si>
  <si>
    <t>تعويضات الأمم المتحدة</t>
  </si>
  <si>
    <t>Outflows, o/w:</t>
  </si>
  <si>
    <t xml:space="preserve"> مدفوعات، منها:</t>
  </si>
  <si>
    <t>Preliminary.</t>
  </si>
  <si>
    <t>اولية.</t>
  </si>
  <si>
    <t>*</t>
  </si>
  <si>
    <t>The Receipts and the Payments of Travel Item in addition to Payments of Transport Item were Re-estimated since the</t>
  </si>
  <si>
    <t xml:space="preserve"> تم إعادة  تقدير بيانات مقبوضات ومدفوعات بند السفر ومدفوعات بند النقل اعتباراً من الربع الثالث من عام 2006 اعتماداً
         </t>
  </si>
  <si>
    <t>**</t>
  </si>
  <si>
    <t>Revised Data since 2000.</t>
  </si>
  <si>
    <t>بيانات معدلة  منذ عام 2000.</t>
  </si>
  <si>
    <t>مليــون دينــار</t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</si>
  <si>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2013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</si>
  <si>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2012</t>
    </r>
  </si>
  <si>
    <t xml:space="preserve">Capital and Financial Account </t>
  </si>
  <si>
    <t>الحســاب الرأسمالي والمــــالي</t>
  </si>
  <si>
    <t>الحســاب  الرأسمالي</t>
  </si>
  <si>
    <t xml:space="preserve">   Capital Transfers</t>
  </si>
  <si>
    <t>التحويلات الرأسمالية</t>
  </si>
  <si>
    <t>Financial Account</t>
  </si>
  <si>
    <t>الحســاب  المالي</t>
  </si>
  <si>
    <t xml:space="preserve">   Direct Investment</t>
  </si>
  <si>
    <t>الاستثمار المباشر</t>
  </si>
  <si>
    <t xml:space="preserve"> Abroad</t>
  </si>
  <si>
    <t>في الخارج (صافي)</t>
  </si>
  <si>
    <t xml:space="preserve"> In Jordan *</t>
  </si>
  <si>
    <t>في الأردن (صافي)*</t>
  </si>
  <si>
    <t xml:space="preserve"> Portfolio Investment</t>
  </si>
  <si>
    <t>استثمار الحافظة</t>
  </si>
  <si>
    <t xml:space="preserve">  Assets</t>
  </si>
  <si>
    <t>الأصول</t>
  </si>
  <si>
    <t xml:space="preserve">  Liabilities</t>
  </si>
  <si>
    <t>الخصوم</t>
  </si>
  <si>
    <t xml:space="preserve">      General Government</t>
  </si>
  <si>
    <t>الحكومة العامة</t>
  </si>
  <si>
    <t xml:space="preserve"> Other Investment</t>
  </si>
  <si>
    <t>استثمارات أخرى</t>
  </si>
  <si>
    <t xml:space="preserve">   Trade Credits </t>
  </si>
  <si>
    <t xml:space="preserve"> الائتمان التجاري</t>
  </si>
  <si>
    <t xml:space="preserve">      Loans</t>
  </si>
  <si>
    <t xml:space="preserve">    قروض</t>
  </si>
  <si>
    <t xml:space="preserve">         Central Bank of Jordan</t>
  </si>
  <si>
    <t xml:space="preserve">     البنك المركزي الأردني</t>
  </si>
  <si>
    <t xml:space="preserve">         Banks</t>
  </si>
  <si>
    <t xml:space="preserve">      البنوك</t>
  </si>
  <si>
    <t xml:space="preserve">     Currency and Deposits</t>
  </si>
  <si>
    <t xml:space="preserve">   نقد وودائع</t>
  </si>
  <si>
    <t xml:space="preserve">        Banks</t>
  </si>
  <si>
    <t xml:space="preserve">  البنوك</t>
  </si>
  <si>
    <t xml:space="preserve">      Other Assets</t>
  </si>
  <si>
    <t xml:space="preserve">   أصول اخرى</t>
  </si>
  <si>
    <t xml:space="preserve">     Trade Credits </t>
  </si>
  <si>
    <t xml:space="preserve">   الائتمان التجاري</t>
  </si>
  <si>
    <t xml:space="preserve">     Loans</t>
  </si>
  <si>
    <t xml:space="preserve">    القروض</t>
  </si>
  <si>
    <t xml:space="preserve">     البنك المركزي  الأردني</t>
  </si>
  <si>
    <t xml:space="preserve">             Use of Fund Credits and Loans</t>
  </si>
  <si>
    <t xml:space="preserve">       استخدام قروض وتسهيلات الصندوق</t>
  </si>
  <si>
    <t xml:space="preserve">                  Drawings</t>
  </si>
  <si>
    <t xml:space="preserve">            مسحوبات</t>
  </si>
  <si>
    <t xml:space="preserve">                  Repayments</t>
  </si>
  <si>
    <t xml:space="preserve">            تسديدات</t>
  </si>
  <si>
    <t xml:space="preserve">             Other Long-term</t>
  </si>
  <si>
    <t xml:space="preserve">       أخرى طويلة الاجل</t>
  </si>
  <si>
    <t xml:space="preserve">         General Government</t>
  </si>
  <si>
    <t xml:space="preserve">   الحكومة العامة</t>
  </si>
  <si>
    <t xml:space="preserve">              Drawings</t>
  </si>
  <si>
    <t xml:space="preserve">           مسحوبات</t>
  </si>
  <si>
    <t xml:space="preserve">              Debt Rescheduling</t>
  </si>
  <si>
    <t xml:space="preserve">           جدولة الديون</t>
  </si>
  <si>
    <t xml:space="preserve">              Repayments, (o/w)**:</t>
  </si>
  <si>
    <t xml:space="preserve">           تسديدات، منها**:</t>
  </si>
  <si>
    <t xml:space="preserve">             Cost of Debt Restructuring</t>
  </si>
  <si>
    <t xml:space="preserve">           تكاليف إعادة هيكلة الدين</t>
  </si>
  <si>
    <t xml:space="preserve">             Rescheduled Loan Principals</t>
  </si>
  <si>
    <t xml:space="preserve">           أقساط الديون المجدولة</t>
  </si>
  <si>
    <t xml:space="preserve">         Banks ( Net )</t>
  </si>
  <si>
    <t xml:space="preserve">   البنـــوك  ( صافي )</t>
  </si>
  <si>
    <t xml:space="preserve">         Other Sectors</t>
  </si>
  <si>
    <t xml:space="preserve">  القطاعات الأخرى</t>
  </si>
  <si>
    <t xml:space="preserve">              Repayments</t>
  </si>
  <si>
    <t xml:space="preserve">           تسديدات</t>
  </si>
  <si>
    <t xml:space="preserve">    Currency and Deposits</t>
  </si>
  <si>
    <t>نقد وودائع</t>
  </si>
  <si>
    <t xml:space="preserve">   البنك المركزي  الأردني</t>
  </si>
  <si>
    <t xml:space="preserve">    البنوك</t>
  </si>
  <si>
    <t xml:space="preserve">      خصوم أخرى</t>
  </si>
  <si>
    <t xml:space="preserve">        أخرى طويلة الاجل          </t>
  </si>
  <si>
    <t xml:space="preserve">                       SDR's allocation</t>
  </si>
  <si>
    <t xml:space="preserve">          تخصيص وحدات السحب الخاصة</t>
  </si>
  <si>
    <t xml:space="preserve">     Reserve Assets</t>
  </si>
  <si>
    <t>الأصول الاحتياطية</t>
  </si>
  <si>
    <t xml:space="preserve">   Monetary Gold</t>
  </si>
  <si>
    <t>الذهب النقدي</t>
  </si>
  <si>
    <t xml:space="preserve">   Special Drawing Rights</t>
  </si>
  <si>
    <t>حقوق السحب الخاصة</t>
  </si>
  <si>
    <t xml:space="preserve">   Foreign Exchange</t>
  </si>
  <si>
    <t>النقد الأجنبي</t>
  </si>
  <si>
    <t>Currency and Deposits</t>
  </si>
  <si>
    <t>Securities</t>
  </si>
  <si>
    <t>الأوراق المالية</t>
  </si>
  <si>
    <t>Other Claims</t>
  </si>
  <si>
    <t>المطالبات الاخرى</t>
  </si>
  <si>
    <t>صافي السهو و الخطأ</t>
  </si>
  <si>
    <t>Preliminary .</t>
  </si>
  <si>
    <t>اولية .</t>
  </si>
  <si>
    <t>Revised Data Effective Since 2000.</t>
  </si>
  <si>
    <t xml:space="preserve"> بيانات معدلة منذ عام 2000.</t>
  </si>
  <si>
    <t>Includes the Face Value of Paris Club Debt Buyback in the First Quarter 2008.</t>
  </si>
  <si>
    <t>تتضمن  القيمة الاسمية للشراء المبكر لجزء من الدين التصديري  لنادي باريس خلال الربع الاول من عام 2008.</t>
  </si>
  <si>
    <t>جدول رقم (21) : القادمون والمغادرون حسب الجنسية</t>
  </si>
  <si>
    <t>TABLE NO. (21): ARRIVALS AND DEPARTURES BY NATIONALITY</t>
  </si>
  <si>
    <t xml:space="preserve"> Thousand Persons</t>
  </si>
  <si>
    <t xml:space="preserve">بالالف شخص   </t>
  </si>
  <si>
    <t>اجانب</t>
  </si>
  <si>
    <t>عـــــــرب</t>
  </si>
  <si>
    <t>أردنيـــون</t>
  </si>
  <si>
    <t>Foreigners</t>
  </si>
  <si>
    <t>Arabs</t>
  </si>
  <si>
    <t>Jordanians</t>
  </si>
  <si>
    <t>قادمــــون</t>
  </si>
  <si>
    <t>مغادرون</t>
  </si>
  <si>
    <t>Arrivals</t>
  </si>
  <si>
    <t>Departures</t>
  </si>
  <si>
    <t xml:space="preserve">   Source :  A - Department of Statistics. </t>
  </si>
  <si>
    <t>المصدر   :  ا-  دائرة الاحصاءات العامة .</t>
  </si>
  <si>
    <t xml:space="preserve">                  B - Public Security Directorate Since October, 1982. </t>
  </si>
  <si>
    <t xml:space="preserve">              ب-  مديرية الامن العام اعتبارا من تشرين الأول 1982.</t>
  </si>
  <si>
    <t xml:space="preserve">                  C - Ministry of Tourism and Antiquities Since 2006.</t>
  </si>
  <si>
    <t xml:space="preserve">      جـ-  وزارة السياحة والاثار اعتبارا من عام 2006.</t>
  </si>
  <si>
    <r>
      <t>جدول رقم (22) : التركيب السلعي للصادرات الوطنية حسب الاغراض الاقتصادية</t>
    </r>
    <r>
      <rPr>
        <b/>
        <vertAlign val="superscript"/>
        <sz val="20"/>
        <rFont val="Times New Roman (Arabic)"/>
        <family val="1"/>
        <charset val="178"/>
      </rPr>
      <t/>
    </r>
  </si>
  <si>
    <t>TABLE NO. (22) : DOMESTIC EXPORTS BY ECONOMIC FUNCTION</t>
  </si>
  <si>
    <t xml:space="preserve"> JD Thousand</t>
  </si>
  <si>
    <t xml:space="preserve"> الف دينار</t>
  </si>
  <si>
    <t xml:space="preserve"> المواد الخام  والسلع الوسيطة</t>
  </si>
  <si>
    <t xml:space="preserve"> السلع  الاستهلاكية</t>
  </si>
  <si>
    <t>سلع اخرى</t>
  </si>
  <si>
    <t>Crude Materials &amp; Intermediate Goods</t>
  </si>
  <si>
    <t>Consumer Goods</t>
  </si>
  <si>
    <t>غير داخلة</t>
  </si>
  <si>
    <t>سلع</t>
  </si>
  <si>
    <t xml:space="preserve">في مكان </t>
  </si>
  <si>
    <t xml:space="preserve"> السلع </t>
  </si>
  <si>
    <t>مواد</t>
  </si>
  <si>
    <t>الاستهلاك</t>
  </si>
  <si>
    <t>آخر</t>
  </si>
  <si>
    <t xml:space="preserve"> الرأسمالية</t>
  </si>
  <si>
    <t>البناء</t>
  </si>
  <si>
    <t>المعمرة</t>
  </si>
  <si>
    <t>الجاري</t>
  </si>
  <si>
    <t xml:space="preserve">Other Goods </t>
  </si>
  <si>
    <t>Durable</t>
  </si>
  <si>
    <t>Not Classified</t>
  </si>
  <si>
    <t>Consumer</t>
  </si>
  <si>
    <t>Elsewhere</t>
  </si>
  <si>
    <t>Goods</t>
  </si>
  <si>
    <t>Materials</t>
  </si>
  <si>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1990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</si>
  <si>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2013</t>
    </r>
  </si>
  <si>
    <t xml:space="preserve">   Source  :  Department of Statistics.</t>
  </si>
  <si>
    <t xml:space="preserve">  المصدر  :  دائرة الاحصاءات العامة.</t>
  </si>
  <si>
    <t xml:space="preserve">       (1)    :  Since 1990,Data have been Reclassified in Accordance with</t>
  </si>
  <si>
    <t xml:space="preserve">      (1)   :  تم اعادة تصنيف البيانات اعتبارا من عام 1990 وفقا للتعديل</t>
  </si>
  <si>
    <t xml:space="preserve">                   the 1995 Reclassification of the Department of Statistics.</t>
  </si>
  <si>
    <t xml:space="preserve">                 الذي قامت به دائرة الاحصاءات العامة عام 1995.</t>
  </si>
  <si>
    <t xml:space="preserve">       (2)    :  Preliminary.</t>
  </si>
  <si>
    <t xml:space="preserve">       (2)  :  أوليــة .</t>
  </si>
  <si>
    <t xml:space="preserve">جدول رقم (23) :  التركيب السلعي للمستوردات حسب الاغراض الاقتصادية </t>
  </si>
  <si>
    <t>TABLE NO. (23) :  IMPORTS BY ECONOMIC FUNCTION</t>
  </si>
  <si>
    <t>الف دينار</t>
  </si>
  <si>
    <t xml:space="preserve"> السلع  الرأسمالية </t>
  </si>
  <si>
    <t xml:space="preserve">Capital  Goods  </t>
  </si>
  <si>
    <t xml:space="preserve">Consumer Goods   </t>
  </si>
  <si>
    <t xml:space="preserve"> آلات</t>
  </si>
  <si>
    <t>آلات</t>
  </si>
  <si>
    <t>ومعدات</t>
  </si>
  <si>
    <t xml:space="preserve"> ومعدات</t>
  </si>
  <si>
    <t>المحروقات</t>
  </si>
  <si>
    <t>والوقود</t>
  </si>
  <si>
    <t xml:space="preserve"> العام</t>
  </si>
  <si>
    <t>Machinary &amp;</t>
  </si>
  <si>
    <t>Oil</t>
  </si>
  <si>
    <t>Machinary&amp;</t>
  </si>
  <si>
    <t xml:space="preserve"> Transport</t>
  </si>
  <si>
    <t xml:space="preserve"> Equipments</t>
  </si>
  <si>
    <t>Equipments</t>
  </si>
  <si>
    <t>Fuels</t>
  </si>
  <si>
    <t>Source :  Department of Statistics.</t>
  </si>
  <si>
    <t xml:space="preserve">المصدر  :  دائرة الاحصاءات العامة . </t>
  </si>
  <si>
    <t xml:space="preserve">    (1)    :  Since 1990, Data have been Reclassified in Accordance with</t>
  </si>
  <si>
    <t xml:space="preserve">   (1)    :   تم اعادة تصنيف البيانات اعتبارا من عام 1990 وفقا للتعديل</t>
  </si>
  <si>
    <t xml:space="preserve">                the 1995 Reclassification of the Department of Statistics.</t>
  </si>
  <si>
    <t xml:space="preserve">               الذي قامت به دائرة الاحصاءات العامة عام 1995.</t>
  </si>
  <si>
    <t xml:space="preserve">    (2)    :  Preliminary.</t>
  </si>
  <si>
    <t xml:space="preserve">   (2)    :  أوليــة.</t>
  </si>
  <si>
    <t>جدول رقم (24) :  التركيب السلعي للصادرات الوطنية حسب التصنيف الدولي</t>
  </si>
  <si>
    <t>TABLE NO. (24) :  DOMESTIC EXPORTS BY COMMODITY ACCORDING TO S.I.T.C.</t>
  </si>
  <si>
    <t>بضائع</t>
  </si>
  <si>
    <t>وقود معدني</t>
  </si>
  <si>
    <t>مصنوعة</t>
  </si>
  <si>
    <t>زيوت</t>
  </si>
  <si>
    <t>ومواد</t>
  </si>
  <si>
    <t xml:space="preserve">مواد خام </t>
  </si>
  <si>
    <t>مصنفة</t>
  </si>
  <si>
    <t>وشحوم</t>
  </si>
  <si>
    <t xml:space="preserve">تشحيم </t>
  </si>
  <si>
    <t>غير صالحة</t>
  </si>
  <si>
    <t>غذائية</t>
  </si>
  <si>
    <t>مصنوعات</t>
  </si>
  <si>
    <t>حسب</t>
  </si>
  <si>
    <t>حيوانية</t>
  </si>
  <si>
    <t>للاكل عدا</t>
  </si>
  <si>
    <t>مشروبات</t>
  </si>
  <si>
    <t>وحيوانات</t>
  </si>
  <si>
    <t>متنوعة</t>
  </si>
  <si>
    <t>المادة</t>
  </si>
  <si>
    <t>كيماوية</t>
  </si>
  <si>
    <t>ونباتية</t>
  </si>
  <si>
    <t>مشابهة</t>
  </si>
  <si>
    <t>وتبغ</t>
  </si>
  <si>
    <t>حية</t>
  </si>
  <si>
    <t>العــــام</t>
  </si>
  <si>
    <t>Manufac-</t>
  </si>
  <si>
    <t>Mineral</t>
  </si>
  <si>
    <t>Crude</t>
  </si>
  <si>
    <t>Machinary</t>
  </si>
  <si>
    <t>tured</t>
  </si>
  <si>
    <t>Animal  &amp;</t>
  </si>
  <si>
    <t>Fuels,</t>
  </si>
  <si>
    <t>Materials,</t>
  </si>
  <si>
    <t xml:space="preserve">Food </t>
  </si>
  <si>
    <t>Miscellaneous</t>
  </si>
  <si>
    <t>Vegetable</t>
  </si>
  <si>
    <t>Lubricants</t>
  </si>
  <si>
    <t>Inedible,</t>
  </si>
  <si>
    <t>Beverages</t>
  </si>
  <si>
    <t>Manufactured</t>
  </si>
  <si>
    <t>Transport</t>
  </si>
  <si>
    <t>Classified</t>
  </si>
  <si>
    <t>Oils  and</t>
  </si>
  <si>
    <t>&amp;  Related</t>
  </si>
  <si>
    <t>Except</t>
  </si>
  <si>
    <t>Live</t>
  </si>
  <si>
    <t>Articles</t>
  </si>
  <si>
    <t>by  Material</t>
  </si>
  <si>
    <t>Chemicals</t>
  </si>
  <si>
    <t>Fats</t>
  </si>
  <si>
    <t>Tobacco</t>
  </si>
  <si>
    <t>Animals</t>
  </si>
  <si>
    <t>Source  :  Department of Statistics.</t>
  </si>
  <si>
    <t xml:space="preserve">  المصدر  :    دائرة الاحصاءات العامة . </t>
  </si>
  <si>
    <t xml:space="preserve">    (1)    :  Preliminary.</t>
  </si>
  <si>
    <t xml:space="preserve">     (1)   :    أولية </t>
  </si>
  <si>
    <t xml:space="preserve">   (1)   :   أولية.</t>
  </si>
  <si>
    <t>جدول رقم (25) :  التركيب السلعي للمستوردات حسب التصنيف الدولي</t>
  </si>
  <si>
    <t>TABLE NO. (25) :  IMPORTS BY COMMODITY ACCORDING TO S.I.T.C.</t>
  </si>
  <si>
    <t xml:space="preserve">مواد خام  </t>
  </si>
  <si>
    <t>Misc.</t>
  </si>
  <si>
    <t>Manuf-</t>
  </si>
  <si>
    <t>actured</t>
  </si>
  <si>
    <t>المصدر :  دائرة الاحصاءات العامة.</t>
  </si>
  <si>
    <t xml:space="preserve">    (1)    :   Preliminary.</t>
  </si>
  <si>
    <t xml:space="preserve">   (1)    :  أولية.</t>
  </si>
  <si>
    <t xml:space="preserve">جدول رقم (26) : التوزيع الجغرافي للصادرات الوطنية </t>
  </si>
  <si>
    <t>TABLE NO. (26) : GEOGRAPHIC DISTRIBUTION OF DOMESTIC EXPORTS</t>
  </si>
  <si>
    <t>الولايات</t>
  </si>
  <si>
    <t>الدول</t>
  </si>
  <si>
    <t xml:space="preserve">دول </t>
  </si>
  <si>
    <t>البلدان</t>
  </si>
  <si>
    <t>الصين</t>
  </si>
  <si>
    <t>المتحدة</t>
  </si>
  <si>
    <t>الاوروبية</t>
  </si>
  <si>
    <t>اليابان</t>
  </si>
  <si>
    <t>الهند</t>
  </si>
  <si>
    <t>الشعبية</t>
  </si>
  <si>
    <t>الامريكية</t>
  </si>
  <si>
    <t>الاوروبي</t>
  </si>
  <si>
    <t>العربية</t>
  </si>
  <si>
    <t>European</t>
  </si>
  <si>
    <t>Countries</t>
  </si>
  <si>
    <t>India</t>
  </si>
  <si>
    <t>China</t>
  </si>
  <si>
    <t>U.S.A.</t>
  </si>
  <si>
    <t>المصدر : دائرة الاحصاءات العامة.</t>
  </si>
  <si>
    <t xml:space="preserve">      (1)   :   Preliminary.</t>
  </si>
  <si>
    <t xml:space="preserve"> (1)      :  أوليــة.</t>
  </si>
  <si>
    <t xml:space="preserve">      Note : The Data of  Romania and Bulgaria were added to the</t>
  </si>
  <si>
    <t xml:space="preserve">ملاحظة  : تم اضافة دولتي بلغاريا ورومانيا الى بيانات دول الاتحاد </t>
  </si>
  <si>
    <t>جدول رقم (27) :  التوزيع الجغرافي للمستوردات</t>
  </si>
  <si>
    <t>TABLE NO. (27) :  GEOGRAPHIC DISTRIBUTION OF IMPORTS</t>
  </si>
  <si>
    <t xml:space="preserve">     (1)   :  Preliminary.</t>
  </si>
  <si>
    <t xml:space="preserve">  (1)     :  أوليــة.</t>
  </si>
  <si>
    <t xml:space="preserve">    Note : The Data of Romania and Bulgaria were added to the </t>
  </si>
  <si>
    <t>ملاحظة  :  تم اضافة دولتي بلغاريا ورومانيا الى بيانات دول الاتحاد</t>
  </si>
  <si>
    <t xml:space="preserve">جدول رقم (28) :  التركيب السلعي للصادرات الوطنية الى الدول العربية حسب التصنيف الدولي </t>
  </si>
  <si>
    <t>TABLE NO. (28) :  DOMESTIC EXPORTS TO ARAB COUNTRIES ACCORDING TO S.I.T.C.</t>
  </si>
  <si>
    <t>JD Thousand</t>
  </si>
  <si>
    <t>العـــام</t>
  </si>
  <si>
    <t>by  Mat.</t>
  </si>
  <si>
    <t xml:space="preserve"> Source   :   Department of Statistics.</t>
  </si>
  <si>
    <t>المصدر :  دائرة الاحصاءات العامة .</t>
  </si>
  <si>
    <t xml:space="preserve">      (1)    :   Preliminary.</t>
  </si>
  <si>
    <t xml:space="preserve">   (1)   : أولية.</t>
  </si>
  <si>
    <t xml:space="preserve">جدول رقم (29) : التركيب السلعي للمستوردات من الدول العربية حسب التصنيف الدولي </t>
  </si>
  <si>
    <t xml:space="preserve">TABLE NO. (29) : IMPORTS FROM ARAB COUNTRIES ACCORDING TO S.I.T.C. </t>
  </si>
  <si>
    <t xml:space="preserve">    (1)   :  أوليــة.</t>
  </si>
  <si>
    <t xml:space="preserve">جدول رقم (30) :  الرقم القياسي لسعر وحدة الصادرات الوطنية   </t>
  </si>
  <si>
    <t xml:space="preserve">TABLE NO. (30) :  INDEX OF UNIT PRICE OF DOMESTIC EXPORTS  </t>
  </si>
  <si>
    <t>(1985=100)</t>
  </si>
  <si>
    <t xml:space="preserve">Categories of  S.I.T.C.     </t>
  </si>
  <si>
    <t xml:space="preserve"> حســــــب التصنيـــــف الـدولــي</t>
  </si>
  <si>
    <t xml:space="preserve"> مواد خام</t>
  </si>
  <si>
    <t>مواد غذائية</t>
  </si>
  <si>
    <t>الرقم القياسي</t>
  </si>
  <si>
    <t>عدا المحروقات</t>
  </si>
  <si>
    <t xml:space="preserve">وحيوانات حية </t>
  </si>
  <si>
    <t xml:space="preserve">Crude </t>
  </si>
  <si>
    <t xml:space="preserve">Beverages </t>
  </si>
  <si>
    <t>Misc. Manufactured</t>
  </si>
  <si>
    <t>and Live</t>
  </si>
  <si>
    <t>Except Fuels</t>
  </si>
  <si>
    <t>Index</t>
  </si>
  <si>
    <t>(1994=100)</t>
  </si>
  <si>
    <t>الات ومعدات</t>
  </si>
  <si>
    <t>زيوت وشحوم</t>
  </si>
  <si>
    <t>حيوانية ونباتية</t>
  </si>
  <si>
    <t xml:space="preserve"> Misc. Man-</t>
  </si>
  <si>
    <t>Machinery &amp;</t>
  </si>
  <si>
    <t>Animal and</t>
  </si>
  <si>
    <t>ufactured</t>
  </si>
  <si>
    <t>Equipment</t>
  </si>
  <si>
    <t>Oils &amp; Fats</t>
  </si>
  <si>
    <t>المصدر  : البنك المركزي الاردني.</t>
  </si>
  <si>
    <t xml:space="preserve">    (1)     :  Preliminary.</t>
  </si>
  <si>
    <t xml:space="preserve">   (1)    :  أوليــة.</t>
  </si>
  <si>
    <t xml:space="preserve">جدول رقم (31) : الرقم القياسي لوحدة كمية الصادرات الوطنية   </t>
  </si>
  <si>
    <t xml:space="preserve">TABLE NO.(31) : INDEX OF UNIT VOLUME OF DOMESTIC EXPORTS  </t>
  </si>
  <si>
    <t xml:space="preserve">       (1)  :   Preliminary.</t>
  </si>
  <si>
    <t xml:space="preserve">  (1)    :  أوليــة.</t>
  </si>
  <si>
    <t xml:space="preserve">جدول رقم (32) : الرقم القياسي لسعر وحدة المستوردات </t>
  </si>
  <si>
    <t>TABLE NO. (32) : INDEX OF UNIT PRICE OF IMPORTS .</t>
  </si>
  <si>
    <t>Categories of S.I.T.C.</t>
  </si>
  <si>
    <t>حسب التصنيف الدولي</t>
  </si>
  <si>
    <t xml:space="preserve"> وقود</t>
  </si>
  <si>
    <t xml:space="preserve">  آلات</t>
  </si>
  <si>
    <t xml:space="preserve"> معدني</t>
  </si>
  <si>
    <t xml:space="preserve">ومعدات </t>
  </si>
  <si>
    <t xml:space="preserve"> زيــوت</t>
  </si>
  <si>
    <t>ومـواد</t>
  </si>
  <si>
    <t>خام عدا</t>
  </si>
  <si>
    <t>نقــل</t>
  </si>
  <si>
    <t>وشحــوم</t>
  </si>
  <si>
    <t>تشحــيم</t>
  </si>
  <si>
    <t>الســـــــنة</t>
  </si>
  <si>
    <t>Machinery</t>
  </si>
  <si>
    <t xml:space="preserve"> Oils</t>
  </si>
  <si>
    <t>Fuels and</t>
  </si>
  <si>
    <t xml:space="preserve">Bever- </t>
  </si>
  <si>
    <t>Year</t>
  </si>
  <si>
    <t>Chem-</t>
  </si>
  <si>
    <t>Lubric-</t>
  </si>
  <si>
    <t>ages and</t>
  </si>
  <si>
    <t>icals</t>
  </si>
  <si>
    <t xml:space="preserve"> Fuels</t>
  </si>
  <si>
    <t xml:space="preserve">مواد </t>
  </si>
  <si>
    <t xml:space="preserve">       (1)   :  Preliminary.</t>
  </si>
  <si>
    <t xml:space="preserve">جدول رقم (33) : الرقم القياسي لوحدة كمية المستوردات </t>
  </si>
  <si>
    <t xml:space="preserve">TABLE NO. (33) : INDEX OF UNIT VOLUME OF IMPORTS </t>
  </si>
  <si>
    <t xml:space="preserve"> Categories of S.I.T.C.</t>
  </si>
  <si>
    <t xml:space="preserve"> وقود </t>
  </si>
  <si>
    <t xml:space="preserve">مواد   </t>
  </si>
  <si>
    <t xml:space="preserve">الرقم القياسي </t>
  </si>
  <si>
    <t xml:space="preserve">و معدات </t>
  </si>
  <si>
    <t xml:space="preserve">     (1)   :  اولية</t>
  </si>
  <si>
    <t xml:space="preserve">     (1)   :  أوليــة.</t>
  </si>
  <si>
    <t>جدول رقم : (34) نشاط مينــاء العقبــة</t>
  </si>
  <si>
    <t>TABLE NO. (34) : AQABA PORT ACTIVITY</t>
  </si>
  <si>
    <t>Thousand Tons</t>
  </si>
  <si>
    <t>بالألف طن</t>
  </si>
  <si>
    <t>البضائع الواردة</t>
  </si>
  <si>
    <t>البضائع المصدرة</t>
  </si>
  <si>
    <t>مجمـــوع</t>
  </si>
  <si>
    <t>عدد الركاب</t>
  </si>
  <si>
    <t xml:space="preserve">Imported Goods  </t>
  </si>
  <si>
    <t xml:space="preserve">  Exported Goods</t>
  </si>
  <si>
    <t>البضائــع</t>
  </si>
  <si>
    <t>Number  of</t>
  </si>
  <si>
    <t>صادرات</t>
  </si>
  <si>
    <t>المصدرة</t>
  </si>
  <si>
    <t xml:space="preserve"> Passengers</t>
  </si>
  <si>
    <t>عدد</t>
  </si>
  <si>
    <t>أخرى </t>
  </si>
  <si>
    <t>اعادة</t>
  </si>
  <si>
    <r>
      <t xml:space="preserve">والواردة </t>
    </r>
    <r>
      <rPr>
        <b/>
        <vertAlign val="superscript"/>
        <sz val="12"/>
        <rFont val="Times New Roman"/>
        <family val="1"/>
      </rPr>
      <t>(1)</t>
    </r>
  </si>
  <si>
    <t>البواخر</t>
  </si>
  <si>
    <t>ترانزيت</t>
  </si>
  <si>
    <r>
      <t>مستوردات</t>
    </r>
    <r>
      <rPr>
        <vertAlign val="superscript"/>
        <sz val="12"/>
        <rFont val="Times New Roman"/>
        <family val="1"/>
      </rPr>
      <t>(2)</t>
    </r>
  </si>
  <si>
    <t>وترانزيت</t>
  </si>
  <si>
    <t>تصدير</t>
  </si>
  <si>
    <t>بوتاس</t>
  </si>
  <si>
    <t>أسمدة</t>
  </si>
  <si>
    <t>فوسفات</t>
  </si>
  <si>
    <t>Total of</t>
  </si>
  <si>
    <t>قادمون</t>
  </si>
  <si>
    <t>Exported &amp;</t>
  </si>
  <si>
    <t>Transit</t>
  </si>
  <si>
    <t>Re-</t>
  </si>
  <si>
    <t>Imported</t>
  </si>
  <si>
    <t>Number</t>
  </si>
  <si>
    <r>
      <t>Imports</t>
    </r>
    <r>
      <rPr>
        <vertAlign val="superscript"/>
        <sz val="12"/>
        <rFont val="Times New Roman"/>
        <family val="1"/>
      </rPr>
      <t>(2)</t>
    </r>
  </si>
  <si>
    <t>&amp; Other</t>
  </si>
  <si>
    <t>Exports</t>
  </si>
  <si>
    <t>Potash</t>
  </si>
  <si>
    <t>Fertilizers</t>
  </si>
  <si>
    <t>Phosphate</t>
  </si>
  <si>
    <r>
      <t xml:space="preserve"> Goods</t>
    </r>
    <r>
      <rPr>
        <b/>
        <vertAlign val="superscript"/>
        <sz val="12"/>
        <rFont val="Times New Roman"/>
        <family val="1"/>
      </rPr>
      <t>(1)</t>
    </r>
  </si>
  <si>
    <t>of Vessels</t>
  </si>
  <si>
    <t xml:space="preserve">  Source  :  Ports Corporation - Aqaba.</t>
  </si>
  <si>
    <t xml:space="preserve">   المصدر :   مؤسسة الموانئ - العقبة.</t>
  </si>
  <si>
    <t xml:space="preserve">      (1)    :  Exports and Imports in Thousands of Tons.</t>
  </si>
  <si>
    <t xml:space="preserve">      (1)   :  البضائع المصدرة والواردة بالالف طن. </t>
  </si>
  <si>
    <t xml:space="preserve">      (2)    :  Includes Transit for the Period 1964-1976.</t>
  </si>
  <si>
    <t xml:space="preserve">      (2)   :  تشمل الترانزيت  للفترة  1964-1976.</t>
  </si>
  <si>
    <t>الناتج</t>
  </si>
  <si>
    <t>تجارة</t>
  </si>
  <si>
    <t>القومي</t>
  </si>
  <si>
    <t>المحلي</t>
  </si>
  <si>
    <t>الجملة</t>
  </si>
  <si>
    <t>الاجمالي</t>
  </si>
  <si>
    <t>المال والتأمين</t>
  </si>
  <si>
    <t>والتجزئة</t>
  </si>
  <si>
    <t>والغابات</t>
  </si>
  <si>
    <t xml:space="preserve">باسعار </t>
  </si>
  <si>
    <t>منتجو</t>
  </si>
  <si>
    <t>والعقارات</t>
  </si>
  <si>
    <t>والتخزين</t>
  </si>
  <si>
    <t>الكهرباء</t>
  </si>
  <si>
    <t>الصناعات</t>
  </si>
  <si>
    <t>وصيد</t>
  </si>
  <si>
    <t>السوق</t>
  </si>
  <si>
    <t>الاساس</t>
  </si>
  <si>
    <t>الخدمات</t>
  </si>
  <si>
    <t>وخدمات</t>
  </si>
  <si>
    <t>والاتصالات</t>
  </si>
  <si>
    <t>والمياه</t>
  </si>
  <si>
    <t>التحويلية</t>
  </si>
  <si>
    <t>والمحاجر</t>
  </si>
  <si>
    <t>الاسماك</t>
  </si>
  <si>
    <r>
      <t xml:space="preserve">الجارية </t>
    </r>
    <r>
      <rPr>
        <b/>
        <vertAlign val="superscript"/>
        <sz val="12"/>
        <rFont val="Times New Roman"/>
        <family val="1"/>
      </rPr>
      <t>(3)</t>
    </r>
  </si>
  <si>
    <r>
      <t xml:space="preserve">الجارية </t>
    </r>
    <r>
      <rPr>
        <b/>
        <vertAlign val="superscript"/>
        <sz val="12"/>
        <rFont val="Times New Roman"/>
        <family val="1"/>
      </rPr>
      <t>(2)</t>
    </r>
  </si>
  <si>
    <r>
      <t xml:space="preserve">اخرى </t>
    </r>
    <r>
      <rPr>
        <vertAlign val="superscript"/>
        <sz val="12"/>
        <rFont val="Times New Roman"/>
        <family val="1"/>
      </rPr>
      <t>(1)</t>
    </r>
  </si>
  <si>
    <t>الاعمال</t>
  </si>
  <si>
    <t>Finance,</t>
  </si>
  <si>
    <t>Wholesale</t>
  </si>
  <si>
    <t>GNP</t>
  </si>
  <si>
    <t>GDP</t>
  </si>
  <si>
    <t>Insurance,Real</t>
  </si>
  <si>
    <t>Transport,</t>
  </si>
  <si>
    <t>&amp; Retail</t>
  </si>
  <si>
    <t>Agriculture</t>
  </si>
  <si>
    <t>at Current</t>
  </si>
  <si>
    <t>Producers</t>
  </si>
  <si>
    <t xml:space="preserve">Estate &amp; </t>
  </si>
  <si>
    <t>Storage &amp;</t>
  </si>
  <si>
    <t>Trade,</t>
  </si>
  <si>
    <t>Electricity</t>
  </si>
  <si>
    <t>Forestry</t>
  </si>
  <si>
    <t>Market</t>
  </si>
  <si>
    <t>Basic</t>
  </si>
  <si>
    <t>of Government</t>
  </si>
  <si>
    <t>Business</t>
  </si>
  <si>
    <t>Communi-</t>
  </si>
  <si>
    <t>Restaurants</t>
  </si>
  <si>
    <r>
      <t xml:space="preserve">Prices </t>
    </r>
    <r>
      <rPr>
        <b/>
        <vertAlign val="superscript"/>
        <sz val="12"/>
        <rFont val="Times New Roman"/>
        <family val="1"/>
      </rPr>
      <t>(3)</t>
    </r>
  </si>
  <si>
    <r>
      <t xml:space="preserve">Prices </t>
    </r>
    <r>
      <rPr>
        <b/>
        <vertAlign val="superscript"/>
        <sz val="12"/>
        <rFont val="Times New Roman"/>
        <family val="1"/>
      </rPr>
      <t>(2)</t>
    </r>
  </si>
  <si>
    <t>Prices</t>
  </si>
  <si>
    <r>
      <t xml:space="preserve">Services </t>
    </r>
    <r>
      <rPr>
        <vertAlign val="superscript"/>
        <sz val="12"/>
        <rFont val="Times New Roman"/>
        <family val="1"/>
      </rPr>
      <t>(1)</t>
    </r>
  </si>
  <si>
    <t>cations</t>
  </si>
  <si>
    <t>&amp; Hotels</t>
  </si>
  <si>
    <t>Water</t>
  </si>
  <si>
    <t>Manufacturing</t>
  </si>
  <si>
    <t>Quarrying</t>
  </si>
  <si>
    <t>Fishing</t>
  </si>
  <si>
    <t xml:space="preserve">  المصدر  :  دائرة الاحصاءات العامـــة .</t>
  </si>
  <si>
    <r>
      <t xml:space="preserve">      (1) :  Represents Social and Personal Services, Producers of Private Non</t>
    </r>
    <r>
      <rPr>
        <i/>
        <sz val="14"/>
        <rFont val="Times New Roman"/>
        <family val="1"/>
      </rPr>
      <t xml:space="preserve"> </t>
    </r>
    <r>
      <rPr>
        <sz val="14"/>
        <rFont val="Times New Roman"/>
        <family val="1"/>
      </rPr>
      <t>Profit Services for Households &amp;</t>
    </r>
  </si>
  <si>
    <t xml:space="preserve">       (1)  :  تمثل الخدمات الاجتماعية والشخصية ومنتجو الخدمات الخاصة التي لا تهدف الربح وتخدم العائلات والخدمات المنزلية  </t>
  </si>
  <si>
    <r>
      <t xml:space="preserve">              Domestic Household Services </t>
    </r>
    <r>
      <rPr>
        <i/>
        <sz val="14"/>
        <rFont val="Times New Roman"/>
        <family val="1"/>
      </rPr>
      <t>minus</t>
    </r>
    <r>
      <rPr>
        <sz val="14"/>
        <rFont val="Times New Roman"/>
        <family val="1"/>
      </rPr>
      <t xml:space="preserve"> Imputed Bank Service Charge .</t>
    </r>
  </si>
  <si>
    <t xml:space="preserve">                مطروحا منها الخدمات المصرفية المحتسبة.</t>
  </si>
  <si>
    <r>
      <t xml:space="preserve">      (2) :  Represents GDP at Basic Prices </t>
    </r>
    <r>
      <rPr>
        <i/>
        <sz val="14"/>
        <rFont val="Times New Roman"/>
        <family val="1"/>
      </rPr>
      <t>plus</t>
    </r>
    <r>
      <rPr>
        <sz val="14"/>
        <rFont val="Times New Roman"/>
        <family val="1"/>
      </rPr>
      <t xml:space="preserve"> Net Taxes on Products.</t>
    </r>
  </si>
  <si>
    <t xml:space="preserve">       (2)  :  تمثل الناتج المحلي الاجمالي بأسعار الاساس الجارية مضافا اليه صافي الضرائب على المنتجات.</t>
  </si>
  <si>
    <r>
      <t xml:space="preserve">      (3) :  Represents GDP at Market Prices</t>
    </r>
    <r>
      <rPr>
        <i/>
        <sz val="14"/>
        <rFont val="Times New Roman"/>
        <family val="1"/>
      </rPr>
      <t xml:space="preserve"> plus</t>
    </r>
    <r>
      <rPr>
        <sz val="14"/>
        <rFont val="Times New Roman"/>
        <family val="1"/>
      </rPr>
      <t xml:space="preserve"> Net Factor Income From Abroad.</t>
    </r>
  </si>
  <si>
    <t xml:space="preserve">       (3)  :  تمثل الناتج المحلي الاجمالي بأسعار السوق الجارية مضافا اليه صافي دخل عوامل الانتاج من الخارج.</t>
  </si>
  <si>
    <t xml:space="preserve">      (4) :  Preliminary.</t>
  </si>
  <si>
    <t xml:space="preserve">       (4)  :  أولية.</t>
  </si>
  <si>
    <t xml:space="preserve">الناتج </t>
  </si>
  <si>
    <t xml:space="preserve">منتجو الخدمات  </t>
  </si>
  <si>
    <t xml:space="preserve">صافي </t>
  </si>
  <si>
    <t xml:space="preserve">الخدمات </t>
  </si>
  <si>
    <t xml:space="preserve"> الخاصة التي </t>
  </si>
  <si>
    <t>بأسعار</t>
  </si>
  <si>
    <t>الضرائب</t>
  </si>
  <si>
    <t xml:space="preserve">المصرفية </t>
  </si>
  <si>
    <t>لا تهدف للربح</t>
  </si>
  <si>
    <t>اجتماعية</t>
  </si>
  <si>
    <r>
      <t xml:space="preserve">السوق </t>
    </r>
    <r>
      <rPr>
        <vertAlign val="superscript"/>
        <sz val="22"/>
        <rFont val="Times New Roman (Arabic)"/>
        <charset val="178"/>
      </rPr>
      <t>(1)</t>
    </r>
  </si>
  <si>
    <t>على المنتجات</t>
  </si>
  <si>
    <t xml:space="preserve">الاساس </t>
  </si>
  <si>
    <t>المحتسبة</t>
  </si>
  <si>
    <t>الخدمات المنزلية</t>
  </si>
  <si>
    <t>وتخدم العائلات</t>
  </si>
  <si>
    <t>وشخصية</t>
  </si>
  <si>
    <t xml:space="preserve">Producers of </t>
  </si>
  <si>
    <t xml:space="preserve"> Private</t>
  </si>
  <si>
    <t>Community,</t>
  </si>
  <si>
    <t xml:space="preserve">GDP at </t>
  </si>
  <si>
    <t>Producers of</t>
  </si>
  <si>
    <t>Computed</t>
  </si>
  <si>
    <t xml:space="preserve">Non - Profit </t>
  </si>
  <si>
    <t>Social and</t>
  </si>
  <si>
    <t>Net Taxes</t>
  </si>
  <si>
    <t xml:space="preserve">Basic </t>
  </si>
  <si>
    <t>Bank Service</t>
  </si>
  <si>
    <t>Household</t>
  </si>
  <si>
    <t xml:space="preserve">Services to </t>
  </si>
  <si>
    <t>Personal</t>
  </si>
  <si>
    <r>
      <t>Prices</t>
    </r>
    <r>
      <rPr>
        <b/>
        <vertAlign val="superscript"/>
        <sz val="22"/>
        <rFont val="Times New Roman (Arabic)"/>
        <charset val="178"/>
      </rPr>
      <t xml:space="preserve"> </t>
    </r>
    <r>
      <rPr>
        <vertAlign val="superscript"/>
        <sz val="22"/>
        <rFont val="Times New Roman (Arabic)"/>
        <charset val="178"/>
      </rPr>
      <t>(1)</t>
    </r>
  </si>
  <si>
    <t>on Products</t>
  </si>
  <si>
    <t>Charges</t>
  </si>
  <si>
    <t>Households</t>
  </si>
  <si>
    <r>
      <t xml:space="preserve">      (1) :  Represents GDP at Constant Basic Prices </t>
    </r>
    <r>
      <rPr>
        <i/>
        <sz val="16"/>
        <rFont val="Times New Roman (Arabic)"/>
        <family val="1"/>
        <charset val="178"/>
      </rPr>
      <t>plus</t>
    </r>
    <r>
      <rPr>
        <sz val="16"/>
        <rFont val="Times New Roman (Arabic)"/>
        <family val="1"/>
        <charset val="178"/>
      </rPr>
      <t xml:space="preserve"> Net Taxes on Products.</t>
    </r>
  </si>
  <si>
    <t xml:space="preserve">        (1) :  تمثل الناتج المحلي الاجمالي بأسعار الاساس الثابتة مضافا اليه صافي الضرائب على المنتجات.</t>
  </si>
  <si>
    <t xml:space="preserve">مصادر تمويل التكوين الرأسمالي الاجمالي </t>
  </si>
  <si>
    <t xml:space="preserve">Financing of Gross Capital Formation </t>
  </si>
  <si>
    <t>التكوين</t>
  </si>
  <si>
    <t>منتجو الخدمات</t>
  </si>
  <si>
    <t>صافي الاقتراض</t>
  </si>
  <si>
    <t xml:space="preserve">صافي التحويلات </t>
  </si>
  <si>
    <t>الادخار</t>
  </si>
  <si>
    <t xml:space="preserve">التكوين </t>
  </si>
  <si>
    <t>اهتلاك</t>
  </si>
  <si>
    <t xml:space="preserve"> الرأسمالي </t>
  </si>
  <si>
    <t xml:space="preserve">الخاصة التي </t>
  </si>
  <si>
    <t xml:space="preserve">التجارة </t>
  </si>
  <si>
    <t xml:space="preserve"> من العالم</t>
  </si>
  <si>
    <t xml:space="preserve">الرأسمالية من </t>
  </si>
  <si>
    <t xml:space="preserve"> المتاح </t>
  </si>
  <si>
    <t xml:space="preserve">الرأسمالي </t>
  </si>
  <si>
    <t xml:space="preserve"> رأس المال</t>
  </si>
  <si>
    <t xml:space="preserve">التغير في </t>
  </si>
  <si>
    <t>الثابت</t>
  </si>
  <si>
    <t>لا تهدف الربح</t>
  </si>
  <si>
    <t xml:space="preserve"> الخارجي </t>
  </si>
  <si>
    <t xml:space="preserve">العالم الخارجي </t>
  </si>
  <si>
    <t>الصافي</t>
  </si>
  <si>
    <t>المخزون</t>
  </si>
  <si>
    <t xml:space="preserve">  الاجمالي </t>
  </si>
  <si>
    <t>Producers Of</t>
  </si>
  <si>
    <t xml:space="preserve">Gross </t>
  </si>
  <si>
    <t>Gross</t>
  </si>
  <si>
    <t>Capital Transfers</t>
  </si>
  <si>
    <t xml:space="preserve">Net </t>
  </si>
  <si>
    <t>Consumption</t>
  </si>
  <si>
    <t xml:space="preserve"> Fixed</t>
  </si>
  <si>
    <t xml:space="preserve"> Capital</t>
  </si>
  <si>
    <t>Borrowing From</t>
  </si>
  <si>
    <t>Disposable</t>
  </si>
  <si>
    <t xml:space="preserve"> of Fixed</t>
  </si>
  <si>
    <t xml:space="preserve">Change in </t>
  </si>
  <si>
    <t xml:space="preserve">Services For </t>
  </si>
  <si>
    <t>Formation</t>
  </si>
  <si>
    <t>Abroad (Net)</t>
  </si>
  <si>
    <t>Savings</t>
  </si>
  <si>
    <t>Stocks</t>
  </si>
  <si>
    <t xml:space="preserve"> Formation</t>
  </si>
  <si>
    <t>services</t>
  </si>
  <si>
    <r>
      <t>2008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</si>
  <si>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2008</t>
    </r>
  </si>
  <si>
    <r>
      <t>2009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</si>
  <si>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2009</t>
    </r>
  </si>
  <si>
    <t>المصدر  :  دائرة الاحصاءات العامـــة .</t>
  </si>
  <si>
    <t>جدول رقم (38) : الرقم القياسي للانتاج الزراعــي</t>
  </si>
  <si>
    <t xml:space="preserve">TABLE NO.(38) : AGRICULTURAL PRODUCTION INDEX </t>
  </si>
  <si>
    <t>Livestock Production</t>
  </si>
  <si>
    <t>الانتاج الحيواني</t>
  </si>
  <si>
    <t>Plant Production</t>
  </si>
  <si>
    <t>الانتاج النباتي</t>
  </si>
  <si>
    <t>الرقم</t>
  </si>
  <si>
    <t>القياسي</t>
  </si>
  <si>
    <t>اللحوم</t>
  </si>
  <si>
    <t>اشجارمثمرة</t>
  </si>
  <si>
    <t>الحبوب</t>
  </si>
  <si>
    <t>البيض</t>
  </si>
  <si>
    <t>الحليب</t>
  </si>
  <si>
    <t>الدجاج</t>
  </si>
  <si>
    <t>الحمراء</t>
  </si>
  <si>
    <t>عام</t>
  </si>
  <si>
    <t>الزيتون</t>
  </si>
  <si>
    <t>باستثناءالزيتون</t>
  </si>
  <si>
    <t>والبقول</t>
  </si>
  <si>
    <t>Fruit Trees</t>
  </si>
  <si>
    <t>Poultry</t>
  </si>
  <si>
    <t>Red</t>
  </si>
  <si>
    <t>without</t>
  </si>
  <si>
    <t>Cereal &amp;</t>
  </si>
  <si>
    <t>Eggs</t>
  </si>
  <si>
    <t>Milk</t>
  </si>
  <si>
    <t>Meat</t>
  </si>
  <si>
    <t>Olives</t>
  </si>
  <si>
    <t>Pulses</t>
  </si>
  <si>
    <t xml:space="preserve">  Source :  Central Bank of Jordan.</t>
  </si>
  <si>
    <t>المصدر :   البنك المركزي الاردني.</t>
  </si>
  <si>
    <t>(2007=100)</t>
  </si>
  <si>
    <t xml:space="preserve"> الأشجار المثمرة</t>
  </si>
  <si>
    <t>المحاصيل الحقلية</t>
  </si>
  <si>
    <t>Fruitfull Trees</t>
  </si>
  <si>
    <t>Vegetables</t>
  </si>
  <si>
    <t>Field Crops</t>
  </si>
  <si>
    <t xml:space="preserve">     (1)      :  Preliminary.</t>
  </si>
  <si>
    <t xml:space="preserve">   (١)   :  أوليــة .</t>
  </si>
  <si>
    <t>جدول رقم (39) : كميات الانتاج للصناعات الرئيسة</t>
  </si>
  <si>
    <t xml:space="preserve"> TABLE NO.(39) : QUANTITIES PRODUCED BY MAJOR INDUSTRIES </t>
  </si>
  <si>
    <t>الصناعــــــات التحويليـــــــــة</t>
  </si>
  <si>
    <t>الصناعات الاستخراجية</t>
  </si>
  <si>
    <t>Mining and Quarrying</t>
  </si>
  <si>
    <t>منتجات</t>
  </si>
  <si>
    <t>احماض</t>
  </si>
  <si>
    <t>بترولية</t>
  </si>
  <si>
    <r>
      <t xml:space="preserve">الاسمنت </t>
    </r>
    <r>
      <rPr>
        <vertAlign val="superscript"/>
        <sz val="12"/>
        <rFont val="Times New Roman"/>
        <family val="1"/>
      </rPr>
      <t>(1)</t>
    </r>
  </si>
  <si>
    <t>كلنكر</t>
  </si>
  <si>
    <t>الاسمدة</t>
  </si>
  <si>
    <t>Petroleum</t>
  </si>
  <si>
    <t>Chemical</t>
  </si>
  <si>
    <t>Products</t>
  </si>
  <si>
    <r>
      <t xml:space="preserve">Cement </t>
    </r>
    <r>
      <rPr>
        <vertAlign val="superscript"/>
        <sz val="12"/>
        <rFont val="Times New Roman"/>
        <family val="1"/>
      </rPr>
      <t>(1)</t>
    </r>
  </si>
  <si>
    <t>Clinker</t>
  </si>
  <si>
    <t>Acids</t>
  </si>
  <si>
    <t>مليون ك. و. س</t>
  </si>
  <si>
    <t>الف طن</t>
  </si>
  <si>
    <t>الوحـــدة</t>
  </si>
  <si>
    <t>Mill. K.W.H.</t>
  </si>
  <si>
    <t>1000 Ton</t>
  </si>
  <si>
    <t>Unit</t>
  </si>
  <si>
    <t>Source :  Industrial Companies in Jordan.</t>
  </si>
  <si>
    <t>المصدر  :  الشركات الصناعية في الاردن.</t>
  </si>
  <si>
    <t xml:space="preserve">   (1)    :  Including Clinker Since 1990.</t>
  </si>
  <si>
    <t xml:space="preserve">  (1)     :  تشمل الاسمنت الخام ( الكلنكر) منذ عام 1990. </t>
  </si>
  <si>
    <t>(2)   :  Preliminiary.</t>
  </si>
  <si>
    <t xml:space="preserve">  (2)     : أولية . </t>
  </si>
  <si>
    <t xml:space="preserve">  جدول رقم (40) : الرقم القياسي لكميات الانتاج الصناعي (تابع) </t>
  </si>
  <si>
    <t xml:space="preserve">  جدول رقم (40) : الرقم القياسي لكميات الانتاج الصناعي </t>
  </si>
  <si>
    <t xml:space="preserve"> TABLE NO. (40) : INDUSTRIAL PRODUCTION QUANTITY INDEX (CONTINUED)</t>
  </si>
  <si>
    <t xml:space="preserve"> TABLE NO. (40) : INDUSTRIAL PRODUCTION QUANTITY INDEX </t>
  </si>
  <si>
    <t>(1979=100)</t>
  </si>
  <si>
    <t>(100=1979)</t>
  </si>
  <si>
    <t xml:space="preserve">Construction Materials </t>
  </si>
  <si>
    <t>مواد البناء</t>
  </si>
  <si>
    <t xml:space="preserve"> Chemicals </t>
  </si>
  <si>
    <t>صناعات كيماوية</t>
  </si>
  <si>
    <t>الــرقم</t>
  </si>
  <si>
    <t>ورق</t>
  </si>
  <si>
    <t>المنظفات</t>
  </si>
  <si>
    <t>بلاستيك</t>
  </si>
  <si>
    <t>احذية</t>
  </si>
  <si>
    <t>ملابس</t>
  </si>
  <si>
    <t>السجائر</t>
  </si>
  <si>
    <t>مـــواد</t>
  </si>
  <si>
    <t>القيـاسي</t>
  </si>
  <si>
    <t>كهرباء</t>
  </si>
  <si>
    <t>بطاريات</t>
  </si>
  <si>
    <t>وكرتون</t>
  </si>
  <si>
    <t>خشبية</t>
  </si>
  <si>
    <t>اسمنت</t>
  </si>
  <si>
    <t>حديد</t>
  </si>
  <si>
    <t>والصابون</t>
  </si>
  <si>
    <t>دهانات</t>
  </si>
  <si>
    <t>أدوية</t>
  </si>
  <si>
    <t>واسفنج</t>
  </si>
  <si>
    <t>وجلود</t>
  </si>
  <si>
    <t>وانسجة</t>
  </si>
  <si>
    <t>والثقاب</t>
  </si>
  <si>
    <t>الاعلاف</t>
  </si>
  <si>
    <t>كحولية</t>
  </si>
  <si>
    <t>غازية</t>
  </si>
  <si>
    <r>
      <t xml:space="preserve">المعدل </t>
    </r>
    <r>
      <rPr>
        <b/>
        <vertAlign val="superscript"/>
        <sz val="12"/>
        <rFont val="Times New Roman"/>
        <family val="1"/>
      </rPr>
      <t>(1)</t>
    </r>
  </si>
  <si>
    <t>Plastic</t>
  </si>
  <si>
    <t>Footwear</t>
  </si>
  <si>
    <t>Clothes</t>
  </si>
  <si>
    <t>Cigarettes</t>
  </si>
  <si>
    <t>Paper and</t>
  </si>
  <si>
    <t>Phos-</t>
  </si>
  <si>
    <t>Wood</t>
  </si>
  <si>
    <t>Detergents</t>
  </si>
  <si>
    <t>Pharma-</t>
  </si>
  <si>
    <t xml:space="preserve">and </t>
  </si>
  <si>
    <t>Alcoholic</t>
  </si>
  <si>
    <t>Soft</t>
  </si>
  <si>
    <t>Food</t>
  </si>
  <si>
    <t>Revised</t>
  </si>
  <si>
    <t>Batteries</t>
  </si>
  <si>
    <t>Cardboard</t>
  </si>
  <si>
    <t>phate</t>
  </si>
  <si>
    <t>Cement</t>
  </si>
  <si>
    <t>Iron</t>
  </si>
  <si>
    <t>and  Soap</t>
  </si>
  <si>
    <t>Paints</t>
  </si>
  <si>
    <t>ceuticals</t>
  </si>
  <si>
    <t>Sponge</t>
  </si>
  <si>
    <t>Leather</t>
  </si>
  <si>
    <t>Textiles</t>
  </si>
  <si>
    <t>Matches</t>
  </si>
  <si>
    <t>Fodder</t>
  </si>
  <si>
    <t>Drinks</t>
  </si>
  <si>
    <t>Relative 
Imp.</t>
  </si>
  <si>
    <t xml:space="preserve">الأهمية </t>
  </si>
  <si>
    <t>النسبية</t>
  </si>
  <si>
    <t>Source</t>
  </si>
  <si>
    <t>: Central Bank of Jordan.</t>
  </si>
  <si>
    <t>:  The Index has been Revised to Include Potash and Fertilizers.</t>
  </si>
  <si>
    <t>(1)       :  عدلت البيانات لتشمل البوتاس والاسمدة.</t>
  </si>
  <si>
    <t>(1988=100)</t>
  </si>
  <si>
    <t>(100=1988)</t>
  </si>
  <si>
    <t xml:space="preserve">  Manufacturing  </t>
  </si>
  <si>
    <t xml:space="preserve">  الصناعات التحويليــــــــــة </t>
  </si>
  <si>
    <t>قطع</t>
  </si>
  <si>
    <t>الحديد</t>
  </si>
  <si>
    <t>الاسمنت</t>
  </si>
  <si>
    <t>الورق</t>
  </si>
  <si>
    <t>الاحجار</t>
  </si>
  <si>
    <t>والصلب</t>
  </si>
  <si>
    <t>والجير</t>
  </si>
  <si>
    <t>بلاستيكية</t>
  </si>
  <si>
    <t>ادوية</t>
  </si>
  <si>
    <t>اسمدة</t>
  </si>
  <si>
    <t>عــام</t>
  </si>
  <si>
    <t>ومنتجاته</t>
  </si>
  <si>
    <t>تبغ</t>
  </si>
  <si>
    <t>والكسارات</t>
  </si>
  <si>
    <t>العــام</t>
  </si>
  <si>
    <t xml:space="preserve">Cement </t>
  </si>
  <si>
    <t>Paper</t>
  </si>
  <si>
    <t xml:space="preserve">Footwear </t>
  </si>
  <si>
    <t xml:space="preserve">Clothes </t>
  </si>
  <si>
    <t xml:space="preserve">Stone  </t>
  </si>
  <si>
    <t>Iron and</t>
  </si>
  <si>
    <t>Lime &amp;</t>
  </si>
  <si>
    <t>Fertili-</t>
  </si>
  <si>
    <t>and its</t>
  </si>
  <si>
    <t xml:space="preserve"> and</t>
  </si>
  <si>
    <t>Cutting &amp;</t>
  </si>
  <si>
    <t>Steel</t>
  </si>
  <si>
    <t>Plaster</t>
  </si>
  <si>
    <t>zers</t>
  </si>
  <si>
    <t>Relative
Imp.</t>
  </si>
  <si>
    <t>الأهمية</t>
  </si>
  <si>
    <t>Source :  Department of Statistics .</t>
  </si>
  <si>
    <t>المصدر  :  دائرة الاحصاءات العامة .</t>
  </si>
  <si>
    <t>تموز</t>
  </si>
  <si>
    <t>آب</t>
  </si>
  <si>
    <t>ايلول</t>
  </si>
  <si>
    <t>تشرين??اول</t>
  </si>
  <si>
    <t>Industrial Companies  in  Jordan.</t>
  </si>
  <si>
    <t>Including  Clinker.</t>
  </si>
  <si>
    <t>جدول رقم (40) : الرقم  القياسي لكميات الانتاج الصناعي (تابع) </t>
  </si>
  <si>
    <t xml:space="preserve">TABLE NO. (40) : INDUSTRIAL PRODUCTION QUANTITY INDEX (CONTINUED) </t>
  </si>
  <si>
    <t>الصناعة</t>
  </si>
  <si>
    <t>النسبيــة</t>
  </si>
  <si>
    <t>Relative</t>
  </si>
  <si>
    <t>Imp.</t>
  </si>
  <si>
    <t> : الصناعات الاستخراجية والتحويلية</t>
  </si>
  <si>
    <t>Mining , Quarrying , and Manufacturing:</t>
  </si>
  <si>
    <t xml:space="preserve"> الصناعات الاستخراجية :</t>
  </si>
  <si>
    <t xml:space="preserve">    Mining and Quarrying :</t>
  </si>
  <si>
    <t>قطع الاحجار والكسارات</t>
  </si>
  <si>
    <t xml:space="preserve">       Stone Cutting and Quarrying</t>
  </si>
  <si>
    <t>الفوسفات</t>
  </si>
  <si>
    <t xml:space="preserve">       Phosphate</t>
  </si>
  <si>
    <t>البوتاس</t>
  </si>
  <si>
    <t xml:space="preserve">       Potash</t>
  </si>
  <si>
    <t xml:space="preserve">            الصناعات التحويلية :</t>
  </si>
  <si>
    <t xml:space="preserve">    Manufacturing</t>
  </si>
  <si>
    <t>المواد الغذائية</t>
  </si>
  <si>
    <t xml:space="preserve">       Food Items</t>
  </si>
  <si>
    <t>التبغ</t>
  </si>
  <si>
    <t xml:space="preserve">      Tobacco</t>
  </si>
  <si>
    <t>الملابس والانسجة</t>
  </si>
  <si>
    <t xml:space="preserve">      Clothes and Textiles</t>
  </si>
  <si>
    <t>الاحذية والجلود</t>
  </si>
  <si>
    <t xml:space="preserve">      Footwear and Leather</t>
  </si>
  <si>
    <t>الاثاث</t>
  </si>
  <si>
    <t xml:space="preserve">      Furniture</t>
  </si>
  <si>
    <t>الورق ومنتجاته</t>
  </si>
  <si>
    <t xml:space="preserve">      Paper and its Products</t>
  </si>
  <si>
    <t xml:space="preserve">      Fertilizers</t>
  </si>
  <si>
    <t>الدهانات</t>
  </si>
  <si>
    <t xml:space="preserve">      Paints</t>
  </si>
  <si>
    <t>الادوية</t>
  </si>
  <si>
    <t xml:space="preserve">      Pharmaceuticals</t>
  </si>
  <si>
    <t>المنظفات والصابون</t>
  </si>
  <si>
    <t xml:space="preserve">      Detergents and Soap</t>
  </si>
  <si>
    <t>اللدائن في اشكالها الاولية</t>
  </si>
  <si>
    <t xml:space="preserve">      Plastic in Primary Form</t>
  </si>
  <si>
    <t>المنتجات البترولية</t>
  </si>
  <si>
    <t xml:space="preserve">      Petroleum Products</t>
  </si>
  <si>
    <t>المنتجات البلاستيكية</t>
  </si>
  <si>
    <t xml:space="preserve">      Plastic Products</t>
  </si>
  <si>
    <t>الاسمنت والجير</t>
  </si>
  <si>
    <t xml:space="preserve">      Cement Lime and Plaster</t>
  </si>
  <si>
    <t>الحديد و الصلب</t>
  </si>
  <si>
    <t xml:space="preserve">      Iron and Steel</t>
  </si>
  <si>
    <t>الطباعة و النشر</t>
  </si>
  <si>
    <t xml:space="preserve">      Publishing and Printing</t>
  </si>
  <si>
    <t>صنع  الاصناف المنتجة من </t>
  </si>
  <si>
    <t xml:space="preserve">     Manufacture of Articles of</t>
  </si>
  <si>
    <t>     الخرسانة والاسمنت</t>
  </si>
  <si>
    <t xml:space="preserve">     Concrete Cement and Plaster</t>
  </si>
  <si>
    <t>قطع و تشكيل واتمام </t>
  </si>
  <si>
    <t xml:space="preserve">     Cutting Shaping and Finishing</t>
  </si>
  <si>
    <t> و تجهيز الاحجار</t>
  </si>
  <si>
    <t xml:space="preserve">        of Stone</t>
  </si>
  <si>
    <t xml:space="preserve">  of Stone</t>
  </si>
  <si>
    <t>الالات والمعدات</t>
  </si>
  <si>
    <t xml:space="preserve">     Machinery and Equipments</t>
  </si>
  <si>
    <t>الالات والاجهزة الكهربائية</t>
  </si>
  <si>
    <t xml:space="preserve">     Electrical Machinery and Apparatus</t>
  </si>
  <si>
    <t>الصناعات الاساسية للمعادن</t>
  </si>
  <si>
    <t xml:space="preserve">     Non-Ferrous Metal Basic</t>
  </si>
  <si>
    <t xml:space="preserve"> غير الحديدية                </t>
  </si>
  <si>
    <t xml:space="preserve">       Industries</t>
  </si>
  <si>
    <t>المركبات ذات المحركات</t>
  </si>
  <si>
    <t xml:space="preserve">     Motor Vehicles Trailers</t>
  </si>
  <si>
    <t xml:space="preserve">     Other </t>
  </si>
  <si>
    <t xml:space="preserve">    الكهرباء   </t>
  </si>
  <si>
    <t xml:space="preserve">Electricity </t>
  </si>
  <si>
    <t>الرقم القياسي العام</t>
  </si>
  <si>
    <t>General Index</t>
  </si>
  <si>
    <t xml:space="preserve">. المصدر : دائرة الاحصاءات العامة </t>
  </si>
  <si>
    <t xml:space="preserve">    جدول رقم (40) : الرقم القياسي لكميات الانتاج الصناعي (تابع)</t>
  </si>
  <si>
    <t xml:space="preserve">    جدول رقم (40) : الرقم القياسي لكميات الانتاج الصناعي </t>
  </si>
  <si>
    <t xml:space="preserve">TABLE NO. (40) : INDUSTRIAL PRODUCTION QUANTITY INDEX </t>
  </si>
  <si>
    <t>(1999 = 100)</t>
  </si>
  <si>
    <r>
      <rPr>
        <vertAlign val="superscript"/>
        <sz val="14"/>
        <rFont val="Times New Roman"/>
        <family val="1"/>
      </rPr>
      <t xml:space="preserve">(1) </t>
    </r>
    <r>
      <rPr>
        <sz val="16"/>
        <rFont val="Times New Roman"/>
        <family val="1"/>
      </rPr>
      <t>2013</t>
    </r>
  </si>
  <si>
    <t>الاهمية</t>
  </si>
  <si>
    <t>     :الصناعات الاستخراجية  والتحويلية</t>
  </si>
  <si>
    <t xml:space="preserve">  Mining and Quarrying :</t>
  </si>
  <si>
    <t>الصناعات الاستخراجية </t>
  </si>
  <si>
    <t xml:space="preserve">    Extraction of  Petroleum &amp; Natural Gas</t>
  </si>
  <si>
    <t xml:space="preserve">  استخراج النفط  والغاز الطبيعي</t>
  </si>
  <si>
    <t xml:space="preserve">    Quarrying of Stone</t>
  </si>
  <si>
    <t>استغلال المحاجر لاستخراج الاحجار</t>
  </si>
  <si>
    <t xml:space="preserve">    Phosphate</t>
  </si>
  <si>
    <t xml:space="preserve">    Potash</t>
  </si>
  <si>
    <t xml:space="preserve">  Manufacturing :</t>
  </si>
  <si>
    <t>الصناعات التحويلية </t>
  </si>
  <si>
    <t xml:space="preserve">    Food Products and Beverages</t>
  </si>
  <si>
    <t>المواد الغذائية والمشروبات</t>
  </si>
  <si>
    <t xml:space="preserve">    Tobacco Products</t>
  </si>
  <si>
    <t>منتجات التبغ</t>
  </si>
  <si>
    <t xml:space="preserve">    Wearing Apparel and Textiles</t>
  </si>
  <si>
    <t xml:space="preserve">    Footwear and Leather</t>
  </si>
  <si>
    <t xml:space="preserve">    Furniture</t>
  </si>
  <si>
    <t xml:space="preserve">    Wood and Cork Except Furniture</t>
  </si>
  <si>
    <t>الاخشاب والفلين عدا الاثاث</t>
  </si>
  <si>
    <t xml:space="preserve">    Paper and its Products</t>
  </si>
  <si>
    <t xml:space="preserve">    Fertilizers</t>
  </si>
  <si>
    <t xml:space="preserve">    Basic Chemicals,Except Fertilizers</t>
  </si>
  <si>
    <t>مواد كيميائية اساسية عدا الأسمدة</t>
  </si>
  <si>
    <t xml:space="preserve">    Paints</t>
  </si>
  <si>
    <t xml:space="preserve">    Pharmaceuticals</t>
  </si>
  <si>
    <t xml:space="preserve">    Detergents and Soap</t>
  </si>
  <si>
    <t xml:space="preserve">    Refined Petroleum Products</t>
  </si>
  <si>
    <t>المنتجات النفطية المكررة</t>
  </si>
  <si>
    <t xml:space="preserve">    Rubber and Plastic Products</t>
  </si>
  <si>
    <t>منتجات المطاط واللدائن</t>
  </si>
  <si>
    <t xml:space="preserve">    Cement and Lime </t>
  </si>
  <si>
    <t xml:space="preserve">    Iron and Steel</t>
  </si>
  <si>
    <t xml:space="preserve">    Publishing and Printing</t>
  </si>
  <si>
    <t xml:space="preserve">    Manufacture of Articles of Concrete &amp; Cement</t>
  </si>
  <si>
    <t> الاصناف المنتجة من الخرسانة والاسمنت</t>
  </si>
  <si>
    <t xml:space="preserve">    Cutting Shaping and Finishing of Stone</t>
  </si>
  <si>
    <t>قطع و تشكيل واتمام وتجهيز الاحجار</t>
  </si>
  <si>
    <t xml:space="preserve">    Machinery and Equipments</t>
  </si>
  <si>
    <t xml:space="preserve">    Medical Equipment</t>
  </si>
  <si>
    <t>الالات والاجهزة الطبية</t>
  </si>
  <si>
    <t xml:space="preserve">    Electrical Machinery and Apparatus</t>
  </si>
  <si>
    <t xml:space="preserve">    Basic Precious and Non-Ferrous Metals </t>
  </si>
  <si>
    <t>الفلزات الثمينة وغير الحديدية</t>
  </si>
  <si>
    <t xml:space="preserve">    Fabricated Metal Products </t>
  </si>
  <si>
    <t>منتجات المعادن المشكلة</t>
  </si>
  <si>
    <t xml:space="preserve">       Except Machinery and  Equipment</t>
  </si>
  <si>
    <t xml:space="preserve">    عدا الماكينات والمعدات   </t>
  </si>
  <si>
    <t xml:space="preserve">    Radio and T.V and Communication Equipments </t>
  </si>
  <si>
    <t>معدات الراديو والتلفزيون والاتصالات</t>
  </si>
  <si>
    <t xml:space="preserve">    Motor Vehicles Trailers</t>
  </si>
  <si>
    <t xml:space="preserve">    Other </t>
  </si>
  <si>
    <t xml:space="preserve">Electricity, Gas, Steam and </t>
  </si>
  <si>
    <t>    امدادات الكهرباء والغاز والبخار</t>
  </si>
  <si>
    <t xml:space="preserve">    Hot Water Supply </t>
  </si>
  <si>
    <t xml:space="preserve">     والمياه الساخنة   </t>
  </si>
  <si>
    <t xml:space="preserve">الرقم القياسي العام </t>
  </si>
  <si>
    <t>Source : Department of Statistics.</t>
  </si>
  <si>
    <t xml:space="preserve"> المصدر  :   دائرة الاحصاءات العامة.</t>
  </si>
  <si>
    <t xml:space="preserve">   (1)   :  Preliminary. </t>
  </si>
  <si>
    <t>(1)     :  أوليــة.</t>
  </si>
  <si>
    <t xml:space="preserve">جدول رقم (41) : نشاط البنـــاء (عدد الرخص) </t>
  </si>
  <si>
    <t>TABLE NO. (41) : CONSTRUCTION ACTIVITY ( NO. OF PERMITS )</t>
  </si>
  <si>
    <t>ب) لاغراض اخــــرى</t>
  </si>
  <si>
    <t xml:space="preserve">أ) للسكــــــــن </t>
  </si>
  <si>
    <t>B) Other Purposes</t>
  </si>
  <si>
    <t>A) Residential</t>
  </si>
  <si>
    <t>اجمالي</t>
  </si>
  <si>
    <t>عدد الرخص</t>
  </si>
  <si>
    <t>( أ+ب )</t>
  </si>
  <si>
    <t>الزرقاء</t>
  </si>
  <si>
    <t>اربد</t>
  </si>
  <si>
    <t xml:space="preserve">Total </t>
  </si>
  <si>
    <t>No. of</t>
  </si>
  <si>
    <t>Permits</t>
  </si>
  <si>
    <t>Zarqa</t>
  </si>
  <si>
    <t>Irbid</t>
  </si>
  <si>
    <t>( A+B )</t>
  </si>
  <si>
    <t xml:space="preserve">    Sources :   -  Jordan Engineers Association.</t>
  </si>
  <si>
    <t>المصـدر :   ـ  نقابة المهندسين الاردنيين.</t>
  </si>
  <si>
    <t xml:space="preserve">                    - Municipalities of Great Amman, Irbid and Zarqa.</t>
  </si>
  <si>
    <t xml:space="preserve">                ـ  امانة عمان الكبرى وبلديتا اربد والزرقاء.</t>
  </si>
  <si>
    <t xml:space="preserve">                    - Department of Statistics.  </t>
  </si>
  <si>
    <t xml:space="preserve">                ـ  دائرة الاحصاءات العامة.</t>
  </si>
  <si>
    <t xml:space="preserve">           (1)  :   Preliminary.</t>
  </si>
  <si>
    <t xml:space="preserve">  (1)     : أولية .</t>
  </si>
  <si>
    <t>جدول رقم (42) : نشاط البناء (المساحة المرخصة)</t>
  </si>
  <si>
    <t>TABLE NO.(42) : CONSTRUCTION ACTIVITY ( LICENSED AREA )</t>
  </si>
  <si>
    <t>Thousands of Square Meters</t>
  </si>
  <si>
    <t>الف متر مربـــع</t>
  </si>
  <si>
    <t>المساحة</t>
  </si>
  <si>
    <t>(أ+ب)</t>
  </si>
  <si>
    <t xml:space="preserve"> Total</t>
  </si>
  <si>
    <t xml:space="preserve"> Area</t>
  </si>
  <si>
    <r>
      <rPr>
        <sz val="12"/>
        <rFont val="Times New Roman"/>
        <family val="1"/>
      </rPr>
      <t xml:space="preserve"> </t>
    </r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2012</t>
    </r>
  </si>
  <si>
    <r>
      <rPr>
        <vertAlign val="superscript"/>
        <sz val="12"/>
        <rFont val="Times New Roman"/>
        <family val="1"/>
      </rPr>
      <t xml:space="preserve"> (1)</t>
    </r>
    <r>
      <rPr>
        <sz val="16"/>
        <rFont val="Times New Roman"/>
        <family val="1"/>
      </rPr>
      <t>2013</t>
    </r>
  </si>
  <si>
    <t>المصـادر  :   ـ   نقابة المهندسين الاردنيين.</t>
  </si>
  <si>
    <t xml:space="preserve">                     -  Municipalities of Great Amman, Irbid and Zarqa.</t>
  </si>
  <si>
    <t xml:space="preserve">                 ـ  امانة عمان الكبرى وبلديتا اربد والزرقاء.</t>
  </si>
  <si>
    <t xml:space="preserve">                     -  Department of Statistics.  </t>
  </si>
  <si>
    <t xml:space="preserve">                 ـ  دائرة الاحصاءات العامة.</t>
  </si>
  <si>
    <t xml:space="preserve">      (1)    :     أوليــة.                                                                                                                                                                    </t>
  </si>
  <si>
    <t xml:space="preserve">جدول رقم (43) : الارقام القياسية للاسعار والكميات </t>
  </si>
  <si>
    <t>TABLE No. (43) : PRICE AND QUANTITY INDICES</t>
  </si>
  <si>
    <t xml:space="preserve">الرقم  </t>
  </si>
  <si>
    <t xml:space="preserve"> القياسي </t>
  </si>
  <si>
    <t xml:space="preserve">القياسي  </t>
  </si>
  <si>
    <t xml:space="preserve">مخفض   </t>
  </si>
  <si>
    <t>لأسعار</t>
  </si>
  <si>
    <t>لاسعار</t>
  </si>
  <si>
    <t xml:space="preserve"> القياسي  </t>
  </si>
  <si>
    <t xml:space="preserve">تجارة  </t>
  </si>
  <si>
    <t xml:space="preserve">المنتجين </t>
  </si>
  <si>
    <t>الصناعيين</t>
  </si>
  <si>
    <t>المستهلك</t>
  </si>
  <si>
    <t>Producer</t>
  </si>
  <si>
    <t xml:space="preserve">Price </t>
  </si>
  <si>
    <t xml:space="preserve"> Price </t>
  </si>
  <si>
    <t>Product</t>
  </si>
  <si>
    <t>Price</t>
  </si>
  <si>
    <t>Deflator</t>
  </si>
  <si>
    <t xml:space="preserve"> Index</t>
  </si>
  <si>
    <t xml:space="preserve">      * The Data Source for The Period (1968-1996) is Central Bank of Jordan.</t>
  </si>
  <si>
    <t xml:space="preserve">. مصدر البيانات للسنوات (1968-1996) من البنك المركزي الاردني  *          </t>
  </si>
  <si>
    <t xml:space="preserve">     (1)  :  Preliminary.</t>
  </si>
  <si>
    <t xml:space="preserve">     (1) :  أوليــة.                                                                                                                                                                    </t>
  </si>
  <si>
    <t>جدول رقم (44) : اسعار صرف اهم العملات الاجنبية المعلنة من البنك المركزي الاردني</t>
  </si>
  <si>
    <t xml:space="preserve">TABLE NO. (44) : EXCHANGE RATES OF MAJOR FOREIGN CURRENCIES ANNOUNCED BY CBJ </t>
  </si>
  <si>
    <t>عدد وحدات العملة لكل دينار اردني</t>
  </si>
  <si>
    <r>
      <t>اليورو</t>
    </r>
    <r>
      <rPr>
        <vertAlign val="superscript"/>
        <sz val="12"/>
        <rFont val="Times New Roman"/>
        <family val="1"/>
      </rPr>
      <t>(2)</t>
    </r>
  </si>
  <si>
    <r>
      <t>فرنك فرنسي</t>
    </r>
    <r>
      <rPr>
        <vertAlign val="superscript"/>
        <sz val="12"/>
        <rFont val="Times New Roman"/>
        <family val="1"/>
      </rPr>
      <t>(1)</t>
    </r>
  </si>
  <si>
    <r>
      <t xml:space="preserve">مارك الماني </t>
    </r>
    <r>
      <rPr>
        <vertAlign val="superscript"/>
        <sz val="12"/>
        <rFont val="Times New Roman"/>
        <family val="1"/>
      </rPr>
      <t>(1)</t>
    </r>
  </si>
  <si>
    <t>جنيه استرليني</t>
  </si>
  <si>
    <t>دولارامريكي</t>
  </si>
  <si>
    <r>
      <t>EURO</t>
    </r>
    <r>
      <rPr>
        <vertAlign val="superscript"/>
        <sz val="12"/>
        <rFont val="Times New Roman"/>
        <family val="1"/>
      </rPr>
      <t>(2)</t>
    </r>
  </si>
  <si>
    <r>
      <t xml:space="preserve">French Franc </t>
    </r>
    <r>
      <rPr>
        <vertAlign val="superscript"/>
        <sz val="12"/>
        <rFont val="Times New Roman"/>
        <family val="1"/>
      </rPr>
      <t>(1)</t>
    </r>
  </si>
  <si>
    <r>
      <t xml:space="preserve">Deutsche Mark </t>
    </r>
    <r>
      <rPr>
        <vertAlign val="superscript"/>
        <sz val="12"/>
        <rFont val="Times New Roman"/>
        <family val="1"/>
      </rPr>
      <t>(1)</t>
    </r>
  </si>
  <si>
    <t>Pound Sterling</t>
  </si>
  <si>
    <t>U. S. Dollar</t>
  </si>
  <si>
    <t>شــراء</t>
  </si>
  <si>
    <t>بيــع</t>
  </si>
  <si>
    <t xml:space="preserve"> Buying</t>
  </si>
  <si>
    <t>Selling</t>
  </si>
  <si>
    <t>(Period Average               معـــــدل الفتــــرة)</t>
  </si>
  <si>
    <t xml:space="preserve">   (1)  :  تم استبدال هذه العملة بوحدة اليورو اعتبارا من 2002/1/1.</t>
  </si>
  <si>
    <t xml:space="preserve">   (2)  :  تمثل الوحدة الحسابية الاوروبية خلال الفترة 1993- 1998.</t>
  </si>
  <si>
    <t>جدول رقم (44) : اسعار صرف اهم العملات الاجنبية المعلنة من البنك المركزي الاردني (تابع)</t>
  </si>
  <si>
    <t>TABLE NO. (44) : EXCHANGE RATES OF MAJOR FOREIGN CURRENCIES ANNOUNCED BY CBJ (CONTINUED)</t>
  </si>
  <si>
    <t>Units Per JD</t>
  </si>
  <si>
    <t>(End of Period        نهايــــة الفتــــرة )</t>
  </si>
  <si>
    <t xml:space="preserve">  (1)  :  Since January 1, 2002 this Currency has been Replaced by the Euro.</t>
  </si>
  <si>
    <t xml:space="preserve">  (2)  :  Represents ECU during 1993-1998.</t>
  </si>
  <si>
    <t xml:space="preserve"> جدول رقم (45) : الرقم القياسي لاسعار المستهلك (تابع)</t>
  </si>
  <si>
    <t xml:space="preserve"> جدول رقم (45) : الرقم القياسي لاسعار المستهلك </t>
  </si>
  <si>
    <t>TABLE NO. (45) : CONSUMER PRICE INDEX (CONTINUED)</t>
  </si>
  <si>
    <t xml:space="preserve">TABLE NO. (45) : CONSUMER PRICE INDEX </t>
  </si>
  <si>
    <t>Clothing &amp;</t>
  </si>
  <si>
    <t xml:space="preserve"> ملابــــس</t>
  </si>
  <si>
    <t xml:space="preserve"> Other Goods and Services </t>
  </si>
  <si>
    <t xml:space="preserve"> Housing </t>
  </si>
  <si>
    <t>المشروبات</t>
  </si>
  <si>
    <t>الزيوت والدهون</t>
  </si>
  <si>
    <t>العناية</t>
  </si>
  <si>
    <t>الوقود</t>
  </si>
  <si>
    <t>السكن</t>
  </si>
  <si>
    <t>الكحولية</t>
  </si>
  <si>
    <t>ومنتجات</t>
  </si>
  <si>
    <t>لحوم</t>
  </si>
  <si>
    <t>التعليم</t>
  </si>
  <si>
    <t>الشخصية</t>
  </si>
  <si>
    <t>الطبية</t>
  </si>
  <si>
    <t>والانارة</t>
  </si>
  <si>
    <t>وملحقاته</t>
  </si>
  <si>
    <t>والتبغ</t>
  </si>
  <si>
    <t>الالبان والبيض</t>
  </si>
  <si>
    <t>الخضروات</t>
  </si>
  <si>
    <t>الفواكه</t>
  </si>
  <si>
    <t>واسماك</t>
  </si>
  <si>
    <t>ومنتجاتها</t>
  </si>
  <si>
    <t xml:space="preserve"> عام</t>
  </si>
  <si>
    <t>Transportation</t>
  </si>
  <si>
    <t>Housing</t>
  </si>
  <si>
    <t>Oil and Fats,</t>
  </si>
  <si>
    <t>Cereal</t>
  </si>
  <si>
    <t>Medical</t>
  </si>
  <si>
    <t>&amp;</t>
  </si>
  <si>
    <t>&amp; Related</t>
  </si>
  <si>
    <t>Drinks and</t>
  </si>
  <si>
    <t xml:space="preserve"> Dairy Products</t>
  </si>
  <si>
    <t>Education</t>
  </si>
  <si>
    <t>Care</t>
  </si>
  <si>
    <t>Communications</t>
  </si>
  <si>
    <t>Electric</t>
  </si>
  <si>
    <t>Expenses</t>
  </si>
  <si>
    <t>Clothing</t>
  </si>
  <si>
    <t>&amp; Eggs</t>
  </si>
  <si>
    <t>Fruits</t>
  </si>
  <si>
    <t>Fish</t>
  </si>
  <si>
    <t xml:space="preserve"> - </t>
  </si>
  <si>
    <t xml:space="preserve"> Source: Department of Statistics.</t>
  </si>
  <si>
    <t>جدول رقم (46) : الرقم القياسي لأسعار الجملة  في مدينة عمان (تابع)</t>
  </si>
  <si>
    <t xml:space="preserve">جدول رقم (46) : الرقم القياسي لأسعار الجملة في مدينة عمان </t>
  </si>
  <si>
    <t xml:space="preserve"> TABLE NO. (46) : AMMAN WHOLESALE PRICE INDEX (CONTINUED)</t>
  </si>
  <si>
    <t xml:space="preserve"> TABLE NO. (46) : AMMAN WHOLESALE PRICE INDEX</t>
  </si>
  <si>
    <t>السلع</t>
  </si>
  <si>
    <t>الاحذية</t>
  </si>
  <si>
    <t>المواد</t>
  </si>
  <si>
    <t>وسائط</t>
  </si>
  <si>
    <t>المنزلية</t>
  </si>
  <si>
    <t>والمنتجات</t>
  </si>
  <si>
    <t>الملابس</t>
  </si>
  <si>
    <t>الغذائية</t>
  </si>
  <si>
    <t>الالبان</t>
  </si>
  <si>
    <t>حبوب</t>
  </si>
  <si>
    <t>الاخشاب</t>
  </si>
  <si>
    <t>والكرتون</t>
  </si>
  <si>
    <t>الجلدية</t>
  </si>
  <si>
    <t>والانسجة</t>
  </si>
  <si>
    <t>والبيض</t>
  </si>
  <si>
    <t>والاسماك</t>
  </si>
  <si>
    <t>وبقول</t>
  </si>
  <si>
    <t>Constru-</t>
  </si>
  <si>
    <t>Dairy</t>
  </si>
  <si>
    <t>ction</t>
  </si>
  <si>
    <t>&amp; Leather</t>
  </si>
  <si>
    <t>Medica-</t>
  </si>
  <si>
    <t>Vehicles</t>
  </si>
  <si>
    <t>Soap</t>
  </si>
  <si>
    <t>Food Items</t>
  </si>
  <si>
    <t>and Eggs</t>
  </si>
  <si>
    <t xml:space="preserve"> Fish</t>
  </si>
  <si>
    <t>Cereals</t>
  </si>
  <si>
    <t xml:space="preserve"> Source :  Central Bank of Jordan.</t>
  </si>
  <si>
    <t xml:space="preserve"> المصدر  :  البنك المركزي الاردني.</t>
  </si>
  <si>
    <t>(1992=100)</t>
  </si>
  <si>
    <t>Food stuffs</t>
  </si>
  <si>
    <t>المواد الغذائية</t>
  </si>
  <si>
    <t>الصلب</t>
  </si>
  <si>
    <t>الحيوانات</t>
  </si>
  <si>
    <t>والبذور</t>
  </si>
  <si>
    <t>الوكلاء</t>
  </si>
  <si>
    <t>ومبيدات</t>
  </si>
  <si>
    <t>والسائل</t>
  </si>
  <si>
    <t>الادوات</t>
  </si>
  <si>
    <t>ووقود</t>
  </si>
  <si>
    <t>الحية</t>
  </si>
  <si>
    <t>الزيتية</t>
  </si>
  <si>
    <t>بالعمولة</t>
  </si>
  <si>
    <t>حشرية</t>
  </si>
  <si>
    <t>والغاز</t>
  </si>
  <si>
    <t>والاحذية</t>
  </si>
  <si>
    <t>وأسماك</t>
  </si>
  <si>
    <t>والفواكه</t>
  </si>
  <si>
    <t>المركبات</t>
  </si>
  <si>
    <t>Trading</t>
  </si>
  <si>
    <t>Cereals &amp;</t>
  </si>
  <si>
    <t>Clothes,</t>
  </si>
  <si>
    <t>Spare</t>
  </si>
  <si>
    <t>Brokerage</t>
  </si>
  <si>
    <t>&amp; Equip-</t>
  </si>
  <si>
    <t>&amp; Insect-</t>
  </si>
  <si>
    <t>Fuel Oil</t>
  </si>
  <si>
    <t>Textiles &amp;</t>
  </si>
  <si>
    <t xml:space="preserve"> &amp;</t>
  </si>
  <si>
    <t>Parts</t>
  </si>
  <si>
    <t>Seeds</t>
  </si>
  <si>
    <t>Margins</t>
  </si>
  <si>
    <t>icides</t>
  </si>
  <si>
    <t>&amp;Gas</t>
  </si>
  <si>
    <t>Instruments</t>
  </si>
  <si>
    <t>and Fish</t>
  </si>
  <si>
    <t>&amp; Fuel</t>
  </si>
  <si>
    <t xml:space="preserve"> Source  :  Department of Statistics.</t>
  </si>
  <si>
    <t>جدول رقم (46) :  الرقم  القياسي لاسعار تجارة الجملة (تابع)</t>
  </si>
  <si>
    <t xml:space="preserve">جدول رقم (46) : الرقم القياسي لاسعار تجارة الجملة (تابع) </t>
  </si>
  <si>
    <t xml:space="preserve"> TABLE NO. (46) :  WHOLESALE PRICE INDEX (CONTINUED)</t>
  </si>
  <si>
    <t xml:space="preserve"> TABLE NO. (46) : WHOLESALE PRICE INDEX (CONTINUED)</t>
  </si>
  <si>
    <t>(1998=100)</t>
  </si>
  <si>
    <t>(100=1998)</t>
  </si>
  <si>
    <t>Code</t>
  </si>
  <si>
    <t>التصنيف</t>
  </si>
  <si>
    <t xml:space="preserve">الأهميـة </t>
  </si>
  <si>
    <t xml:space="preserve"> النسبيــة  </t>
  </si>
  <si>
    <t xml:space="preserve">Relative </t>
  </si>
  <si>
    <t>Transport Vehicles and Apparatus</t>
  </si>
  <si>
    <t xml:space="preserve"> بيع المركبات واجزائها </t>
  </si>
  <si>
    <t>Food, Beverages and Tobacco &amp;</t>
  </si>
  <si>
    <t xml:space="preserve"> الاغذية والمشروبات والتبغ</t>
  </si>
  <si>
    <t>Agricultural Raw Materials</t>
  </si>
  <si>
    <t xml:space="preserve">  والمواد الخام الزراعية</t>
  </si>
  <si>
    <t xml:space="preserve">   الحبوب والبقوليات</t>
  </si>
  <si>
    <t>Vegetables and Fruits</t>
  </si>
  <si>
    <t xml:space="preserve">   الخضروات والفواكه</t>
  </si>
  <si>
    <t>Beverages and Tobacco</t>
  </si>
  <si>
    <t xml:space="preserve">   المشروبات الروحية والسجائر</t>
  </si>
  <si>
    <t>Meat and Fish</t>
  </si>
  <si>
    <t xml:space="preserve">   اللحوم والأسماك</t>
  </si>
  <si>
    <t>Dairy Products</t>
  </si>
  <si>
    <t xml:space="preserve">   الحليب ومشتقات الالبان</t>
  </si>
  <si>
    <t xml:space="preserve">   السلع الاخرى</t>
  </si>
  <si>
    <t>Personal and Household Items</t>
  </si>
  <si>
    <t>السلع الشخصية والمنزلية</t>
  </si>
  <si>
    <t>Clothes,Textiles, and Footwear</t>
  </si>
  <si>
    <t xml:space="preserve">   الاقمشة والمنسوجات والملابس والاحذية</t>
  </si>
  <si>
    <t>Personal Care</t>
  </si>
  <si>
    <t xml:space="preserve">   العناية الشخصية</t>
  </si>
  <si>
    <t>Medicaments</t>
  </si>
  <si>
    <t xml:space="preserve">   الادوية</t>
  </si>
  <si>
    <t>Furniture and Household Goods</t>
  </si>
  <si>
    <t xml:space="preserve">   الاثاث والسلع المنزلية</t>
  </si>
  <si>
    <t>Other Goods</t>
  </si>
  <si>
    <t xml:space="preserve">   السلع الاخرى</t>
  </si>
  <si>
    <t xml:space="preserve"> Intermediate Goods</t>
  </si>
  <si>
    <t xml:space="preserve"> المنتجات الوسيطة</t>
  </si>
  <si>
    <t>Fertilizers, Fodder and Insecticides</t>
  </si>
  <si>
    <t xml:space="preserve">   الاسمدة والاعلاف ومبيدات الحشرات</t>
  </si>
  <si>
    <t xml:space="preserve">  Wood, Construction &amp;  Lightening Materials</t>
  </si>
  <si>
    <t xml:space="preserve">   الاخشاب ومواد التشييد والاضاءة</t>
  </si>
  <si>
    <t>Lightening Items</t>
  </si>
  <si>
    <t xml:space="preserve">   اصناف الاضاءة</t>
  </si>
  <si>
    <t>Construction Materials</t>
  </si>
  <si>
    <t xml:space="preserve">   مواد البناء</t>
  </si>
  <si>
    <t xml:space="preserve">   الاخشاب</t>
  </si>
  <si>
    <t>Machinery and Equipment</t>
  </si>
  <si>
    <t>الاجهزة والآلات والمعدات</t>
  </si>
  <si>
    <t>Equipment &amp; Medical Products</t>
  </si>
  <si>
    <t xml:space="preserve">   الاجهزة والمواد الطبية</t>
  </si>
  <si>
    <t xml:space="preserve">Equipment &amp; Industrial </t>
  </si>
  <si>
    <t xml:space="preserve">   المعدات والادوات</t>
  </si>
  <si>
    <t>Construction Instruments</t>
  </si>
  <si>
    <t xml:space="preserve">   الانشائية الصناعية</t>
  </si>
  <si>
    <t>المصدر: دائرة الاحصاءات العامة.</t>
  </si>
  <si>
    <t>جدول رقم (47) : اهم مؤشرات بورصة عمان</t>
  </si>
  <si>
    <t xml:space="preserve"> Table No. (47) : MAJOR INDICATORS OF AMMAN STOCK EXCHANGE</t>
  </si>
  <si>
    <t xml:space="preserve"> JD Million </t>
  </si>
  <si>
    <t xml:space="preserve">الرقم القياسي لاسعار </t>
  </si>
  <si>
    <t>صافي الربح</t>
  </si>
  <si>
    <t xml:space="preserve">الرقم القياسي لاسعار الاسهم  </t>
  </si>
  <si>
    <t>الاسهم مرجحا بالقيمة</t>
  </si>
  <si>
    <t xml:space="preserve">حجم </t>
  </si>
  <si>
    <t xml:space="preserve">عدد الاسهم </t>
  </si>
  <si>
    <t xml:space="preserve">الارباح </t>
  </si>
  <si>
    <t xml:space="preserve">القيمة </t>
  </si>
  <si>
    <t xml:space="preserve">بعد الضرائب </t>
  </si>
  <si>
    <t xml:space="preserve">مرجحا بالقيمة السوقية للاسهم الحرة  </t>
  </si>
  <si>
    <t xml:space="preserve"> السوقية لرأس المال</t>
  </si>
  <si>
    <t xml:space="preserve">التداول </t>
  </si>
  <si>
    <t>المكتتب بها</t>
  </si>
  <si>
    <t>الموزعة</t>
  </si>
  <si>
    <t>الدفترية</t>
  </si>
  <si>
    <t>(العائد)</t>
  </si>
  <si>
    <t>السوقية</t>
  </si>
  <si>
    <t xml:space="preserve"> Share Price Index Weighted by Market Capitalization of Free Float Shares (Closing December 1999=1000)</t>
  </si>
  <si>
    <t xml:space="preserve"> Share Price Index  Weighted by Market Value of Capital            (Closing December 1991 = 1000)</t>
  </si>
  <si>
    <t xml:space="preserve">Value Traded </t>
  </si>
  <si>
    <t>Subscriped Shares</t>
  </si>
  <si>
    <t>Dividends</t>
  </si>
  <si>
    <t>Book Value</t>
  </si>
  <si>
    <t>Net Income After Taxes  (Return)</t>
  </si>
  <si>
    <t>Market Capitalization</t>
  </si>
  <si>
    <t>Source : Amman Stock Exchange .</t>
  </si>
  <si>
    <t xml:space="preserve">  المصدر   :  بورصة عمـان.</t>
  </si>
  <si>
    <t xml:space="preserve">.عام 1989 والى بنك ستاندرد تشارترد  كرندليزعام 2000 وحتى تشرين الاول 2003           </t>
  </si>
  <si>
    <t xml:space="preserve">  (1)  :  تأسس عام 1927 بإسم البنك العثماني وتحول الى بنك ناشيونال اند كرندليز عام 1969 والى بنك  أي ان زد كرندليز </t>
  </si>
  <si>
    <t>Abu Dhabi</t>
  </si>
  <si>
    <t>East  LTD</t>
  </si>
  <si>
    <t>N.A.</t>
  </si>
  <si>
    <t>Arab Land</t>
  </si>
  <si>
    <t xml:space="preserve">Chartered </t>
  </si>
  <si>
    <t>Bank of</t>
  </si>
  <si>
    <t>Bank  Middle</t>
  </si>
  <si>
    <t>Rafidain</t>
  </si>
  <si>
    <t xml:space="preserve">Citibank </t>
  </si>
  <si>
    <t>BLOM</t>
  </si>
  <si>
    <t>AL Rajhi</t>
  </si>
  <si>
    <t>Egyptian</t>
  </si>
  <si>
    <r>
      <t xml:space="preserve"> Standard </t>
    </r>
    <r>
      <rPr>
        <vertAlign val="superscript"/>
        <sz val="14"/>
        <rFont val="Times New Roman"/>
        <family val="1"/>
      </rPr>
      <t xml:space="preserve">(1) </t>
    </r>
  </si>
  <si>
    <t>National</t>
  </si>
  <si>
    <t xml:space="preserve">HSBC </t>
  </si>
  <si>
    <t>المصري العربي</t>
  </si>
  <si>
    <r>
      <t>تشارترد</t>
    </r>
    <r>
      <rPr>
        <vertAlign val="superscript"/>
        <sz val="15"/>
        <rFont val="Times New Roman"/>
        <family val="1"/>
      </rPr>
      <t>(1)</t>
    </r>
  </si>
  <si>
    <t>الوطني</t>
  </si>
  <si>
    <t>الأوسط المحدود</t>
  </si>
  <si>
    <t>الرافدين</t>
  </si>
  <si>
    <t>ان ايه</t>
  </si>
  <si>
    <t>والمهجر</t>
  </si>
  <si>
    <t>الراجحي</t>
  </si>
  <si>
    <t>العقاري</t>
  </si>
  <si>
    <t>ستاندرد</t>
  </si>
  <si>
    <t xml:space="preserve">أبو ظبي </t>
  </si>
  <si>
    <t>الشرق</t>
  </si>
  <si>
    <t>مصرف</t>
  </si>
  <si>
    <t>الكويت</t>
  </si>
  <si>
    <t>لبنان</t>
  </si>
  <si>
    <t>اس بي سي</t>
  </si>
  <si>
    <t>سيتي</t>
  </si>
  <si>
    <t xml:space="preserve">بنك عوده </t>
  </si>
  <si>
    <t>بنك اتش</t>
  </si>
  <si>
    <t xml:space="preserve"> TABLE NO. (2) : BRANCHING OF FOREIGN LICENSED BANKS IN JORDAN</t>
  </si>
  <si>
    <t xml:space="preserve"> TABLE NO. (2) : BRANCHING OF FOREIGN LICENSED BANKS IN JORDAN (CONTINUED)</t>
  </si>
  <si>
    <t xml:space="preserve"> جدول رقم (2) : تفرع البنوك الأجنبية المرخصة العاملة في الاردن</t>
  </si>
  <si>
    <t xml:space="preserve"> جدول رقم (2) : تفرع البنوك الأجنبية المرخصة العاملة في الاردن (تابع)</t>
  </si>
  <si>
    <t>النقود والبنوك</t>
  </si>
  <si>
    <t xml:space="preserve">تفرع البنوك الاردنية المرخصة العاملة في الاردن </t>
  </si>
  <si>
    <t>تفرع البنوك الاجنبية المرخصة العاملة في الاردن</t>
  </si>
  <si>
    <t>المسح النقدي للجهاز المصرفي</t>
  </si>
  <si>
    <t xml:space="preserve">عرض النقد </t>
  </si>
  <si>
    <t>النقد المصدر حسب الفئات</t>
  </si>
  <si>
    <t>موجودات البنك المركزي الأردني</t>
  </si>
  <si>
    <t>مطلوبات البنك المركزي الأردني</t>
  </si>
  <si>
    <t>موجودات البنوك المرخصة</t>
  </si>
  <si>
    <t>مطلوبات البنوك المرخصة</t>
  </si>
  <si>
    <t>الاحتياطيات الأجنبية للبنك المركزي الأردني</t>
  </si>
  <si>
    <t xml:space="preserve">الودائع لدى البنوك المرخصة حسب الجهة المودعة ونوع الوديعة </t>
  </si>
  <si>
    <t>توزيع التسهيلات الائتمانية للبنوك المرخصة حسب القطاعات</t>
  </si>
  <si>
    <t xml:space="preserve">توزيع التسهيلات الائتمانية للبنوك المرخصة حسب الجهة المقترضة ونوع العملة </t>
  </si>
  <si>
    <t xml:space="preserve">موجودات فروع البنوك الاردنية العاملة في الاراضي الفلسطينية </t>
  </si>
  <si>
    <t xml:space="preserve">مطلوبات فروع البنوك الاردنية العاملة في الاراضي الفلسطينية </t>
  </si>
  <si>
    <t>تقاص الشيكات</t>
  </si>
  <si>
    <t>هيكل أسعارالفوائد</t>
  </si>
  <si>
    <t xml:space="preserve">مؤشرات المتانة المالية </t>
  </si>
  <si>
    <t>الماليــــة العامــــة</t>
  </si>
  <si>
    <t>خلاصة الموازنة العامة للحكومة المركزية</t>
  </si>
  <si>
    <t>الرصيد القائم للدين العام الخارجي ( موازنة ومكفول )</t>
  </si>
  <si>
    <t>الدين الداخلي للحكومة المركزية (ضمن الموازنة ومؤسسات حكومية بموازنات مستقلة)</t>
  </si>
  <si>
    <t>القطـــــاع الخارجي</t>
  </si>
  <si>
    <t>(20/أ  )</t>
  </si>
  <si>
    <t>(20/ب)</t>
  </si>
  <si>
    <t>القادمون والمغادرون حسب الجنسية</t>
  </si>
  <si>
    <t>التركيب السلعي للصادرات الوطنية حسب الاغراض الاقتصادية</t>
  </si>
  <si>
    <t>التركيب السلعي للمستوردات حسب الاغراض الاقتصادية</t>
  </si>
  <si>
    <t xml:space="preserve">التركيب السلعي للصادرات الوطنية حسب التصنيف الدولي </t>
  </si>
  <si>
    <t xml:space="preserve">التركيب السلعي للمستوردات حسب التصنيف الدولي </t>
  </si>
  <si>
    <t xml:space="preserve">التوزيع الجغرافي للصادرات الوطنية </t>
  </si>
  <si>
    <t xml:space="preserve">التوزيع الجغرافي للمستوردات </t>
  </si>
  <si>
    <t xml:space="preserve">التركيب السلعي للصادرات الوطنية الى الدول العربية حسب التصنيف الدولي </t>
  </si>
  <si>
    <t xml:space="preserve">التركيب السلعي للمستوردات من الدول العربية حسب التصنيف الدولي </t>
  </si>
  <si>
    <t>الرقم القياسي لسعر وحدة الصادرات الوطنية</t>
  </si>
  <si>
    <t>الرقم القياسي لوحدة كمية الصادرات الوطنية</t>
  </si>
  <si>
    <t xml:space="preserve">الرقم القياسي لسعر وحدة المستوردات </t>
  </si>
  <si>
    <t xml:space="preserve">الرقم القياسي لوحدة كمية المستوردات </t>
  </si>
  <si>
    <t>نشاط ميناء العقبة</t>
  </si>
  <si>
    <t xml:space="preserve">الانتــــــاج </t>
  </si>
  <si>
    <t xml:space="preserve">الناتج المحلي الاجمالي بالاسعارالجارية </t>
  </si>
  <si>
    <t xml:space="preserve">الناتج المحلي الاجمالي بالاسعارالثابتة </t>
  </si>
  <si>
    <t xml:space="preserve">التكوين الرأسمالي الثابت الاجمالي حسب النشاط الاقتصادي بالاسعارالجارية </t>
  </si>
  <si>
    <t xml:space="preserve">الرقم القياسي للانتاج الزراعي </t>
  </si>
  <si>
    <t xml:space="preserve">كميات الانتاج للصناعات الرئيسة </t>
  </si>
  <si>
    <t>III</t>
  </si>
  <si>
    <t>II</t>
  </si>
  <si>
    <t>I</t>
  </si>
  <si>
    <t xml:space="preserve">الرقم القياسي لكميات الانتاج الصناعي </t>
  </si>
  <si>
    <t>نشاط البناء (عدد الرخص)</t>
  </si>
  <si>
    <t>نشاط البناء (المساحة المرخصة)</t>
  </si>
  <si>
    <t xml:space="preserve">الارقام القياسية للأسعار والكميات </t>
  </si>
  <si>
    <t>الأسعــــار</t>
  </si>
  <si>
    <t>أسعار صرف أهم العملات الأجنبية المعلنة من البنك المركزي الأردني</t>
  </si>
  <si>
    <t>الرقم القياسي لأسعار المستهلك</t>
  </si>
  <si>
    <t xml:space="preserve">الرقم القياسي لأسعار تجارة الجملة </t>
  </si>
  <si>
    <t xml:space="preserve">أهم مؤشرات بورصة عمان </t>
  </si>
  <si>
    <t>I N D E X</t>
  </si>
  <si>
    <t>MONEY AND  BANKING</t>
  </si>
  <si>
    <t>Branching of Jordanian Licensed Banks</t>
  </si>
  <si>
    <t>Branching of Foreign Licensed Bank in Jordan</t>
  </si>
  <si>
    <t>Monetary Survey of the Banking System</t>
  </si>
  <si>
    <t xml:space="preserve">Money Supply </t>
  </si>
  <si>
    <t>Assets of the Central Bank of Jordan</t>
  </si>
  <si>
    <t>Liabilities of the Central Bank of Jordan</t>
  </si>
  <si>
    <t>Assets of the Licensed Banks</t>
  </si>
  <si>
    <t>Liabilities of the Licensed Banks</t>
  </si>
  <si>
    <t>Central Bank of Jordan Foreign Reserves</t>
  </si>
  <si>
    <t xml:space="preserve"> Deposits with Licensed Banks by Depositor and Type</t>
  </si>
  <si>
    <t>Sectorial Distribution of Outstanding Licensed Banks Credit</t>
  </si>
  <si>
    <t>Credit Facilities Extended by the Licensed Banks According to Borrower and Currency</t>
  </si>
  <si>
    <t xml:space="preserve">Assets of Jordanian Banks Branches Operating in Palestine </t>
  </si>
  <si>
    <t xml:space="preserve">Liabilities of Jordanian Banks Branches Operating in Palestine </t>
  </si>
  <si>
    <t>Interest Rates Structure</t>
  </si>
  <si>
    <t>(16)</t>
  </si>
  <si>
    <t>Financial Soundness Indicators</t>
  </si>
  <si>
    <t>PUBLIC  FINANCE</t>
  </si>
  <si>
    <t>(17)</t>
  </si>
  <si>
    <t>Summary of Central Government Budget</t>
  </si>
  <si>
    <t>(18)</t>
  </si>
  <si>
    <t>Outstanding Balance of External Public Debt (Budget and Guaranteed)</t>
  </si>
  <si>
    <t>(19)</t>
  </si>
  <si>
    <t>Central Government Domestic Debt (Budgetary Central Government and Own Budget Agencies)</t>
  </si>
  <si>
    <t>EXTERNAL TRADE AND BALANCE OF PAYMENTS</t>
  </si>
  <si>
    <t>(20/A)</t>
  </si>
  <si>
    <t>(20/B)</t>
  </si>
  <si>
    <t>(21)</t>
  </si>
  <si>
    <t>Arrivals and Departures by Nationality</t>
  </si>
  <si>
    <t>(22)</t>
  </si>
  <si>
    <t>Domestic Exports by Economic Function</t>
  </si>
  <si>
    <t>(23)</t>
  </si>
  <si>
    <t>Imports by Economic Function</t>
  </si>
  <si>
    <t>(24)</t>
  </si>
  <si>
    <t>Domestic Exports by Commodity According to S.I.T.C.</t>
  </si>
  <si>
    <t>(25)</t>
  </si>
  <si>
    <t>Imports by Commodity According to S.I.T.C.</t>
  </si>
  <si>
    <t>(26)</t>
  </si>
  <si>
    <t xml:space="preserve">Geographic Distribution of Domestic Exports </t>
  </si>
  <si>
    <t>(27)</t>
  </si>
  <si>
    <t xml:space="preserve">Geographic Distribution of Imports </t>
  </si>
  <si>
    <t>(28)</t>
  </si>
  <si>
    <t>Domestic Exports to Arab Countries According to S.I.T.C.</t>
  </si>
  <si>
    <t>(29)</t>
  </si>
  <si>
    <t>Imports from Arab Countries According to S.I.T.C.</t>
  </si>
  <si>
    <t>(30)</t>
  </si>
  <si>
    <t>Index of Unit Price of Domestic Exports</t>
  </si>
  <si>
    <t>(31)</t>
  </si>
  <si>
    <t>Index of Unit Volume of Domestic Exports</t>
  </si>
  <si>
    <t>(32)</t>
  </si>
  <si>
    <t>Index of Unit Price of Imports</t>
  </si>
  <si>
    <t>(33)</t>
  </si>
  <si>
    <t>Index of Unit Volume of Imports</t>
  </si>
  <si>
    <t>(34)</t>
  </si>
  <si>
    <t>Aqaba Port Activity</t>
  </si>
  <si>
    <t>PRODUCTION</t>
  </si>
  <si>
    <t>(35)</t>
  </si>
  <si>
    <t>Gross Domestic Product at Current Prices</t>
  </si>
  <si>
    <t>(36)</t>
  </si>
  <si>
    <t>Gross Domestic Product at Constant  Prices</t>
  </si>
  <si>
    <t>(37)</t>
  </si>
  <si>
    <t>Gross Fixed Capital Formation by Economic Activity at Current Prices</t>
  </si>
  <si>
    <t>(38)</t>
  </si>
  <si>
    <t>Agricultural Production Index</t>
  </si>
  <si>
    <t>(39)</t>
  </si>
  <si>
    <t>Quantities Produced by Major Industries</t>
  </si>
  <si>
    <t>(40)</t>
  </si>
  <si>
    <t>Industrial Production Quantity Index</t>
  </si>
  <si>
    <t>(41)</t>
  </si>
  <si>
    <t>Construction Activity (No. of Permits)</t>
  </si>
  <si>
    <t>(42)</t>
  </si>
  <si>
    <t>Construction Activity (Licensed Area)</t>
  </si>
  <si>
    <t>(43)</t>
  </si>
  <si>
    <t>Price and Quantity Indices</t>
  </si>
  <si>
    <t>PRICES</t>
  </si>
  <si>
    <t>(44)</t>
  </si>
  <si>
    <t>Exchange Rates of Major Foreign Currencies Announced by CBJ</t>
  </si>
  <si>
    <t>(45)</t>
  </si>
  <si>
    <t>Consumer Price Index</t>
  </si>
  <si>
    <t>(46)</t>
  </si>
  <si>
    <t>Wholesale Price Index</t>
  </si>
  <si>
    <t>(47)</t>
  </si>
  <si>
    <t>Major Indicators of Amman Stock Exchange</t>
  </si>
  <si>
    <t xml:space="preserve">                الفهـــــــــرس</t>
  </si>
  <si>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2014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</si>
  <si>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2014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</si>
  <si>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2014</t>
    </r>
  </si>
  <si>
    <r>
      <rPr>
        <vertAlign val="superscript"/>
        <sz val="14"/>
        <rFont val="Times New Roman"/>
        <family val="1"/>
      </rPr>
      <t xml:space="preserve">(1) </t>
    </r>
    <r>
      <rPr>
        <sz val="16"/>
        <rFont val="Times New Roman"/>
        <family val="1"/>
      </rPr>
      <t>2014</t>
    </r>
  </si>
  <si>
    <t>Note</t>
  </si>
  <si>
    <t xml:space="preserve">    : Starting June 2015 the data on construction activity are based</t>
  </si>
  <si>
    <t xml:space="preserve">اعتبارا من العدد حزيران  2015 تم اعتماد بيانات  نشاط البناء الصادرة عن </t>
  </si>
  <si>
    <t xml:space="preserve">ملاحظة     : </t>
  </si>
  <si>
    <t xml:space="preserve"> on Department of Statistics rather than Jordan Engineers Association.</t>
  </si>
  <si>
    <t xml:space="preserve">    Sources :   -  Department of Statistics.</t>
  </si>
  <si>
    <t>المصـادر  :   ـ   دائرة الاحصاءات العامة.</t>
  </si>
  <si>
    <t xml:space="preserve">         دائرة الاحصاءات العامة بدلا من بيانات نقابة المهندسين الاردنيين .</t>
  </si>
  <si>
    <t>(100=2010)</t>
  </si>
  <si>
    <t xml:space="preserve">(2010=100)    </t>
  </si>
  <si>
    <t xml:space="preserve">التجهيزات </t>
  </si>
  <si>
    <t xml:space="preserve">الأغذية </t>
  </si>
  <si>
    <t>والخدمات</t>
  </si>
  <si>
    <t>المطاعم</t>
  </si>
  <si>
    <t>الثقافة</t>
  </si>
  <si>
    <t xml:space="preserve">والمعدات </t>
  </si>
  <si>
    <t>المشروبات غير</t>
  </si>
  <si>
    <t>والمشروبات</t>
  </si>
  <si>
    <t xml:space="preserve">التعليم </t>
  </si>
  <si>
    <t>والترفيه</t>
  </si>
  <si>
    <t>الاتصالات</t>
  </si>
  <si>
    <t>الصحة</t>
  </si>
  <si>
    <t xml:space="preserve">المنزلية </t>
  </si>
  <si>
    <t>المساكن</t>
  </si>
  <si>
    <t>والتبغ والسجائر</t>
  </si>
  <si>
    <t>الغذاء</t>
  </si>
  <si>
    <t>غير الكحولية</t>
  </si>
  <si>
    <t>Cultute</t>
  </si>
  <si>
    <t xml:space="preserve">Household </t>
  </si>
  <si>
    <t>Alcoholic &amp;</t>
  </si>
  <si>
    <t>Non -</t>
  </si>
  <si>
    <t>Food &amp;</t>
  </si>
  <si>
    <t>Goods &amp;</t>
  </si>
  <si>
    <t>Furnishings &amp;</t>
  </si>
  <si>
    <t xml:space="preserve">Tobacco &amp; </t>
  </si>
  <si>
    <t>Non - Alcoholic</t>
  </si>
  <si>
    <t>Recreation</t>
  </si>
  <si>
    <t>Communication</t>
  </si>
  <si>
    <t>Health</t>
  </si>
  <si>
    <t>Baverages</t>
  </si>
  <si>
    <t>Item</t>
  </si>
  <si>
    <t xml:space="preserve">السلع والخدمات الاخرى </t>
  </si>
  <si>
    <t xml:space="preserve">المساكـــــن </t>
  </si>
  <si>
    <t xml:space="preserve"> واحذيـــــة </t>
  </si>
  <si>
    <r>
      <t>Food Items</t>
    </r>
    <r>
      <rPr>
        <vertAlign val="superscript"/>
        <sz val="20"/>
        <rFont val="Times New Roman"/>
        <family val="1"/>
      </rPr>
      <t xml:space="preserve"> </t>
    </r>
  </si>
  <si>
    <t xml:space="preserve"> المواد الغذائيـــــة </t>
  </si>
  <si>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2015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</si>
  <si>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2015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</si>
  <si>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2015</t>
    </r>
  </si>
  <si>
    <r>
      <rPr>
        <vertAlign val="superscript"/>
        <sz val="14"/>
        <rFont val="Times New Roman"/>
        <family val="1"/>
      </rPr>
      <t xml:space="preserve">(1) </t>
    </r>
    <r>
      <rPr>
        <sz val="16"/>
        <rFont val="Times New Roman"/>
        <family val="1"/>
      </rPr>
      <t>2015</t>
    </r>
  </si>
  <si>
    <r>
      <rPr>
        <vertAlign val="superscript"/>
        <sz val="12"/>
        <rFont val="Times New Roman (Arabic)"/>
        <charset val="178"/>
      </rPr>
      <t>(1)</t>
    </r>
    <r>
      <rPr>
        <sz val="18"/>
        <rFont val="Times New Roman (Arabic)"/>
      </rPr>
      <t>2015</t>
    </r>
  </si>
  <si>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2016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</si>
  <si>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2016</t>
    </r>
  </si>
  <si>
    <r>
      <rPr>
        <vertAlign val="superscript"/>
        <sz val="16"/>
        <rFont val="Times New Roman"/>
        <family val="1"/>
      </rPr>
      <t xml:space="preserve"> (2)</t>
    </r>
    <r>
      <rPr>
        <sz val="16"/>
        <rFont val="Times New Roman"/>
        <family val="1"/>
      </rPr>
      <t>2016</t>
    </r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</si>
  <si>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2016</t>
    </r>
  </si>
  <si>
    <t>(1)       : أولية.</t>
  </si>
  <si>
    <t xml:space="preserve"> (1)      :  Preliminary. </t>
  </si>
  <si>
    <t xml:space="preserve"> المصدر :   دائرة الاحصاءات العامة </t>
  </si>
  <si>
    <t>معدل التغير (%)   </t>
  </si>
  <si>
    <t>Percentage Change</t>
  </si>
  <si>
    <t>توليد ونقل وتوزيع الطاقة (الكهربائية)</t>
  </si>
  <si>
    <t>Electricity, gas, steam and air conditioning supply</t>
  </si>
  <si>
    <t>الصناعات التحويلية الاخرى</t>
  </si>
  <si>
    <t>Other manufacturing</t>
  </si>
  <si>
    <t>صنع الأثاث</t>
  </si>
  <si>
    <t>Manufacture of furniture</t>
  </si>
  <si>
    <t>صناعة المركبات ذات المحركات والابدان</t>
  </si>
  <si>
    <t>Manufacture of motor vehicles, trailers and semi-trailers</t>
  </si>
  <si>
    <t>صنع الآلات والمعدات الغير مصنفة في موضع آخر</t>
  </si>
  <si>
    <t>Manufacture of machinery and equipment n.e.c.</t>
  </si>
  <si>
    <t>صنع المعدات الكهربائية</t>
  </si>
  <si>
    <t>Manufacture of electrical equipment</t>
  </si>
  <si>
    <t>صنع الحواسيب والمنتجات الالكترونية والبصرية</t>
  </si>
  <si>
    <t>Manufacture of computer, electronic and optical products</t>
  </si>
  <si>
    <t>صنع منتجات المعادن المشكلة، بأستثناء الآلات والمعدات</t>
  </si>
  <si>
    <t>Manufacture of fabricated metal products, except machinery and equipment</t>
  </si>
  <si>
    <t>صنع الفلزات القاعدية</t>
  </si>
  <si>
    <t>Manufacture of basic metals</t>
  </si>
  <si>
    <t>صنع منتجات المعادن اللافلزية الاخرى</t>
  </si>
  <si>
    <t>Manufacture of other non-metallicmineral products</t>
  </si>
  <si>
    <t>صنع منتجات المطاط واللدائن</t>
  </si>
  <si>
    <t>Manufacture of rubber and plastics products</t>
  </si>
  <si>
    <t>صنع المنتجات والمستحضرات الصيدلانية</t>
  </si>
  <si>
    <t>Manufacture of pharmaceuticals,medicinal chemical and botanical products</t>
  </si>
  <si>
    <t>صنع المواد والمنتجات الكيميائية</t>
  </si>
  <si>
    <t>Manufacture of chemicals and chemical products</t>
  </si>
  <si>
    <t>صنع المنتجات النفطية المكررة</t>
  </si>
  <si>
    <t>Manufacture of coke and refined petroleum products</t>
  </si>
  <si>
    <t>الطباعة واستنساخ وسائط الاعلام المسجلة</t>
  </si>
  <si>
    <t>Printing and reproduction of recorded media</t>
  </si>
  <si>
    <t>صنع الورق ومنتجات الورق</t>
  </si>
  <si>
    <t>Manufacture of paper and paper products</t>
  </si>
  <si>
    <t>صنع الخشب ومنتجات الخشب بأستثناء الاثاث</t>
  </si>
  <si>
    <t>Manufacture of wood and of products of wood except furniture</t>
  </si>
  <si>
    <t>صنع المنتجات الجلدية</t>
  </si>
  <si>
    <t>Manufacture of leather and related</t>
  </si>
  <si>
    <t>صنع الملبوسات</t>
  </si>
  <si>
    <t>Manufacture of wearing apparel</t>
  </si>
  <si>
    <t>صنع المنسوجات</t>
  </si>
  <si>
    <t>Manufacture of textiles</t>
  </si>
  <si>
    <t>صناعة منتجات التبغ</t>
  </si>
  <si>
    <t>Manufacture of tobacco products</t>
  </si>
  <si>
    <t>صنع المشروبات</t>
  </si>
  <si>
    <t>Manufacture of beverages</t>
  </si>
  <si>
    <t>صنع المنتجات الغذائية</t>
  </si>
  <si>
    <t>Manufacture of food products</t>
  </si>
  <si>
    <t>الصناعات التحويلية:</t>
  </si>
  <si>
    <t>إستخراج المعادن الكيميائية والأسمدة الطبيعية</t>
  </si>
  <si>
    <t>Mining of chemical and fertilizer minerals</t>
  </si>
  <si>
    <t>استغلال المحاجر</t>
  </si>
  <si>
    <t>Quarrying of stone, sand and clay</t>
  </si>
  <si>
    <t>استخراج النفط الخام والغاز الطبيعي</t>
  </si>
  <si>
    <t>Extraction of crude petroleum and natural gas</t>
  </si>
  <si>
    <t>:الصناعات الاستخراجية </t>
  </si>
  <si>
    <t>Weight</t>
  </si>
  <si>
    <t>الصناعـــــة</t>
  </si>
  <si>
    <r>
      <rPr>
        <b/>
        <vertAlign val="superscript"/>
        <sz val="18"/>
        <rFont val="Times New Roman"/>
        <family val="1"/>
      </rPr>
      <t>(1)</t>
    </r>
    <r>
      <rPr>
        <b/>
        <sz val="18"/>
        <rFont val="Times New Roman"/>
        <family val="1"/>
      </rPr>
      <t>2015</t>
    </r>
  </si>
  <si>
    <r>
      <rPr>
        <b/>
        <vertAlign val="superscript"/>
        <sz val="18"/>
        <rFont val="Times New Roman"/>
        <family val="1"/>
      </rPr>
      <t>(1)</t>
    </r>
    <r>
      <rPr>
        <b/>
        <sz val="18"/>
        <rFont val="Times New Roman"/>
        <family val="1"/>
      </rPr>
      <t>2016</t>
    </r>
  </si>
  <si>
    <t>(2010=100)</t>
  </si>
  <si>
    <t>TABLE NO. (40):  INDUSTRIAL PRODUCTION QUANTITY INDEX</t>
  </si>
  <si>
    <t xml:space="preserve">جدول رقم (40): الرقم  القياسي لكميات الانتاج الصناعي </t>
  </si>
  <si>
    <r>
      <rPr>
        <vertAlign val="superscript"/>
        <sz val="16"/>
        <rFont val="Times New Roman (Arabic)"/>
        <charset val="178"/>
      </rPr>
      <t>(1)</t>
    </r>
    <r>
      <rPr>
        <sz val="16"/>
        <rFont val="Times New Roman (Arabic)"/>
        <charset val="178"/>
      </rPr>
      <t>2016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</si>
  <si>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2016</t>
    </r>
  </si>
  <si>
    <t>المصدر :  دائرة الاحصاءات العامة.</t>
  </si>
  <si>
    <t>معدل التغير % </t>
  </si>
  <si>
    <t>Percentage Change %</t>
  </si>
  <si>
    <t xml:space="preserve"> طبية واخرى)</t>
  </si>
  <si>
    <t xml:space="preserve">  equipment and other)</t>
  </si>
  <si>
    <t>تجارة الجملة غير المتخصصة (غير منزلية ومعدات</t>
  </si>
  <si>
    <t xml:space="preserve">Wholesale trade of Non-specialized  (non-household, medical </t>
  </si>
  <si>
    <t>نفايات وخردة والمنتجات الأخرى غير المصنفة في مكان آخر</t>
  </si>
  <si>
    <t>Waste and scrap and other products not classified elsewhere</t>
  </si>
  <si>
    <t xml:space="preserve">المواد الانشائية والبناء ومعدات ولوازم الشبكات الصحية والتدفئة </t>
  </si>
  <si>
    <t>Construction equipment,supplies,Sewerage networks,heating materials</t>
  </si>
  <si>
    <t xml:space="preserve">بيع المعادن وخامات المعادن المشكل منها والخام </t>
  </si>
  <si>
    <t>Sale of metals and metal ores</t>
  </si>
  <si>
    <t>الوقود الصلب والسائل والغازي ومنتجات الزيوت والشحوم</t>
  </si>
  <si>
    <t>Solid, liquid and gaseous products of fuel oil and grease</t>
  </si>
  <si>
    <t>بيع الوقود والمعادن والمواد الإنشائية ولوازمها</t>
  </si>
  <si>
    <t>Sale of fuel, metals and construction materials and fittings</t>
  </si>
  <si>
    <t xml:space="preserve">بيع الالات والمعدات الأخرى </t>
  </si>
  <si>
    <t>Sale of other machinery and equipment</t>
  </si>
  <si>
    <t>بيع الالات والمعدات واللوازم الزراعية بالجملة</t>
  </si>
  <si>
    <t xml:space="preserve"> Wholesale of agricultural machinery, equipment and supplies</t>
  </si>
  <si>
    <t xml:space="preserve">معدات خاصه بالإلكترونيات وأجهزة الاتصالات وأجزائها </t>
  </si>
  <si>
    <t>Special electronics and telecommunications equipment and there parts</t>
  </si>
  <si>
    <t>بيع الحواسيب ومعداتها الطرفية والبرامج بالجملة</t>
  </si>
  <si>
    <t>Wholesale of computers,  peripheral equipment and software</t>
  </si>
  <si>
    <t>بيع الالات ومعدات ولوازمها</t>
  </si>
  <si>
    <t>Sale of machinery, equipment and supplies</t>
  </si>
  <si>
    <t>بيع السلع المنزلية الأخرى بالجملة</t>
  </si>
  <si>
    <t>Wholesale and other household goods</t>
  </si>
  <si>
    <t xml:space="preserve">بيع المنسوجات والملبوسات والأحذية </t>
  </si>
  <si>
    <t>Sale of textiles, clothing and footwear</t>
  </si>
  <si>
    <t>بيع منسوجات وألبسة وسلع شخصية ومنزلية</t>
  </si>
  <si>
    <t>Sale of textiles, clothing and personal housing products</t>
  </si>
  <si>
    <t xml:space="preserve">بيع الاغذية والمشروبات والتبغ </t>
  </si>
  <si>
    <t>Wholesale of food, beverages and tobacco</t>
  </si>
  <si>
    <t>البيع بالجملة للمواد الخام الزراعية والماشية الحية</t>
  </si>
  <si>
    <t>Wholesale of agricultural raw materials and livestock</t>
  </si>
  <si>
    <t xml:space="preserve"> والتبغ</t>
  </si>
  <si>
    <t xml:space="preserve"> and tobacco</t>
  </si>
  <si>
    <t>تجارة المواد الخام الزراعية والحبوب والأغذية والمشروبات</t>
  </si>
  <si>
    <t>Sale of agricultural raw materials, grains, food, beverages</t>
  </si>
  <si>
    <t>بيع الدراجات النارية وقطع غيارها واكسسوارتها</t>
  </si>
  <si>
    <t>Sale of motorcycles and parts and accessories</t>
  </si>
  <si>
    <t>بيع قطع غيار واكسسوارات المركبات ذات المحركات</t>
  </si>
  <si>
    <t xml:space="preserve">Sale of Parts and accessories of motor vehicles </t>
  </si>
  <si>
    <t>بيع المركبات ذات المحركات</t>
  </si>
  <si>
    <t>Sale of motor vehicles</t>
  </si>
  <si>
    <t>بيع المركبات ذات المحركات واجزائها والدراجات النارية</t>
  </si>
  <si>
    <t>Sale of motor vehicles, motorcycles and parts</t>
  </si>
  <si>
    <t>Relative Imp.</t>
  </si>
  <si>
    <t>( 2010 = 100 )</t>
  </si>
  <si>
    <t xml:space="preserve"> TABLE NO. (46) :  WHOLESALE PRICE INDEX</t>
  </si>
  <si>
    <t xml:space="preserve">جدول رقم (46) : الرقم القياسي لأسعار تجارة الجملة </t>
  </si>
  <si>
    <t>Gross Domestic</t>
  </si>
  <si>
    <t>(100=1999)</t>
  </si>
  <si>
    <t>(100=1994)</t>
  </si>
  <si>
    <r>
      <rPr>
        <vertAlign val="superscript"/>
        <sz val="12"/>
        <rFont val="Times New Roman (Arabic)"/>
        <charset val="178"/>
      </rPr>
      <t>(1)</t>
    </r>
    <r>
      <rPr>
        <sz val="18"/>
        <rFont val="Times New Roman (Arabic)"/>
      </rPr>
      <t>2016</t>
    </r>
  </si>
  <si>
    <r>
      <rPr>
        <vertAlign val="superscript"/>
        <sz val="30"/>
        <rFont val="Times New Roman"/>
        <family val="1"/>
      </rPr>
      <t>(1)</t>
    </r>
    <r>
      <rPr>
        <sz val="30"/>
        <rFont val="Times New Roman"/>
        <family val="1"/>
      </rPr>
      <t>2017</t>
    </r>
  </si>
  <si>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2017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</si>
  <si>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2017</t>
    </r>
  </si>
  <si>
    <r>
      <rPr>
        <vertAlign val="superscript"/>
        <sz val="16"/>
        <rFont val="Times New Roman"/>
        <family val="1"/>
      </rPr>
      <t xml:space="preserve"> (2)</t>
    </r>
    <r>
      <rPr>
        <sz val="16"/>
        <rFont val="Times New Roman"/>
        <family val="1"/>
      </rPr>
      <t>2017</t>
    </r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</si>
  <si>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2017</t>
    </r>
  </si>
  <si>
    <r>
      <rPr>
        <vertAlign val="superscript"/>
        <sz val="16"/>
        <rFont val="Times New Roman (Arabic)"/>
        <charset val="178"/>
      </rPr>
      <t>(1)</t>
    </r>
    <r>
      <rPr>
        <sz val="16"/>
        <rFont val="Times New Roman (Arabic)"/>
        <charset val="178"/>
      </rPr>
      <t>2017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</si>
  <si>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2017</t>
    </r>
  </si>
  <si>
    <r>
      <rPr>
        <b/>
        <vertAlign val="superscript"/>
        <sz val="18"/>
        <rFont val="Times New Roman"/>
        <family val="1"/>
      </rPr>
      <t>(1)</t>
    </r>
    <r>
      <rPr>
        <b/>
        <sz val="18"/>
        <rFont val="Times New Roman"/>
        <family val="1"/>
      </rPr>
      <t>2017</t>
    </r>
  </si>
  <si>
    <r>
      <rPr>
        <vertAlign val="superscript"/>
        <sz val="12"/>
        <rFont val="Times New Roman (Arabic)"/>
        <charset val="178"/>
      </rPr>
      <t>(1)</t>
    </r>
    <r>
      <rPr>
        <sz val="18"/>
        <rFont val="Times New Roman (Arabic)"/>
      </rPr>
      <t>2017</t>
    </r>
  </si>
  <si>
    <t>صافي السهو والخطأ</t>
  </si>
  <si>
    <t>Net errors and omissions</t>
  </si>
  <si>
    <t>سندات الدين</t>
  </si>
  <si>
    <t xml:space="preserve">Debt securities </t>
  </si>
  <si>
    <t>النقد والودائع</t>
  </si>
  <si>
    <t>Currency and deposits</t>
  </si>
  <si>
    <t>أصول احتياطية أخرى</t>
  </si>
  <si>
    <t>Other reserve assets</t>
  </si>
  <si>
    <t>وضع الاحتياطي في الصندوق</t>
  </si>
  <si>
    <t>Reserve position in the IMF</t>
  </si>
  <si>
    <t xml:space="preserve">حقوق السحب الخاصة </t>
  </si>
  <si>
    <t xml:space="preserve">Special drawing rights </t>
  </si>
  <si>
    <t xml:space="preserve">Monetary gold </t>
  </si>
  <si>
    <t xml:space="preserve">Reserve assets </t>
  </si>
  <si>
    <t>حسابات أخرى مستحقة الدفع</t>
  </si>
  <si>
    <t xml:space="preserve">Other accounts payable </t>
  </si>
  <si>
    <t>القطاعات الأخرى - قصير الأجل</t>
  </si>
  <si>
    <t>الائتمانات التجارية والسلف</t>
  </si>
  <si>
    <t xml:space="preserve">Trade credit and advances </t>
  </si>
  <si>
    <t>تسديدات</t>
  </si>
  <si>
    <t>Repayments</t>
  </si>
  <si>
    <t>مسحوبات</t>
  </si>
  <si>
    <t>Drawings</t>
  </si>
  <si>
    <t>القطاعات الأخرى - طويل الأجل</t>
  </si>
  <si>
    <t>الحكومة العامة - طويل الأجل</t>
  </si>
  <si>
    <t>أخرى طويلة الأجل</t>
  </si>
  <si>
    <t>Other long-term</t>
  </si>
  <si>
    <t>الائتمان والقروض من صندوق النقد الدولي</t>
  </si>
  <si>
    <t>Credit and loans with the IMF</t>
  </si>
  <si>
    <t>القروض</t>
  </si>
  <si>
    <t xml:space="preserve">Loans </t>
  </si>
  <si>
    <t>حصص الملكية الأخرى</t>
  </si>
  <si>
    <t xml:space="preserve">صافي تحمل الخصوم </t>
  </si>
  <si>
    <t>Net incurrence of liabilities</t>
  </si>
  <si>
    <t>حسابات أخرى مستحقة القبض</t>
  </si>
  <si>
    <t>Other accounts receivable</t>
  </si>
  <si>
    <t xml:space="preserve">صافي اقتناء الأصول المالية </t>
  </si>
  <si>
    <t>الاستثمارات الأخرى</t>
  </si>
  <si>
    <t xml:space="preserve">Other investment </t>
  </si>
  <si>
    <t xml:space="preserve">المشتقات المالية </t>
  </si>
  <si>
    <t>Financial derivatives</t>
  </si>
  <si>
    <t>Debt securities</t>
  </si>
  <si>
    <t>القطاعات الأخرى</t>
  </si>
  <si>
    <t>Other sectors</t>
  </si>
  <si>
    <t xml:space="preserve">حصص الملكية وأسهم صناديق الاستثمار </t>
  </si>
  <si>
    <t xml:space="preserve">Equity and investment fund shares </t>
  </si>
  <si>
    <t xml:space="preserve">شركات تلقي الودائع، عدا البنك المركزي </t>
  </si>
  <si>
    <t xml:space="preserve">Portfolio investment </t>
  </si>
  <si>
    <t xml:space="preserve">Direct investment </t>
  </si>
  <si>
    <t>الحساب المالي</t>
  </si>
  <si>
    <t>Financial account</t>
  </si>
  <si>
    <r>
      <t>2014</t>
    </r>
    <r>
      <rPr>
        <b/>
        <vertAlign val="superscript"/>
        <sz val="16"/>
        <rFont val="Times New Roman (Arabic)"/>
      </rPr>
      <t>(1)</t>
    </r>
  </si>
  <si>
    <r>
      <t>2015</t>
    </r>
    <r>
      <rPr>
        <b/>
        <vertAlign val="superscript"/>
        <sz val="16"/>
        <rFont val="Times New Roman (Arabic)"/>
      </rPr>
      <t>(1)</t>
    </r>
  </si>
  <si>
    <r>
      <t>2016</t>
    </r>
    <r>
      <rPr>
        <b/>
        <vertAlign val="superscript"/>
        <sz val="16"/>
        <rFont val="Times New Roman (Arabic)"/>
      </rPr>
      <t>(1)</t>
    </r>
  </si>
  <si>
    <r>
      <t>2017</t>
    </r>
    <r>
      <rPr>
        <b/>
        <vertAlign val="superscript"/>
        <sz val="16"/>
        <rFont val="Times New Roman (Arabic)"/>
      </rPr>
      <t>(1)</t>
    </r>
  </si>
  <si>
    <t>مدين</t>
  </si>
  <si>
    <t xml:space="preserve">      Debit</t>
  </si>
  <si>
    <t xml:space="preserve">دائن </t>
  </si>
  <si>
    <t xml:space="preserve">      Credit</t>
  </si>
  <si>
    <t xml:space="preserve">Capital transfers </t>
  </si>
  <si>
    <t>الأصول غير المنتجة غير المالية</t>
  </si>
  <si>
    <t xml:space="preserve">Nonproduced nonfinancial assets </t>
  </si>
  <si>
    <t>الحساب الرأسمالي</t>
  </si>
  <si>
    <t>Capital account</t>
  </si>
  <si>
    <t>منها، تحويلات العاملين</t>
  </si>
  <si>
    <t>Of which: Workers' remittances</t>
  </si>
  <si>
    <t xml:space="preserve">  Debit</t>
  </si>
  <si>
    <t xml:space="preserve">  Credit</t>
  </si>
  <si>
    <t xml:space="preserve">التحويلات الشخصية </t>
  </si>
  <si>
    <t xml:space="preserve">Personal transfers </t>
  </si>
  <si>
    <t>Other Sectors</t>
  </si>
  <si>
    <t>General government</t>
  </si>
  <si>
    <t>الدخل الثانوي</t>
  </si>
  <si>
    <t xml:space="preserve">Secondary income </t>
  </si>
  <si>
    <t xml:space="preserve"> Debit</t>
  </si>
  <si>
    <t xml:space="preserve"> Credit</t>
  </si>
  <si>
    <t>General Government</t>
  </si>
  <si>
    <t xml:space="preserve">Central Bank </t>
  </si>
  <si>
    <t xml:space="preserve">دخل الاستثمار </t>
  </si>
  <si>
    <t>Investment income</t>
  </si>
  <si>
    <t>تعويضات العاملين</t>
  </si>
  <si>
    <t xml:space="preserve">Compensation of employees </t>
  </si>
  <si>
    <t>الدخل الأولي</t>
  </si>
  <si>
    <t>Primary income</t>
  </si>
  <si>
    <t xml:space="preserve">السلع والخدمات الحكومية </t>
  </si>
  <si>
    <t>Government goods and services n.i.e.</t>
  </si>
  <si>
    <t>الخدمات الشخصية والثقافية والترويحية</t>
  </si>
  <si>
    <t>Personal, cultural, and recreational services</t>
  </si>
  <si>
    <t>خدمات الأعمال الأخرى</t>
  </si>
  <si>
    <t>Other business services</t>
  </si>
  <si>
    <t>خدمات الاتصالات السلكية واللاسلكية والحاسب الآلي والمعلومات</t>
  </si>
  <si>
    <t>Telecommunications, computer, and information services</t>
  </si>
  <si>
    <t xml:space="preserve">الرسوم على استخدام الملكية الفكرية </t>
  </si>
  <si>
    <t>Charges for the use of intellectual property n.i.e.</t>
  </si>
  <si>
    <t>الخدمات المالية</t>
  </si>
  <si>
    <t>Financial services</t>
  </si>
  <si>
    <t>خدمات التأمين ومعاشات التقاعد</t>
  </si>
  <si>
    <t>Insurance and pension services</t>
  </si>
  <si>
    <t>خدمات الإنشاءات</t>
  </si>
  <si>
    <t>أغراض تعليمية</t>
  </si>
  <si>
    <t xml:space="preserve">   Education-related</t>
  </si>
  <si>
    <t>أغراض صحية</t>
  </si>
  <si>
    <t xml:space="preserve">    Health-related</t>
  </si>
  <si>
    <t>السفر الشخصي، منه:</t>
  </si>
  <si>
    <t xml:space="preserve">    Personal, o/w:</t>
  </si>
  <si>
    <t>سفر الأعمال</t>
  </si>
  <si>
    <t xml:space="preserve">    Business</t>
  </si>
  <si>
    <t>مدين، منه:</t>
  </si>
  <si>
    <t xml:space="preserve">      Debit, o/w:</t>
  </si>
  <si>
    <t xml:space="preserve">     Personal, o/w:</t>
  </si>
  <si>
    <t xml:space="preserve">     Business</t>
  </si>
  <si>
    <t xml:space="preserve">دائن، منه: </t>
  </si>
  <si>
    <t xml:space="preserve">      Credit, o/w:</t>
  </si>
  <si>
    <t>خدمات السفر</t>
  </si>
  <si>
    <t>Travel</t>
  </si>
  <si>
    <t>الشحن</t>
  </si>
  <si>
    <t>نقل الركاب</t>
  </si>
  <si>
    <t>Passenger</t>
  </si>
  <si>
    <t>مدين، منها</t>
  </si>
  <si>
    <t xml:space="preserve">دائن، منها: </t>
  </si>
  <si>
    <t>خدمات النقل</t>
  </si>
  <si>
    <t>Transport, o/w:</t>
  </si>
  <si>
    <t xml:space="preserve">Services </t>
  </si>
  <si>
    <t>Nonmonetary gold</t>
  </si>
  <si>
    <t>المستوردات (فوب)، منها:</t>
  </si>
  <si>
    <t xml:space="preserve">      Imports (FOB), o/w:</t>
  </si>
  <si>
    <t>الصادرات (فوب)، منها:</t>
  </si>
  <si>
    <t xml:space="preserve">      Exports (FOB), o/w:</t>
  </si>
  <si>
    <t xml:space="preserve">Goods </t>
  </si>
  <si>
    <t>الحساب الجاري</t>
  </si>
  <si>
    <t>Current account</t>
  </si>
  <si>
    <t xml:space="preserve">   TABLE NO. (20) : BALANCE  OF  PAYMENTS </t>
  </si>
  <si>
    <t>جدول رقم (20):  ميزان  المدفوعات ( الطبعة السادسة)</t>
  </si>
  <si>
    <t>ميزان المدفوعات الأردني ( الطبعة السادسة)</t>
  </si>
  <si>
    <t>ميزان المدفوعات الأردني (الطبعة الخامسة)</t>
  </si>
  <si>
    <t>ميزان المدفوعات الاردني ( الطبعة الخامسة)</t>
  </si>
  <si>
    <t>Jordanian Balance of Payments (BOP6)</t>
  </si>
  <si>
    <t>Jordanian Balance of Payments (BOP5)</t>
  </si>
  <si>
    <t>(20)</t>
  </si>
  <si>
    <t xml:space="preserve">جدول رقم (20/ب) : ميزان المدفوعات الاردني (الطبعة الخامسة) </t>
  </si>
  <si>
    <t xml:space="preserve">   TABLE NO. (20/b) : JORDANIAN BALANCE OF PAYMENTS </t>
  </si>
  <si>
    <t>صفوة</t>
  </si>
  <si>
    <t>Safwa</t>
  </si>
  <si>
    <t xml:space="preserve">               Societe Generale De Banque Jordanie acquired National Bank of Abu Dhabi operations on 15/11/2018.</t>
  </si>
  <si>
    <t xml:space="preserve">         استحوذ بنك سوستيه جنرال الأردن على بنك أبو ظبي الوطني بتاريخ  2018/11/15</t>
  </si>
  <si>
    <t xml:space="preserve">             Jordan Dubai Islamic Bank has been renamed to Safwa Islamic Bank on 18/5/2017.</t>
  </si>
  <si>
    <t xml:space="preserve">.تم تغيير اسم بنك الأردن دبي الإسلامي ليصبح بنك صفوة الإسلامي بتاريخ 2017/5/18           </t>
  </si>
  <si>
    <t xml:space="preserve">ش.م.ل  </t>
  </si>
  <si>
    <r>
      <t>الوطني</t>
    </r>
    <r>
      <rPr>
        <vertAlign val="superscript"/>
        <sz val="15"/>
        <rFont val="Times New Roman"/>
        <family val="1"/>
      </rPr>
      <t>(2)</t>
    </r>
  </si>
  <si>
    <r>
      <t xml:space="preserve"> National </t>
    </r>
    <r>
      <rPr>
        <vertAlign val="superscript"/>
        <sz val="14"/>
        <rFont val="Times New Roman"/>
        <family val="1"/>
      </rPr>
      <t xml:space="preserve">(2) </t>
    </r>
  </si>
  <si>
    <t>Banque Audi</t>
  </si>
  <si>
    <t xml:space="preserve"> SAL</t>
  </si>
  <si>
    <t xml:space="preserve">    (1)  :  Established in 1927 as the Ottoman Bank which has become National and Grindlays Bank in 1969,</t>
  </si>
  <si>
    <t xml:space="preserve">              ANZ Grindlays in 1989, and Standard Chartered Grindlays in 2000 to October 2003.</t>
  </si>
  <si>
    <t xml:space="preserve">    (2)  :  Societe Generale De Banque Jordanie acquired National Bank of Abu Dhabi operations on 15/11/2018.</t>
  </si>
  <si>
    <t xml:space="preserve">  (2)  :  استحوذ بنك سوستيه جنرال الأردن على بنك أبو ظبي الوطني بتاريخ  2018/11/15.</t>
  </si>
  <si>
    <t>مليون  دينار  </t>
  </si>
  <si>
    <r>
      <rPr>
        <vertAlign val="superscript"/>
        <sz val="30"/>
        <rFont val="Times New Roman"/>
        <family val="1"/>
      </rPr>
      <t>(1)</t>
    </r>
    <r>
      <rPr>
        <sz val="30"/>
        <rFont val="Times New Roman"/>
        <family val="1"/>
      </rPr>
      <t>2018</t>
    </r>
  </si>
  <si>
    <t>اجمالي الايــرادات و المنح الخارجية</t>
  </si>
  <si>
    <t>المنح</t>
  </si>
  <si>
    <t xml:space="preserve">  C) Other Countries</t>
  </si>
  <si>
    <t xml:space="preserve">     ج ) دول أخرى </t>
  </si>
  <si>
    <r>
      <t>2018</t>
    </r>
    <r>
      <rPr>
        <b/>
        <vertAlign val="superscript"/>
        <sz val="16"/>
        <rFont val="Times New Roman (Arabic)"/>
      </rPr>
      <t>(1)</t>
    </r>
  </si>
  <si>
    <t>3rd Quarter of 2006,  According to the Survey Results of Arrivals and Departures (October 2016 - September 2017) Carried out by DOS.</t>
  </si>
  <si>
    <t xml:space="preserve"> على نتائج مسح القادمين والمغادرين والذي نفذتهدائرة الاحصاءات العامة (تشرين الاول  2016 - ايلول 2017).</t>
  </si>
  <si>
    <t xml:space="preserve"> جدول رقم (20/ج): ميزان  المدفوعات الاردني (الطبعة الخامسة ) </t>
  </si>
  <si>
    <t xml:space="preserve"> جدول رقم (20/ج) : ميزان  المدفوعات الاردني ( الطبعة الخامسة ) </t>
  </si>
  <si>
    <t xml:space="preserve">TABLE NO. (20/c) : JORDANIAN BALANCE OF PAYMENTS ) </t>
  </si>
  <si>
    <t xml:space="preserve">TABLE NO. (20/c) : JORDANIAN BALANCE OF PAYMENTS </t>
  </si>
  <si>
    <t xml:space="preserve">  Other Liabilities  </t>
  </si>
  <si>
    <t xml:space="preserve">  Other Long-term</t>
  </si>
  <si>
    <r>
      <rPr>
        <vertAlign val="superscript"/>
        <sz val="16"/>
        <rFont val="Times New Roman"/>
        <family val="1"/>
      </rPr>
      <t xml:space="preserve"> (2)</t>
    </r>
    <r>
      <rPr>
        <sz val="16"/>
        <rFont val="Times New Roman"/>
        <family val="1"/>
      </rPr>
      <t>2018</t>
    </r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</si>
  <si>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2018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</si>
  <si>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2018</t>
    </r>
  </si>
  <si>
    <r>
      <rPr>
        <vertAlign val="superscript"/>
        <sz val="16"/>
        <rFont val="Times New Roman (Arabic)"/>
        <charset val="178"/>
      </rPr>
      <t>(1)</t>
    </r>
    <r>
      <rPr>
        <sz val="16"/>
        <rFont val="Times New Roman (Arabic)"/>
        <charset val="178"/>
      </rPr>
      <t>2018</t>
    </r>
  </si>
  <si>
    <t>جدول رقم (35) : الناتج  المحلي  الاجمالي  بالأسعار الجارية (تابع) (100=1994)</t>
  </si>
  <si>
    <t>جدول رقم (35)  : الناتج  المحلي الاجمالي بالأسعار الجارية (100=1994)</t>
  </si>
  <si>
    <t>TABLE  NO. (35) : GROSS DOMESTIC PRODUCT AT CURRENT PRICES (CONTINUED)(100=1994)</t>
  </si>
  <si>
    <t>TABLE  NO. (35) : GROSS DOMESTIC PRODUCT AT CURRENT PRICES(100=1994)</t>
  </si>
  <si>
    <t>جدول رقم (35) : الناتج  المحلي  الاجمالي  بالأسعار الجارية (تابع) (100=2016)</t>
  </si>
  <si>
    <t>جدول رقم (35)  : الناتج  المحلي الاجمالي بالأسعار الجارية (100=2016)</t>
  </si>
  <si>
    <t>TABLE  NO. (35) : GROSS DOMESTIC PRODUCT AT CURRENT PRICES (CONTINUED)(100=2016)</t>
  </si>
  <si>
    <t>TABLE  NO. (35) : GROSS DOMESTIC PRODUCT AT CURRENT PRICES(100=2016)</t>
  </si>
  <si>
    <t>جدول رقم (36) : الناتج المحلي الاجمالي بالأسعار الثابتة (تابع) (100=1994)</t>
  </si>
  <si>
    <t>جدول رقم (36) : الناتج المحلي الاجمالي بالأسعار الثابتة (100=1994)</t>
  </si>
  <si>
    <t>TABLE NO. (36) : GROSS DOMESTIC PRODUCT AT CONSTANT PRICES (CONTINUED)(100=1994)</t>
  </si>
  <si>
    <t>TABLE  NO. (36) : GROSS DOMESTIC PRODUCT AT CONSTANT PRICES(100=1994)</t>
  </si>
  <si>
    <t>جدول رقم (36) : الناتج المحلي الاجمالي بالأسعار الثابتة (تابع) (100=2016)</t>
  </si>
  <si>
    <t>جدول رقم (36) : الناتج المحلي الاجمالي بالأسعار الثابتة (100=2016)</t>
  </si>
  <si>
    <t>TABLE NO. (36) : GROSS DOMESTIC PRODUCT AT CONSTANT PRICES (CONTINUED)(100=2016)</t>
  </si>
  <si>
    <t>TABLE  NO. (36) : GROSS DOMESTIC PRODUCT AT CONSTANT PRICES(100=2016)</t>
  </si>
  <si>
    <t>جدول رقم (37) : التكوين الرأسمالي الثابت الاجمالي حسب النشاط الاقتصادي بالاسعار الجارية (تابع) (100=1994)</t>
  </si>
  <si>
    <t>جدول رقم (37) : التكوين الرأسمالي الثابت الاجمالي حسب النشاط الاقتصادي بالاسعار الجارية (100=1994)</t>
  </si>
  <si>
    <t xml:space="preserve"> TABLE NO. (37) : GROSS FIXED CAPITAL FORMATION BY ECONOMIC ACTIVITY AT CURRENT PRICES (CONTINUED)(100=1994)</t>
  </si>
  <si>
    <t xml:space="preserve">  TABLE NO. (37) : GROSS FIXED CAPITAL FORMATION BY ECONOMIC ACTIVITY AT CURRENT PRICES(100=1994)</t>
  </si>
  <si>
    <t xml:space="preserve"> (1):  Preliminary .</t>
  </si>
  <si>
    <t xml:space="preserve">  </t>
  </si>
  <si>
    <t xml:space="preserve">(1) : أولية. </t>
  </si>
  <si>
    <t>جدول رقم (37) : التكوين الرأسمالي الثابت الاجمالي حسب النشاط الاقتصادي بالاسعار الجارية (تابع) (100=2016)</t>
  </si>
  <si>
    <t>جدول رقم (37) : التكوين الرأسمالي الثابت الاجمالي حسب النشاط الاقتصادي بالاسعار الجارية (100=2016)</t>
  </si>
  <si>
    <t xml:space="preserve"> TABLE NO. (37) : GROSS FIXED CAPITAL FORMATION BY ECONOMIC ACTIVITY AT CURRENT PRICES (CONTINUED)(100=2016)</t>
  </si>
  <si>
    <t xml:space="preserve">  TABLE NO. (37) : GROSS FIXED CAPITAL FORMATION BY ECONOMIC ACTIVITY AT CURRENT PRICES(100=2016)</t>
  </si>
  <si>
    <t>التكوين الرأسمالي
 الثابت الإجمالي</t>
  </si>
  <si>
    <t>أنشطة المنظمات والهيئات
 الخارجة عن نطاق الولاية الاقليمية</t>
  </si>
  <si>
    <t>أنشطة الأُسَر المعيشية 
كصاحب عمل؛ وأنشطة 
الأُسَر المعيشية لإنتاج 
سلع وخدمات غير
 مميَّزة لاستعمالها الخاص</t>
  </si>
  <si>
    <t>أنشطة الخدمات
 الأخرى</t>
  </si>
  <si>
    <t>الفنون والترفيه
 والترويح</t>
  </si>
  <si>
    <t>انشطة الصحة البشرية
 والخدمة الاجتماعية</t>
  </si>
  <si>
    <t>الإدارة العامة والدفاع؛ 
الضمان الاجتماعي الاجباري</t>
  </si>
  <si>
    <t>أنشطة الخدمات 
الإدارية وخدمات الدعم</t>
  </si>
  <si>
    <t>الأنشطة المهنية
 والعلمية والتقنية</t>
  </si>
  <si>
    <t>الأنشطة العقارية</t>
  </si>
  <si>
    <t>الأنشطة المالية
 وأنشطة التأمين</t>
  </si>
  <si>
    <t>المعلومات والاتصالات</t>
  </si>
  <si>
    <t>أنشطة الإقامة
 والخدمات الغذائية</t>
  </si>
  <si>
    <t>النقل والتخزين</t>
  </si>
  <si>
    <t>تجارة الجملة 
والتجزئة؛ إصلاح 
المركبات ذات
 المحركات والدراجات
 النارية</t>
  </si>
  <si>
    <t>إمدادات المياه؛
 أنشطة المجاري، 
وادارة الفضلات والمعالجة</t>
  </si>
  <si>
    <t>إمدادات 
الكهرباء
 والغاز
 والبخار
 وتكييف
 الهواء</t>
  </si>
  <si>
    <t>الصناعة
 التحويلية</t>
  </si>
  <si>
    <t>التعدين
 واستغلال
 المحاجر</t>
  </si>
  <si>
    <t>الزراعة والحراجة وصيد الأسماك</t>
  </si>
  <si>
    <t>التشييد</t>
  </si>
  <si>
    <t>Household activities as an 
employer; and household activities
 to produce non-distinctive
 goods and services for
 their own use</t>
  </si>
  <si>
    <t>Gross fixed 
capital formation</t>
  </si>
  <si>
    <t>Arts, Entertainment
 and Recreation</t>
  </si>
  <si>
    <t>Public Administrationand Defense; Compulsory
 Social Security</t>
  </si>
  <si>
    <t>Activities of organizations 
and bodies outside the 
scope of regional jurisdiction</t>
  </si>
  <si>
    <t>Wholesale and retail 
trade; repair of motor 
vehicles and motorcycles</t>
  </si>
  <si>
    <t>Electricity, gas, 
steam and air 
conditioning supply</t>
  </si>
  <si>
    <t>Activities of human
 health and social service</t>
  </si>
  <si>
    <t>Administrative and 
support services activities</t>
  </si>
  <si>
    <t>Professional, scientific
 and technical activities</t>
  </si>
  <si>
    <t>Financial activities and
 Insurance activities</t>
  </si>
  <si>
    <t>Water supply; sewage 
activities, waste management
 and treatment</t>
  </si>
  <si>
    <t>Other service
 activities</t>
  </si>
  <si>
    <t>Accommodation 
and food services</t>
  </si>
  <si>
    <t>Mining and quarrying</t>
  </si>
  <si>
    <t>Agriculture, 
forestry and fisheries</t>
  </si>
  <si>
    <t>Real Estate
 activities</t>
  </si>
  <si>
    <t>Information and
 Communications</t>
  </si>
  <si>
    <t>Transport 
and Storage</t>
  </si>
  <si>
    <r>
      <t xml:space="preserve">2008 </t>
    </r>
    <r>
      <rPr>
        <vertAlign val="superscript"/>
        <sz val="18"/>
        <rFont val="Times New Roman"/>
        <family val="1"/>
      </rPr>
      <t>(1)</t>
    </r>
  </si>
  <si>
    <r>
      <t xml:space="preserve">2009 </t>
    </r>
    <r>
      <rPr>
        <vertAlign val="superscript"/>
        <sz val="18"/>
        <rFont val="Times New Roman"/>
        <family val="1"/>
      </rPr>
      <t>(1)</t>
    </r>
  </si>
  <si>
    <r>
      <t xml:space="preserve">2010 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</si>
  <si>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2010</t>
    </r>
  </si>
  <si>
    <r>
      <t xml:space="preserve">2011 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</si>
  <si>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2011</t>
    </r>
  </si>
  <si>
    <r>
      <t xml:space="preserve">2012 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</si>
  <si>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2012</t>
    </r>
  </si>
  <si>
    <r>
      <t xml:space="preserve">2013 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</si>
  <si>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2013</t>
    </r>
  </si>
  <si>
    <r>
      <t xml:space="preserve">2014 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</si>
  <si>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2014</t>
    </r>
  </si>
  <si>
    <r>
      <t xml:space="preserve">2015 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</si>
  <si>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2015</t>
    </r>
  </si>
  <si>
    <r>
      <t xml:space="preserve">2016 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</si>
  <si>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2016</t>
    </r>
  </si>
  <si>
    <t xml:space="preserve"> (1): Preliminary .</t>
  </si>
  <si>
    <t xml:space="preserve">    الخضراوات</t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</si>
  <si>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2017</t>
    </r>
    <r>
      <rPr>
        <b/>
        <sz val="10"/>
        <rFont val="Geneva"/>
        <charset val="178"/>
      </rPr>
      <t/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</si>
  <si>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2018</t>
    </r>
  </si>
  <si>
    <t>جدول رقم (40): الرقم  القياسي لكميات الانتاج الصناعي ( تابع )</t>
  </si>
  <si>
    <t>TABLE NO. (40):  INDUSTRIAL PRODUCTION QUANTITY INDEX( CONTINUED)</t>
  </si>
  <si>
    <r>
      <rPr>
        <b/>
        <vertAlign val="superscript"/>
        <sz val="18"/>
        <rFont val="Times New Roman"/>
        <family val="1"/>
      </rPr>
      <t>(1)</t>
    </r>
    <r>
      <rPr>
        <b/>
        <sz val="18"/>
        <rFont val="Times New Roman"/>
        <family val="1"/>
      </rPr>
      <t>2018</t>
    </r>
  </si>
  <si>
    <t>(100=2016)</t>
  </si>
  <si>
    <t>نهاية??الفـترة</t>
  </si>
  <si>
    <t xml:space="preserve"> (2006 = 100)</t>
  </si>
  <si>
    <t xml:space="preserve"> (100 = 2006)</t>
  </si>
  <si>
    <r>
      <rPr>
        <b/>
        <vertAlign val="superscript"/>
        <sz val="18"/>
        <rFont val="Times New Roman"/>
        <family val="1"/>
      </rPr>
      <t>(1)</t>
    </r>
    <r>
      <rPr>
        <b/>
        <sz val="18"/>
        <rFont val="Times New Roman"/>
        <family val="1"/>
      </rPr>
      <t>2019</t>
    </r>
  </si>
  <si>
    <r>
      <t>2019</t>
    </r>
    <r>
      <rPr>
        <b/>
        <vertAlign val="superscript"/>
        <sz val="16"/>
        <rFont val="Times New Roman (Arabic)"/>
      </rPr>
      <t>(1)</t>
    </r>
  </si>
  <si>
    <r>
      <rPr>
        <vertAlign val="superscript"/>
        <sz val="16"/>
        <rFont val="Times New Roman"/>
        <family val="1"/>
      </rPr>
      <t xml:space="preserve"> (2)</t>
    </r>
    <r>
      <rPr>
        <sz val="16"/>
        <rFont val="Times New Roman"/>
        <family val="1"/>
      </rPr>
      <t>2019</t>
    </r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</si>
  <si>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2019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</si>
  <si>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2019</t>
    </r>
  </si>
  <si>
    <r>
      <rPr>
        <vertAlign val="superscript"/>
        <sz val="16"/>
        <rFont val="Times New Roman (Arabic)"/>
        <charset val="178"/>
      </rPr>
      <t>(1)</t>
    </r>
    <r>
      <rPr>
        <sz val="16"/>
        <rFont val="Times New Roman (Arabic)"/>
        <charset val="178"/>
      </rPr>
      <t>2019</t>
    </r>
  </si>
  <si>
    <r>
      <t>2019</t>
    </r>
    <r>
      <rPr>
        <vertAlign val="superscript"/>
        <sz val="12"/>
        <rFont val="Times New Roman"/>
        <family val="1"/>
      </rPr>
      <t>(4)</t>
    </r>
  </si>
  <si>
    <r>
      <rPr>
        <vertAlign val="superscript"/>
        <sz val="12"/>
        <rFont val="Cambria"/>
        <family val="1"/>
      </rPr>
      <t>(4)</t>
    </r>
    <r>
      <rPr>
        <sz val="16"/>
        <rFont val="Cambria"/>
        <family val="1"/>
      </rPr>
      <t>2019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</si>
  <si>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2019</t>
    </r>
  </si>
  <si>
    <r>
      <rPr>
        <vertAlign val="superscript"/>
        <sz val="12"/>
        <rFont val="Times New Roman (Arabic)"/>
        <charset val="178"/>
      </rPr>
      <t>(1)</t>
    </r>
    <r>
      <rPr>
        <sz val="18"/>
        <rFont val="Times New Roman (Arabic)"/>
      </rPr>
      <t>2018</t>
    </r>
    <r>
      <rPr>
        <sz val="10"/>
        <rFont val="Arial"/>
        <family val="2"/>
      </rPr>
      <t/>
    </r>
  </si>
  <si>
    <r>
      <rPr>
        <vertAlign val="superscript"/>
        <sz val="12"/>
        <rFont val="Times New Roman (Arabic)"/>
        <charset val="178"/>
      </rPr>
      <t>(1)</t>
    </r>
    <r>
      <rPr>
        <sz val="18"/>
        <rFont val="Times New Roman (Arabic)"/>
      </rPr>
      <t>2019</t>
    </r>
  </si>
  <si>
    <t>(100=2018)</t>
  </si>
  <si>
    <t xml:space="preserve">(2018=100)    </t>
  </si>
  <si>
    <t>CBJ's gross foreign reserves (including gold and SDRs)</t>
  </si>
  <si>
    <t xml:space="preserve">إجمالي الاحتياطيات الأجنبية للبنك المركزي (بما فيه الذهب وحقوق السحب الخاصة) </t>
  </si>
  <si>
    <t>Coverage of the Kingdom’s imports of goods and services (In Months)</t>
  </si>
  <si>
    <t>التغطية لمستوردات المملكة من السلع والخدمات (بالأشهر)</t>
  </si>
  <si>
    <r>
      <rPr>
        <vertAlign val="superscript"/>
        <sz val="30"/>
        <rFont val="Times New Roman"/>
        <family val="1"/>
      </rPr>
      <t>(1)</t>
    </r>
    <r>
      <rPr>
        <sz val="30"/>
        <rFont val="Times New Roman"/>
        <family val="1"/>
      </rPr>
      <t>2020</t>
    </r>
  </si>
  <si>
    <r>
      <rPr>
        <vertAlign val="superscript"/>
        <sz val="30"/>
        <rFont val="Times New Roman"/>
        <family val="1"/>
      </rPr>
      <t>(1)</t>
    </r>
    <r>
      <rPr>
        <sz val="30"/>
        <rFont val="Times New Roman"/>
        <family val="1"/>
      </rPr>
      <t>2019</t>
    </r>
  </si>
  <si>
    <r>
      <t>2020</t>
    </r>
    <r>
      <rPr>
        <vertAlign val="superscript"/>
        <sz val="16"/>
        <rFont val="Cambria"/>
        <family val="1"/>
        <scheme val="major"/>
      </rPr>
      <t>(4)</t>
    </r>
  </si>
  <si>
    <r>
      <rPr>
        <vertAlign val="superscript"/>
        <sz val="12"/>
        <rFont val="Cambria"/>
        <family val="1"/>
        <scheme val="major"/>
      </rPr>
      <t>(4)</t>
    </r>
    <r>
      <rPr>
        <sz val="16"/>
        <rFont val="Cambria"/>
        <family val="1"/>
        <scheme val="major"/>
      </rPr>
      <t>2020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</si>
  <si>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2020</t>
    </r>
  </si>
  <si>
    <r>
      <t>2020</t>
    </r>
    <r>
      <rPr>
        <b/>
        <vertAlign val="superscript"/>
        <sz val="16"/>
        <rFont val="Times New Roman (Arabic)"/>
      </rPr>
      <t>(1)</t>
    </r>
  </si>
  <si>
    <t>شركات تلقي الودائع عدا البنك المركزي</t>
  </si>
  <si>
    <t xml:space="preserve">          طويل الاجل</t>
  </si>
  <si>
    <t>قصير الأجل</t>
  </si>
  <si>
    <t>شركات تلقي الودائع عدا البنك المركزي - طويل الأجل</t>
  </si>
  <si>
    <t>السلطات النقدية- قصير الأجل</t>
  </si>
  <si>
    <t>شركات تلقي الودائع عدا البنك المركزي - قصير الأجل</t>
  </si>
  <si>
    <t xml:space="preserve">     نظم التامين ومعاشات التقاعد والضمانات الموحدة</t>
  </si>
  <si>
    <t xml:space="preserve">       الاحتياطيات الفنية للتأمين على غير الحياة</t>
  </si>
  <si>
    <t xml:space="preserve">                  الاحتياطيات الفنية للتأمين على الحياة</t>
  </si>
  <si>
    <t xml:space="preserve">        حصص الملكية الأخرى</t>
  </si>
  <si>
    <t>السلطات النقدية - قصير الأجل</t>
  </si>
  <si>
    <t>طويل الاجل</t>
  </si>
  <si>
    <t>السلطات النقدية</t>
  </si>
  <si>
    <t>شركات تلقي الودائع عدا البنك المركزي- طويل الأجل</t>
  </si>
  <si>
    <t xml:space="preserve">             شركات تلقي الودائع عدا البنك المركزي - قصير الأجل</t>
  </si>
  <si>
    <t>نظم التامين ومعاشات التقاعد والضمانات الموحدة</t>
  </si>
  <si>
    <t>الاحتياطيات الفنية للتأمين على غير الحياة</t>
  </si>
  <si>
    <t xml:space="preserve">              الاحتياطيات الفنية للتأمين على الحياة          </t>
  </si>
  <si>
    <t xml:space="preserve">                  الأوراق المالية   </t>
  </si>
  <si>
    <t xml:space="preserve">                  مطالبات أخرى   </t>
  </si>
  <si>
    <t xml:space="preserve">Net acquisition of financial assets  </t>
  </si>
  <si>
    <t xml:space="preserve">     Net incurrence of liabilities</t>
  </si>
  <si>
    <t xml:space="preserve">     Net acquisition of financial assets</t>
  </si>
  <si>
    <t>Deposit - taking corporations, except central bank</t>
  </si>
  <si>
    <t>General government - Long term</t>
  </si>
  <si>
    <t xml:space="preserve">      Net acquisition of financial assets</t>
  </si>
  <si>
    <t xml:space="preserve">      Other equity </t>
  </si>
  <si>
    <t xml:space="preserve">              Deposit - taking corporations, except central bank</t>
  </si>
  <si>
    <t xml:space="preserve">                                      Long term</t>
  </si>
  <si>
    <t xml:space="preserve">                            Short term</t>
  </si>
  <si>
    <t>Deposit - taking corporations, except central bank - Long term</t>
  </si>
  <si>
    <t xml:space="preserve">              Other sectors - Short term</t>
  </si>
  <si>
    <t xml:space="preserve">             Monetary authorities - Short term</t>
  </si>
  <si>
    <t xml:space="preserve">       Deposit - taking corporations, except central bank - Short term</t>
  </si>
  <si>
    <t xml:space="preserve">       Insurance, pension, and standardized guarantee schemes</t>
  </si>
  <si>
    <t xml:space="preserve">       Nonlife insurance technical reserves</t>
  </si>
  <si>
    <t xml:space="preserve">            Life insurance and annuities entitlements</t>
  </si>
  <si>
    <t xml:space="preserve">         Other equity                                                                          </t>
  </si>
  <si>
    <t xml:space="preserve">Currency and deposits    </t>
  </si>
  <si>
    <t xml:space="preserve">              Monetary authorities - Short term</t>
  </si>
  <si>
    <t xml:space="preserve">                            Long term</t>
  </si>
  <si>
    <t>Monetary authorities</t>
  </si>
  <si>
    <t xml:space="preserve">     General government - Long term</t>
  </si>
  <si>
    <t xml:space="preserve">    Other sectors - Long term</t>
  </si>
  <si>
    <t xml:space="preserve">             Other sectors - Short term</t>
  </si>
  <si>
    <t>Deposit - taking corporations, except central bank - Short term</t>
  </si>
  <si>
    <t>Insurance, pension, and standardized guarantee schemes</t>
  </si>
  <si>
    <t xml:space="preserve"> Nonlife insurance technical reserves</t>
  </si>
  <si>
    <t xml:space="preserve">               Life insurance and annuities entitlements                      </t>
  </si>
  <si>
    <t xml:space="preserve">                  Securities</t>
  </si>
  <si>
    <t xml:space="preserve">                         Debt securities </t>
  </si>
  <si>
    <t xml:space="preserve">                  Other claims    </t>
  </si>
  <si>
    <r>
      <rPr>
        <vertAlign val="superscript"/>
        <sz val="16"/>
        <rFont val="Times New Roman"/>
        <family val="1"/>
      </rPr>
      <t xml:space="preserve"> (2)</t>
    </r>
    <r>
      <rPr>
        <sz val="16"/>
        <rFont val="Times New Roman"/>
        <family val="1"/>
      </rPr>
      <t>2020</t>
    </r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</si>
  <si>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2020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</si>
  <si>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2020</t>
    </r>
  </si>
  <si>
    <r>
      <rPr>
        <vertAlign val="superscript"/>
        <sz val="16"/>
        <rFont val="Times New Roman (Arabic)"/>
        <charset val="178"/>
      </rPr>
      <t>(1)</t>
    </r>
    <r>
      <rPr>
        <sz val="16"/>
        <rFont val="Times New Roman (Arabic)"/>
        <charset val="178"/>
      </rPr>
      <t>2020</t>
    </r>
  </si>
  <si>
    <r>
      <t>2021</t>
    </r>
    <r>
      <rPr>
        <b/>
        <vertAlign val="superscript"/>
        <sz val="16"/>
        <rFont val="Times New Roman (Arabic)"/>
      </rPr>
      <t>(1)</t>
    </r>
  </si>
  <si>
    <r>
      <rPr>
        <vertAlign val="superscript"/>
        <sz val="16"/>
        <rFont val="Times New Roman"/>
        <family val="1"/>
      </rPr>
      <t xml:space="preserve"> (2)</t>
    </r>
    <r>
      <rPr>
        <sz val="16"/>
        <rFont val="Times New Roman"/>
        <family val="1"/>
      </rPr>
      <t>2021</t>
    </r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</si>
  <si>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2021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</si>
  <si>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2021</t>
    </r>
  </si>
  <si>
    <t xml:space="preserve">  Source :  Department of Statistics.</t>
  </si>
  <si>
    <t xml:space="preserve">    European Union Countries since the year 2003.</t>
  </si>
  <si>
    <t xml:space="preserve"> الاوروبي منذ عام 2003.</t>
  </si>
  <si>
    <t xml:space="preserve">   European Union countries since the year 2003.</t>
  </si>
  <si>
    <t xml:space="preserve">الاوروبي منذ عام 2003. </t>
  </si>
  <si>
    <r>
      <rPr>
        <vertAlign val="superscript"/>
        <sz val="16"/>
        <rFont val="Times New Roman (Arabic)"/>
        <charset val="178"/>
      </rPr>
      <t>(1)</t>
    </r>
    <r>
      <rPr>
        <sz val="16"/>
        <rFont val="Times New Roman (Arabic)"/>
        <charset val="178"/>
      </rPr>
      <t>2021</t>
    </r>
  </si>
  <si>
    <r>
      <t>2022</t>
    </r>
    <r>
      <rPr>
        <b/>
        <vertAlign val="superscript"/>
        <sz val="16"/>
        <rFont val="Times New Roman (Arabic)"/>
      </rPr>
      <t>(1)</t>
    </r>
  </si>
  <si>
    <r>
      <rPr>
        <vertAlign val="superscript"/>
        <sz val="16"/>
        <rFont val="Times New Roman"/>
        <family val="1"/>
      </rPr>
      <t xml:space="preserve"> (2)</t>
    </r>
    <r>
      <rPr>
        <sz val="16"/>
        <rFont val="Times New Roman"/>
        <family val="1"/>
      </rPr>
      <t>2022</t>
    </r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</si>
  <si>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2022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</si>
  <si>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2022</t>
    </r>
  </si>
  <si>
    <r>
      <rPr>
        <vertAlign val="superscript"/>
        <sz val="16"/>
        <rFont val="Times New Roman (Arabic)"/>
        <charset val="178"/>
      </rPr>
      <t>(1)</t>
    </r>
    <r>
      <rPr>
        <sz val="16"/>
        <rFont val="Times New Roman (Arabic)"/>
        <charset val="178"/>
      </rPr>
      <t>2022</t>
    </r>
  </si>
  <si>
    <r>
      <rPr>
        <vertAlign val="superscript"/>
        <sz val="12"/>
        <rFont val="Cambria"/>
        <family val="1"/>
        <scheme val="major"/>
      </rPr>
      <t>(4)</t>
    </r>
    <r>
      <rPr>
        <sz val="16"/>
        <rFont val="Cambria"/>
        <family val="1"/>
        <scheme val="major"/>
      </rPr>
      <t>2021</t>
    </r>
  </si>
  <si>
    <r>
      <rPr>
        <vertAlign val="superscript"/>
        <sz val="12"/>
        <rFont val="Cambria"/>
        <family val="1"/>
        <scheme val="major"/>
      </rPr>
      <t>(4)</t>
    </r>
    <r>
      <rPr>
        <sz val="16"/>
        <rFont val="Cambria"/>
        <family val="1"/>
        <scheme val="major"/>
      </rPr>
      <t>2022</t>
    </r>
  </si>
  <si>
    <r>
      <t>2021</t>
    </r>
    <r>
      <rPr>
        <vertAlign val="superscript"/>
        <sz val="12"/>
        <rFont val="Times New Roman"/>
        <family val="1"/>
      </rPr>
      <t>(4)</t>
    </r>
  </si>
  <si>
    <r>
      <t>2022</t>
    </r>
    <r>
      <rPr>
        <vertAlign val="superscript"/>
        <sz val="16"/>
        <rFont val="Cambria"/>
        <family val="1"/>
        <scheme val="major"/>
      </rPr>
      <t>(4)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</si>
  <si>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2021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</si>
  <si>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2022</t>
    </r>
  </si>
  <si>
    <r>
      <rPr>
        <b/>
        <vertAlign val="superscript"/>
        <sz val="18"/>
        <rFont val="Times New Roman"/>
        <family val="1"/>
      </rPr>
      <t>(1)</t>
    </r>
    <r>
      <rPr>
        <b/>
        <sz val="18"/>
        <rFont val="Times New Roman"/>
        <family val="1"/>
      </rPr>
      <t>2020</t>
    </r>
  </si>
  <si>
    <r>
      <rPr>
        <b/>
        <vertAlign val="superscript"/>
        <sz val="18"/>
        <rFont val="Times New Roman"/>
        <family val="1"/>
      </rPr>
      <t>(1)</t>
    </r>
    <r>
      <rPr>
        <b/>
        <sz val="18"/>
        <rFont val="Times New Roman"/>
        <family val="1"/>
      </rPr>
      <t>2021</t>
    </r>
  </si>
  <si>
    <r>
      <rPr>
        <b/>
        <vertAlign val="superscript"/>
        <sz val="18"/>
        <rFont val="Times New Roman"/>
        <family val="1"/>
      </rPr>
      <t>(1)</t>
    </r>
    <r>
      <rPr>
        <b/>
        <sz val="18"/>
        <rFont val="Times New Roman"/>
        <family val="1"/>
      </rPr>
      <t>2022</t>
    </r>
  </si>
  <si>
    <r>
      <rPr>
        <vertAlign val="superscript"/>
        <sz val="12"/>
        <rFont val="Times New Roman (Arabic)"/>
        <charset val="178"/>
      </rPr>
      <t>(1)</t>
    </r>
    <r>
      <rPr>
        <sz val="18"/>
        <rFont val="Times New Roman (Arabic)"/>
      </rPr>
      <t>2020</t>
    </r>
  </si>
  <si>
    <r>
      <rPr>
        <vertAlign val="superscript"/>
        <sz val="12"/>
        <rFont val="Times New Roman (Arabic)"/>
        <charset val="178"/>
      </rPr>
      <t>(1)</t>
    </r>
    <r>
      <rPr>
        <sz val="18"/>
        <rFont val="Times New Roman (Arabic)"/>
      </rPr>
      <t>2021</t>
    </r>
  </si>
  <si>
    <r>
      <rPr>
        <vertAlign val="superscript"/>
        <sz val="12"/>
        <rFont val="Times New Roman (Arabic)"/>
        <charset val="178"/>
      </rPr>
      <t>(1)</t>
    </r>
    <r>
      <rPr>
        <sz val="18"/>
        <rFont val="Times New Roman (Arabic)"/>
      </rPr>
      <t>2022</t>
    </r>
  </si>
  <si>
    <t xml:space="preserve"> ( ISIC4 ) حسب تصنيف   *         </t>
  </si>
  <si>
    <t xml:space="preserve">    *According to the classification (ISIC4) 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</si>
</sst>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_-&quot;د.ا.‏&quot;\ * #,##0.00_-;_-&quot;د.ا.‏&quot;\ * #,##0.00\-;_-&quot;د.ا.‏&quot;\ * &quot;-&quot;??_-;_-@_-"/>
    <numFmt numFmtId="165" formatCode="_-* #,##0.00_-;_-* #,##0.00\-;_-* &quot;-&quot;??_-;_-@_-"/>
    <numFmt numFmtId="166" formatCode="0.0"/>
    <numFmt numFmtId="167" formatCode="0.000"/>
    <numFmt numFmtId="168" formatCode="#,##0.0"/>
    <numFmt numFmtId="169" formatCode="0.00000"/>
    <numFmt numFmtId="170" formatCode="&quot;_xffff_&quot;#,##0;[Red]\-&quot;_xffff_&quot;#,##0"/>
    <numFmt numFmtId="171" formatCode="0.0000"/>
    <numFmt numFmtId="172" formatCode="\(\1\)"/>
    <numFmt numFmtId="173" formatCode="#,##0;[Red]#,##0"/>
    <numFmt numFmtId="174" formatCode="\(#\)"/>
    <numFmt numFmtId="175" formatCode="0.000000000000000"/>
    <numFmt numFmtId="176" formatCode="0.0%"/>
  </numFmts>
  <fonts count="194">
    <font>
      <sz val="11"/>
      <color theme="1"/>
      <name val="Calibri"/>
      <family val="2"/>
      <charset val="178"/>
      <scheme val="minor"/>
    </font>
    <font>
      <sz val="10"/>
      <name val="Geneva"/>
      <charset val="178"/>
    </font>
    <font>
      <b/>
      <sz val="20"/>
      <name val="Cambria"/>
      <family val="1"/>
      <scheme val="major"/>
    </font>
    <font>
      <sz val="16"/>
      <name val="Times New Roman (Arabic)"/>
      <family val="1"/>
      <charset val="178"/>
    </font>
    <font>
      <b/>
      <sz val="16"/>
      <name val="Times New Roman (Arabic)"/>
      <family val="1"/>
      <charset val="178"/>
    </font>
    <font>
      <b/>
      <sz val="18"/>
      <color indexed="8"/>
      <name val="Cambria"/>
      <family val="1"/>
      <scheme val="major"/>
    </font>
    <font>
      <sz val="20"/>
      <name val="Times New Roman (Arabic)"/>
      <family val="1"/>
      <charset val="178"/>
    </font>
    <font>
      <sz val="16"/>
      <name val="Cambria"/>
      <family val="1"/>
      <scheme val="major"/>
    </font>
    <font>
      <b/>
      <sz val="16"/>
      <name val="Cambria"/>
      <family val="1"/>
      <scheme val="major"/>
    </font>
    <font>
      <sz val="17"/>
      <name val="Cambria"/>
      <family val="1"/>
      <scheme val="major"/>
    </font>
    <font>
      <sz val="17"/>
      <name val="Times New Roman (Arabic)"/>
      <family val="1"/>
      <charset val="178"/>
    </font>
    <font>
      <sz val="17"/>
      <color indexed="9"/>
      <name val="Cambria"/>
      <family val="1"/>
      <scheme val="major"/>
    </font>
    <font>
      <b/>
      <sz val="16"/>
      <color indexed="9"/>
      <name val="Cambria"/>
      <family val="1"/>
      <scheme val="major"/>
    </font>
    <font>
      <vertAlign val="superscript"/>
      <sz val="15"/>
      <name val="Times New Roman"/>
      <family val="1"/>
    </font>
    <font>
      <sz val="15"/>
      <name val="Cambria"/>
      <family val="1"/>
      <scheme val="major"/>
    </font>
    <font>
      <b/>
      <sz val="15"/>
      <name val="Cambria"/>
      <family val="1"/>
      <scheme val="major"/>
    </font>
    <font>
      <b/>
      <sz val="15"/>
      <name val="Times New Roman (Arabic)"/>
      <family val="1"/>
      <charset val="178"/>
    </font>
    <font>
      <sz val="15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sz val="12"/>
      <name val="Cambria"/>
      <family val="1"/>
      <scheme val="major"/>
    </font>
    <font>
      <sz val="14"/>
      <name val="Cambria"/>
      <family val="1"/>
      <scheme val="major"/>
    </font>
    <font>
      <sz val="12"/>
      <name val="Times New Roman (Arabic)"/>
      <family val="1"/>
      <charset val="178"/>
    </font>
    <font>
      <sz val="10"/>
      <name val="Geneva"/>
    </font>
    <font>
      <b/>
      <vertAlign val="superscript"/>
      <sz val="14"/>
      <name val="Times New Roman"/>
      <family val="1"/>
    </font>
    <font>
      <b/>
      <sz val="18"/>
      <name val="Cambria"/>
      <family val="1"/>
      <scheme val="major"/>
    </font>
    <font>
      <b/>
      <sz val="14"/>
      <name val="Times New Roman"/>
      <family val="1"/>
    </font>
    <font>
      <b/>
      <sz val="18"/>
      <name val="Times New Roman"/>
      <family val="1"/>
    </font>
    <font>
      <b/>
      <sz val="18"/>
      <name val="Times New Roman (Arabic)"/>
      <family val="1"/>
      <charset val="178"/>
    </font>
    <font>
      <b/>
      <sz val="14"/>
      <name val="Cambria"/>
      <family val="1"/>
      <scheme val="major"/>
    </font>
    <font>
      <b/>
      <i/>
      <sz val="14"/>
      <name val="Cambria"/>
      <family val="1"/>
      <scheme val="major"/>
    </font>
    <font>
      <b/>
      <sz val="14"/>
      <color indexed="8"/>
      <name val="Cambria"/>
      <family val="1"/>
      <scheme val="major"/>
    </font>
    <font>
      <b/>
      <sz val="14"/>
      <color indexed="12"/>
      <name val="Cambria"/>
      <family val="1"/>
      <scheme val="major"/>
    </font>
    <font>
      <sz val="16"/>
      <color indexed="8"/>
      <name val="Cambria"/>
      <family val="1"/>
      <scheme val="major"/>
    </font>
    <font>
      <sz val="14"/>
      <name val="Times New Roman (Arabic)"/>
      <family val="1"/>
      <charset val="178"/>
    </font>
    <font>
      <b/>
      <sz val="16"/>
      <color indexed="8"/>
      <name val="Cambria"/>
      <family val="1"/>
      <scheme val="major"/>
    </font>
    <font>
      <sz val="18"/>
      <name val="Cambria"/>
      <family val="1"/>
      <scheme val="major"/>
    </font>
    <font>
      <vertAlign val="superscript"/>
      <sz val="18"/>
      <name val="Times New Roman"/>
      <family val="1"/>
    </font>
    <font>
      <sz val="18"/>
      <name val="Times New Roman"/>
      <family val="1"/>
    </font>
    <font>
      <b/>
      <vertAlign val="superscript"/>
      <sz val="12"/>
      <name val="Times New Roman"/>
      <family val="1"/>
    </font>
    <font>
      <b/>
      <sz val="12"/>
      <name val="Times New Roman"/>
      <family val="1"/>
    </font>
    <font>
      <b/>
      <i/>
      <sz val="18"/>
      <name val="Cambria"/>
      <family val="1"/>
      <scheme val="major"/>
    </font>
    <font>
      <b/>
      <sz val="18"/>
      <color indexed="12"/>
      <name val="Cambria"/>
      <family val="1"/>
      <scheme val="major"/>
    </font>
    <font>
      <sz val="14"/>
      <color indexed="8"/>
      <name val="Cambria"/>
      <family val="1"/>
      <scheme val="major"/>
    </font>
    <font>
      <sz val="15"/>
      <name val="Times New Roman (Arabic)"/>
      <family val="1"/>
      <charset val="178"/>
    </font>
    <font>
      <vertAlign val="superscript"/>
      <sz val="12"/>
      <name val="Times New Roman"/>
      <family val="1"/>
    </font>
    <font>
      <sz val="16"/>
      <name val="Times New Roman"/>
      <family val="1"/>
    </font>
    <font>
      <vertAlign val="superscript"/>
      <sz val="14"/>
      <name val="Times New Roman"/>
      <family val="1"/>
    </font>
    <font>
      <b/>
      <sz val="12"/>
      <name val="Cambria"/>
      <family val="1"/>
      <scheme val="major"/>
    </font>
    <font>
      <b/>
      <sz val="12"/>
      <name val="Times New Roman (Arabic)"/>
      <family val="1"/>
      <charset val="178"/>
    </font>
    <font>
      <b/>
      <sz val="16"/>
      <color indexed="8"/>
      <name val="Times New Roman (Arabic)"/>
      <family val="1"/>
      <charset val="178"/>
    </font>
    <font>
      <b/>
      <shadow/>
      <sz val="20"/>
      <name val="Cambria"/>
      <family val="1"/>
      <scheme val="major"/>
    </font>
    <font>
      <b/>
      <i/>
      <sz val="14"/>
      <color indexed="8"/>
      <name val="Cambria"/>
      <family val="1"/>
      <scheme val="major"/>
    </font>
    <font>
      <vertAlign val="superscript"/>
      <sz val="16"/>
      <name val="Times New Roman"/>
      <family val="1"/>
    </font>
    <font>
      <b/>
      <shadow/>
      <sz val="20"/>
      <name val="Times New Roman"/>
      <family val="1"/>
    </font>
    <font>
      <sz val="13"/>
      <name val="Cambria"/>
      <family val="1"/>
      <scheme val="major"/>
    </font>
    <font>
      <i/>
      <sz val="14"/>
      <name val="Times New Roman"/>
      <family val="1"/>
    </font>
    <font>
      <sz val="14"/>
      <name val="Times New Roman"/>
      <family val="1"/>
    </font>
    <font>
      <sz val="13"/>
      <name val="Times New Roman (Arabic)"/>
      <family val="1"/>
      <charset val="178"/>
    </font>
    <font>
      <sz val="10"/>
      <name val="Times New Roman (Arabic)"/>
      <family val="1"/>
      <charset val="178"/>
    </font>
    <font>
      <vertAlign val="superscript"/>
      <sz val="14"/>
      <name val="Cambria"/>
      <family val="1"/>
      <scheme val="major"/>
    </font>
    <font>
      <vertAlign val="superscript"/>
      <sz val="16"/>
      <name val="Cambria"/>
      <family val="1"/>
      <scheme val="major"/>
    </font>
    <font>
      <sz val="16"/>
      <color indexed="8"/>
      <name val="Times New Roman (Arabic)"/>
      <family val="1"/>
      <charset val="178"/>
    </font>
    <font>
      <b/>
      <sz val="20"/>
      <name val="Times New Roman (Arabic)"/>
      <family val="1"/>
      <charset val="178"/>
    </font>
    <font>
      <sz val="14"/>
      <name val="Times New Roman (Arabic)"/>
      <charset val="178"/>
    </font>
    <font>
      <b/>
      <sz val="14"/>
      <name val="Times New Roman (Arabic)"/>
      <family val="1"/>
      <charset val="178"/>
    </font>
    <font>
      <sz val="16"/>
      <name val="Times New Roman (Arabic)"/>
      <charset val="178"/>
    </font>
    <font>
      <sz val="18"/>
      <name val="Times New Roman (Arabic)"/>
      <family val="1"/>
      <charset val="178"/>
    </font>
    <font>
      <sz val="10"/>
      <name val="Tms Rmn"/>
      <charset val="178"/>
    </font>
    <font>
      <sz val="18"/>
      <color indexed="8"/>
      <name val="Times New Roman (Arabic)"/>
      <family val="1"/>
      <charset val="178"/>
    </font>
    <font>
      <b/>
      <sz val="16"/>
      <name val="Times New Roman (Arabic)"/>
      <charset val="178"/>
    </font>
    <font>
      <b/>
      <sz val="16"/>
      <name val="Times New Roman"/>
      <family val="1"/>
    </font>
    <font>
      <sz val="12"/>
      <color indexed="8"/>
      <name val="Cambria"/>
      <family val="1"/>
      <scheme val="major"/>
    </font>
    <font>
      <sz val="12"/>
      <color rgb="FF222222"/>
      <name val="Arial"/>
      <family val="2"/>
    </font>
    <font>
      <i/>
      <sz val="14"/>
      <name val="Cambria"/>
      <family val="1"/>
      <scheme val="major"/>
    </font>
    <font>
      <b/>
      <sz val="20"/>
      <color indexed="8"/>
      <name val="Cambria"/>
      <family val="1"/>
      <scheme val="major"/>
    </font>
    <font>
      <b/>
      <sz val="17"/>
      <name val="Cambria"/>
      <family val="1"/>
      <scheme val="major"/>
    </font>
    <font>
      <sz val="15"/>
      <name val="Times New Roman (Arabic)"/>
      <charset val="178"/>
    </font>
    <font>
      <sz val="11"/>
      <name val="Cambria"/>
      <family val="1"/>
      <scheme val="major"/>
    </font>
    <font>
      <sz val="10"/>
      <name val="Arial"/>
      <family val="2"/>
    </font>
    <font>
      <b/>
      <sz val="30"/>
      <name val="Cambria"/>
      <family val="1"/>
      <scheme val="major"/>
    </font>
    <font>
      <b/>
      <sz val="28"/>
      <name val="Cambria"/>
      <family val="1"/>
      <scheme val="major"/>
    </font>
    <font>
      <sz val="22"/>
      <name val="Cambria"/>
      <family val="1"/>
      <scheme val="major"/>
    </font>
    <font>
      <b/>
      <sz val="22"/>
      <name val="Cambria"/>
      <family val="1"/>
      <scheme val="major"/>
    </font>
    <font>
      <sz val="30"/>
      <name val="Cambria"/>
      <family val="1"/>
      <scheme val="major"/>
    </font>
    <font>
      <b/>
      <sz val="24"/>
      <name val="Cambria"/>
      <family val="1"/>
      <scheme val="major"/>
    </font>
    <font>
      <sz val="26"/>
      <name val="Cambria"/>
      <family val="1"/>
      <scheme val="major"/>
    </font>
    <font>
      <sz val="24"/>
      <name val="Times New Roman (Arabic)"/>
      <family val="1"/>
      <charset val="178"/>
    </font>
    <font>
      <b/>
      <vertAlign val="superscript"/>
      <sz val="20"/>
      <name val="Times New Roman"/>
      <family val="1"/>
    </font>
    <font>
      <sz val="19"/>
      <name val="Cambria"/>
      <family val="1"/>
      <scheme val="major"/>
    </font>
    <font>
      <b/>
      <sz val="19"/>
      <name val="Cambria"/>
      <family val="1"/>
      <scheme val="major"/>
    </font>
    <font>
      <vertAlign val="superscript"/>
      <sz val="19"/>
      <name val="Times New Roman"/>
      <family val="1"/>
    </font>
    <font>
      <sz val="19"/>
      <name val="Times New Roman"/>
      <family val="1"/>
    </font>
    <font>
      <sz val="14"/>
      <name val="Tms Rmn"/>
      <charset val="178"/>
    </font>
    <font>
      <sz val="14"/>
      <name val="Geneva"/>
      <charset val="178"/>
    </font>
    <font>
      <sz val="12"/>
      <name val="Geneva"/>
      <charset val="178"/>
    </font>
    <font>
      <b/>
      <sz val="20"/>
      <name val="Times New Roman"/>
      <family val="1"/>
    </font>
    <font>
      <b/>
      <vertAlign val="superscript"/>
      <sz val="18"/>
      <name val="Times New Roman"/>
      <family val="1"/>
    </font>
    <font>
      <b/>
      <vertAlign val="superscript"/>
      <sz val="19"/>
      <name val="Times New Roman"/>
      <family val="1"/>
    </font>
    <font>
      <b/>
      <sz val="19"/>
      <color theme="1"/>
      <name val="Cambria"/>
      <family val="1"/>
      <scheme val="major"/>
    </font>
    <font>
      <b/>
      <vertAlign val="superscript"/>
      <sz val="16"/>
      <name val="Times New Roman"/>
      <family val="1"/>
    </font>
    <font>
      <sz val="12"/>
      <name val="Times New Roman"/>
      <family val="1"/>
    </font>
    <font>
      <sz val="16"/>
      <name val="Tms Rmn"/>
      <charset val="178"/>
    </font>
    <font>
      <sz val="18"/>
      <name val="Tms Rmn"/>
      <charset val="178"/>
    </font>
    <font>
      <b/>
      <sz val="14"/>
      <name val="Tms Rmn"/>
      <charset val="178"/>
    </font>
    <font>
      <sz val="10"/>
      <name val="Cambria"/>
      <family val="1"/>
      <scheme val="major"/>
    </font>
    <font>
      <b/>
      <sz val="10"/>
      <name val="Arial"/>
      <family val="2"/>
    </font>
    <font>
      <b/>
      <sz val="11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3"/>
      <name val="Times New Roman"/>
      <family val="1"/>
    </font>
    <font>
      <b/>
      <vertAlign val="superscript"/>
      <sz val="20"/>
      <name val="Times New Roman (Arabic)"/>
      <family val="1"/>
      <charset val="178"/>
    </font>
    <font>
      <sz val="12"/>
      <name val="Times New Roman (Arabic)"/>
      <charset val="178"/>
    </font>
    <font>
      <sz val="20"/>
      <name val="Cambria"/>
      <family val="1"/>
      <scheme val="major"/>
    </font>
    <font>
      <b/>
      <i/>
      <sz val="16"/>
      <name val="Cambria"/>
      <family val="1"/>
      <scheme val="major"/>
    </font>
    <font>
      <b/>
      <vertAlign val="superscript"/>
      <sz val="16"/>
      <name val="Times New Roman (Arabic)"/>
      <family val="1"/>
      <charset val="178"/>
    </font>
    <font>
      <b/>
      <i/>
      <sz val="16"/>
      <name val="Times New Roman (Arabic)"/>
      <family val="1"/>
      <charset val="178"/>
    </font>
    <font>
      <vertAlign val="superscript"/>
      <sz val="16"/>
      <name val="Times New Roman (Arabic)"/>
      <charset val="178"/>
    </font>
    <font>
      <b/>
      <vertAlign val="superscript"/>
      <sz val="16"/>
      <name val="Cambria"/>
      <family val="1"/>
      <scheme val="major"/>
    </font>
    <font>
      <b/>
      <sz val="22"/>
      <name val="Times New Roman (Arabic)"/>
      <family val="1"/>
      <charset val="178"/>
    </font>
    <font>
      <sz val="22"/>
      <name val="Times New Roman (Arabic)"/>
      <charset val="178"/>
    </font>
    <font>
      <b/>
      <sz val="22"/>
      <name val="Times New Roman (Arabic)"/>
      <charset val="178"/>
    </font>
    <font>
      <vertAlign val="superscript"/>
      <sz val="22"/>
      <name val="Times New Roman (Arabic)"/>
      <charset val="178"/>
    </font>
    <font>
      <b/>
      <vertAlign val="superscript"/>
      <sz val="22"/>
      <name val="Times New Roman (Arabic)"/>
      <charset val="178"/>
    </font>
    <font>
      <sz val="24"/>
      <name val="Times New Roman (Arabic)"/>
      <charset val="178"/>
    </font>
    <font>
      <b/>
      <sz val="24"/>
      <name val="Times New Roman (Arabic)"/>
      <charset val="178"/>
    </font>
    <font>
      <sz val="24"/>
      <name val="Cambria"/>
      <family val="1"/>
      <scheme val="major"/>
    </font>
    <font>
      <i/>
      <sz val="16"/>
      <name val="Times New Roman (Arabic)"/>
      <family val="1"/>
      <charset val="178"/>
    </font>
    <font>
      <sz val="16"/>
      <color rgb="FFFF0000"/>
      <name val="Times New Roman (Arabic)"/>
      <family val="1"/>
      <charset val="178"/>
    </font>
    <font>
      <sz val="24"/>
      <name val="Times New Roman"/>
      <family val="1"/>
    </font>
    <font>
      <sz val="11"/>
      <color theme="1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20"/>
      <name val="Times New Roman (Arabic)"/>
      <charset val="178"/>
    </font>
    <font>
      <b/>
      <sz val="18"/>
      <name val="Times New Roman (Arabic)"/>
      <charset val="178"/>
    </font>
    <font>
      <b/>
      <sz val="17"/>
      <name val="Times New Roman"/>
      <family val="1"/>
    </font>
    <font>
      <sz val="17"/>
      <name val="Times New Roman"/>
      <family val="1"/>
    </font>
    <font>
      <b/>
      <sz val="12"/>
      <name val="Times New Roman (Arabic)"/>
    </font>
    <font>
      <sz val="18"/>
      <name val="Times New Roman (Arabic)"/>
      <charset val="178"/>
    </font>
    <font>
      <sz val="18"/>
      <name val="Times New Roman (Arabic)"/>
    </font>
    <font>
      <vertAlign val="superscript"/>
      <sz val="12"/>
      <name val="Times New Roman (Arabic)"/>
      <charset val="178"/>
    </font>
    <font>
      <b/>
      <i/>
      <sz val="14"/>
      <name val="Times New Roman (Arabic)"/>
      <family val="1"/>
      <charset val="178"/>
    </font>
    <font>
      <b/>
      <sz val="10"/>
      <name val="Geneva"/>
      <charset val="178"/>
    </font>
    <font>
      <i/>
      <sz val="14"/>
      <name val="Times New Roman (Arabic)"/>
      <charset val="178"/>
    </font>
    <font>
      <i/>
      <sz val="16"/>
      <name val="Times New Roman (Arabic)"/>
      <charset val="178"/>
    </font>
    <font>
      <sz val="20"/>
      <name val="Times New Roman (Arabic)"/>
      <charset val="178"/>
    </font>
    <font>
      <sz val="22"/>
      <name val="Geneva"/>
      <charset val="178"/>
    </font>
    <font>
      <b/>
      <sz val="10"/>
      <name val="Times New Roman (Arabic)"/>
      <family val="1"/>
      <charset val="178"/>
    </font>
    <font>
      <b/>
      <sz val="10"/>
      <name val="Cambria"/>
      <family val="1"/>
      <scheme val="major"/>
    </font>
    <font>
      <sz val="10"/>
      <name val="Arial"/>
      <family val="2"/>
    </font>
    <font>
      <sz val="18"/>
      <name val="Arabic Transparent"/>
      <charset val="178"/>
    </font>
    <font>
      <sz val="18"/>
      <name val="Akhbar MT"/>
      <charset val="178"/>
    </font>
    <font>
      <sz val="14"/>
      <name val="Akhbar MT"/>
      <charset val="178"/>
    </font>
    <font>
      <b/>
      <sz val="30"/>
      <color indexed="12"/>
      <name val="Monotype Koufi"/>
      <charset val="178"/>
    </font>
    <font>
      <sz val="19"/>
      <color indexed="12"/>
      <name val="Times New Roman (Arabic)"/>
      <family val="1"/>
      <charset val="178"/>
    </font>
    <font>
      <b/>
      <sz val="19"/>
      <color indexed="12"/>
      <name val="Times New Roman (Arabic)"/>
      <family val="1"/>
      <charset val="178"/>
    </font>
    <font>
      <sz val="18"/>
      <color indexed="12"/>
      <name val="Times New Roman (Arabic)"/>
      <family val="1"/>
      <charset val="178"/>
    </font>
    <font>
      <b/>
      <sz val="20"/>
      <color indexed="12"/>
      <name val="Times New Roman (Arabic)"/>
      <family val="1"/>
      <charset val="178"/>
    </font>
    <font>
      <u/>
      <sz val="6.6"/>
      <color theme="10"/>
      <name val="Arial"/>
      <family val="2"/>
      <charset val="178"/>
    </font>
    <font>
      <u/>
      <sz val="18"/>
      <color theme="10"/>
      <name val="Cambria"/>
      <family val="1"/>
      <scheme val="major"/>
    </font>
    <font>
      <sz val="18"/>
      <name val="Arial"/>
      <family val="2"/>
    </font>
    <font>
      <b/>
      <sz val="26"/>
      <color indexed="12"/>
      <name val="Tahoma"/>
      <family val="2"/>
    </font>
    <font>
      <b/>
      <sz val="18"/>
      <color indexed="12"/>
      <name val="Times New Roman"/>
      <family val="1"/>
    </font>
    <font>
      <sz val="18"/>
      <color theme="1"/>
      <name val="Cambria"/>
      <family val="1"/>
      <scheme val="major"/>
    </font>
    <font>
      <vertAlign val="superscript"/>
      <sz val="20"/>
      <name val="Times New Roman"/>
      <family val="1"/>
    </font>
    <font>
      <vertAlign val="superscript"/>
      <sz val="30"/>
      <name val="Times New Roman"/>
      <family val="1"/>
    </font>
    <font>
      <sz val="30"/>
      <name val="Times New Roman"/>
      <family val="1"/>
    </font>
    <font>
      <sz val="10"/>
      <name val="Arial"/>
      <charset val="178"/>
    </font>
    <font>
      <b/>
      <sz val="19"/>
      <name val="Times New Roman"/>
      <family val="1"/>
    </font>
    <font>
      <b/>
      <sz val="10"/>
      <name val="Times New Roman"/>
      <family val="1"/>
    </font>
    <font>
      <b/>
      <sz val="17.5"/>
      <name val="Times New Roman"/>
      <family val="1"/>
    </font>
    <font>
      <sz val="20"/>
      <name val="Times New Roman"/>
      <family val="1"/>
    </font>
    <font>
      <sz val="10"/>
      <color theme="0"/>
      <name val="Times New Roman"/>
      <family val="1"/>
    </font>
    <font>
      <b/>
      <sz val="22"/>
      <name val="Times New Roman"/>
      <family val="1"/>
    </font>
    <font>
      <b/>
      <i/>
      <sz val="18"/>
      <name val="Times New Roman"/>
      <family val="1"/>
    </font>
    <font>
      <b/>
      <sz val="24"/>
      <name val="Times New Roman"/>
      <family val="1"/>
    </font>
    <font>
      <b/>
      <i/>
      <sz val="16"/>
      <name val="Times New Roman"/>
      <family val="1"/>
    </font>
    <font>
      <sz val="22"/>
      <name val="Times New Roman"/>
      <family val="1"/>
    </font>
    <font>
      <sz val="16"/>
      <name val="Times"/>
      <family val="1"/>
    </font>
    <font>
      <b/>
      <vertAlign val="superscript"/>
      <sz val="16"/>
      <name val="Times New Roman (Arabic)"/>
    </font>
    <font>
      <b/>
      <sz val="16"/>
      <name val="Times"/>
      <family val="1"/>
    </font>
    <font>
      <b/>
      <sz val="14"/>
      <name val="Times"/>
      <family val="1"/>
    </font>
    <font>
      <sz val="13.5"/>
      <name val="Times New Roman"/>
      <family val="1"/>
    </font>
    <font>
      <sz val="14"/>
      <name val="Times"/>
      <charset val="178"/>
    </font>
    <font>
      <sz val="14"/>
      <name val="Arial"/>
      <family val="2"/>
    </font>
    <font>
      <sz val="14"/>
      <name val="Times"/>
      <family val="1"/>
    </font>
    <font>
      <b/>
      <u/>
      <sz val="20"/>
      <color theme="10"/>
      <name val="Arial"/>
      <family val="2"/>
    </font>
    <font>
      <b/>
      <sz val="9"/>
      <color indexed="81"/>
      <name val="Tahoma"/>
      <family val="2"/>
    </font>
    <font>
      <b/>
      <u/>
      <sz val="18"/>
      <color theme="10"/>
      <name val="Arial"/>
      <family val="2"/>
    </font>
    <font>
      <sz val="11"/>
      <color theme="1"/>
      <name val="Calibri"/>
      <family val="2"/>
      <charset val="178"/>
      <scheme val="minor"/>
    </font>
    <font>
      <b/>
      <i/>
      <sz val="20"/>
      <name val="Times New Roman (Arabic)"/>
      <family val="1"/>
      <charset val="178"/>
    </font>
    <font>
      <vertAlign val="superscript"/>
      <sz val="12"/>
      <name val="Cambria"/>
      <family val="1"/>
    </font>
    <font>
      <sz val="16"/>
      <name val="Cambria"/>
      <family val="1"/>
    </font>
    <font>
      <b/>
      <sz val="17"/>
      <name val="Times New Roman (Arabic)"/>
      <family val="1"/>
      <charset val="178"/>
    </font>
    <font>
      <vertAlign val="superscript"/>
      <sz val="12"/>
      <name val="Cambria"/>
      <family val="1"/>
      <scheme val="major"/>
    </font>
    <font>
      <b/>
      <sz val="9"/>
      <color indexed="81"/>
      <name val="Tahoma"/>
    </font>
  </fonts>
  <fills count="1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15"/>
      </patternFill>
    </fill>
    <fill>
      <patternFill patternType="solid">
        <fgColor theme="3" tint="0.59999389629810485"/>
        <bgColor indexed="15"/>
      </patternFill>
    </fill>
    <fill>
      <patternFill patternType="solid">
        <fgColor indexed="44"/>
        <bgColor indexed="15"/>
      </patternFill>
    </fill>
    <fill>
      <patternFill patternType="solid">
        <fgColor indexed="9"/>
        <bgColor indexed="9"/>
      </patternFill>
    </fill>
    <fill>
      <patternFill patternType="solid">
        <fgColor rgb="FF99CCFF"/>
        <bgColor indexed="64"/>
      </patternFill>
    </fill>
  </fills>
  <borders count="1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4.9989318521683403E-2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indexed="64"/>
      </top>
      <bottom/>
      <diagonal/>
    </border>
    <border>
      <left style="thin">
        <color theme="0" tint="-4.9989318521683403E-2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1"/>
      </right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indexed="64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1"/>
      </right>
      <top/>
      <bottom style="thin">
        <color theme="0" tint="-4.9989318521683403E-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4.9989318521683403E-2"/>
      </left>
      <right/>
      <top/>
      <bottom style="thin">
        <color indexed="64"/>
      </bottom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4.9989318521683403E-2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/>
      <bottom style="thin">
        <color theme="0" tint="-4.9989318521683403E-2"/>
      </bottom>
      <diagonal/>
    </border>
    <border>
      <left/>
      <right style="thin">
        <color indexed="64"/>
      </right>
      <top/>
      <bottom style="thin">
        <color theme="0" tint="-4.9989318521683403E-2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4.9989318521683403E-2"/>
      </left>
      <right/>
      <top style="thin">
        <color indexed="64"/>
      </top>
      <bottom style="thin">
        <color theme="0" tint="-4.9989318521683403E-2"/>
      </bottom>
      <diagonal/>
    </border>
    <border>
      <left/>
      <right/>
      <top style="thin">
        <color indexed="64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indexed="64"/>
      </left>
      <right/>
      <top/>
      <bottom style="thin">
        <color theme="0" tint="-4.9989318521683403E-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 tint="-4.9989318521683403E-2"/>
      </right>
      <top style="thin">
        <color theme="1"/>
      </top>
      <bottom/>
      <diagonal/>
    </border>
    <border>
      <left/>
      <right style="thin">
        <color theme="1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indexed="64"/>
      </top>
      <bottom/>
      <diagonal/>
    </border>
    <border>
      <left style="thin">
        <color indexed="64"/>
      </left>
      <right style="thin">
        <color theme="0" tint="-4.9989318521683403E-2"/>
      </right>
      <top/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thin">
        <color theme="0" tint="-4.9989318521683403E-2"/>
      </right>
      <top style="thin">
        <color indexed="64"/>
      </top>
      <bottom/>
      <diagonal/>
    </border>
    <border>
      <left style="thin">
        <color theme="0" tint="-4.9989318521683403E-2"/>
      </left>
      <right style="thin">
        <color indexed="64"/>
      </right>
      <top/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theme="0" tint="-4.9989318521683403E-2"/>
      </bottom>
      <diagonal/>
    </border>
    <border>
      <left style="thin">
        <color theme="1"/>
      </left>
      <right style="thin">
        <color theme="0" tint="-4.9989318521683403E-2"/>
      </right>
      <top style="thin">
        <color theme="1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theme="0" tint="-4.9989318521683403E-2"/>
      </right>
      <top/>
      <bottom/>
      <diagonal/>
    </border>
    <border>
      <left style="thin">
        <color theme="1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 tint="-4.9989318521683403E-2"/>
      </bottom>
      <diagonal/>
    </border>
    <border>
      <left style="thin">
        <color indexed="64"/>
      </left>
      <right/>
      <top style="thin">
        <color theme="0" tint="-4.9989318521683403E-2"/>
      </top>
      <bottom style="thin">
        <color indexed="64"/>
      </bottom>
      <diagonal/>
    </border>
    <border>
      <left/>
      <right/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indexed="64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4.9989318521683403E-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4.9989318521683403E-2"/>
      </left>
      <right style="thin">
        <color theme="0"/>
      </right>
      <top/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/>
      <bottom style="thin">
        <color theme="0" tint="-4.9989318521683403E-2"/>
      </bottom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 style="thin">
        <color theme="0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/>
      <right style="thin">
        <color theme="0" tint="-4.9989318521683403E-2"/>
      </right>
      <top/>
      <bottom style="thin">
        <color theme="1"/>
      </bottom>
      <diagonal/>
    </border>
    <border>
      <left style="thin">
        <color theme="0" tint="-4.9989318521683403E-2"/>
      </left>
      <right style="thin">
        <color indexed="64"/>
      </right>
      <top/>
      <bottom style="thin">
        <color theme="0" tint="-4.9989318521683403E-2"/>
      </bottom>
      <diagonal/>
    </border>
    <border>
      <left style="thin">
        <color theme="0"/>
      </left>
      <right style="thin">
        <color indexed="64"/>
      </right>
      <top style="thin">
        <color theme="0" tint="-4.9989318521683403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 tint="-4.9989318521683403E-2"/>
      </left>
      <right/>
      <top/>
      <bottom style="thin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 tint="-4.9989318521683403E-2"/>
      </right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indexed="64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theme="0" tint="-4.9989318521683403E-2"/>
      </top>
      <bottom/>
      <diagonal/>
    </border>
    <border>
      <left style="thin">
        <color theme="1"/>
      </left>
      <right style="thin">
        <color theme="0" tint="-4.9989318521683403E-2"/>
      </right>
      <top style="thin">
        <color indexed="64"/>
      </top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0" tint="-4.9989318521683403E-2"/>
      </left>
      <right style="thin">
        <color theme="0"/>
      </right>
      <top style="thin">
        <color indexed="64"/>
      </top>
      <bottom/>
      <diagonal/>
    </border>
    <border>
      <left style="thin">
        <color theme="1"/>
      </left>
      <right/>
      <top style="thin">
        <color theme="0" tint="-4.9989318521683403E-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 tint="-4.9989318521683403E-2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theme="1"/>
      </right>
      <top style="thin">
        <color theme="0" tint="-4.9989318521683403E-2"/>
      </top>
      <bottom/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1"/>
      </bottom>
      <diagonal/>
    </border>
    <border>
      <left style="thin">
        <color theme="0" tint="-4.9989318521683403E-2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double">
        <color theme="3" tint="-0.24994659260841701"/>
      </left>
      <right/>
      <top style="double">
        <color theme="3" tint="-0.24994659260841701"/>
      </top>
      <bottom/>
      <diagonal/>
    </border>
    <border>
      <left/>
      <right/>
      <top style="double">
        <color theme="3" tint="-0.24994659260841701"/>
      </top>
      <bottom/>
      <diagonal/>
    </border>
    <border>
      <left/>
      <right style="double">
        <color theme="3" tint="-0.24994659260841701"/>
      </right>
      <top style="double">
        <color theme="3" tint="-0.24994659260841701"/>
      </top>
      <bottom/>
      <diagonal/>
    </border>
    <border>
      <left style="double">
        <color theme="3" tint="-0.24994659260841701"/>
      </left>
      <right/>
      <top/>
      <bottom/>
      <diagonal/>
    </border>
    <border>
      <left/>
      <right style="double">
        <color theme="3" tint="-0.24994659260841701"/>
      </right>
      <top/>
      <bottom/>
      <diagonal/>
    </border>
    <border>
      <left style="double">
        <color theme="3" tint="-0.24994659260841701"/>
      </left>
      <right/>
      <top/>
      <bottom style="double">
        <color theme="3" tint="-0.24994659260841701"/>
      </bottom>
      <diagonal/>
    </border>
    <border>
      <left/>
      <right/>
      <top/>
      <bottom style="double">
        <color theme="3" tint="-0.24994659260841701"/>
      </bottom>
      <diagonal/>
    </border>
    <border>
      <left/>
      <right style="double">
        <color theme="3" tint="-0.24994659260841701"/>
      </right>
      <top/>
      <bottom style="double">
        <color theme="3" tint="-0.24994659260841701"/>
      </bottom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theme="0"/>
      </left>
      <right/>
      <top/>
      <bottom style="thin">
        <color theme="1"/>
      </bottom>
      <diagonal/>
    </border>
    <border>
      <left/>
      <right style="thin">
        <color theme="0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1"/>
      </right>
      <top/>
      <bottom style="thin">
        <color theme="0"/>
      </bottom>
      <diagonal/>
    </border>
    <border>
      <left style="thin">
        <color theme="1"/>
      </left>
      <right/>
      <top/>
      <bottom style="thin">
        <color theme="0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0"/>
      </left>
      <right/>
      <top style="thin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/>
      <right style="thin">
        <color theme="0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theme="0" tint="-4.9989318521683403E-2"/>
      </bottom>
      <diagonal/>
    </border>
    <border>
      <left style="thin">
        <color indexed="64"/>
      </left>
      <right style="thin">
        <color theme="0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1"/>
      </bottom>
      <diagonal/>
    </border>
    <border>
      <left style="thin">
        <color theme="1"/>
      </left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16">
    <xf numFmtId="0" fontId="0" fillId="0" borderId="0"/>
    <xf numFmtId="0" fontId="1" fillId="0" borderId="0"/>
    <xf numFmtId="0" fontId="22" fillId="0" borderId="0"/>
    <xf numFmtId="0" fontId="67" fillId="0" borderId="0"/>
    <xf numFmtId="0" fontId="78" fillId="0" borderId="0"/>
    <xf numFmtId="0" fontId="1" fillId="0" borderId="0" applyAlignment="0"/>
    <xf numFmtId="4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" fontId="22" fillId="0" borderId="0" applyFont="0" applyFill="0" applyBorder="0" applyAlignment="0" applyProtection="0"/>
    <xf numFmtId="0" fontId="78" fillId="0" borderId="0"/>
    <xf numFmtId="0" fontId="147" fillId="0" borderId="0"/>
    <xf numFmtId="0" fontId="156" fillId="0" borderId="0" applyNumberFormat="0" applyFill="0" applyBorder="0" applyAlignment="0" applyProtection="0">
      <alignment vertical="top"/>
      <protection locked="0"/>
    </xf>
    <xf numFmtId="0" fontId="165" fillId="0" borderId="0"/>
    <xf numFmtId="9" fontId="165" fillId="0" borderId="0" applyFont="0" applyFill="0" applyBorder="0" applyAlignment="0" applyProtection="0"/>
    <xf numFmtId="165" fontId="165" fillId="0" borderId="0" applyFont="0" applyFill="0" applyBorder="0" applyAlignment="0" applyProtection="0"/>
    <xf numFmtId="164" fontId="187" fillId="0" borderId="0" applyFont="0" applyFill="0" applyBorder="0" applyAlignment="0" applyProtection="0"/>
  </cellStyleXfs>
  <cellXfs count="5408">
    <xf numFmtId="0" fontId="0" fillId="0" borderId="0" xfId="0"/>
    <xf numFmtId="0" fontId="3" fillId="0" borderId="0" xfId="1" applyFont="1"/>
    <xf numFmtId="0" fontId="4" fillId="0" borderId="0" xfId="1" applyFont="1"/>
    <xf numFmtId="0" fontId="6" fillId="0" borderId="0" xfId="1" applyFont="1"/>
    <xf numFmtId="0" fontId="7" fillId="0" borderId="0" xfId="1" applyFont="1"/>
    <xf numFmtId="0" fontId="7" fillId="2" borderId="16" xfId="1" applyFont="1" applyFill="1" applyBorder="1" applyAlignment="1">
      <alignment horizontal="center"/>
    </xf>
    <xf numFmtId="0" fontId="7" fillId="2" borderId="11" xfId="1" applyFont="1" applyFill="1" applyBorder="1" applyAlignment="1">
      <alignment horizontal="center"/>
    </xf>
    <xf numFmtId="0" fontId="7" fillId="2" borderId="0" xfId="1" applyFont="1" applyFill="1" applyBorder="1" applyAlignment="1">
      <alignment horizontal="center"/>
    </xf>
    <xf numFmtId="0" fontId="7" fillId="2" borderId="11" xfId="1" applyFont="1" applyFill="1" applyBorder="1" applyAlignment="1">
      <alignment horizontal="centerContinuous"/>
    </xf>
    <xf numFmtId="0" fontId="8" fillId="2" borderId="11" xfId="1" applyFont="1" applyFill="1" applyBorder="1" applyAlignment="1">
      <alignment horizontal="center" vertical="center"/>
    </xf>
    <xf numFmtId="0" fontId="7" fillId="2" borderId="17" xfId="1" applyFont="1" applyFill="1" applyBorder="1" applyAlignment="1">
      <alignment horizontal="center"/>
    </xf>
    <xf numFmtId="0" fontId="14" fillId="2" borderId="0" xfId="1" applyFont="1" applyFill="1" applyBorder="1" applyAlignment="1">
      <alignment horizontal="center"/>
    </xf>
    <xf numFmtId="0" fontId="14" fillId="2" borderId="11" xfId="1" applyFont="1" applyFill="1" applyBorder="1" applyAlignment="1">
      <alignment horizontal="center"/>
    </xf>
    <xf numFmtId="0" fontId="14" fillId="2" borderId="11" xfId="1" applyFont="1" applyFill="1" applyBorder="1" applyAlignment="1">
      <alignment horizontal="center" vertical="center"/>
    </xf>
    <xf numFmtId="0" fontId="14" fillId="2" borderId="0" xfId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horizontal="center"/>
    </xf>
    <xf numFmtId="0" fontId="7" fillId="5" borderId="0" xfId="1" applyFont="1" applyFill="1" applyBorder="1" applyAlignment="1">
      <alignment horizontal="center" vertical="center"/>
    </xf>
    <xf numFmtId="0" fontId="3" fillId="0" borderId="0" xfId="1" applyFont="1" applyFill="1"/>
    <xf numFmtId="0" fontId="3" fillId="0" borderId="0" xfId="1" applyFont="1" applyBorder="1"/>
    <xf numFmtId="0" fontId="7" fillId="5" borderId="22" xfId="1" applyFont="1" applyFill="1" applyBorder="1" applyAlignment="1">
      <alignment horizontal="center"/>
    </xf>
    <xf numFmtId="0" fontId="7" fillId="5" borderId="1" xfId="1" applyFont="1" applyFill="1" applyBorder="1" applyAlignment="1">
      <alignment horizontal="center"/>
    </xf>
    <xf numFmtId="0" fontId="7" fillId="0" borderId="0" xfId="1" applyFont="1" applyFill="1" applyBorder="1"/>
    <xf numFmtId="0" fontId="19" fillId="0" borderId="0" xfId="1" applyFont="1"/>
    <xf numFmtId="0" fontId="20" fillId="0" borderId="0" xfId="1" applyFont="1" applyAlignment="1">
      <alignment horizontal="left" vertical="center"/>
    </xf>
    <xf numFmtId="0" fontId="21" fillId="0" borderId="0" xfId="1" applyFont="1"/>
    <xf numFmtId="0" fontId="7" fillId="0" borderId="0" xfId="1" applyFont="1" applyFill="1" applyBorder="1" applyAlignment="1">
      <alignment vertical="center"/>
    </xf>
    <xf numFmtId="0" fontId="3" fillId="0" borderId="0" xfId="1" applyFont="1" applyFill="1" applyBorder="1"/>
    <xf numFmtId="0" fontId="20" fillId="0" borderId="0" xfId="1" applyFont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Continuous"/>
    </xf>
    <xf numFmtId="0" fontId="3" fillId="0" borderId="0" xfId="1" applyFont="1" applyFill="1" applyBorder="1" applyAlignment="1">
      <alignment horizontal="center"/>
    </xf>
    <xf numFmtId="0" fontId="4" fillId="0" borderId="0" xfId="1" applyFont="1" applyFill="1" applyBorder="1"/>
    <xf numFmtId="0" fontId="3" fillId="0" borderId="25" xfId="1" applyFont="1" applyBorder="1"/>
    <xf numFmtId="0" fontId="4" fillId="0" borderId="0" xfId="1" applyFont="1" applyBorder="1"/>
    <xf numFmtId="0" fontId="4" fillId="0" borderId="0" xfId="1" applyFont="1" applyFill="1"/>
    <xf numFmtId="0" fontId="3" fillId="0" borderId="0" xfId="1" applyFont="1" applyFill="1" applyAlignment="1">
      <alignment vertical="center"/>
    </xf>
    <xf numFmtId="0" fontId="33" fillId="0" borderId="0" xfId="1" applyFont="1" applyFill="1"/>
    <xf numFmtId="0" fontId="7" fillId="0" borderId="0" xfId="1" applyFont="1" applyAlignment="1">
      <alignment horizontal="left" vertical="center"/>
    </xf>
    <xf numFmtId="0" fontId="28" fillId="0" borderId="0" xfId="1" applyFont="1"/>
    <xf numFmtId="0" fontId="20" fillId="0" borderId="0" xfId="1" applyFont="1"/>
    <xf numFmtId="0" fontId="33" fillId="0" borderId="0" xfId="1" applyFont="1" applyFill="1" applyBorder="1"/>
    <xf numFmtId="0" fontId="7" fillId="2" borderId="2" xfId="1" applyFont="1" applyFill="1" applyBorder="1"/>
    <xf numFmtId="0" fontId="7" fillId="2" borderId="4" xfId="1" applyFont="1" applyFill="1" applyBorder="1"/>
    <xf numFmtId="0" fontId="8" fillId="2" borderId="5" xfId="1" applyFont="1" applyFill="1" applyBorder="1"/>
    <xf numFmtId="0" fontId="8" fillId="2" borderId="27" xfId="1" applyFont="1" applyFill="1" applyBorder="1"/>
    <xf numFmtId="0" fontId="7" fillId="2" borderId="0" xfId="1" applyFont="1" applyFill="1" applyBorder="1" applyAlignment="1">
      <alignment horizontal="centerContinuous" vertical="center"/>
    </xf>
    <xf numFmtId="0" fontId="7" fillId="2" borderId="16" xfId="1" applyFont="1" applyFill="1" applyBorder="1" applyAlignment="1">
      <alignment horizontal="centerContinuous" vertical="center"/>
    </xf>
    <xf numFmtId="0" fontId="7" fillId="2" borderId="17" xfId="1" applyFont="1" applyFill="1" applyBorder="1" applyAlignment="1">
      <alignment horizontal="centerContinuous" vertical="center"/>
    </xf>
    <xf numFmtId="0" fontId="7" fillId="2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vertical="center"/>
    </xf>
    <xf numFmtId="0" fontId="7" fillId="2" borderId="11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vertical="center"/>
    </xf>
    <xf numFmtId="0" fontId="7" fillId="2" borderId="11" xfId="1" applyFont="1" applyFill="1" applyBorder="1" applyAlignment="1">
      <alignment vertical="center"/>
    </xf>
    <xf numFmtId="166" fontId="7" fillId="4" borderId="17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Continuous" vertical="center"/>
    </xf>
    <xf numFmtId="166" fontId="8" fillId="5" borderId="0" xfId="1" applyNumberFormat="1" applyFont="1" applyFill="1" applyAlignment="1">
      <alignment horizontal="center" vertical="center"/>
    </xf>
    <xf numFmtId="166" fontId="7" fillId="5" borderId="0" xfId="1" applyNumberFormat="1" applyFont="1" applyFill="1" applyAlignment="1">
      <alignment horizontal="center" vertical="center"/>
    </xf>
    <xf numFmtId="166" fontId="7" fillId="5" borderId="17" xfId="1" applyNumberFormat="1" applyFont="1" applyFill="1" applyBorder="1" applyAlignment="1">
      <alignment horizontal="center" vertical="center"/>
    </xf>
    <xf numFmtId="0" fontId="28" fillId="0" borderId="0" xfId="1" applyFont="1" applyAlignment="1">
      <alignment vertical="center"/>
    </xf>
    <xf numFmtId="0" fontId="21" fillId="0" borderId="0" xfId="1" applyFont="1" applyBorder="1" applyAlignment="1"/>
    <xf numFmtId="0" fontId="21" fillId="0" borderId="0" xfId="1" applyFont="1" applyFill="1"/>
    <xf numFmtId="0" fontId="21" fillId="0" borderId="0" xfId="1" applyFont="1" applyBorder="1" applyAlignment="1">
      <alignment horizontal="right"/>
    </xf>
    <xf numFmtId="0" fontId="21" fillId="0" borderId="0" xfId="1" applyFont="1" applyBorder="1" applyAlignment="1">
      <alignment horizontal="center" vertical="center"/>
    </xf>
    <xf numFmtId="166" fontId="8" fillId="0" borderId="0" xfId="1" applyNumberFormat="1" applyFont="1" applyBorder="1" applyAlignment="1">
      <alignment horizontal="center" vertical="center"/>
    </xf>
    <xf numFmtId="166" fontId="8" fillId="0" borderId="0" xfId="1" applyNumberFormat="1" applyFont="1" applyAlignment="1">
      <alignment horizontal="center" vertical="center"/>
    </xf>
    <xf numFmtId="166" fontId="7" fillId="0" borderId="0" xfId="1" applyNumberFormat="1" applyFont="1" applyAlignment="1">
      <alignment horizontal="center" vertical="center"/>
    </xf>
    <xf numFmtId="166" fontId="7" fillId="0" borderId="0" xfId="1" applyNumberFormat="1" applyFont="1" applyBorder="1" applyAlignment="1">
      <alignment horizontal="center" vertical="center"/>
    </xf>
    <xf numFmtId="0" fontId="8" fillId="2" borderId="7" xfId="1" applyFont="1" applyFill="1" applyBorder="1" applyAlignment="1">
      <alignment vertical="center"/>
    </xf>
    <xf numFmtId="0" fontId="8" fillId="2" borderId="0" xfId="1" applyFont="1" applyFill="1" applyBorder="1" applyAlignment="1">
      <alignment horizontal="center" vertical="center"/>
    </xf>
    <xf numFmtId="166" fontId="7" fillId="3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166" fontId="8" fillId="5" borderId="0" xfId="1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vertical="center"/>
    </xf>
    <xf numFmtId="166" fontId="7" fillId="5" borderId="1" xfId="1" applyNumberFormat="1" applyFont="1" applyFill="1" applyBorder="1" applyAlignment="1">
      <alignment horizontal="center" vertical="center"/>
    </xf>
    <xf numFmtId="166" fontId="8" fillId="5" borderId="1" xfId="1" applyNumberFormat="1" applyFont="1" applyFill="1" applyBorder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quotePrefix="1" applyFont="1" applyBorder="1" applyAlignment="1">
      <alignment horizontal="center"/>
    </xf>
    <xf numFmtId="166" fontId="21" fillId="0" borderId="0" xfId="1" applyNumberFormat="1" applyFont="1" applyFill="1" applyBorder="1" applyAlignment="1">
      <alignment vertical="center"/>
    </xf>
    <xf numFmtId="0" fontId="21" fillId="0" borderId="0" xfId="1" applyFont="1" applyFill="1" applyBorder="1"/>
    <xf numFmtId="0" fontId="20" fillId="0" borderId="0" xfId="1" applyFont="1" applyBorder="1" applyAlignment="1">
      <alignment horizontal="right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0" fontId="4" fillId="0" borderId="0" xfId="1" applyFont="1" applyAlignment="1">
      <alignment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horizontal="center"/>
    </xf>
    <xf numFmtId="0" fontId="3" fillId="0" borderId="0" xfId="1" applyFont="1" applyBorder="1" applyAlignment="1">
      <alignment horizontal="right"/>
    </xf>
    <xf numFmtId="0" fontId="3" fillId="0" borderId="0" xfId="1" quotePrefix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20" fillId="0" borderId="0" xfId="1" quotePrefix="1" applyFont="1" applyBorder="1" applyAlignment="1">
      <alignment horizontal="right" readingOrder="2"/>
    </xf>
    <xf numFmtId="0" fontId="20" fillId="0" borderId="0" xfId="1" applyFont="1" applyBorder="1" applyAlignment="1">
      <alignment horizontal="center"/>
    </xf>
    <xf numFmtId="0" fontId="20" fillId="0" borderId="0" xfId="1" applyFont="1" applyBorder="1" applyAlignment="1">
      <alignment horizontal="left"/>
    </xf>
    <xf numFmtId="0" fontId="20" fillId="0" borderId="0" xfId="1" applyFont="1" applyAlignment="1">
      <alignment horizontal="center" vertical="center"/>
    </xf>
    <xf numFmtId="0" fontId="20" fillId="0" borderId="0" xfId="1" applyFont="1" applyBorder="1"/>
    <xf numFmtId="0" fontId="19" fillId="0" borderId="0" xfId="1" applyFont="1" applyBorder="1" applyAlignment="1">
      <alignment horizontal="center"/>
    </xf>
    <xf numFmtId="0" fontId="19" fillId="0" borderId="0" xfId="1" applyFont="1" applyBorder="1" applyAlignment="1">
      <alignment horizontal="right"/>
    </xf>
    <xf numFmtId="0" fontId="19" fillId="0" borderId="0" xfId="1" applyFont="1" applyBorder="1" applyAlignment="1">
      <alignment horizontal="left" vertical="center"/>
    </xf>
    <xf numFmtId="0" fontId="43" fillId="0" borderId="0" xfId="1" applyFont="1" applyFill="1"/>
    <xf numFmtId="166" fontId="7" fillId="2" borderId="19" xfId="1" applyNumberFormat="1" applyFont="1" applyFill="1" applyBorder="1" applyAlignment="1">
      <alignment horizontal="center" vertical="center"/>
    </xf>
    <xf numFmtId="0" fontId="7" fillId="2" borderId="25" xfId="1" applyFont="1" applyFill="1" applyBorder="1"/>
    <xf numFmtId="166" fontId="7" fillId="2" borderId="11" xfId="1" applyNumberFormat="1" applyFont="1" applyFill="1" applyBorder="1" applyAlignment="1">
      <alignment horizontal="center" vertical="center"/>
    </xf>
    <xf numFmtId="166" fontId="7" fillId="2" borderId="11" xfId="1" applyNumberFormat="1" applyFont="1" applyFill="1" applyBorder="1" applyAlignment="1">
      <alignment horizontal="center"/>
    </xf>
    <xf numFmtId="0" fontId="7" fillId="2" borderId="0" xfId="1" applyFont="1" applyFill="1" applyBorder="1"/>
    <xf numFmtId="0" fontId="7" fillId="2" borderId="11" xfId="1" applyFont="1" applyFill="1" applyBorder="1"/>
    <xf numFmtId="166" fontId="8" fillId="2" borderId="11" xfId="1" applyNumberFormat="1" applyFont="1" applyFill="1" applyBorder="1" applyAlignment="1">
      <alignment horizontal="center"/>
    </xf>
    <xf numFmtId="0" fontId="7" fillId="2" borderId="37" xfId="1" applyFont="1" applyFill="1" applyBorder="1"/>
    <xf numFmtId="0" fontId="7" fillId="2" borderId="37" xfId="1" applyFont="1" applyFill="1" applyBorder="1" applyAlignment="1">
      <alignment horizontal="center"/>
    </xf>
    <xf numFmtId="166" fontId="7" fillId="2" borderId="37" xfId="1" applyNumberFormat="1" applyFont="1" applyFill="1" applyBorder="1" applyAlignment="1">
      <alignment horizontal="center"/>
    </xf>
    <xf numFmtId="0" fontId="7" fillId="2" borderId="27" xfId="1" applyFont="1" applyFill="1" applyBorder="1"/>
    <xf numFmtId="0" fontId="7" fillId="0" borderId="0" xfId="1" applyFont="1" applyBorder="1"/>
    <xf numFmtId="166" fontId="3" fillId="0" borderId="0" xfId="1" applyNumberFormat="1" applyFont="1" applyFill="1" applyBorder="1" applyAlignment="1">
      <alignment horizontal="center" vertical="center"/>
    </xf>
    <xf numFmtId="166" fontId="20" fillId="0" borderId="0" xfId="1" applyNumberFormat="1" applyFont="1" applyBorder="1" applyAlignment="1">
      <alignment horizontal="centerContinuous"/>
    </xf>
    <xf numFmtId="0" fontId="62" fillId="0" borderId="0" xfId="1" applyFont="1" applyFill="1"/>
    <xf numFmtId="166" fontId="3" fillId="0" borderId="0" xfId="1" applyNumberFormat="1" applyFont="1" applyFill="1" applyBorder="1"/>
    <xf numFmtId="0" fontId="8" fillId="0" borderId="0" xfId="1" applyFont="1"/>
    <xf numFmtId="166" fontId="8" fillId="2" borderId="0" xfId="1" applyNumberFormat="1" applyFont="1" applyFill="1" applyBorder="1"/>
    <xf numFmtId="166" fontId="8" fillId="2" borderId="5" xfId="1" applyNumberFormat="1" applyFont="1" applyFill="1" applyBorder="1"/>
    <xf numFmtId="166" fontId="7" fillId="2" borderId="4" xfId="1" applyNumberFormat="1" applyFont="1" applyFill="1" applyBorder="1"/>
    <xf numFmtId="166" fontId="8" fillId="2" borderId="11" xfId="1" applyNumberFormat="1" applyFont="1" applyFill="1" applyBorder="1"/>
    <xf numFmtId="166" fontId="7" fillId="2" borderId="16" xfId="1" applyNumberFormat="1" applyFont="1" applyFill="1" applyBorder="1"/>
    <xf numFmtId="166" fontId="7" fillId="2" borderId="0" xfId="1" applyNumberFormat="1" applyFont="1" applyFill="1" applyBorder="1"/>
    <xf numFmtId="166" fontId="7" fillId="2" borderId="11" xfId="1" applyNumberFormat="1" applyFont="1" applyFill="1" applyBorder="1"/>
    <xf numFmtId="166" fontId="7" fillId="2" borderId="37" xfId="1" applyNumberFormat="1" applyFont="1" applyFill="1" applyBorder="1"/>
    <xf numFmtId="166" fontId="7" fillId="2" borderId="0" xfId="1" applyNumberFormat="1" applyFont="1" applyFill="1" applyBorder="1" applyAlignment="1">
      <alignment horizontal="center"/>
    </xf>
    <xf numFmtId="0" fontId="7" fillId="2" borderId="0" xfId="1" applyFont="1" applyFill="1"/>
    <xf numFmtId="166" fontId="7" fillId="2" borderId="0" xfId="1" applyNumberFormat="1" applyFont="1" applyFill="1" applyBorder="1" applyAlignment="1">
      <alignment horizontal="center" vertical="center"/>
    </xf>
    <xf numFmtId="166" fontId="7" fillId="2" borderId="19" xfId="1" applyNumberFormat="1" applyFont="1" applyFill="1" applyBorder="1" applyAlignment="1">
      <alignment horizontal="center"/>
    </xf>
    <xf numFmtId="166" fontId="7" fillId="4" borderId="0" xfId="1" applyNumberFormat="1" applyFont="1" applyFill="1" applyBorder="1" applyAlignment="1">
      <alignment horizontal="center" vertical="center"/>
    </xf>
    <xf numFmtId="166" fontId="4" fillId="0" borderId="0" xfId="1" applyNumberFormat="1" applyFont="1" applyFill="1" applyBorder="1"/>
    <xf numFmtId="166" fontId="8" fillId="2" borderId="42" xfId="1" applyNumberFormat="1" applyFont="1" applyFill="1" applyBorder="1"/>
    <xf numFmtId="0" fontId="7" fillId="2" borderId="42" xfId="1" applyFont="1" applyFill="1" applyBorder="1" applyAlignment="1">
      <alignment horizontal="centerContinuous"/>
    </xf>
    <xf numFmtId="166" fontId="7" fillId="2" borderId="17" xfId="1" applyNumberFormat="1" applyFont="1" applyFill="1" applyBorder="1" applyAlignment="1">
      <alignment horizontal="center"/>
    </xf>
    <xf numFmtId="0" fontId="7" fillId="2" borderId="19" xfId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vertical="center"/>
    </xf>
    <xf numFmtId="0" fontId="19" fillId="0" borderId="0" xfId="1" applyFont="1" applyBorder="1" applyAlignment="1">
      <alignment horizontal="right" vertical="center"/>
    </xf>
    <xf numFmtId="0" fontId="20" fillId="0" borderId="0" xfId="1" applyFont="1" applyBorder="1" applyAlignment="1">
      <alignment horizontal="right" vertical="center"/>
    </xf>
    <xf numFmtId="0" fontId="20" fillId="0" borderId="0" xfId="1" quotePrefix="1" applyFont="1" applyBorder="1" applyAlignment="1">
      <alignment horizontal="right" vertical="center" readingOrder="2"/>
    </xf>
    <xf numFmtId="0" fontId="4" fillId="0" borderId="0" xfId="1" applyFont="1" applyBorder="1" applyAlignment="1">
      <alignment horizontal="center"/>
    </xf>
    <xf numFmtId="0" fontId="4" fillId="0" borderId="0" xfId="1" applyFont="1" applyAlignment="1">
      <alignment horizontal="center"/>
    </xf>
    <xf numFmtId="0" fontId="8" fillId="0" borderId="0" xfId="1" applyFont="1" applyBorder="1" applyAlignment="1">
      <alignment horizontal="centerContinuous" vertical="center"/>
    </xf>
    <xf numFmtId="0" fontId="8" fillId="0" borderId="0" xfId="1" applyFont="1" applyAlignment="1">
      <alignment horizontal="center"/>
    </xf>
    <xf numFmtId="0" fontId="8" fillId="0" borderId="0" xfId="1" applyFont="1" applyBorder="1"/>
    <xf numFmtId="0" fontId="8" fillId="2" borderId="7" xfId="1" applyFont="1" applyFill="1" applyBorder="1" applyAlignment="1">
      <alignment horizontal="center"/>
    </xf>
    <xf numFmtId="0" fontId="8" fillId="2" borderId="0" xfId="1" applyFont="1" applyFill="1" applyBorder="1" applyAlignment="1">
      <alignment horizontal="center"/>
    </xf>
    <xf numFmtId="0" fontId="8" fillId="2" borderId="11" xfId="1" applyFont="1" applyFill="1" applyBorder="1" applyAlignment="1">
      <alignment horizontal="center"/>
    </xf>
    <xf numFmtId="0" fontId="8" fillId="2" borderId="11" xfId="1" applyFont="1" applyFill="1" applyBorder="1"/>
    <xf numFmtId="0" fontId="7" fillId="2" borderId="7" xfId="1" applyFont="1" applyFill="1" applyBorder="1"/>
    <xf numFmtId="0" fontId="4" fillId="0" borderId="0" xfId="1" applyFont="1" applyFill="1" applyBorder="1" applyAlignment="1">
      <alignment horizontal="right"/>
    </xf>
    <xf numFmtId="0" fontId="28" fillId="0" borderId="0" xfId="1" applyFont="1" applyAlignment="1">
      <alignment horizontal="center"/>
    </xf>
    <xf numFmtId="0" fontId="28" fillId="0" borderId="0" xfId="1" applyFont="1" applyBorder="1" applyAlignment="1">
      <alignment horizontal="center"/>
    </xf>
    <xf numFmtId="0" fontId="28" fillId="0" borderId="0" xfId="1" applyFont="1" applyBorder="1"/>
    <xf numFmtId="0" fontId="7" fillId="2" borderId="13" xfId="1" applyFont="1" applyFill="1" applyBorder="1" applyAlignment="1">
      <alignment horizontal="center"/>
    </xf>
    <xf numFmtId="0" fontId="7" fillId="5" borderId="0" xfId="1" applyFont="1" applyFill="1" applyBorder="1" applyAlignment="1">
      <alignment horizontal="right" vertical="center"/>
    </xf>
    <xf numFmtId="0" fontId="33" fillId="0" borderId="0" xfId="1" applyFont="1"/>
    <xf numFmtId="0" fontId="33" fillId="0" borderId="0" xfId="1" applyFont="1" applyBorder="1"/>
    <xf numFmtId="0" fontId="7" fillId="2" borderId="5" xfId="1" applyFont="1" applyFill="1" applyBorder="1"/>
    <xf numFmtId="0" fontId="7" fillId="2" borderId="5" xfId="1" applyFont="1" applyFill="1" applyBorder="1" applyAlignment="1">
      <alignment horizontal="center"/>
    </xf>
    <xf numFmtId="0" fontId="8" fillId="2" borderId="11" xfId="1" applyFont="1" applyFill="1" applyBorder="1" applyAlignment="1">
      <alignment horizontal="left"/>
    </xf>
    <xf numFmtId="166" fontId="7" fillId="5" borderId="7" xfId="1" applyNumberFormat="1" applyFont="1" applyFill="1" applyBorder="1" applyAlignment="1">
      <alignment horizontal="center" vertical="center"/>
    </xf>
    <xf numFmtId="166" fontId="8" fillId="5" borderId="17" xfId="1" applyNumberFormat="1" applyFont="1" applyFill="1" applyBorder="1" applyAlignment="1">
      <alignment horizontal="center" vertical="center"/>
    </xf>
    <xf numFmtId="166" fontId="8" fillId="4" borderId="17" xfId="1" applyNumberFormat="1" applyFont="1" applyFill="1" applyBorder="1" applyAlignment="1">
      <alignment horizontal="center" vertical="center"/>
    </xf>
    <xf numFmtId="166" fontId="8" fillId="5" borderId="23" xfId="1" applyNumberFormat="1" applyFont="1" applyFill="1" applyBorder="1" applyAlignment="1">
      <alignment horizontal="center" vertical="center"/>
    </xf>
    <xf numFmtId="166" fontId="4" fillId="0" borderId="0" xfId="1" applyNumberFormat="1" applyFont="1" applyFill="1" applyBorder="1" applyAlignment="1">
      <alignment horizontal="center" vertical="center"/>
    </xf>
    <xf numFmtId="166" fontId="7" fillId="0" borderId="0" xfId="1" applyNumberFormat="1" applyFont="1" applyBorder="1" applyAlignment="1">
      <alignment horizontal="centerContinuous" vertical="center"/>
    </xf>
    <xf numFmtId="0" fontId="7" fillId="2" borderId="2" xfId="1" applyFont="1" applyFill="1" applyBorder="1" applyAlignment="1">
      <alignment horizontal="centerContinuous"/>
    </xf>
    <xf numFmtId="0" fontId="7" fillId="2" borderId="4" xfId="1" applyFont="1" applyFill="1" applyBorder="1" applyAlignment="1">
      <alignment horizontal="centerContinuous"/>
    </xf>
    <xf numFmtId="0" fontId="7" fillId="2" borderId="43" xfId="1" applyFont="1" applyFill="1" applyBorder="1" applyAlignment="1">
      <alignment horizontal="center"/>
    </xf>
    <xf numFmtId="0" fontId="43" fillId="0" borderId="0" xfId="1" applyFont="1"/>
    <xf numFmtId="0" fontId="8" fillId="2" borderId="11" xfId="1" applyFont="1" applyFill="1" applyBorder="1" applyAlignment="1">
      <alignment horizontal="right"/>
    </xf>
    <xf numFmtId="166" fontId="7" fillId="3" borderId="0" xfId="1" applyNumberFormat="1" applyFont="1" applyFill="1" applyAlignment="1">
      <alignment horizontal="center" vertical="center"/>
    </xf>
    <xf numFmtId="166" fontId="8" fillId="3" borderId="17" xfId="1" applyNumberFormat="1" applyFont="1" applyFill="1" applyBorder="1" applyAlignment="1">
      <alignment horizontal="center" vertical="center"/>
    </xf>
    <xf numFmtId="166" fontId="3" fillId="0" borderId="0" xfId="1" applyNumberFormat="1" applyFont="1" applyBorder="1"/>
    <xf numFmtId="0" fontId="19" fillId="0" borderId="0" xfId="1" applyFont="1" applyBorder="1" applyAlignment="1">
      <alignment horizontal="left"/>
    </xf>
    <xf numFmtId="0" fontId="48" fillId="0" borderId="0" xfId="1" applyFont="1" applyBorder="1"/>
    <xf numFmtId="0" fontId="21" fillId="0" borderId="0" xfId="1" applyFont="1" applyBorder="1"/>
    <xf numFmtId="0" fontId="7" fillId="2" borderId="87" xfId="1" applyFont="1" applyFill="1" applyBorder="1" applyAlignment="1">
      <alignment horizontal="center"/>
    </xf>
    <xf numFmtId="0" fontId="7" fillId="2" borderId="43" xfId="1" applyFont="1" applyFill="1" applyBorder="1" applyAlignment="1">
      <alignment horizontal="center" vertical="center"/>
    </xf>
    <xf numFmtId="166" fontId="7" fillId="5" borderId="16" xfId="1" applyNumberFormat="1" applyFont="1" applyFill="1" applyBorder="1" applyAlignment="1">
      <alignment horizontal="center" vertical="center"/>
    </xf>
    <xf numFmtId="166" fontId="8" fillId="5" borderId="11" xfId="1" applyNumberFormat="1" applyFont="1" applyFill="1" applyBorder="1" applyAlignment="1">
      <alignment horizontal="center" vertical="center"/>
    </xf>
    <xf numFmtId="1" fontId="7" fillId="5" borderId="0" xfId="1" applyNumberFormat="1" applyFont="1" applyFill="1" applyBorder="1" applyAlignment="1">
      <alignment horizontal="centerContinuous" vertical="center"/>
    </xf>
    <xf numFmtId="166" fontId="7" fillId="4" borderId="16" xfId="1" applyNumberFormat="1" applyFont="1" applyFill="1" applyBorder="1" applyAlignment="1">
      <alignment horizontal="center" vertical="center"/>
    </xf>
    <xf numFmtId="166" fontId="7" fillId="3" borderId="16" xfId="1" applyNumberFormat="1" applyFont="1" applyFill="1" applyBorder="1" applyAlignment="1">
      <alignment horizontal="center" vertical="center"/>
    </xf>
    <xf numFmtId="1" fontId="7" fillId="3" borderId="0" xfId="1" applyNumberFormat="1" applyFont="1" applyFill="1" applyBorder="1" applyAlignment="1">
      <alignment horizontal="centerContinuous" vertical="center"/>
    </xf>
    <xf numFmtId="166" fontId="7" fillId="5" borderId="22" xfId="1" applyNumberFormat="1" applyFont="1" applyFill="1" applyBorder="1" applyAlignment="1">
      <alignment horizontal="center" vertical="center"/>
    </xf>
    <xf numFmtId="0" fontId="21" fillId="0" borderId="0" xfId="1" applyFont="1" applyAlignment="1">
      <alignment vertical="center"/>
    </xf>
    <xf numFmtId="0" fontId="21" fillId="0" borderId="0" xfId="1" applyFont="1" applyBorder="1" applyAlignment="1">
      <alignment horizontal="right" vertical="center"/>
    </xf>
    <xf numFmtId="0" fontId="3" fillId="0" borderId="0" xfId="1" applyFont="1" applyAlignment="1">
      <alignment horizontal="centerContinuous" vertical="center"/>
    </xf>
    <xf numFmtId="0" fontId="4" fillId="0" borderId="0" xfId="1" applyFont="1" applyAlignment="1">
      <alignment horizontal="centerContinuous" vertical="center"/>
    </xf>
    <xf numFmtId="0" fontId="4" fillId="0" borderId="0" xfId="1" applyFont="1" applyBorder="1" applyAlignment="1">
      <alignment horizontal="centerContinuous" vertical="center"/>
    </xf>
    <xf numFmtId="0" fontId="7" fillId="2" borderId="7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7" fillId="2" borderId="42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66" fillId="0" borderId="0" xfId="1" applyFont="1"/>
    <xf numFmtId="166" fontId="7" fillId="2" borderId="43" xfId="1" applyNumberFormat="1" applyFont="1" applyFill="1" applyBorder="1" applyAlignment="1">
      <alignment horizontal="center"/>
    </xf>
    <xf numFmtId="0" fontId="43" fillId="0" borderId="0" xfId="1" applyFont="1" applyBorder="1"/>
    <xf numFmtId="166" fontId="7" fillId="2" borderId="18" xfId="1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/>
    </xf>
    <xf numFmtId="0" fontId="20" fillId="0" borderId="0" xfId="1" applyFont="1" applyAlignment="1">
      <alignment horizontal="center"/>
    </xf>
    <xf numFmtId="0" fontId="7" fillId="2" borderId="47" xfId="1" applyFont="1" applyFill="1" applyBorder="1" applyAlignment="1">
      <alignment horizontal="center"/>
    </xf>
    <xf numFmtId="0" fontId="3" fillId="0" borderId="0" xfId="4" applyFont="1" applyFill="1"/>
    <xf numFmtId="0" fontId="6" fillId="0" borderId="0" xfId="4" applyFont="1" applyFill="1"/>
    <xf numFmtId="0" fontId="33" fillId="0" borderId="0" xfId="4" applyFont="1" applyFill="1"/>
    <xf numFmtId="0" fontId="20" fillId="0" borderId="0" xfId="4" applyFont="1" applyFill="1"/>
    <xf numFmtId="0" fontId="3" fillId="0" borderId="0" xfId="4" applyFont="1" applyFill="1" applyBorder="1"/>
    <xf numFmtId="166" fontId="4" fillId="0" borderId="0" xfId="4" applyNumberFormat="1" applyFont="1" applyFill="1"/>
    <xf numFmtId="0" fontId="4" fillId="0" borderId="0" xfId="4" applyFont="1" applyFill="1"/>
    <xf numFmtId="166" fontId="3" fillId="0" borderId="0" xfId="4" applyNumberFormat="1" applyFont="1" applyFill="1"/>
    <xf numFmtId="166" fontId="3" fillId="0" borderId="0" xfId="4" applyNumberFormat="1" applyFont="1" applyFill="1" applyBorder="1"/>
    <xf numFmtId="0" fontId="21" fillId="0" borderId="0" xfId="4" applyFont="1" applyFill="1"/>
    <xf numFmtId="0" fontId="3" fillId="0" borderId="0" xfId="4" applyFont="1"/>
    <xf numFmtId="166" fontId="3" fillId="0" borderId="0" xfId="4" applyNumberFormat="1" applyFont="1"/>
    <xf numFmtId="0" fontId="3" fillId="0" borderId="0" xfId="1" applyFont="1" applyAlignment="1">
      <alignment horizontal="left"/>
    </xf>
    <xf numFmtId="0" fontId="3" fillId="0" borderId="0" xfId="1" applyFont="1" applyAlignment="1">
      <alignment horizontal="center"/>
    </xf>
    <xf numFmtId="0" fontId="4" fillId="0" borderId="0" xfId="1" quotePrefix="1" applyFont="1" applyAlignment="1">
      <alignment horizontal="left" vertical="center"/>
    </xf>
    <xf numFmtId="0" fontId="4" fillId="0" borderId="0" xfId="1" applyFont="1" applyAlignment="1">
      <alignment horizontal="center" vertical="center"/>
    </xf>
    <xf numFmtId="0" fontId="28" fillId="0" borderId="0" xfId="1" applyFont="1" applyAlignment="1">
      <alignment horizontal="left" vertical="center"/>
    </xf>
    <xf numFmtId="0" fontId="20" fillId="0" borderId="0" xfId="1" applyFont="1" applyAlignment="1">
      <alignment horizontal="left"/>
    </xf>
    <xf numFmtId="0" fontId="7" fillId="0" borderId="0" xfId="1" applyFont="1" applyAlignment="1">
      <alignment horizontal="right"/>
    </xf>
    <xf numFmtId="0" fontId="3" fillId="0" borderId="0" xfId="1" applyFont="1" applyFill="1" applyAlignment="1">
      <alignment horizontal="center"/>
    </xf>
    <xf numFmtId="0" fontId="7" fillId="5" borderId="21" xfId="1" applyFont="1" applyFill="1" applyBorder="1" applyAlignment="1">
      <alignment vertical="center"/>
    </xf>
    <xf numFmtId="0" fontId="8" fillId="5" borderId="1" xfId="1" applyFont="1" applyFill="1" applyBorder="1" applyAlignment="1">
      <alignment horizontal="left" vertical="center"/>
    </xf>
    <xf numFmtId="0" fontId="20" fillId="0" borderId="0" xfId="1" applyFont="1" applyAlignment="1">
      <alignment horizontal="right"/>
    </xf>
    <xf numFmtId="0" fontId="20" fillId="0" borderId="0" xfId="1" quotePrefix="1" applyFont="1" applyAlignment="1">
      <alignment horizontal="left" vertical="center"/>
    </xf>
    <xf numFmtId="0" fontId="21" fillId="0" borderId="0" xfId="1" applyFont="1" applyAlignment="1">
      <alignment horizontal="left"/>
    </xf>
    <xf numFmtId="0" fontId="21" fillId="0" borderId="0" xfId="1" applyFont="1" applyAlignment="1">
      <alignment horizontal="center"/>
    </xf>
    <xf numFmtId="0" fontId="3" fillId="0" borderId="0" xfId="1" applyFont="1" applyBorder="1" applyAlignment="1">
      <alignment vertical="center"/>
    </xf>
    <xf numFmtId="0" fontId="6" fillId="0" borderId="0" xfId="1" applyFont="1" applyFill="1"/>
    <xf numFmtId="0" fontId="6" fillId="0" borderId="0" xfId="1" applyFont="1" applyFill="1" applyBorder="1" applyAlignment="1">
      <alignment horizontal="centerContinuous" vertical="center"/>
    </xf>
    <xf numFmtId="0" fontId="66" fillId="0" borderId="0" xfId="1" applyFont="1" applyFill="1"/>
    <xf numFmtId="0" fontId="66" fillId="0" borderId="0" xfId="1" applyFont="1" applyFill="1" applyBorder="1" applyAlignment="1">
      <alignment horizontal="centerContinuous" vertical="center"/>
    </xf>
    <xf numFmtId="0" fontId="7" fillId="0" borderId="0" xfId="1" applyFont="1" applyBorder="1" applyAlignment="1">
      <alignment horizontal="left" vertical="center"/>
    </xf>
    <xf numFmtId="0" fontId="3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/>
    </xf>
    <xf numFmtId="0" fontId="8" fillId="4" borderId="0" xfId="1" applyFont="1" applyFill="1" applyBorder="1" applyAlignment="1">
      <alignment horizontal="left" vertical="center"/>
    </xf>
    <xf numFmtId="166" fontId="8" fillId="4" borderId="1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vertical="center"/>
    </xf>
    <xf numFmtId="0" fontId="8" fillId="5" borderId="0" xfId="1" applyFont="1" applyFill="1" applyBorder="1" applyAlignment="1">
      <alignment horizontal="left" vertical="center"/>
    </xf>
    <xf numFmtId="166" fontId="8" fillId="5" borderId="16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vertical="center"/>
    </xf>
    <xf numFmtId="0" fontId="4" fillId="0" borderId="0" xfId="1" applyFont="1" applyFill="1" applyAlignment="1">
      <alignment vertical="center"/>
    </xf>
    <xf numFmtId="0" fontId="8" fillId="4" borderId="0" xfId="1" applyFont="1" applyFill="1" applyBorder="1" applyAlignment="1">
      <alignment horizontal="center" vertical="center"/>
    </xf>
    <xf numFmtId="0" fontId="7" fillId="4" borderId="0" xfId="1" applyFont="1" applyFill="1" applyBorder="1" applyAlignment="1">
      <alignment horizontal="left" vertical="center"/>
    </xf>
    <xf numFmtId="3" fontId="3" fillId="0" borderId="0" xfId="6" applyNumberFormat="1" applyFont="1" applyFill="1" applyAlignment="1">
      <alignment vertical="center"/>
    </xf>
    <xf numFmtId="3" fontId="3" fillId="0" borderId="0" xfId="6" applyNumberFormat="1" applyFont="1" applyFill="1" applyBorder="1" applyAlignment="1">
      <alignment vertical="center"/>
    </xf>
    <xf numFmtId="0" fontId="4" fillId="0" borderId="0" xfId="1" applyFont="1" applyFill="1" applyBorder="1" applyAlignment="1">
      <alignment vertical="center"/>
    </xf>
    <xf numFmtId="0" fontId="7" fillId="5" borderId="0" xfId="1" applyFont="1" applyFill="1" applyBorder="1" applyAlignment="1">
      <alignment horizontal="left" vertical="center"/>
    </xf>
    <xf numFmtId="0" fontId="8" fillId="4" borderId="25" xfId="1" applyFont="1" applyFill="1" applyBorder="1" applyAlignment="1">
      <alignment horizontal="right" vertical="center"/>
    </xf>
    <xf numFmtId="0" fontId="8" fillId="5" borderId="7" xfId="1" applyFont="1" applyFill="1" applyBorder="1" applyAlignment="1">
      <alignment vertical="center"/>
    </xf>
    <xf numFmtId="0" fontId="8" fillId="5" borderId="0" xfId="1" applyFont="1" applyFill="1" applyBorder="1" applyAlignment="1">
      <alignment vertical="center"/>
    </xf>
    <xf numFmtId="0" fontId="8" fillId="5" borderId="25" xfId="1" applyFont="1" applyFill="1" applyBorder="1" applyAlignment="1">
      <alignment horizontal="right" vertical="center"/>
    </xf>
    <xf numFmtId="166" fontId="8" fillId="5" borderId="90" xfId="1" applyNumberFormat="1" applyFont="1" applyFill="1" applyBorder="1" applyAlignment="1">
      <alignment horizontal="center" vertical="center"/>
    </xf>
    <xf numFmtId="0" fontId="66" fillId="0" borderId="0" xfId="4" applyFont="1" applyFill="1"/>
    <xf numFmtId="0" fontId="7" fillId="0" borderId="0" xfId="4" applyFont="1" applyFill="1" applyAlignment="1"/>
    <xf numFmtId="0" fontId="28" fillId="0" borderId="0" xfId="4" applyFont="1" applyFill="1" applyAlignment="1"/>
    <xf numFmtId="0" fontId="28" fillId="0" borderId="0" xfId="4" applyFont="1" applyFill="1" applyAlignment="1">
      <alignment horizontal="centerContinuous"/>
    </xf>
    <xf numFmtId="0" fontId="7" fillId="0" borderId="0" xfId="4" applyFont="1" applyFill="1" applyAlignment="1">
      <alignment horizontal="right"/>
    </xf>
    <xf numFmtId="0" fontId="7" fillId="0" borderId="0" xfId="4" applyFont="1" applyFill="1"/>
    <xf numFmtId="0" fontId="8" fillId="0" borderId="0" xfId="4" applyFont="1" applyFill="1" applyAlignment="1"/>
    <xf numFmtId="0" fontId="8" fillId="0" borderId="0" xfId="4" applyFont="1" applyFill="1" applyAlignment="1">
      <alignment horizontal="center"/>
    </xf>
    <xf numFmtId="0" fontId="8" fillId="0" borderId="0" xfId="4" applyFont="1" applyFill="1" applyAlignment="1">
      <alignment horizontal="right"/>
    </xf>
    <xf numFmtId="0" fontId="7" fillId="2" borderId="2" xfId="4" applyFont="1" applyFill="1" applyBorder="1"/>
    <xf numFmtId="0" fontId="7" fillId="2" borderId="4" xfId="4" applyFont="1" applyFill="1" applyBorder="1"/>
    <xf numFmtId="0" fontId="8" fillId="2" borderId="4" xfId="4" applyFont="1" applyFill="1" applyBorder="1"/>
    <xf numFmtId="0" fontId="8" fillId="2" borderId="85" xfId="4" applyFont="1" applyFill="1" applyBorder="1"/>
    <xf numFmtId="0" fontId="8" fillId="2" borderId="48" xfId="4" applyFont="1" applyFill="1" applyBorder="1"/>
    <xf numFmtId="0" fontId="7" fillId="2" borderId="27" xfId="4" applyFont="1" applyFill="1" applyBorder="1"/>
    <xf numFmtId="0" fontId="7" fillId="2" borderId="7" xfId="4" applyFont="1" applyFill="1" applyBorder="1"/>
    <xf numFmtId="0" fontId="7" fillId="2" borderId="0" xfId="4" applyFont="1" applyFill="1" applyBorder="1"/>
    <xf numFmtId="0" fontId="8" fillId="2" borderId="0" xfId="4" applyFont="1" applyFill="1" applyBorder="1"/>
    <xf numFmtId="0" fontId="8" fillId="2" borderId="80" xfId="4" applyFont="1" applyFill="1" applyBorder="1"/>
    <xf numFmtId="0" fontId="8" fillId="2" borderId="79" xfId="4" applyFont="1" applyFill="1" applyBorder="1"/>
    <xf numFmtId="0" fontId="7" fillId="2" borderId="25" xfId="4" applyFont="1" applyFill="1" applyBorder="1"/>
    <xf numFmtId="0" fontId="66" fillId="0" borderId="0" xfId="4" applyFont="1" applyFill="1" applyBorder="1"/>
    <xf numFmtId="0" fontId="35" fillId="2" borderId="38" xfId="4" applyFont="1" applyFill="1" applyBorder="1"/>
    <xf numFmtId="0" fontId="35" fillId="2" borderId="14" xfId="4" applyFont="1" applyFill="1" applyBorder="1"/>
    <xf numFmtId="0" fontId="24" fillId="2" borderId="14" xfId="4" applyFont="1" applyFill="1" applyBorder="1"/>
    <xf numFmtId="0" fontId="24" fillId="2" borderId="83" xfId="4" applyFont="1" applyFill="1" applyBorder="1"/>
    <xf numFmtId="0" fontId="24" fillId="2" borderId="98" xfId="4" applyFont="1" applyFill="1" applyBorder="1" applyAlignment="1">
      <alignment horizontal="center"/>
    </xf>
    <xf numFmtId="0" fontId="35" fillId="2" borderId="59" xfId="4" applyFont="1" applyFill="1" applyBorder="1" applyAlignment="1">
      <alignment horizontal="center"/>
    </xf>
    <xf numFmtId="0" fontId="35" fillId="2" borderId="60" xfId="4" applyFont="1" applyFill="1" applyBorder="1"/>
    <xf numFmtId="0" fontId="8" fillId="5" borderId="7" xfId="4" applyFont="1" applyFill="1" applyBorder="1"/>
    <xf numFmtId="0" fontId="8" fillId="5" borderId="0" xfId="4" applyFont="1" applyFill="1" applyBorder="1" applyAlignment="1">
      <alignment horizontal="left" vertical="center"/>
    </xf>
    <xf numFmtId="0" fontId="8" fillId="5" borderId="0" xfId="4" applyFont="1" applyFill="1" applyAlignment="1">
      <alignment vertical="center"/>
    </xf>
    <xf numFmtId="0" fontId="8" fillId="5" borderId="0" xfId="4" applyFont="1" applyFill="1" applyBorder="1" applyAlignment="1">
      <alignment vertical="center"/>
    </xf>
    <xf numFmtId="166" fontId="8" fillId="5" borderId="74" xfId="4" applyNumberFormat="1" applyFont="1" applyFill="1" applyBorder="1" applyAlignment="1">
      <alignment horizontal="center" vertical="center"/>
    </xf>
    <xf numFmtId="166" fontId="8" fillId="5" borderId="100" xfId="4" applyNumberFormat="1" applyFont="1" applyFill="1" applyBorder="1" applyAlignment="1">
      <alignment horizontal="center" vertical="center"/>
    </xf>
    <xf numFmtId="166" fontId="8" fillId="5" borderId="0" xfId="4" applyNumberFormat="1" applyFont="1" applyFill="1" applyBorder="1" applyAlignment="1">
      <alignment horizontal="center" vertical="center"/>
    </xf>
    <xf numFmtId="166" fontId="8" fillId="5" borderId="10" xfId="4" applyNumberFormat="1" applyFont="1" applyFill="1" applyBorder="1" applyAlignment="1">
      <alignment horizontal="center" vertical="center"/>
    </xf>
    <xf numFmtId="166" fontId="8" fillId="5" borderId="101" xfId="4" applyNumberFormat="1" applyFont="1" applyFill="1" applyBorder="1" applyAlignment="1">
      <alignment horizontal="center" vertical="center"/>
    </xf>
    <xf numFmtId="0" fontId="8" fillId="5" borderId="0" xfId="4" applyFont="1" applyFill="1" applyBorder="1" applyAlignment="1">
      <alignment horizontal="right"/>
    </xf>
    <xf numFmtId="0" fontId="8" fillId="5" borderId="25" xfId="4" applyFont="1" applyFill="1" applyBorder="1"/>
    <xf numFmtId="0" fontId="8" fillId="4" borderId="7" xfId="4" applyFont="1" applyFill="1" applyBorder="1"/>
    <xf numFmtId="0" fontId="8" fillId="4" borderId="0" xfId="4" applyFont="1" applyFill="1" applyBorder="1" applyAlignment="1">
      <alignment vertical="center"/>
    </xf>
    <xf numFmtId="166" fontId="8" fillId="4" borderId="79" xfId="4" applyNumberFormat="1" applyFont="1" applyFill="1" applyBorder="1" applyAlignment="1">
      <alignment horizontal="center" vertical="center"/>
    </xf>
    <xf numFmtId="166" fontId="8" fillId="4" borderId="0" xfId="4" applyNumberFormat="1" applyFont="1" applyFill="1" applyBorder="1" applyAlignment="1">
      <alignment horizontal="center" vertical="center"/>
    </xf>
    <xf numFmtId="166" fontId="8" fillId="4" borderId="0" xfId="4" applyNumberFormat="1" applyFont="1" applyFill="1" applyAlignment="1">
      <alignment horizontal="center" vertical="center"/>
    </xf>
    <xf numFmtId="166" fontId="8" fillId="4" borderId="17" xfId="4" applyNumberFormat="1" applyFont="1" applyFill="1" applyBorder="1" applyAlignment="1">
      <alignment horizontal="center" vertical="center"/>
    </xf>
    <xf numFmtId="166" fontId="8" fillId="4" borderId="0" xfId="4" applyNumberFormat="1" applyFont="1" applyFill="1" applyBorder="1" applyAlignment="1">
      <alignment horizontal="right"/>
    </xf>
    <xf numFmtId="0" fontId="8" fillId="4" borderId="25" xfId="4" applyFont="1" applyFill="1" applyBorder="1"/>
    <xf numFmtId="166" fontId="8" fillId="5" borderId="79" xfId="4" applyNumberFormat="1" applyFont="1" applyFill="1" applyBorder="1" applyAlignment="1">
      <alignment horizontal="center" vertical="center"/>
    </xf>
    <xf numFmtId="166" fontId="8" fillId="5" borderId="0" xfId="4" applyNumberFormat="1" applyFont="1" applyFill="1" applyAlignment="1">
      <alignment horizontal="center" vertical="center"/>
    </xf>
    <xf numFmtId="166" fontId="8" fillId="5" borderId="17" xfId="4" applyNumberFormat="1" applyFont="1" applyFill="1" applyBorder="1" applyAlignment="1">
      <alignment horizontal="center" vertical="center"/>
    </xf>
    <xf numFmtId="166" fontId="8" fillId="5" borderId="0" xfId="4" applyNumberFormat="1" applyFont="1" applyFill="1" applyBorder="1" applyAlignment="1">
      <alignment horizontal="right"/>
    </xf>
    <xf numFmtId="0" fontId="8" fillId="5" borderId="0" xfId="4" applyFont="1" applyFill="1"/>
    <xf numFmtId="166" fontId="8" fillId="5" borderId="25" xfId="4" applyNumberFormat="1" applyFont="1" applyFill="1" applyBorder="1" applyAlignment="1">
      <alignment horizontal="right"/>
    </xf>
    <xf numFmtId="0" fontId="7" fillId="4" borderId="7" xfId="4" applyFont="1" applyFill="1" applyBorder="1"/>
    <xf numFmtId="0" fontId="7" fillId="4" borderId="0" xfId="4" applyFont="1" applyFill="1" applyBorder="1" applyAlignment="1">
      <alignment vertical="center"/>
    </xf>
    <xf numFmtId="0" fontId="7" fillId="4" borderId="0" xfId="4" applyFont="1" applyFill="1" applyBorder="1" applyAlignment="1">
      <alignment horizontal="left" vertical="center"/>
    </xf>
    <xf numFmtId="166" fontId="7" fillId="4" borderId="79" xfId="4" applyNumberFormat="1" applyFont="1" applyFill="1" applyBorder="1" applyAlignment="1">
      <alignment horizontal="center" vertical="center"/>
    </xf>
    <xf numFmtId="166" fontId="7" fillId="4" borderId="0" xfId="4" applyNumberFormat="1" applyFont="1" applyFill="1" applyBorder="1" applyAlignment="1">
      <alignment horizontal="center" vertical="center"/>
    </xf>
    <xf numFmtId="166" fontId="7" fillId="4" borderId="0" xfId="4" applyNumberFormat="1" applyFont="1" applyFill="1" applyAlignment="1">
      <alignment horizontal="center" vertical="center"/>
    </xf>
    <xf numFmtId="166" fontId="7" fillId="4" borderId="17" xfId="4" applyNumberFormat="1" applyFont="1" applyFill="1" applyBorder="1" applyAlignment="1">
      <alignment horizontal="center" vertical="center"/>
    </xf>
    <xf numFmtId="166" fontId="7" fillId="4" borderId="0" xfId="4" applyNumberFormat="1" applyFont="1" applyFill="1" applyBorder="1" applyAlignment="1">
      <alignment horizontal="right"/>
    </xf>
    <xf numFmtId="0" fontId="7" fillId="4" borderId="0" xfId="4" applyFont="1" applyFill="1"/>
    <xf numFmtId="166" fontId="7" fillId="4" borderId="25" xfId="4" applyNumberFormat="1" applyFont="1" applyFill="1" applyBorder="1"/>
    <xf numFmtId="0" fontId="7" fillId="5" borderId="7" xfId="4" applyFont="1" applyFill="1" applyBorder="1"/>
    <xf numFmtId="0" fontId="7" fillId="5" borderId="0" xfId="4" applyFont="1" applyFill="1" applyBorder="1" applyAlignment="1">
      <alignment vertical="center"/>
    </xf>
    <xf numFmtId="0" fontId="7" fillId="5" borderId="0" xfId="4" applyFont="1" applyFill="1" applyBorder="1" applyAlignment="1">
      <alignment horizontal="left" vertical="center"/>
    </xf>
    <xf numFmtId="166" fontId="7" fillId="5" borderId="79" xfId="4" applyNumberFormat="1" applyFont="1" applyFill="1" applyBorder="1" applyAlignment="1">
      <alignment horizontal="center" vertical="center"/>
    </xf>
    <xf numFmtId="166" fontId="7" fillId="5" borderId="0" xfId="4" applyNumberFormat="1" applyFont="1" applyFill="1" applyBorder="1" applyAlignment="1">
      <alignment horizontal="center" vertical="center"/>
    </xf>
    <xf numFmtId="166" fontId="7" fillId="5" borderId="17" xfId="4" applyNumberFormat="1" applyFont="1" applyFill="1" applyBorder="1" applyAlignment="1">
      <alignment horizontal="center" vertical="center"/>
    </xf>
    <xf numFmtId="166" fontId="7" fillId="5" borderId="0" xfId="4" quotePrefix="1" applyNumberFormat="1" applyFont="1" applyFill="1" applyBorder="1" applyAlignment="1">
      <alignment horizontal="center" vertical="center"/>
    </xf>
    <xf numFmtId="166" fontId="7" fillId="5" borderId="17" xfId="4" quotePrefix="1" applyNumberFormat="1" applyFont="1" applyFill="1" applyBorder="1" applyAlignment="1">
      <alignment horizontal="center" vertical="center"/>
    </xf>
    <xf numFmtId="166" fontId="7" fillId="5" borderId="0" xfId="4" applyNumberFormat="1" applyFont="1" applyFill="1" applyBorder="1" applyAlignment="1">
      <alignment horizontal="right"/>
    </xf>
    <xf numFmtId="0" fontId="7" fillId="5" borderId="0" xfId="4" applyFont="1" applyFill="1"/>
    <xf numFmtId="166" fontId="7" fillId="5" borderId="25" xfId="4" applyNumberFormat="1" applyFont="1" applyFill="1" applyBorder="1"/>
    <xf numFmtId="0" fontId="8" fillId="4" borderId="0" xfId="4" applyFont="1" applyFill="1"/>
    <xf numFmtId="166" fontId="8" fillId="4" borderId="25" xfId="4" applyNumberFormat="1" applyFont="1" applyFill="1" applyBorder="1" applyAlignment="1">
      <alignment horizontal="right"/>
    </xf>
    <xf numFmtId="0" fontId="7" fillId="4" borderId="0" xfId="4" applyFont="1" applyFill="1" applyBorder="1"/>
    <xf numFmtId="166" fontId="7" fillId="4" borderId="25" xfId="4" applyNumberFormat="1" applyFont="1" applyFill="1" applyBorder="1" applyAlignment="1">
      <alignment horizontal="right"/>
    </xf>
    <xf numFmtId="0" fontId="8" fillId="4" borderId="0" xfId="4" applyFont="1" applyFill="1" applyBorder="1" applyAlignment="1">
      <alignment horizontal="left" vertical="center"/>
    </xf>
    <xf numFmtId="166" fontId="7" fillId="4" borderId="79" xfId="4" quotePrefix="1" applyNumberFormat="1" applyFont="1" applyFill="1" applyBorder="1" applyAlignment="1">
      <alignment horizontal="center" vertical="center"/>
    </xf>
    <xf numFmtId="166" fontId="7" fillId="4" borderId="0" xfId="4" quotePrefix="1" applyNumberFormat="1" applyFont="1" applyFill="1" applyBorder="1" applyAlignment="1">
      <alignment horizontal="center" vertical="center"/>
    </xf>
    <xf numFmtId="166" fontId="7" fillId="4" borderId="17" xfId="4" quotePrefix="1" applyNumberFormat="1" applyFont="1" applyFill="1" applyBorder="1" applyAlignment="1">
      <alignment horizontal="center" vertical="center"/>
    </xf>
    <xf numFmtId="0" fontId="8" fillId="5" borderId="21" xfId="4" applyFont="1" applyFill="1" applyBorder="1"/>
    <xf numFmtId="0" fontId="8" fillId="5" borderId="1" xfId="4" applyFont="1" applyFill="1" applyBorder="1" applyAlignment="1">
      <alignment vertical="center"/>
    </xf>
    <xf numFmtId="166" fontId="8" fillId="5" borderId="102" xfId="4" applyNumberFormat="1" applyFont="1" applyFill="1" applyBorder="1" applyAlignment="1">
      <alignment horizontal="center" vertical="center"/>
    </xf>
    <xf numFmtId="166" fontId="8" fillId="5" borderId="1" xfId="4" applyNumberFormat="1" applyFont="1" applyFill="1" applyBorder="1" applyAlignment="1">
      <alignment horizontal="center" vertical="center"/>
    </xf>
    <xf numFmtId="166" fontId="8" fillId="5" borderId="90" xfId="4" applyNumberFormat="1" applyFont="1" applyFill="1" applyBorder="1" applyAlignment="1">
      <alignment horizontal="center" vertical="center"/>
    </xf>
    <xf numFmtId="166" fontId="8" fillId="5" borderId="23" xfId="4" applyNumberFormat="1" applyFont="1" applyFill="1" applyBorder="1" applyAlignment="1">
      <alignment horizontal="center" vertical="center"/>
    </xf>
    <xf numFmtId="166" fontId="8" fillId="5" borderId="1" xfId="4" applyNumberFormat="1" applyFont="1" applyFill="1" applyBorder="1" applyAlignment="1">
      <alignment horizontal="right"/>
    </xf>
    <xf numFmtId="0" fontId="8" fillId="5" borderId="33" xfId="4" applyFont="1" applyFill="1" applyBorder="1"/>
    <xf numFmtId="166" fontId="8" fillId="4" borderId="40" xfId="4" applyNumberFormat="1" applyFont="1" applyFill="1" applyBorder="1" applyAlignment="1">
      <alignment horizontal="center" vertical="center"/>
    </xf>
    <xf numFmtId="0" fontId="4" fillId="4" borderId="0" xfId="4" applyFont="1" applyFill="1"/>
    <xf numFmtId="0" fontId="8" fillId="4" borderId="0" xfId="4" applyFont="1" applyFill="1" applyBorder="1"/>
    <xf numFmtId="166" fontId="8" fillId="4" borderId="0" xfId="4" applyNumberFormat="1" applyFont="1" applyFill="1" applyAlignment="1">
      <alignment horizontal="right" readingOrder="2"/>
    </xf>
    <xf numFmtId="166" fontId="4" fillId="4" borderId="0" xfId="4" applyNumberFormat="1" applyFont="1" applyFill="1" applyBorder="1"/>
    <xf numFmtId="0" fontId="3" fillId="4" borderId="0" xfId="4" applyFont="1" applyFill="1"/>
    <xf numFmtId="0" fontId="7" fillId="5" borderId="0" xfId="4" applyFont="1" applyFill="1" applyBorder="1"/>
    <xf numFmtId="166" fontId="7" fillId="5" borderId="0" xfId="4" applyNumberFormat="1" applyFont="1" applyFill="1" applyAlignment="1">
      <alignment horizontal="right" readingOrder="2"/>
    </xf>
    <xf numFmtId="0" fontId="7" fillId="5" borderId="25" xfId="4" applyFont="1" applyFill="1" applyBorder="1"/>
    <xf numFmtId="166" fontId="3" fillId="4" borderId="0" xfId="4" applyNumberFormat="1" applyFont="1" applyFill="1" applyBorder="1"/>
    <xf numFmtId="0" fontId="7" fillId="0" borderId="0" xfId="4" applyFont="1" applyFill="1" applyBorder="1"/>
    <xf numFmtId="166" fontId="7" fillId="0" borderId="0" xfId="4" applyNumberFormat="1" applyFont="1" applyFill="1" applyBorder="1" applyAlignment="1">
      <alignment horizontal="right"/>
    </xf>
    <xf numFmtId="166" fontId="7" fillId="4" borderId="0" xfId="4" applyNumberFormat="1" applyFont="1" applyFill="1" applyAlignment="1">
      <alignment horizontal="right" readingOrder="2"/>
    </xf>
    <xf numFmtId="0" fontId="7" fillId="4" borderId="25" xfId="4" applyFont="1" applyFill="1" applyBorder="1"/>
    <xf numFmtId="0" fontId="7" fillId="5" borderId="0" xfId="4" quotePrefix="1" applyFont="1" applyFill="1" applyBorder="1" applyAlignment="1">
      <alignment vertical="center"/>
    </xf>
    <xf numFmtId="166" fontId="32" fillId="5" borderId="79" xfId="4" applyNumberFormat="1" applyFont="1" applyFill="1" applyBorder="1" applyAlignment="1">
      <alignment horizontal="center" vertical="center"/>
    </xf>
    <xf numFmtId="166" fontId="32" fillId="5" borderId="0" xfId="4" applyNumberFormat="1" applyFont="1" applyFill="1" applyBorder="1" applyAlignment="1">
      <alignment horizontal="center" vertical="center"/>
    </xf>
    <xf numFmtId="166" fontId="32" fillId="5" borderId="17" xfId="4" applyNumberFormat="1" applyFont="1" applyFill="1" applyBorder="1" applyAlignment="1">
      <alignment horizontal="center" vertical="center"/>
    </xf>
    <xf numFmtId="166" fontId="7" fillId="5" borderId="0" xfId="4" applyNumberFormat="1" applyFont="1" applyFill="1" applyBorder="1" applyAlignment="1">
      <alignment horizontal="right" readingOrder="2"/>
    </xf>
    <xf numFmtId="0" fontId="7" fillId="5" borderId="1" xfId="4" quotePrefix="1" applyFont="1" applyFill="1" applyBorder="1" applyAlignment="1">
      <alignment vertical="center"/>
    </xf>
    <xf numFmtId="0" fontId="7" fillId="5" borderId="1" xfId="4" applyFont="1" applyFill="1" applyBorder="1"/>
    <xf numFmtId="0" fontId="7" fillId="5" borderId="102" xfId="4" applyFont="1" applyFill="1" applyBorder="1"/>
    <xf numFmtId="0" fontId="7" fillId="5" borderId="1" xfId="4" applyFont="1" applyFill="1" applyBorder="1" applyAlignment="1">
      <alignment horizontal="center"/>
    </xf>
    <xf numFmtId="166" fontId="32" fillId="5" borderId="1" xfId="4" applyNumberFormat="1" applyFont="1" applyFill="1" applyBorder="1" applyAlignment="1">
      <alignment horizontal="center" vertical="center"/>
    </xf>
    <xf numFmtId="166" fontId="32" fillId="5" borderId="23" xfId="4" applyNumberFormat="1" applyFont="1" applyFill="1" applyBorder="1" applyAlignment="1">
      <alignment horizontal="center" vertical="center"/>
    </xf>
    <xf numFmtId="166" fontId="7" fillId="5" borderId="1" xfId="4" applyNumberFormat="1" applyFont="1" applyFill="1" applyBorder="1" applyAlignment="1">
      <alignment horizontal="right"/>
    </xf>
    <xf numFmtId="166" fontId="7" fillId="5" borderId="1" xfId="4" applyNumberFormat="1" applyFont="1" applyFill="1" applyBorder="1" applyAlignment="1">
      <alignment horizontal="right" readingOrder="2"/>
    </xf>
    <xf numFmtId="166" fontId="7" fillId="5" borderId="33" xfId="4" applyNumberFormat="1" applyFont="1" applyFill="1" applyBorder="1" applyAlignment="1">
      <alignment horizontal="right" readingOrder="2"/>
    </xf>
    <xf numFmtId="0" fontId="3" fillId="0" borderId="0" xfId="4" quotePrefix="1" applyFont="1" applyFill="1" applyBorder="1" applyAlignment="1">
      <alignment vertical="center"/>
    </xf>
    <xf numFmtId="0" fontId="3" fillId="0" borderId="0" xfId="4" applyFont="1" applyFill="1" applyBorder="1" applyAlignment="1">
      <alignment horizontal="right" vertical="center"/>
    </xf>
    <xf numFmtId="0" fontId="4" fillId="0" borderId="0" xfId="4" applyFont="1" applyFill="1" applyBorder="1" applyAlignment="1">
      <alignment horizontal="center" vertical="center"/>
    </xf>
    <xf numFmtId="0" fontId="3" fillId="0" borderId="0" xfId="4" applyFont="1" applyFill="1" applyBorder="1" applyAlignment="1">
      <alignment vertical="center"/>
    </xf>
    <xf numFmtId="166" fontId="3" fillId="0" borderId="0" xfId="4" applyNumberFormat="1" applyFont="1" applyFill="1" applyAlignment="1">
      <alignment horizontal="right"/>
    </xf>
    <xf numFmtId="166" fontId="4" fillId="0" borderId="0" xfId="4" applyNumberFormat="1" applyFont="1" applyFill="1" applyBorder="1" applyAlignment="1">
      <alignment horizontal="center" vertical="center"/>
    </xf>
    <xf numFmtId="166" fontId="3" fillId="0" borderId="0" xfId="4" applyNumberFormat="1" applyFont="1" applyFill="1" applyAlignment="1">
      <alignment horizontal="centerContinuous" vertical="center" readingOrder="2"/>
    </xf>
    <xf numFmtId="166" fontId="4" fillId="0" borderId="0" xfId="4" applyNumberFormat="1" applyFont="1" applyFill="1" applyAlignment="1">
      <alignment horizontal="centerContinuous"/>
    </xf>
    <xf numFmtId="0" fontId="3" fillId="0" borderId="0" xfId="4" quotePrefix="1" applyFont="1" applyFill="1" applyBorder="1" applyAlignment="1">
      <alignment horizontal="center" vertical="center"/>
    </xf>
    <xf numFmtId="166" fontId="3" fillId="0" borderId="0" xfId="4" applyNumberFormat="1" applyFont="1" applyFill="1" applyAlignment="1">
      <alignment horizontal="right" vertical="center" readingOrder="2"/>
    </xf>
    <xf numFmtId="0" fontId="3" fillId="0" borderId="0" xfId="4" quotePrefix="1" applyFont="1" applyBorder="1" applyAlignment="1">
      <alignment horizontal="center" vertical="center"/>
    </xf>
    <xf numFmtId="0" fontId="4" fillId="0" borderId="0" xfId="4" applyFont="1" applyAlignment="1">
      <alignment horizontal="center" vertical="center"/>
    </xf>
    <xf numFmtId="0" fontId="3" fillId="0" borderId="0" xfId="4" applyFont="1" applyAlignment="1">
      <alignment horizontal="left" vertical="center"/>
    </xf>
    <xf numFmtId="0" fontId="3" fillId="0" borderId="0" xfId="4" applyFont="1" applyAlignment="1">
      <alignment horizontal="right" vertical="center"/>
    </xf>
    <xf numFmtId="0" fontId="4" fillId="0" borderId="0" xfId="4" applyFont="1"/>
    <xf numFmtId="166" fontId="3" fillId="0" borderId="0" xfId="4" applyNumberFormat="1" applyFont="1" applyAlignment="1">
      <alignment horizontal="right"/>
    </xf>
    <xf numFmtId="166" fontId="3" fillId="0" borderId="0" xfId="4" quotePrefix="1" applyNumberFormat="1" applyFont="1" applyAlignment="1">
      <alignment horizontal="right" vertical="center" readingOrder="2"/>
    </xf>
    <xf numFmtId="0" fontId="3" fillId="0" borderId="0" xfId="4" applyFont="1" applyBorder="1" applyAlignment="1">
      <alignment vertical="center"/>
    </xf>
    <xf numFmtId="0" fontId="3" fillId="0" borderId="0" xfId="4" quotePrefix="1" applyFont="1" applyBorder="1" applyAlignment="1">
      <alignment horizontal="right" vertical="center"/>
    </xf>
    <xf numFmtId="0" fontId="6" fillId="0" borderId="25" xfId="1" applyFont="1" applyBorder="1"/>
    <xf numFmtId="0" fontId="66" fillId="0" borderId="0" xfId="1" applyFont="1" applyBorder="1"/>
    <xf numFmtId="0" fontId="66" fillId="0" borderId="25" xfId="1" applyFont="1" applyBorder="1"/>
    <xf numFmtId="0" fontId="33" fillId="0" borderId="25" xfId="1" applyFont="1" applyBorder="1"/>
    <xf numFmtId="0" fontId="7" fillId="2" borderId="26" xfId="1" applyFont="1" applyFill="1" applyBorder="1" applyAlignment="1">
      <alignment horizontal="centerContinuous"/>
    </xf>
    <xf numFmtId="0" fontId="8" fillId="2" borderId="26" xfId="1" applyFont="1" applyFill="1" applyBorder="1" applyAlignment="1">
      <alignment horizontal="center"/>
    </xf>
    <xf numFmtId="0" fontId="7" fillId="2" borderId="4" xfId="1" applyFont="1" applyFill="1" applyBorder="1" applyAlignment="1">
      <alignment horizontal="center"/>
    </xf>
    <xf numFmtId="166" fontId="7" fillId="0" borderId="7" xfId="1" applyNumberFormat="1" applyFont="1" applyBorder="1" applyAlignment="1">
      <alignment horizontal="center" vertical="center"/>
    </xf>
    <xf numFmtId="166" fontId="7" fillId="0" borderId="7" xfId="1" applyNumberFormat="1" applyFont="1" applyFill="1" applyBorder="1" applyAlignment="1">
      <alignment horizontal="center" vertical="center"/>
    </xf>
    <xf numFmtId="166" fontId="7" fillId="0" borderId="0" xfId="1" applyNumberFormat="1" applyFont="1" applyFill="1" applyBorder="1" applyAlignment="1">
      <alignment horizontal="center" vertical="center"/>
    </xf>
    <xf numFmtId="0" fontId="3" fillId="0" borderId="25" xfId="1" applyFont="1" applyFill="1" applyBorder="1"/>
    <xf numFmtId="0" fontId="21" fillId="0" borderId="25" xfId="1" applyFont="1" applyBorder="1"/>
    <xf numFmtId="0" fontId="3" fillId="0" borderId="0" xfId="1" applyFont="1" applyAlignment="1">
      <alignment horizontal="right"/>
    </xf>
    <xf numFmtId="3" fontId="3" fillId="0" borderId="0" xfId="8" applyNumberFormat="1" applyFont="1" applyFill="1" applyBorder="1"/>
    <xf numFmtId="4" fontId="20" fillId="0" borderId="0" xfId="8" applyFont="1" applyFill="1" applyBorder="1" applyAlignment="1">
      <alignment horizontal="left" vertical="center"/>
    </xf>
    <xf numFmtId="4" fontId="20" fillId="0" borderId="0" xfId="8" applyFont="1" applyFill="1" applyBorder="1" applyAlignment="1">
      <alignment vertical="center"/>
    </xf>
    <xf numFmtId="4" fontId="20" fillId="0" borderId="0" xfId="8" quotePrefix="1" applyFont="1" applyFill="1" applyBorder="1" applyAlignment="1">
      <alignment horizontal="left" vertical="center"/>
    </xf>
    <xf numFmtId="3" fontId="21" fillId="0" borderId="0" xfId="8" applyNumberFormat="1" applyFont="1" applyFill="1"/>
    <xf numFmtId="3" fontId="7" fillId="3" borderId="7" xfId="8" applyNumberFormat="1" applyFont="1" applyFill="1" applyBorder="1" applyAlignment="1">
      <alignment horizontal="center" vertical="center"/>
    </xf>
    <xf numFmtId="3" fontId="7" fillId="5" borderId="7" xfId="8" applyNumberFormat="1" applyFont="1" applyFill="1" applyBorder="1" applyAlignment="1">
      <alignment horizontal="center" vertical="center"/>
    </xf>
    <xf numFmtId="4" fontId="20" fillId="0" borderId="0" xfId="8" applyFont="1" applyBorder="1" applyAlignment="1">
      <alignment horizontal="left" vertical="center"/>
    </xf>
    <xf numFmtId="4" fontId="20" fillId="0" borderId="0" xfId="8" applyFont="1" applyBorder="1" applyAlignment="1">
      <alignment vertical="center"/>
    </xf>
    <xf numFmtId="0" fontId="4" fillId="0" borderId="0" xfId="1" applyFont="1" applyFill="1" applyBorder="1" applyAlignment="1"/>
    <xf numFmtId="0" fontId="4" fillId="0" borderId="0" xfId="1" applyFont="1" applyFill="1" applyBorder="1" applyAlignment="1">
      <alignment horizontal="left"/>
    </xf>
    <xf numFmtId="0" fontId="66" fillId="0" borderId="0" xfId="1" applyFont="1" applyFill="1" applyBorder="1"/>
    <xf numFmtId="0" fontId="7" fillId="0" borderId="0" xfId="1" applyFont="1" applyBorder="1" applyAlignment="1">
      <alignment horizontal="left"/>
    </xf>
    <xf numFmtId="0" fontId="8" fillId="0" borderId="0" xfId="1" applyFont="1" applyBorder="1" applyAlignment="1">
      <alignment horizontal="left"/>
    </xf>
    <xf numFmtId="0" fontId="7" fillId="2" borderId="25" xfId="1" applyFont="1" applyFill="1" applyBorder="1" applyAlignment="1">
      <alignment vertical="center"/>
    </xf>
    <xf numFmtId="3" fontId="8" fillId="0" borderId="17" xfId="1" applyNumberFormat="1" applyFont="1" applyFill="1" applyBorder="1" applyAlignment="1">
      <alignment horizontal="center" vertical="center"/>
    </xf>
    <xf numFmtId="3" fontId="7" fillId="5" borderId="7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3" fontId="8" fillId="5" borderId="17" xfId="1" applyNumberFormat="1" applyFont="1" applyFill="1" applyBorder="1" applyAlignment="1">
      <alignment horizontal="center" vertical="center"/>
    </xf>
    <xf numFmtId="3" fontId="7" fillId="0" borderId="0" xfId="1" applyNumberFormat="1" applyFont="1" applyFill="1" applyBorder="1" applyAlignment="1">
      <alignment horizontal="center" vertical="center"/>
    </xf>
    <xf numFmtId="0" fontId="19" fillId="0" borderId="0" xfId="1" applyFont="1" applyBorder="1"/>
    <xf numFmtId="4" fontId="20" fillId="0" borderId="0" xfId="6" applyFont="1" applyBorder="1" applyAlignment="1">
      <alignment vertical="center"/>
    </xf>
    <xf numFmtId="4" fontId="20" fillId="0" borderId="0" xfId="6" quotePrefix="1" applyFont="1" applyBorder="1" applyAlignment="1">
      <alignment horizontal="left" vertical="center"/>
    </xf>
    <xf numFmtId="4" fontId="20" fillId="0" borderId="0" xfId="6" applyFont="1" applyBorder="1" applyAlignment="1">
      <alignment horizontal="left" vertical="center"/>
    </xf>
    <xf numFmtId="0" fontId="4" fillId="0" borderId="0" xfId="1" applyFont="1" applyBorder="1" applyAlignment="1">
      <alignment vertical="center"/>
    </xf>
    <xf numFmtId="0" fontId="7" fillId="5" borderId="1" xfId="1" applyFont="1" applyFill="1" applyBorder="1" applyAlignment="1">
      <alignment horizontal="left" vertical="center"/>
    </xf>
    <xf numFmtId="0" fontId="20" fillId="0" borderId="0" xfId="1" applyFont="1" applyBorder="1" applyAlignment="1">
      <alignment horizontal="centerContinuous" vertical="center"/>
    </xf>
    <xf numFmtId="0" fontId="28" fillId="0" borderId="0" xfId="1" applyFont="1" applyBorder="1" applyAlignment="1">
      <alignment horizontal="centerContinuous" vertical="center"/>
    </xf>
    <xf numFmtId="0" fontId="33" fillId="0" borderId="0" xfId="1" applyFont="1" applyAlignment="1">
      <alignment vertical="center"/>
    </xf>
    <xf numFmtId="4" fontId="20" fillId="0" borderId="0" xfId="6" applyFont="1" applyFill="1" applyBorder="1" applyAlignment="1">
      <alignment horizontal="left" vertical="center"/>
    </xf>
    <xf numFmtId="4" fontId="20" fillId="0" borderId="0" xfId="6" applyFont="1" applyFill="1" applyBorder="1" applyAlignment="1">
      <alignment vertical="center"/>
    </xf>
    <xf numFmtId="0" fontId="4" fillId="0" borderId="0" xfId="1" applyFont="1" applyBorder="1" applyAlignment="1">
      <alignment horizontal="left"/>
    </xf>
    <xf numFmtId="0" fontId="3" fillId="7" borderId="0" xfId="1" applyFont="1" applyFill="1"/>
    <xf numFmtId="0" fontId="64" fillId="0" borderId="0" xfId="1" applyFont="1" applyFill="1"/>
    <xf numFmtId="0" fontId="20" fillId="0" borderId="0" xfId="1" applyFont="1" applyAlignment="1">
      <alignment horizontal="centerContinuous"/>
    </xf>
    <xf numFmtId="0" fontId="7" fillId="2" borderId="0" xfId="1" applyFont="1" applyFill="1" applyBorder="1" applyAlignment="1">
      <alignment vertical="center"/>
    </xf>
    <xf numFmtId="0" fontId="7" fillId="2" borderId="0" xfId="1" applyFont="1" applyFill="1" applyBorder="1" applyAlignment="1">
      <alignment horizontal="right" vertical="center"/>
    </xf>
    <xf numFmtId="0" fontId="7" fillId="2" borderId="16" xfId="1" applyFont="1" applyFill="1" applyBorder="1"/>
    <xf numFmtId="0" fontId="7" fillId="4" borderId="0" xfId="1" applyFont="1" applyFill="1" applyBorder="1" applyAlignment="1">
      <alignment horizontal="center" vertical="center"/>
    </xf>
    <xf numFmtId="0" fontId="8" fillId="5" borderId="16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right" vertical="center"/>
    </xf>
    <xf numFmtId="166" fontId="4" fillId="0" borderId="0" xfId="1" applyNumberFormat="1" applyFont="1" applyFill="1" applyBorder="1" applyAlignment="1"/>
    <xf numFmtId="0" fontId="3" fillId="7" borderId="0" xfId="1" applyFont="1" applyFill="1" applyBorder="1"/>
    <xf numFmtId="0" fontId="3" fillId="0" borderId="0" xfId="1" applyFont="1" applyFill="1" applyBorder="1" applyAlignment="1">
      <alignment horizontal="centerContinuous"/>
    </xf>
    <xf numFmtId="0" fontId="7" fillId="5" borderId="33" xfId="1" applyFont="1" applyFill="1" applyBorder="1" applyAlignment="1">
      <alignment horizontal="centerContinuous" vertical="center"/>
    </xf>
    <xf numFmtId="166" fontId="7" fillId="5" borderId="0" xfId="1" applyNumberFormat="1" applyFont="1" applyFill="1" applyBorder="1" applyAlignment="1">
      <alignment horizontal="right" vertical="center"/>
    </xf>
    <xf numFmtId="0" fontId="8" fillId="2" borderId="0" xfId="1" applyFont="1" applyFill="1" applyBorder="1" applyAlignment="1">
      <alignment vertical="center"/>
    </xf>
    <xf numFmtId="166" fontId="20" fillId="0" borderId="0" xfId="1" applyNumberFormat="1" applyFont="1" applyBorder="1" applyAlignment="1">
      <alignment horizontal="right" vertical="center"/>
    </xf>
    <xf numFmtId="172" fontId="20" fillId="0" borderId="0" xfId="6" applyNumberFormat="1" applyFont="1" applyBorder="1" applyAlignment="1">
      <alignment horizontal="left" vertical="center"/>
    </xf>
    <xf numFmtId="0" fontId="4" fillId="0" borderId="0" xfId="1" applyFont="1" applyBorder="1" applyAlignment="1">
      <alignment horizontal="right"/>
    </xf>
    <xf numFmtId="0" fontId="4" fillId="2" borderId="4" xfId="1" applyFont="1" applyFill="1" applyBorder="1"/>
    <xf numFmtId="0" fontId="3" fillId="2" borderId="27" xfId="1" applyFont="1" applyFill="1" applyBorder="1"/>
    <xf numFmtId="0" fontId="65" fillId="2" borderId="0" xfId="1" applyFont="1" applyFill="1" applyBorder="1" applyAlignment="1">
      <alignment horizontal="center"/>
    </xf>
    <xf numFmtId="0" fontId="65" fillId="2" borderId="25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/>
    </xf>
    <xf numFmtId="0" fontId="3" fillId="2" borderId="11" xfId="1" applyFont="1" applyFill="1" applyBorder="1"/>
    <xf numFmtId="0" fontId="65" fillId="2" borderId="14" xfId="1" applyFont="1" applyFill="1" applyBorder="1" applyAlignment="1">
      <alignment horizontal="center"/>
    </xf>
    <xf numFmtId="166" fontId="3" fillId="3" borderId="0" xfId="6" applyNumberFormat="1" applyFont="1" applyFill="1" applyBorder="1" applyAlignment="1">
      <alignment horizontal="center" vertical="center"/>
    </xf>
    <xf numFmtId="166" fontId="3" fillId="5" borderId="0" xfId="1" applyNumberFormat="1" applyFont="1" applyFill="1" applyBorder="1" applyAlignment="1">
      <alignment horizontal="center" vertical="center"/>
    </xf>
    <xf numFmtId="166" fontId="3" fillId="5" borderId="1" xfId="6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Continuous"/>
    </xf>
    <xf numFmtId="0" fontId="4" fillId="0" borderId="0" xfId="1" applyFont="1" applyBorder="1" applyAlignment="1">
      <alignment horizontal="centerContinuous"/>
    </xf>
    <xf numFmtId="0" fontId="3" fillId="5" borderId="25" xfId="1" applyFont="1" applyFill="1" applyBorder="1" applyAlignment="1">
      <alignment horizontal="centerContinuous"/>
    </xf>
    <xf numFmtId="4" fontId="21" fillId="0" borderId="0" xfId="6" applyFont="1" applyBorder="1" applyAlignment="1">
      <alignment horizontal="left" vertical="center"/>
    </xf>
    <xf numFmtId="4" fontId="21" fillId="0" borderId="0" xfId="6" quotePrefix="1" applyFont="1" applyBorder="1" applyAlignment="1">
      <alignment horizontal="center" vertical="center"/>
    </xf>
    <xf numFmtId="0" fontId="33" fillId="0" borderId="0" xfId="1" applyFont="1" applyBorder="1" applyAlignment="1">
      <alignment horizontal="right"/>
    </xf>
    <xf numFmtId="0" fontId="8" fillId="2" borderId="0" xfId="1" applyFont="1" applyFill="1" applyBorder="1"/>
    <xf numFmtId="0" fontId="7" fillId="2" borderId="91" xfId="1" applyFont="1" applyFill="1" applyBorder="1" applyAlignment="1">
      <alignment horizontal="center"/>
    </xf>
    <xf numFmtId="0" fontId="8" fillId="5" borderId="0" xfId="1" applyFont="1" applyFill="1" applyBorder="1" applyAlignment="1">
      <alignment horizontal="center" vertical="center"/>
    </xf>
    <xf numFmtId="0" fontId="7" fillId="5" borderId="47" xfId="1" applyFont="1" applyFill="1" applyBorder="1" applyAlignment="1">
      <alignment horizontal="center" vertical="center"/>
    </xf>
    <xf numFmtId="166" fontId="7" fillId="4" borderId="0" xfId="6" applyNumberFormat="1" applyFont="1" applyFill="1" applyBorder="1" applyAlignment="1">
      <alignment horizontal="center" vertical="center"/>
    </xf>
    <xf numFmtId="166" fontId="7" fillId="5" borderId="21" xfId="6" applyNumberFormat="1" applyFont="1" applyFill="1" applyBorder="1" applyAlignment="1">
      <alignment horizontal="centerContinuous" vertical="center"/>
    </xf>
    <xf numFmtId="166" fontId="7" fillId="5" borderId="1" xfId="6" applyNumberFormat="1" applyFont="1" applyFill="1" applyBorder="1" applyAlignment="1">
      <alignment horizontal="centerContinuous" vertical="center"/>
    </xf>
    <xf numFmtId="0" fontId="8" fillId="5" borderId="21" xfId="1" applyFont="1" applyFill="1" applyBorder="1" applyAlignment="1">
      <alignment horizontal="centerContinuous"/>
    </xf>
    <xf numFmtId="0" fontId="4" fillId="2" borderId="0" xfId="1" applyFont="1" applyFill="1" applyBorder="1"/>
    <xf numFmtId="0" fontId="4" fillId="2" borderId="0" xfId="1" applyFont="1" applyFill="1" applyBorder="1" applyAlignment="1">
      <alignment horizontal="center"/>
    </xf>
    <xf numFmtId="0" fontId="8" fillId="5" borderId="0" xfId="1" applyFont="1" applyFill="1" applyBorder="1" applyAlignment="1">
      <alignment horizontal="centerContinuous" vertical="center"/>
    </xf>
    <xf numFmtId="0" fontId="7" fillId="0" borderId="47" xfId="1" applyFont="1" applyFill="1" applyBorder="1" applyAlignment="1">
      <alignment horizontal="center" vertical="center"/>
    </xf>
    <xf numFmtId="166" fontId="7" fillId="0" borderId="7" xfId="6" applyNumberFormat="1" applyFont="1" applyFill="1" applyBorder="1" applyAlignment="1">
      <alignment horizontal="centerContinuous" vertical="center"/>
    </xf>
    <xf numFmtId="166" fontId="7" fillId="0" borderId="0" xfId="6" applyNumberFormat="1" applyFont="1" applyFill="1" applyBorder="1" applyAlignment="1">
      <alignment horizontal="centerContinuous" vertical="center"/>
    </xf>
    <xf numFmtId="166" fontId="7" fillId="0" borderId="0" xfId="6" applyNumberFormat="1" applyFont="1" applyFill="1" applyBorder="1" applyAlignment="1">
      <alignment horizontal="center" vertical="center"/>
    </xf>
    <xf numFmtId="166" fontId="7" fillId="5" borderId="0" xfId="6" applyNumberFormat="1" applyFont="1" applyFill="1" applyBorder="1" applyAlignment="1">
      <alignment horizontal="centerContinuous" vertical="center"/>
    </xf>
    <xf numFmtId="4" fontId="20" fillId="0" borderId="0" xfId="6" quotePrefix="1" applyFont="1" applyBorder="1" applyAlignment="1">
      <alignment horizontal="center" vertical="center"/>
    </xf>
    <xf numFmtId="4" fontId="20" fillId="0" borderId="0" xfId="6" applyFont="1" applyBorder="1" applyAlignment="1">
      <alignment horizontal="center" vertical="center"/>
    </xf>
    <xf numFmtId="0" fontId="6" fillId="0" borderId="0" xfId="1" applyFont="1" applyBorder="1"/>
    <xf numFmtId="0" fontId="20" fillId="0" borderId="0" xfId="1" applyFont="1" applyFill="1" applyAlignment="1">
      <alignment horizontal="centerContinuous"/>
    </xf>
    <xf numFmtId="0" fontId="20" fillId="0" borderId="0" xfId="1" applyFont="1" applyBorder="1" applyAlignment="1">
      <alignment horizontal="centerContinuous"/>
    </xf>
    <xf numFmtId="0" fontId="7" fillId="0" borderId="0" xfId="1" applyFont="1" applyBorder="1" applyAlignment="1">
      <alignment horizontal="center"/>
    </xf>
    <xf numFmtId="0" fontId="8" fillId="2" borderId="4" xfId="1" applyFont="1" applyFill="1" applyBorder="1" applyAlignment="1">
      <alignment horizontal="centerContinuous"/>
    </xf>
    <xf numFmtId="0" fontId="8" fillId="2" borderId="42" xfId="1" applyFont="1" applyFill="1" applyBorder="1" applyAlignment="1">
      <alignment horizontal="centerContinuous"/>
    </xf>
    <xf numFmtId="0" fontId="8" fillId="2" borderId="4" xfId="1" applyFont="1" applyFill="1" applyBorder="1" applyAlignment="1">
      <alignment horizontal="center"/>
    </xf>
    <xf numFmtId="0" fontId="7" fillId="2" borderId="3" xfId="1" applyFont="1" applyFill="1" applyBorder="1" applyAlignment="1">
      <alignment horizontal="center"/>
    </xf>
    <xf numFmtId="0" fontId="8" fillId="2" borderId="37" xfId="1" applyFont="1" applyFill="1" applyBorder="1" applyAlignment="1">
      <alignment horizontal="left"/>
    </xf>
    <xf numFmtId="0" fontId="8" fillId="2" borderId="37" xfId="1" applyFont="1" applyFill="1" applyBorder="1" applyAlignment="1">
      <alignment horizontal="center"/>
    </xf>
    <xf numFmtId="0" fontId="7" fillId="2" borderId="11" xfId="1" quotePrefix="1" applyFont="1" applyFill="1" applyBorder="1" applyAlignment="1">
      <alignment horizontal="left"/>
    </xf>
    <xf numFmtId="0" fontId="7" fillId="2" borderId="10" xfId="1" applyFont="1" applyFill="1" applyBorder="1" applyAlignment="1">
      <alignment horizontal="center" vertical="center"/>
    </xf>
    <xf numFmtId="0" fontId="8" fillId="2" borderId="17" xfId="1" applyFont="1" applyFill="1" applyBorder="1" applyAlignment="1">
      <alignment horizontal="center" vertical="center"/>
    </xf>
    <xf numFmtId="166" fontId="8" fillId="2" borderId="0" xfId="1" applyNumberFormat="1" applyFont="1" applyFill="1" applyBorder="1" applyAlignment="1">
      <alignment horizontal="center" vertical="center"/>
    </xf>
    <xf numFmtId="0" fontId="43" fillId="0" borderId="0" xfId="1" applyFont="1" applyFill="1" applyBorder="1"/>
    <xf numFmtId="0" fontId="7" fillId="2" borderId="11" xfId="1" quotePrefix="1" applyFont="1" applyFill="1" applyBorder="1" applyAlignment="1">
      <alignment horizontal="right"/>
    </xf>
    <xf numFmtId="166" fontId="7" fillId="2" borderId="47" xfId="1" applyNumberFormat="1" applyFont="1" applyFill="1" applyBorder="1" applyAlignment="1">
      <alignment horizontal="center"/>
    </xf>
    <xf numFmtId="166" fontId="7" fillId="2" borderId="13" xfId="1" applyNumberFormat="1" applyFont="1" applyFill="1" applyBorder="1" applyAlignment="1">
      <alignment horizontal="center" vertical="center"/>
    </xf>
    <xf numFmtId="166" fontId="8" fillId="2" borderId="19" xfId="1" applyNumberFormat="1" applyFont="1" applyFill="1" applyBorder="1" applyAlignment="1">
      <alignment horizontal="center" vertical="center"/>
    </xf>
    <xf numFmtId="166" fontId="8" fillId="2" borderId="14" xfId="1" applyNumberFormat="1" applyFont="1" applyFill="1" applyBorder="1" applyAlignment="1">
      <alignment horizontal="center" vertical="center"/>
    </xf>
    <xf numFmtId="166" fontId="8" fillId="2" borderId="13" xfId="1" applyNumberFormat="1" applyFont="1" applyFill="1" applyBorder="1" applyAlignment="1">
      <alignment horizontal="center" vertical="center"/>
    </xf>
    <xf numFmtId="166" fontId="8" fillId="2" borderId="17" xfId="1" applyNumberFormat="1" applyFont="1" applyFill="1" applyBorder="1" applyAlignment="1">
      <alignment horizontal="center" vertical="center"/>
    </xf>
    <xf numFmtId="3" fontId="8" fillId="0" borderId="0" xfId="1" applyNumberFormat="1" applyFont="1" applyBorder="1" applyAlignment="1">
      <alignment horizontal="center" vertical="center"/>
    </xf>
    <xf numFmtId="3" fontId="8" fillId="0" borderId="17" xfId="1" applyNumberFormat="1" applyFont="1" applyBorder="1" applyAlignment="1">
      <alignment horizontal="center" vertical="center"/>
    </xf>
    <xf numFmtId="0" fontId="7" fillId="0" borderId="47" xfId="1" applyFont="1" applyBorder="1" applyAlignment="1">
      <alignment horizontal="center" vertical="center"/>
    </xf>
    <xf numFmtId="3" fontId="8" fillId="5" borderId="0" xfId="1" applyNumberFormat="1" applyFont="1" applyFill="1" applyBorder="1" applyAlignment="1">
      <alignment horizontal="center" vertical="center"/>
    </xf>
    <xf numFmtId="3" fontId="8" fillId="0" borderId="0" xfId="1" applyNumberFormat="1" applyFont="1" applyFill="1" applyBorder="1" applyAlignment="1">
      <alignment horizontal="center" vertical="center"/>
    </xf>
    <xf numFmtId="3" fontId="7" fillId="0" borderId="0" xfId="1" applyNumberFormat="1" applyFont="1" applyBorder="1" applyAlignment="1">
      <alignment horizontal="center" vertical="center"/>
    </xf>
    <xf numFmtId="0" fontId="3" fillId="0" borderId="1" xfId="1" applyFont="1" applyBorder="1"/>
    <xf numFmtId="0" fontId="20" fillId="0" borderId="0" xfId="1" quotePrefix="1" applyFont="1" applyAlignment="1">
      <alignment horizontal="left"/>
    </xf>
    <xf numFmtId="0" fontId="28" fillId="0" borderId="0" xfId="1" applyFont="1" applyBorder="1" applyAlignment="1">
      <alignment horizontal="right" readingOrder="2"/>
    </xf>
    <xf numFmtId="0" fontId="8" fillId="2" borderId="4" xfId="1" applyFont="1" applyFill="1" applyBorder="1"/>
    <xf numFmtId="0" fontId="8" fillId="2" borderId="0" xfId="1" applyFont="1" applyFill="1" applyBorder="1" applyAlignment="1">
      <alignment horizontal="right"/>
    </xf>
    <xf numFmtId="0" fontId="14" fillId="2" borderId="17" xfId="1" applyFont="1" applyFill="1" applyBorder="1" applyAlignment="1">
      <alignment horizontal="center"/>
    </xf>
    <xf numFmtId="166" fontId="7" fillId="5" borderId="0" xfId="1" applyNumberFormat="1" applyFont="1" applyFill="1" applyBorder="1" applyAlignment="1">
      <alignment horizontal="center"/>
    </xf>
    <xf numFmtId="166" fontId="7" fillId="5" borderId="1" xfId="1" applyNumberFormat="1" applyFont="1" applyFill="1" applyBorder="1" applyAlignment="1">
      <alignment horizontal="center"/>
    </xf>
    <xf numFmtId="166" fontId="19" fillId="0" borderId="0" xfId="1" applyNumberFormat="1" applyFont="1" applyBorder="1" applyAlignment="1">
      <alignment horizontal="center"/>
    </xf>
    <xf numFmtId="166" fontId="47" fillId="0" borderId="0" xfId="1" applyNumberFormat="1" applyFont="1" applyBorder="1" applyAlignment="1">
      <alignment horizontal="center"/>
    </xf>
    <xf numFmtId="166" fontId="20" fillId="0" borderId="0" xfId="1" applyNumberFormat="1" applyFont="1" applyBorder="1" applyAlignment="1">
      <alignment horizontal="center"/>
    </xf>
    <xf numFmtId="166" fontId="28" fillId="0" borderId="0" xfId="1" applyNumberFormat="1" applyFont="1" applyBorder="1" applyAlignment="1">
      <alignment horizontal="center"/>
    </xf>
    <xf numFmtId="0" fontId="62" fillId="0" borderId="0" xfId="1" applyFont="1" applyFill="1" applyBorder="1" applyAlignment="1">
      <alignment horizontal="centerContinuous" vertical="center"/>
    </xf>
    <xf numFmtId="0" fontId="8" fillId="2" borderId="2" xfId="1" applyFont="1" applyFill="1" applyBorder="1"/>
    <xf numFmtId="0" fontId="8" fillId="2" borderId="26" xfId="1" applyFont="1" applyFill="1" applyBorder="1"/>
    <xf numFmtId="0" fontId="8" fillId="2" borderId="7" xfId="1" applyFont="1" applyFill="1" applyBorder="1"/>
    <xf numFmtId="0" fontId="8" fillId="2" borderId="25" xfId="1" applyFont="1" applyFill="1" applyBorder="1"/>
    <xf numFmtId="0" fontId="8" fillId="2" borderId="37" xfId="1" applyFont="1" applyFill="1" applyBorder="1"/>
    <xf numFmtId="0" fontId="7" fillId="2" borderId="11" xfId="1" applyFont="1" applyFill="1" applyBorder="1" applyAlignment="1">
      <alignment horizontal="center" vertical="top"/>
    </xf>
    <xf numFmtId="0" fontId="3" fillId="0" borderId="0" xfId="1" applyFont="1" applyBorder="1" applyAlignment="1">
      <alignment horizontal="centerContinuous" vertical="center"/>
    </xf>
    <xf numFmtId="166" fontId="3" fillId="0" borderId="0" xfId="1" applyNumberFormat="1" applyFont="1" applyBorder="1" applyAlignment="1">
      <alignment horizontal="center" vertical="center"/>
    </xf>
    <xf numFmtId="0" fontId="112" fillId="0" borderId="0" xfId="1" applyFont="1" applyBorder="1" applyAlignment="1">
      <alignment horizontal="centerContinuous" vertical="center"/>
    </xf>
    <xf numFmtId="0" fontId="35" fillId="0" borderId="0" xfId="1" applyFont="1" applyBorder="1" applyAlignment="1">
      <alignment horizontal="centerContinuous" vertical="center"/>
    </xf>
    <xf numFmtId="0" fontId="27" fillId="0" borderId="0" xfId="1" applyFont="1" applyBorder="1" applyAlignment="1">
      <alignment horizontal="centerContinuous"/>
    </xf>
    <xf numFmtId="0" fontId="27" fillId="0" borderId="0" xfId="1" applyFont="1" applyBorder="1" applyAlignment="1">
      <alignment horizontal="center"/>
    </xf>
    <xf numFmtId="0" fontId="64" fillId="0" borderId="0" xfId="1" applyFont="1" applyFill="1" applyBorder="1"/>
    <xf numFmtId="0" fontId="7" fillId="0" borderId="0" xfId="1" quotePrefix="1" applyFont="1" applyAlignment="1">
      <alignment horizontal="left" vertical="center"/>
    </xf>
    <xf numFmtId="0" fontId="7" fillId="0" borderId="0" xfId="1" quotePrefix="1" applyFont="1" applyAlignment="1">
      <alignment horizontal="right" vertical="center"/>
    </xf>
    <xf numFmtId="0" fontId="64" fillId="0" borderId="0" xfId="1" applyFont="1" applyBorder="1"/>
    <xf numFmtId="0" fontId="64" fillId="0" borderId="0" xfId="1" applyFont="1"/>
    <xf numFmtId="0" fontId="28" fillId="0" borderId="0" xfId="1" quotePrefix="1" applyFont="1" applyAlignment="1">
      <alignment horizontal="left" vertical="center"/>
    </xf>
    <xf numFmtId="0" fontId="28" fillId="0" borderId="0" xfId="1" applyFont="1" applyAlignment="1">
      <alignment horizontal="left"/>
    </xf>
    <xf numFmtId="166" fontId="8" fillId="2" borderId="5" xfId="1" applyNumberFormat="1" applyFont="1" applyFill="1" applyBorder="1" applyAlignment="1"/>
    <xf numFmtId="0" fontId="8" fillId="2" borderId="5" xfId="1" applyFont="1" applyFill="1" applyBorder="1" applyAlignment="1"/>
    <xf numFmtId="0" fontId="8" fillId="2" borderId="5" xfId="1" quotePrefix="1" applyFont="1" applyFill="1" applyBorder="1" applyAlignment="1">
      <alignment horizontal="center" readingOrder="2"/>
    </xf>
    <xf numFmtId="0" fontId="8" fillId="2" borderId="0" xfId="1" applyFont="1" applyFill="1" applyAlignment="1">
      <alignment vertical="center"/>
    </xf>
    <xf numFmtId="166" fontId="8" fillId="2" borderId="11" xfId="1" applyNumberFormat="1" applyFont="1" applyFill="1" applyBorder="1" applyAlignment="1">
      <alignment vertical="center"/>
    </xf>
    <xf numFmtId="166" fontId="8" fillId="2" borderId="17" xfId="1" applyNumberFormat="1" applyFont="1" applyFill="1" applyBorder="1" applyAlignment="1">
      <alignment vertical="center"/>
    </xf>
    <xf numFmtId="0" fontId="3" fillId="0" borderId="25" xfId="1" applyFont="1" applyBorder="1" applyAlignment="1">
      <alignment vertical="center"/>
    </xf>
    <xf numFmtId="0" fontId="8" fillId="2" borderId="0" xfId="1" applyFont="1" applyFill="1"/>
    <xf numFmtId="166" fontId="8" fillId="2" borderId="11" xfId="1" applyNumberFormat="1" applyFont="1" applyFill="1" applyBorder="1" applyAlignment="1"/>
    <xf numFmtId="166" fontId="8" fillId="2" borderId="37" xfId="1" applyNumberFormat="1" applyFont="1" applyFill="1" applyBorder="1"/>
    <xf numFmtId="166" fontId="8" fillId="2" borderId="37" xfId="1" applyNumberFormat="1" applyFont="1" applyFill="1" applyBorder="1" applyAlignment="1"/>
    <xf numFmtId="166" fontId="8" fillId="2" borderId="9" xfId="1" applyNumberFormat="1" applyFont="1" applyFill="1" applyBorder="1" applyAlignment="1">
      <alignment horizontal="right"/>
    </xf>
    <xf numFmtId="166" fontId="8" fillId="2" borderId="8" xfId="1" applyNumberFormat="1" applyFont="1" applyFill="1" applyBorder="1"/>
    <xf numFmtId="0" fontId="8" fillId="2" borderId="10" xfId="1" applyFont="1" applyFill="1" applyBorder="1" applyAlignment="1">
      <alignment horizontal="left"/>
    </xf>
    <xf numFmtId="0" fontId="8" fillId="2" borderId="10" xfId="1" applyFont="1" applyFill="1" applyBorder="1"/>
    <xf numFmtId="0" fontId="8" fillId="2" borderId="11" xfId="1" quotePrefix="1" applyFont="1" applyFill="1" applyBorder="1" applyAlignment="1">
      <alignment horizontal="left"/>
    </xf>
    <xf numFmtId="166" fontId="8" fillId="2" borderId="0" xfId="1" applyNumberFormat="1" applyFont="1" applyFill="1" applyBorder="1" applyAlignment="1">
      <alignment horizontal="center"/>
    </xf>
    <xf numFmtId="166" fontId="7" fillId="2" borderId="16" xfId="1" applyNumberFormat="1" applyFont="1" applyFill="1" applyBorder="1" applyAlignment="1">
      <alignment horizontal="center"/>
    </xf>
    <xf numFmtId="0" fontId="8" fillId="2" borderId="11" xfId="1" quotePrefix="1" applyFont="1" applyFill="1" applyBorder="1" applyAlignment="1">
      <alignment horizontal="center"/>
    </xf>
    <xf numFmtId="0" fontId="4" fillId="0" borderId="25" xfId="1" applyFont="1" applyBorder="1"/>
    <xf numFmtId="166" fontId="7" fillId="2" borderId="11" xfId="1" applyNumberFormat="1" applyFont="1" applyFill="1" applyBorder="1" applyAlignment="1"/>
    <xf numFmtId="166" fontId="7" fillId="2" borderId="0" xfId="1" applyNumberFormat="1" applyFont="1" applyFill="1" applyBorder="1" applyAlignment="1"/>
    <xf numFmtId="166" fontId="7" fillId="2" borderId="11" xfId="1" applyNumberFormat="1" applyFont="1" applyFill="1" applyBorder="1" applyAlignment="1">
      <alignment horizontal="right"/>
    </xf>
    <xf numFmtId="166" fontId="14" fillId="2" borderId="11" xfId="1" applyNumberFormat="1" applyFont="1" applyFill="1" applyBorder="1" applyAlignment="1">
      <alignment horizontal="center"/>
    </xf>
    <xf numFmtId="166" fontId="14" fillId="2" borderId="11" xfId="1" applyNumberFormat="1" applyFont="1" applyFill="1" applyBorder="1"/>
    <xf numFmtId="166" fontId="14" fillId="2" borderId="0" xfId="1" applyNumberFormat="1" applyFont="1" applyFill="1" applyBorder="1" applyAlignment="1">
      <alignment horizontal="center"/>
    </xf>
    <xf numFmtId="0" fontId="15" fillId="2" borderId="11" xfId="1" quotePrefix="1" applyFont="1" applyFill="1" applyBorder="1" applyAlignment="1">
      <alignment horizontal="right"/>
    </xf>
    <xf numFmtId="166" fontId="14" fillId="2" borderId="16" xfId="1" applyNumberFormat="1" applyFont="1" applyFill="1" applyBorder="1" applyAlignment="1">
      <alignment horizontal="left"/>
    </xf>
    <xf numFmtId="0" fontId="14" fillId="2" borderId="11" xfId="1" applyFont="1" applyFill="1" applyBorder="1"/>
    <xf numFmtId="0" fontId="16" fillId="0" borderId="0" xfId="1" applyFont="1" applyBorder="1" applyAlignment="1">
      <alignment horizontal="center"/>
    </xf>
    <xf numFmtId="0" fontId="43" fillId="0" borderId="25" xfId="1" applyFont="1" applyBorder="1"/>
    <xf numFmtId="166" fontId="14" fillId="2" borderId="16" xfId="1" applyNumberFormat="1" applyFont="1" applyFill="1" applyBorder="1" applyAlignment="1">
      <alignment horizontal="center"/>
    </xf>
    <xf numFmtId="0" fontId="15" fillId="2" borderId="11" xfId="1" applyFont="1" applyFill="1" applyBorder="1" applyAlignment="1">
      <alignment horizontal="center"/>
    </xf>
    <xf numFmtId="0" fontId="4" fillId="0" borderId="0" xfId="1" applyFont="1" applyBorder="1" applyAlignment="1">
      <alignment horizontal="center" vertical="center"/>
    </xf>
    <xf numFmtId="0" fontId="4" fillId="0" borderId="25" xfId="1" applyFont="1" applyBorder="1" applyAlignment="1">
      <alignment vertical="center"/>
    </xf>
    <xf numFmtId="0" fontId="7" fillId="5" borderId="7" xfId="1" applyFont="1" applyFill="1" applyBorder="1"/>
    <xf numFmtId="0" fontId="7" fillId="5" borderId="0" xfId="1" applyFont="1" applyFill="1" applyBorder="1" applyAlignment="1">
      <alignment horizontal="left"/>
    </xf>
    <xf numFmtId="166" fontId="7" fillId="5" borderId="8" xfId="1" applyNumberFormat="1" applyFont="1" applyFill="1" applyBorder="1" applyAlignment="1">
      <alignment horizontal="center"/>
    </xf>
    <xf numFmtId="166" fontId="7" fillId="5" borderId="0" xfId="1" applyNumberFormat="1" applyFont="1" applyFill="1" applyAlignment="1">
      <alignment horizontal="center"/>
    </xf>
    <xf numFmtId="166" fontId="8" fillId="5" borderId="17" xfId="1" applyNumberFormat="1" applyFont="1" applyFill="1" applyBorder="1" applyAlignment="1">
      <alignment horizontal="center"/>
    </xf>
    <xf numFmtId="0" fontId="7" fillId="5" borderId="0" xfId="1" applyFont="1" applyFill="1" applyBorder="1" applyAlignment="1">
      <alignment horizontal="centerContinuous"/>
    </xf>
    <xf numFmtId="0" fontId="7" fillId="5" borderId="25" xfId="1" applyFont="1" applyFill="1" applyBorder="1" applyAlignment="1">
      <alignment horizontal="centerContinuous"/>
    </xf>
    <xf numFmtId="0" fontId="7" fillId="3" borderId="7" xfId="1" applyFont="1" applyFill="1" applyBorder="1" applyAlignment="1">
      <alignment vertical="center"/>
    </xf>
    <xf numFmtId="0" fontId="7" fillId="3" borderId="0" xfId="1" applyFont="1" applyFill="1" applyAlignment="1">
      <alignment horizontal="left" vertical="center"/>
    </xf>
    <xf numFmtId="166" fontId="7" fillId="3" borderId="0" xfId="1" applyNumberFormat="1" applyFont="1" applyFill="1" applyBorder="1" applyAlignment="1">
      <alignment horizontal="center"/>
    </xf>
    <xf numFmtId="0" fontId="7" fillId="3" borderId="0" xfId="1" applyFont="1" applyFill="1" applyBorder="1" applyAlignment="1">
      <alignment horizontal="centerContinuous"/>
    </xf>
    <xf numFmtId="0" fontId="7" fillId="3" borderId="25" xfId="1" applyFont="1" applyFill="1" applyBorder="1" applyAlignment="1">
      <alignment horizontal="centerContinuous"/>
    </xf>
    <xf numFmtId="0" fontId="7" fillId="5" borderId="0" xfId="1" applyFont="1" applyFill="1" applyAlignment="1">
      <alignment horizontal="left" vertical="center"/>
    </xf>
    <xf numFmtId="0" fontId="7" fillId="3" borderId="7" xfId="1" applyFont="1" applyFill="1" applyBorder="1"/>
    <xf numFmtId="0" fontId="7" fillId="3" borderId="0" xfId="1" applyFont="1" applyFill="1" applyBorder="1" applyAlignment="1">
      <alignment horizontal="left" vertical="center"/>
    </xf>
    <xf numFmtId="1" fontId="7" fillId="3" borderId="0" xfId="1" applyNumberFormat="1" applyFont="1" applyFill="1" applyBorder="1" applyAlignment="1">
      <alignment horizontal="centerContinuous"/>
    </xf>
    <xf numFmtId="1" fontId="7" fillId="5" borderId="1" xfId="1" applyNumberFormat="1" applyFont="1" applyFill="1" applyBorder="1" applyAlignment="1">
      <alignment horizontal="centerContinuous"/>
    </xf>
    <xf numFmtId="0" fontId="7" fillId="5" borderId="1" xfId="1" applyFont="1" applyFill="1" applyBorder="1" applyAlignment="1">
      <alignment horizontal="centerContinuous"/>
    </xf>
    <xf numFmtId="0" fontId="7" fillId="5" borderId="33" xfId="1" applyFont="1" applyFill="1" applyBorder="1" applyAlignment="1">
      <alignment horizontal="centerContinuous"/>
    </xf>
    <xf numFmtId="0" fontId="7" fillId="5" borderId="21" xfId="1" applyNumberFormat="1" applyFont="1" applyFill="1" applyBorder="1" applyAlignment="1">
      <alignment horizontal="center" vertical="center"/>
    </xf>
    <xf numFmtId="0" fontId="7" fillId="5" borderId="33" xfId="1" applyFont="1" applyFill="1" applyBorder="1" applyAlignment="1">
      <alignment horizontal="left" vertical="center"/>
    </xf>
    <xf numFmtId="0" fontId="4" fillId="7" borderId="0" xfId="1" applyFont="1" applyFill="1" applyBorder="1" applyAlignment="1">
      <alignment horizontal="center"/>
    </xf>
    <xf numFmtId="0" fontId="3" fillId="7" borderId="25" xfId="1" applyFont="1" applyFill="1" applyBorder="1"/>
    <xf numFmtId="0" fontId="47" fillId="0" borderId="0" xfId="1" applyNumberFormat="1" applyFont="1" applyBorder="1" applyAlignment="1">
      <alignment horizontal="center" vertical="center"/>
    </xf>
    <xf numFmtId="166" fontId="19" fillId="0" borderId="0" xfId="1" applyNumberFormat="1" applyFont="1" applyBorder="1" applyAlignment="1">
      <alignment horizontal="center" vertical="center"/>
    </xf>
    <xf numFmtId="166" fontId="47" fillId="0" borderId="0" xfId="1" applyNumberFormat="1" applyFont="1" applyBorder="1" applyAlignment="1">
      <alignment horizontal="center" vertical="center"/>
    </xf>
    <xf numFmtId="0" fontId="48" fillId="0" borderId="0" xfId="1" applyFont="1" applyBorder="1" applyAlignment="1">
      <alignment horizontal="center"/>
    </xf>
    <xf numFmtId="166" fontId="20" fillId="0" borderId="0" xfId="1" applyNumberFormat="1" applyFont="1" applyBorder="1" applyAlignment="1">
      <alignment horizontal="center" vertical="center"/>
    </xf>
    <xf numFmtId="166" fontId="28" fillId="0" borderId="0" xfId="1" applyNumberFormat="1" applyFont="1" applyBorder="1" applyAlignment="1">
      <alignment horizontal="center" vertical="center"/>
    </xf>
    <xf numFmtId="0" fontId="19" fillId="0" borderId="0" xfId="1" quotePrefix="1" applyFont="1" applyBorder="1" applyAlignment="1">
      <alignment horizontal="center" vertical="center"/>
    </xf>
    <xf numFmtId="0" fontId="20" fillId="0" borderId="0" xfId="1" applyNumberFormat="1" applyFont="1" applyBorder="1" applyAlignment="1">
      <alignment horizontal="center" vertical="center"/>
    </xf>
    <xf numFmtId="166" fontId="20" fillId="0" borderId="0" xfId="1" applyNumberFormat="1" applyFont="1" applyAlignment="1">
      <alignment horizontal="center" vertical="center"/>
    </xf>
    <xf numFmtId="0" fontId="64" fillId="0" borderId="0" xfId="1" applyFont="1" applyBorder="1" applyAlignment="1">
      <alignment horizontal="center"/>
    </xf>
    <xf numFmtId="166" fontId="8" fillId="2" borderId="4" xfId="1" applyNumberFormat="1" applyFont="1" applyFill="1" applyBorder="1" applyAlignment="1"/>
    <xf numFmtId="166" fontId="8" fillId="2" borderId="4" xfId="1" applyNumberFormat="1" applyFont="1" applyFill="1" applyBorder="1"/>
    <xf numFmtId="166" fontId="7" fillId="2" borderId="4" xfId="1" applyNumberFormat="1" applyFont="1" applyFill="1" applyBorder="1" applyAlignment="1">
      <alignment horizontal="centerContinuous"/>
    </xf>
    <xf numFmtId="166" fontId="7" fillId="2" borderId="42" xfId="1" applyNumberFormat="1" applyFont="1" applyFill="1" applyBorder="1" applyAlignment="1">
      <alignment horizontal="centerContinuous"/>
    </xf>
    <xf numFmtId="166" fontId="8" fillId="2" borderId="14" xfId="1" applyNumberFormat="1" applyFont="1" applyFill="1" applyBorder="1" applyAlignment="1">
      <alignment vertical="center"/>
    </xf>
    <xf numFmtId="166" fontId="8" fillId="2" borderId="0" xfId="1" applyNumberFormat="1" applyFont="1" applyFill="1" applyBorder="1" applyAlignment="1">
      <alignment vertical="center"/>
    </xf>
    <xf numFmtId="166" fontId="7" fillId="2" borderId="0" xfId="1" applyNumberFormat="1" applyFont="1" applyFill="1" applyBorder="1" applyAlignment="1">
      <alignment vertical="center"/>
    </xf>
    <xf numFmtId="166" fontId="7" fillId="2" borderId="0" xfId="1" applyNumberFormat="1" applyFont="1" applyFill="1" applyBorder="1" applyAlignment="1">
      <alignment horizontal="centerContinuous" vertical="center"/>
    </xf>
    <xf numFmtId="166" fontId="7" fillId="2" borderId="17" xfId="1" applyNumberFormat="1" applyFont="1" applyFill="1" applyBorder="1" applyAlignment="1">
      <alignment horizontal="centerContinuous" vertical="center"/>
    </xf>
    <xf numFmtId="0" fontId="8" fillId="2" borderId="16" xfId="1" applyFont="1" applyFill="1" applyBorder="1" applyAlignment="1">
      <alignment vertical="center"/>
    </xf>
    <xf numFmtId="0" fontId="8" fillId="2" borderId="25" xfId="1" applyFont="1" applyFill="1" applyBorder="1" applyAlignment="1">
      <alignment vertical="center"/>
    </xf>
    <xf numFmtId="166" fontId="8" fillId="2" borderId="115" xfId="1" quotePrefix="1" applyNumberFormat="1" applyFont="1" applyFill="1" applyBorder="1"/>
    <xf numFmtId="166" fontId="8" fillId="2" borderId="115" xfId="1" applyNumberFormat="1" applyFont="1" applyFill="1" applyBorder="1" applyAlignment="1"/>
    <xf numFmtId="166" fontId="7" fillId="2" borderId="115" xfId="1" applyNumberFormat="1" applyFont="1" applyFill="1" applyBorder="1" applyAlignment="1">
      <alignment horizontal="center"/>
    </xf>
    <xf numFmtId="166" fontId="8" fillId="2" borderId="115" xfId="1" applyNumberFormat="1" applyFont="1" applyFill="1" applyBorder="1"/>
    <xf numFmtId="166" fontId="8" fillId="2" borderId="9" xfId="1" applyNumberFormat="1" applyFont="1" applyFill="1" applyBorder="1" applyAlignment="1">
      <alignment vertical="center"/>
    </xf>
    <xf numFmtId="166" fontId="7" fillId="2" borderId="9" xfId="1" applyNumberFormat="1" applyFont="1" applyFill="1" applyBorder="1" applyAlignment="1">
      <alignment vertical="center"/>
    </xf>
    <xf numFmtId="166" fontId="8" fillId="2" borderId="37" xfId="1" applyNumberFormat="1" applyFont="1" applyFill="1" applyBorder="1" applyAlignment="1">
      <alignment horizontal="right"/>
    </xf>
    <xf numFmtId="166" fontId="7" fillId="2" borderId="8" xfId="1" applyNumberFormat="1" applyFont="1" applyFill="1" applyBorder="1"/>
    <xf numFmtId="166" fontId="8" fillId="2" borderId="10" xfId="1" applyNumberFormat="1" applyFont="1" applyFill="1" applyBorder="1"/>
    <xf numFmtId="166" fontId="8" fillId="2" borderId="0" xfId="1" applyNumberFormat="1" applyFont="1" applyFill="1" applyBorder="1" applyAlignment="1">
      <alignment horizontal="right"/>
    </xf>
    <xf numFmtId="0" fontId="8" fillId="2" borderId="16" xfId="1" applyFont="1" applyFill="1" applyBorder="1"/>
    <xf numFmtId="166" fontId="7" fillId="2" borderId="78" xfId="1" applyNumberFormat="1" applyFont="1" applyFill="1" applyBorder="1" applyAlignment="1">
      <alignment horizontal="center"/>
    </xf>
    <xf numFmtId="0" fontId="8" fillId="2" borderId="11" xfId="1" applyFont="1" applyFill="1" applyBorder="1" applyAlignment="1"/>
    <xf numFmtId="0" fontId="24" fillId="2" borderId="0" xfId="1" applyFont="1" applyFill="1" applyBorder="1" applyAlignment="1">
      <alignment horizontal="center"/>
    </xf>
    <xf numFmtId="0" fontId="8" fillId="2" borderId="16" xfId="1" applyFont="1" applyFill="1" applyBorder="1" applyAlignment="1"/>
    <xf numFmtId="0" fontId="8" fillId="2" borderId="25" xfId="1" applyFont="1" applyFill="1" applyBorder="1" applyAlignment="1">
      <alignment horizontal="right"/>
    </xf>
    <xf numFmtId="166" fontId="8" fillId="2" borderId="78" xfId="1" quotePrefix="1" applyNumberFormat="1" applyFont="1" applyFill="1" applyBorder="1"/>
    <xf numFmtId="166" fontId="7" fillId="2" borderId="10" xfId="1" applyNumberFormat="1" applyFont="1" applyFill="1" applyBorder="1" applyAlignment="1">
      <alignment horizontal="center"/>
    </xf>
    <xf numFmtId="166" fontId="7" fillId="2" borderId="0" xfId="1" applyNumberFormat="1" applyFont="1" applyFill="1" applyBorder="1" applyAlignment="1">
      <alignment horizontal="right"/>
    </xf>
    <xf numFmtId="0" fontId="43" fillId="0" borderId="0" xfId="1" applyFont="1" applyFill="1" applyAlignment="1">
      <alignment horizontal="center"/>
    </xf>
    <xf numFmtId="0" fontId="14" fillId="2" borderId="7" xfId="1" applyFont="1" applyFill="1" applyBorder="1" applyAlignment="1">
      <alignment horizontal="center" vertical="center"/>
    </xf>
    <xf numFmtId="166" fontId="14" fillId="2" borderId="78" xfId="1" applyNumberFormat="1" applyFont="1" applyFill="1" applyBorder="1" applyAlignment="1">
      <alignment horizontal="center" vertical="center"/>
    </xf>
    <xf numFmtId="166" fontId="14" fillId="2" borderId="17" xfId="1" applyNumberFormat="1" applyFont="1" applyFill="1" applyBorder="1" applyAlignment="1">
      <alignment horizontal="center" vertical="center"/>
    </xf>
    <xf numFmtId="166" fontId="14" fillId="2" borderId="11" xfId="1" applyNumberFormat="1" applyFont="1" applyFill="1" applyBorder="1" applyAlignment="1">
      <alignment horizontal="center" vertical="center"/>
    </xf>
    <xf numFmtId="166" fontId="14" fillId="2" borderId="0" xfId="1" applyNumberFormat="1" applyFont="1" applyFill="1" applyBorder="1" applyAlignment="1">
      <alignment horizontal="center" vertical="center"/>
    </xf>
    <xf numFmtId="166" fontId="14" fillId="2" borderId="16" xfId="1" applyNumberFormat="1" applyFont="1" applyFill="1" applyBorder="1" applyAlignment="1">
      <alignment horizontal="center" vertical="center"/>
    </xf>
    <xf numFmtId="0" fontId="15" fillId="2" borderId="0" xfId="1" applyFont="1" applyFill="1" applyBorder="1" applyAlignment="1">
      <alignment horizontal="center" vertical="center"/>
    </xf>
    <xf numFmtId="0" fontId="15" fillId="2" borderId="16" xfId="1" applyFont="1" applyFill="1" applyBorder="1" applyAlignment="1">
      <alignment horizontal="center" vertical="center"/>
    </xf>
    <xf numFmtId="0" fontId="15" fillId="2" borderId="25" xfId="1" applyFont="1" applyFill="1" applyBorder="1" applyAlignment="1">
      <alignment horizontal="center" vertical="center"/>
    </xf>
    <xf numFmtId="0" fontId="16" fillId="0" borderId="0" xfId="1" applyFont="1" applyBorder="1" applyAlignment="1">
      <alignment horizontal="center" vertical="center"/>
    </xf>
    <xf numFmtId="0" fontId="43" fillId="0" borderId="0" xfId="1" applyFont="1" applyAlignment="1">
      <alignment horizontal="center"/>
    </xf>
    <xf numFmtId="0" fontId="43" fillId="0" borderId="0" xfId="1" applyFont="1" applyBorder="1" applyAlignment="1">
      <alignment horizontal="center"/>
    </xf>
    <xf numFmtId="0" fontId="43" fillId="0" borderId="25" xfId="1" applyFont="1" applyBorder="1" applyAlignment="1">
      <alignment horizontal="center"/>
    </xf>
    <xf numFmtId="166" fontId="14" fillId="2" borderId="82" xfId="1" applyNumberFormat="1" applyFont="1" applyFill="1" applyBorder="1" applyAlignment="1">
      <alignment horizontal="center" vertical="center"/>
    </xf>
    <xf numFmtId="167" fontId="4" fillId="0" borderId="0" xfId="1" applyNumberFormat="1" applyFont="1" applyBorder="1" applyAlignment="1">
      <alignment vertical="center"/>
    </xf>
    <xf numFmtId="0" fontId="7" fillId="0" borderId="7" xfId="1" applyFont="1" applyBorder="1"/>
    <xf numFmtId="166" fontId="7" fillId="0" borderId="8" xfId="1" applyNumberFormat="1" applyFont="1" applyBorder="1" applyAlignment="1">
      <alignment horizontal="center" vertical="center"/>
    </xf>
    <xf numFmtId="166" fontId="7" fillId="0" borderId="16" xfId="1" applyNumberFormat="1" applyFont="1" applyBorder="1" applyAlignment="1">
      <alignment horizontal="center" vertical="center"/>
    </xf>
    <xf numFmtId="0" fontId="7" fillId="5" borderId="21" xfId="1" applyFont="1" applyFill="1" applyBorder="1"/>
    <xf numFmtId="0" fontId="7" fillId="5" borderId="22" xfId="1" applyFont="1" applyFill="1" applyBorder="1" applyAlignment="1">
      <alignment horizontal="centerContinuous" vertical="center"/>
    </xf>
    <xf numFmtId="0" fontId="7" fillId="5" borderId="1" xfId="1" applyFont="1" applyFill="1" applyBorder="1" applyAlignment="1">
      <alignment horizontal="centerContinuous" vertical="center"/>
    </xf>
    <xf numFmtId="166" fontId="21" fillId="0" borderId="0" xfId="1" applyNumberFormat="1" applyFont="1" applyFill="1" applyBorder="1" applyAlignment="1">
      <alignment horizontal="center" vertical="center"/>
    </xf>
    <xf numFmtId="166" fontId="48" fillId="0" borderId="0" xfId="1" applyNumberFormat="1" applyFont="1" applyFill="1" applyBorder="1" applyAlignment="1">
      <alignment horizontal="center" vertical="center"/>
    </xf>
    <xf numFmtId="166" fontId="21" fillId="0" borderId="0" xfId="1" applyNumberFormat="1" applyFont="1" applyFill="1" applyBorder="1" applyAlignment="1">
      <alignment horizontal="right" vertical="center"/>
    </xf>
    <xf numFmtId="0" fontId="21" fillId="0" borderId="0" xfId="1" applyFont="1" applyFill="1" applyBorder="1" applyAlignment="1">
      <alignment horizontal="center" vertical="center"/>
    </xf>
    <xf numFmtId="0" fontId="21" fillId="0" borderId="0" xfId="1" quotePrefix="1" applyFont="1" applyFill="1" applyBorder="1" applyAlignment="1">
      <alignment horizontal="center" vertical="center"/>
    </xf>
    <xf numFmtId="0" fontId="21" fillId="0" borderId="0" xfId="1" quotePrefix="1" applyFont="1" applyBorder="1" applyAlignment="1">
      <alignment horizontal="center" vertical="center"/>
    </xf>
    <xf numFmtId="0" fontId="4" fillId="0" borderId="0" xfId="1" quotePrefix="1" applyFont="1" applyFill="1" applyBorder="1" applyAlignment="1">
      <alignment horizontal="center" vertical="center"/>
    </xf>
    <xf numFmtId="166" fontId="33" fillId="0" borderId="0" xfId="1" applyNumberFormat="1" applyFont="1" applyFill="1" applyBorder="1" applyAlignment="1">
      <alignment horizontal="center" vertical="center"/>
    </xf>
    <xf numFmtId="166" fontId="64" fillId="0" borderId="0" xfId="1" applyNumberFormat="1" applyFont="1" applyFill="1" applyBorder="1" applyAlignment="1">
      <alignment horizontal="center" vertical="center"/>
    </xf>
    <xf numFmtId="0" fontId="64" fillId="0" borderId="0" xfId="1" applyFont="1" applyFill="1" applyBorder="1" applyAlignment="1">
      <alignment horizontal="center"/>
    </xf>
    <xf numFmtId="0" fontId="64" fillId="0" borderId="0" xfId="1" quotePrefix="1" applyFont="1" applyFill="1" applyBorder="1" applyAlignment="1">
      <alignment horizontal="right" vertical="center"/>
    </xf>
    <xf numFmtId="166" fontId="3" fillId="0" borderId="0" xfId="1" applyNumberFormat="1" applyFont="1" applyFill="1" applyBorder="1" applyAlignment="1">
      <alignment horizontal="center"/>
    </xf>
    <xf numFmtId="0" fontId="62" fillId="0" borderId="0" xfId="1" applyFont="1" applyFill="1" applyBorder="1" applyAlignment="1">
      <alignment horizontal="centerContinuous" vertical="center" readingOrder="2"/>
    </xf>
    <xf numFmtId="0" fontId="33" fillId="0" borderId="0" xfId="1" applyFont="1" applyFill="1" applyBorder="1" applyAlignment="1">
      <alignment horizontal="centerContinuous"/>
    </xf>
    <xf numFmtId="0" fontId="3" fillId="0" borderId="0" xfId="1" applyFont="1" applyFill="1" applyBorder="1" applyAlignment="1">
      <alignment horizontal="centerContinuous" vertical="center"/>
    </xf>
    <xf numFmtId="0" fontId="4" fillId="0" borderId="0" xfId="1" applyFont="1" applyFill="1" applyBorder="1" applyAlignment="1">
      <alignment horizontal="centerContinuous" vertical="center"/>
    </xf>
    <xf numFmtId="0" fontId="4" fillId="0" borderId="0" xfId="1" quotePrefix="1" applyFont="1" applyFill="1" applyBorder="1" applyAlignment="1">
      <alignment horizontal="right" vertical="center"/>
    </xf>
    <xf numFmtId="0" fontId="4" fillId="0" borderId="0" xfId="1" quotePrefix="1" applyFont="1" applyFill="1" applyBorder="1" applyAlignment="1">
      <alignment horizontal="left" vertical="center"/>
    </xf>
    <xf numFmtId="166" fontId="4" fillId="0" borderId="0" xfId="1" applyNumberFormat="1" applyFont="1" applyFill="1" applyBorder="1" applyAlignment="1">
      <alignment horizontal="centerContinuous"/>
    </xf>
    <xf numFmtId="0" fontId="27" fillId="0" borderId="0" xfId="1" applyFont="1" applyFill="1" applyBorder="1" applyAlignment="1">
      <alignment horizontal="centerContinuous" vertical="center"/>
    </xf>
    <xf numFmtId="166" fontId="4" fillId="0" borderId="0" xfId="1" applyNumberFormat="1" applyFont="1" applyFill="1" applyBorder="1" applyAlignment="1">
      <alignment horizontal="centerContinuous" vertical="center"/>
    </xf>
    <xf numFmtId="166" fontId="4" fillId="0" borderId="0" xfId="1" applyNumberFormat="1" applyFont="1" applyFill="1" applyBorder="1" applyAlignment="1">
      <alignment horizontal="right"/>
    </xf>
    <xf numFmtId="0" fontId="64" fillId="0" borderId="0" xfId="1" applyFont="1" applyFill="1" applyBorder="1" applyAlignment="1">
      <alignment horizontal="centerContinuous" vertical="center"/>
    </xf>
    <xf numFmtId="0" fontId="64" fillId="0" borderId="0" xfId="1" applyFont="1" applyFill="1" applyBorder="1" applyAlignment="1">
      <alignment horizontal="left" vertical="center"/>
    </xf>
    <xf numFmtId="0" fontId="33" fillId="0" borderId="0" xfId="1" applyFont="1" applyFill="1" applyBorder="1" applyAlignment="1">
      <alignment horizontal="centerContinuous" vertical="center"/>
    </xf>
    <xf numFmtId="0" fontId="64" fillId="0" borderId="0" xfId="1" applyFont="1" applyFill="1" applyBorder="1" applyAlignment="1">
      <alignment horizontal="right" vertical="center"/>
    </xf>
    <xf numFmtId="0" fontId="64" fillId="0" borderId="0" xfId="1" applyFont="1" applyFill="1" applyBorder="1" applyAlignment="1">
      <alignment horizontal="right" readingOrder="2"/>
    </xf>
    <xf numFmtId="0" fontId="27" fillId="0" borderId="0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right" vertical="center"/>
    </xf>
    <xf numFmtId="0" fontId="3" fillId="0" borderId="25" xfId="1" applyFont="1" applyBorder="1" applyAlignment="1">
      <alignment horizontal="center"/>
    </xf>
    <xf numFmtId="166" fontId="43" fillId="0" borderId="0" xfId="1" applyNumberFormat="1" applyFont="1" applyFill="1" applyBorder="1" applyAlignment="1">
      <alignment horizontal="center" vertical="center"/>
    </xf>
    <xf numFmtId="0" fontId="43" fillId="0" borderId="0" xfId="1" applyFont="1" applyFill="1" applyBorder="1" applyAlignment="1">
      <alignment horizontal="center" vertical="center"/>
    </xf>
    <xf numFmtId="0" fontId="43" fillId="0" borderId="0" xfId="1" applyFont="1" applyFill="1" applyBorder="1" applyAlignment="1">
      <alignment horizontal="center"/>
    </xf>
    <xf numFmtId="0" fontId="16" fillId="0" borderId="0" xfId="1" applyFont="1" applyFill="1" applyBorder="1" applyAlignment="1">
      <alignment horizontal="center" vertical="center"/>
    </xf>
    <xf numFmtId="3" fontId="4" fillId="0" borderId="0" xfId="1" applyNumberFormat="1" applyFont="1" applyFill="1" applyBorder="1" applyAlignment="1">
      <alignment horizontal="center" vertical="center"/>
    </xf>
    <xf numFmtId="167" fontId="4" fillId="0" borderId="0" xfId="1" applyNumberFormat="1" applyFont="1" applyFill="1" applyBorder="1" applyAlignment="1">
      <alignment horizontal="center" vertical="center"/>
    </xf>
    <xf numFmtId="0" fontId="3" fillId="0" borderId="0" xfId="1" applyFont="1" applyBorder="1" applyAlignment="1">
      <alignment horizontal="centerContinuous"/>
    </xf>
    <xf numFmtId="167" fontId="4" fillId="0" borderId="0" xfId="1" applyNumberFormat="1" applyFont="1" applyBorder="1"/>
    <xf numFmtId="167" fontId="4" fillId="0" borderId="0" xfId="1" applyNumberFormat="1" applyFont="1" applyFill="1" applyBorder="1" applyAlignment="1">
      <alignment horizontal="center"/>
    </xf>
    <xf numFmtId="167" fontId="4" fillId="0" borderId="0" xfId="1" quotePrefix="1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right" vertical="center" readingOrder="1"/>
    </xf>
    <xf numFmtId="0" fontId="3" fillId="0" borderId="0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right" vertical="center"/>
    </xf>
    <xf numFmtId="166" fontId="21" fillId="0" borderId="0" xfId="1" applyNumberFormat="1" applyFont="1" applyBorder="1" applyAlignment="1">
      <alignment horizontal="center" vertical="center"/>
    </xf>
    <xf numFmtId="166" fontId="48" fillId="0" borderId="0" xfId="1" applyNumberFormat="1" applyFont="1" applyBorder="1" applyAlignment="1">
      <alignment horizontal="center" vertical="center"/>
    </xf>
    <xf numFmtId="166" fontId="3" fillId="0" borderId="0" xfId="1" applyNumberFormat="1" applyFont="1" applyBorder="1" applyAlignment="1">
      <alignment horizontal="center"/>
    </xf>
    <xf numFmtId="167" fontId="3" fillId="0" borderId="0" xfId="1" quotePrefix="1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right" vertical="center"/>
    </xf>
    <xf numFmtId="167" fontId="4" fillId="0" borderId="0" xfId="1" quotePrefix="1" applyNumberFormat="1" applyFont="1" applyFill="1" applyBorder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6" fontId="4" fillId="0" borderId="0" xfId="1" applyNumberFormat="1" applyFont="1" applyBorder="1" applyAlignment="1">
      <alignment horizontal="center"/>
    </xf>
    <xf numFmtId="2" fontId="4" fillId="0" borderId="0" xfId="1" applyNumberFormat="1" applyFont="1" applyBorder="1" applyAlignment="1">
      <alignment horizontal="center"/>
    </xf>
    <xf numFmtId="166" fontId="4" fillId="0" borderId="0" xfId="1" applyNumberFormat="1" applyFont="1" applyBorder="1" applyAlignment="1">
      <alignment horizontal="center" vertical="center"/>
    </xf>
    <xf numFmtId="0" fontId="21" fillId="0" borderId="0" xfId="1" applyFont="1" applyFill="1" applyBorder="1" applyAlignment="1">
      <alignment vertical="center"/>
    </xf>
    <xf numFmtId="0" fontId="21" fillId="0" borderId="0" xfId="1" applyFont="1" applyFill="1" applyBorder="1" applyAlignment="1"/>
    <xf numFmtId="0" fontId="21" fillId="0" borderId="0" xfId="1" applyFont="1" applyFill="1" applyBorder="1" applyAlignment="1">
      <alignment horizontal="right"/>
    </xf>
    <xf numFmtId="166" fontId="4" fillId="0" borderId="0" xfId="1" applyNumberFormat="1" applyFont="1" applyBorder="1" applyAlignment="1">
      <alignment vertical="center"/>
    </xf>
    <xf numFmtId="166" fontId="3" fillId="0" borderId="0" xfId="1" applyNumberFormat="1" applyFont="1" applyBorder="1" applyAlignment="1">
      <alignment vertical="center"/>
    </xf>
    <xf numFmtId="0" fontId="4" fillId="0" borderId="0" xfId="1" applyFont="1" applyBorder="1" applyAlignment="1">
      <alignment horizontal="left" vertical="center"/>
    </xf>
    <xf numFmtId="0" fontId="4" fillId="0" borderId="0" xfId="1" quotePrefix="1" applyFont="1" applyBorder="1" applyAlignment="1">
      <alignment horizontal="left" vertical="center"/>
    </xf>
    <xf numFmtId="0" fontId="3" fillId="0" borderId="0" xfId="1" quotePrefix="1" applyFont="1" applyBorder="1" applyAlignment="1">
      <alignment horizontal="left" vertical="center"/>
    </xf>
    <xf numFmtId="0" fontId="3" fillId="0" borderId="0" xfId="1" quotePrefix="1" applyFont="1" applyBorder="1" applyAlignment="1">
      <alignment horizontal="center" vertical="center"/>
    </xf>
    <xf numFmtId="0" fontId="4" fillId="0" borderId="1" xfId="1" applyFont="1" applyBorder="1" applyAlignment="1">
      <alignment horizontal="left" vertical="center"/>
    </xf>
    <xf numFmtId="0" fontId="3" fillId="0" borderId="1" xfId="1" applyFont="1" applyBorder="1" applyAlignment="1">
      <alignment vertical="center"/>
    </xf>
    <xf numFmtId="0" fontId="4" fillId="0" borderId="1" xfId="1" applyFont="1" applyBorder="1" applyAlignment="1">
      <alignment horizontal="center" vertical="center"/>
    </xf>
    <xf numFmtId="166" fontId="3" fillId="0" borderId="1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0" fontId="3" fillId="0" borderId="33" xfId="1" applyFont="1" applyBorder="1"/>
    <xf numFmtId="0" fontId="3" fillId="0" borderId="4" xfId="1" applyFont="1" applyBorder="1"/>
    <xf numFmtId="0" fontId="3" fillId="0" borderId="0" xfId="1" quotePrefix="1" applyFont="1" applyAlignment="1">
      <alignment horizontal="center"/>
    </xf>
    <xf numFmtId="0" fontId="62" fillId="0" borderId="0" xfId="1" applyFont="1" applyBorder="1" applyAlignment="1">
      <alignment horizontal="centerContinuous" vertical="center"/>
    </xf>
    <xf numFmtId="0" fontId="6" fillId="0" borderId="0" xfId="1" applyFont="1" applyBorder="1" applyAlignment="1">
      <alignment horizontal="centerContinuous" vertical="center"/>
    </xf>
    <xf numFmtId="0" fontId="27" fillId="0" borderId="0" xfId="1" applyFont="1" applyBorder="1" applyAlignment="1">
      <alignment horizontal="centerContinuous" vertical="center"/>
    </xf>
    <xf numFmtId="0" fontId="66" fillId="0" borderId="0" xfId="1" applyFont="1" applyBorder="1" applyAlignment="1">
      <alignment horizontal="centerContinuous" vertical="center"/>
    </xf>
    <xf numFmtId="0" fontId="27" fillId="0" borderId="0" xfId="1" applyFont="1" applyAlignment="1">
      <alignment horizontal="centerContinuous" vertical="center"/>
    </xf>
    <xf numFmtId="0" fontId="8" fillId="0" borderId="0" xfId="1" applyFont="1" applyAlignment="1">
      <alignment horizontal="right" vertical="center"/>
    </xf>
    <xf numFmtId="0" fontId="129" fillId="0" borderId="0" xfId="0" applyFont="1"/>
    <xf numFmtId="0" fontId="8" fillId="9" borderId="5" xfId="1" applyFont="1" applyFill="1" applyBorder="1" applyAlignment="1">
      <alignment horizontal="center" vertical="center"/>
    </xf>
    <xf numFmtId="0" fontId="7" fillId="9" borderId="11" xfId="1" applyFont="1" applyFill="1" applyBorder="1" applyAlignment="1">
      <alignment horizontal="center"/>
    </xf>
    <xf numFmtId="167" fontId="7" fillId="9" borderId="11" xfId="1" applyNumberFormat="1" applyFont="1" applyFill="1" applyBorder="1" applyAlignment="1">
      <alignment horizontal="center" vertical="center"/>
    </xf>
    <xf numFmtId="0" fontId="7" fillId="9" borderId="11" xfId="1" applyFont="1" applyFill="1" applyBorder="1" applyAlignment="1">
      <alignment horizontal="center" vertical="center"/>
    </xf>
    <xf numFmtId="0" fontId="7" fillId="9" borderId="19" xfId="1" applyFont="1" applyFill="1" applyBorder="1" applyAlignment="1">
      <alignment horizontal="center" vertical="center"/>
    </xf>
    <xf numFmtId="167" fontId="8" fillId="8" borderId="37" xfId="1" applyNumberFormat="1" applyFont="1" applyFill="1" applyBorder="1" applyAlignment="1">
      <alignment horizontal="center" vertical="center"/>
    </xf>
    <xf numFmtId="166" fontId="8" fillId="8" borderId="0" xfId="1" applyNumberFormat="1" applyFont="1" applyFill="1" applyBorder="1" applyAlignment="1">
      <alignment horizontal="center" vertical="center"/>
    </xf>
    <xf numFmtId="166" fontId="8" fillId="8" borderId="10" xfId="1" applyNumberFormat="1" applyFont="1" applyFill="1" applyBorder="1" applyAlignment="1">
      <alignment horizontal="center" vertical="center"/>
    </xf>
    <xf numFmtId="167" fontId="8" fillId="5" borderId="11" xfId="1" applyNumberFormat="1" applyFont="1" applyFill="1" applyBorder="1" applyAlignment="1">
      <alignment horizontal="center" vertical="center"/>
    </xf>
    <xf numFmtId="0" fontId="7" fillId="8" borderId="7" xfId="1" applyFont="1" applyFill="1" applyBorder="1" applyAlignment="1">
      <alignment vertical="center"/>
    </xf>
    <xf numFmtId="166" fontId="7" fillId="8" borderId="0" xfId="1" applyNumberFormat="1" applyFont="1" applyFill="1" applyBorder="1" applyAlignment="1">
      <alignment horizontal="right" vertical="center" readingOrder="1"/>
    </xf>
    <xf numFmtId="0" fontId="8" fillId="8" borderId="0" xfId="1" applyFont="1" applyFill="1" applyBorder="1" applyAlignment="1">
      <alignment horizontal="right" vertical="center"/>
    </xf>
    <xf numFmtId="167" fontId="7" fillId="8" borderId="11" xfId="1" applyNumberFormat="1" applyFont="1" applyFill="1" applyBorder="1" applyAlignment="1">
      <alignment horizontal="center" vertical="center"/>
    </xf>
    <xf numFmtId="166" fontId="7" fillId="8" borderId="0" xfId="1" applyNumberFormat="1" applyFont="1" applyFill="1" applyBorder="1" applyAlignment="1">
      <alignment horizontal="center" vertical="center"/>
    </xf>
    <xf numFmtId="166" fontId="7" fillId="8" borderId="17" xfId="1" applyNumberFormat="1" applyFont="1" applyFill="1" applyBorder="1" applyAlignment="1">
      <alignment horizontal="center" vertical="center"/>
    </xf>
    <xf numFmtId="167" fontId="7" fillId="5" borderId="11" xfId="1" applyNumberFormat="1" applyFont="1" applyFill="1" applyBorder="1" applyAlignment="1">
      <alignment horizontal="center" vertical="center"/>
    </xf>
    <xf numFmtId="0" fontId="7" fillId="8" borderId="0" xfId="1" applyFont="1" applyFill="1" applyBorder="1" applyAlignment="1">
      <alignment horizontal="right" vertical="center"/>
    </xf>
    <xf numFmtId="0" fontId="7" fillId="8" borderId="0" xfId="1" applyFont="1" applyFill="1" applyBorder="1" applyAlignment="1">
      <alignment vertical="center"/>
    </xf>
    <xf numFmtId="166" fontId="7" fillId="8" borderId="0" xfId="1" applyNumberFormat="1" applyFont="1" applyFill="1" applyAlignment="1">
      <alignment horizontal="center" vertical="center"/>
    </xf>
    <xf numFmtId="0" fontId="8" fillId="5" borderId="17" xfId="1" applyFont="1" applyFill="1" applyBorder="1" applyAlignment="1">
      <alignment vertical="center"/>
    </xf>
    <xf numFmtId="167" fontId="7" fillId="5" borderId="11" xfId="1" quotePrefix="1" applyNumberFormat="1" applyFont="1" applyFill="1" applyBorder="1" applyAlignment="1">
      <alignment horizontal="center" vertical="center"/>
    </xf>
    <xf numFmtId="0" fontId="7" fillId="8" borderId="7" xfId="1" applyFont="1" applyFill="1" applyBorder="1" applyAlignment="1">
      <alignment horizontal="right" vertical="center"/>
    </xf>
    <xf numFmtId="166" fontId="7" fillId="8" borderId="0" xfId="1" applyNumberFormat="1" applyFont="1" applyFill="1" applyBorder="1" applyAlignment="1">
      <alignment horizontal="right" vertical="center"/>
    </xf>
    <xf numFmtId="167" fontId="7" fillId="8" borderId="11" xfId="1" quotePrefix="1" applyNumberFormat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horizontal="right" vertical="center"/>
    </xf>
    <xf numFmtId="0" fontId="7" fillId="5" borderId="17" xfId="1" applyFont="1" applyFill="1" applyBorder="1" applyAlignment="1">
      <alignment vertical="center"/>
    </xf>
    <xf numFmtId="0" fontId="8" fillId="8" borderId="38" xfId="1" applyFont="1" applyFill="1" applyBorder="1" applyAlignment="1">
      <alignment vertical="center"/>
    </xf>
    <xf numFmtId="0" fontId="8" fillId="8" borderId="14" xfId="1" applyFont="1" applyFill="1" applyBorder="1" applyAlignment="1">
      <alignment vertical="center"/>
    </xf>
    <xf numFmtId="0" fontId="8" fillId="8" borderId="15" xfId="1" applyFont="1" applyFill="1" applyBorder="1" applyAlignment="1">
      <alignment vertical="center"/>
    </xf>
    <xf numFmtId="167" fontId="8" fillId="8" borderId="11" xfId="1" applyNumberFormat="1" applyFont="1" applyFill="1" applyBorder="1" applyAlignment="1">
      <alignment horizontal="center" vertical="center"/>
    </xf>
    <xf numFmtId="166" fontId="8" fillId="8" borderId="17" xfId="1" applyNumberFormat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right" vertical="center"/>
    </xf>
    <xf numFmtId="0" fontId="20" fillId="0" borderId="0" xfId="1" applyFont="1" applyFill="1" applyBorder="1" applyAlignment="1">
      <alignment horizontal="right" vertical="center"/>
    </xf>
    <xf numFmtId="0" fontId="28" fillId="0" borderId="0" xfId="1" applyFont="1" applyFill="1" applyBorder="1" applyAlignment="1">
      <alignment horizontal="right" vertical="center"/>
    </xf>
    <xf numFmtId="0" fontId="20" fillId="0" borderId="0" xfId="1" applyFont="1" applyFill="1" applyBorder="1" applyAlignment="1">
      <alignment vertical="center"/>
    </xf>
    <xf numFmtId="0" fontId="130" fillId="0" borderId="0" xfId="0" applyFont="1"/>
    <xf numFmtId="0" fontId="130" fillId="0" borderId="0" xfId="0" applyFont="1" applyAlignment="1">
      <alignment vertical="center"/>
    </xf>
    <xf numFmtId="0" fontId="21" fillId="0" borderId="0" xfId="1" applyFont="1" applyBorder="1" applyAlignment="1">
      <alignment vertical="center"/>
    </xf>
    <xf numFmtId="0" fontId="3" fillId="0" borderId="0" xfId="4" applyFont="1" applyFill="1" applyAlignment="1">
      <alignment readingOrder="1"/>
    </xf>
    <xf numFmtId="0" fontId="3" fillId="0" borderId="0" xfId="4" applyFont="1" applyFill="1" applyBorder="1" applyAlignment="1">
      <alignment readingOrder="1"/>
    </xf>
    <xf numFmtId="0" fontId="4" fillId="0" borderId="0" xfId="4" applyFont="1" applyFill="1" applyAlignment="1">
      <alignment horizontal="centerContinuous" vertical="center" readingOrder="1"/>
    </xf>
    <xf numFmtId="0" fontId="131" fillId="0" borderId="0" xfId="4" applyFont="1" applyFill="1" applyAlignment="1">
      <alignment vertical="center"/>
    </xf>
    <xf numFmtId="0" fontId="132" fillId="0" borderId="0" xfId="4" applyFont="1" applyFill="1" applyAlignment="1">
      <alignment vertical="center"/>
    </xf>
    <xf numFmtId="0" fontId="28" fillId="0" borderId="0" xfId="4" applyFont="1" applyFill="1"/>
    <xf numFmtId="0" fontId="28" fillId="0" borderId="0" xfId="4" applyFont="1" applyFill="1" applyAlignment="1">
      <alignment horizontal="left" vertical="center" readingOrder="1"/>
    </xf>
    <xf numFmtId="0" fontId="28" fillId="0" borderId="0" xfId="4" applyFont="1" applyFill="1" applyBorder="1" applyAlignment="1">
      <alignment readingOrder="1"/>
    </xf>
    <xf numFmtId="0" fontId="64" fillId="0" borderId="0" xfId="4" applyFont="1" applyFill="1"/>
    <xf numFmtId="0" fontId="20" fillId="0" borderId="0" xfId="4" applyFont="1" applyFill="1" applyBorder="1" applyAlignment="1">
      <alignment readingOrder="1"/>
    </xf>
    <xf numFmtId="0" fontId="20" fillId="0" borderId="0" xfId="4" applyFont="1" applyFill="1" applyBorder="1" applyAlignment="1">
      <alignment horizontal="right" readingOrder="1"/>
    </xf>
    <xf numFmtId="0" fontId="7" fillId="2" borderId="5" xfId="4" applyFont="1" applyFill="1" applyBorder="1" applyAlignment="1">
      <alignment readingOrder="1"/>
    </xf>
    <xf numFmtId="167" fontId="7" fillId="2" borderId="11" xfId="4" applyNumberFormat="1" applyFont="1" applyFill="1" applyBorder="1" applyAlignment="1">
      <alignment horizontal="center" vertical="center" readingOrder="1"/>
    </xf>
    <xf numFmtId="0" fontId="7" fillId="2" borderId="11" xfId="4" applyFont="1" applyFill="1" applyBorder="1" applyAlignment="1">
      <alignment horizontal="center" vertical="center" readingOrder="1"/>
    </xf>
    <xf numFmtId="0" fontId="8" fillId="4" borderId="105" xfId="4" applyFont="1" applyFill="1" applyBorder="1" applyAlignment="1">
      <alignment vertical="center" readingOrder="1"/>
    </xf>
    <xf numFmtId="166" fontId="8" fillId="4" borderId="8" xfId="4" applyNumberFormat="1" applyFont="1" applyFill="1" applyBorder="1" applyAlignment="1">
      <alignment horizontal="center" vertical="center" readingOrder="1"/>
    </xf>
    <xf numFmtId="166" fontId="8" fillId="4" borderId="37" xfId="4" applyNumberFormat="1" applyFont="1" applyFill="1" applyBorder="1" applyAlignment="1">
      <alignment horizontal="center" vertical="center" readingOrder="1"/>
    </xf>
    <xf numFmtId="166" fontId="8" fillId="4" borderId="9" xfId="4" applyNumberFormat="1" applyFont="1" applyFill="1" applyBorder="1" applyAlignment="1">
      <alignment horizontal="center" vertical="center" readingOrder="1"/>
    </xf>
    <xf numFmtId="166" fontId="8" fillId="4" borderId="0" xfId="4" applyNumberFormat="1" applyFont="1" applyFill="1" applyBorder="1" applyAlignment="1">
      <alignment horizontal="center" vertical="center" readingOrder="1"/>
    </xf>
    <xf numFmtId="167" fontId="8" fillId="4" borderId="37" xfId="4" applyNumberFormat="1" applyFont="1" applyFill="1" applyBorder="1" applyAlignment="1">
      <alignment horizontal="center" vertical="center" readingOrder="1"/>
    </xf>
    <xf numFmtId="0" fontId="8" fillId="4" borderId="25" xfId="4" applyFont="1" applyFill="1" applyBorder="1" applyAlignment="1">
      <alignment horizontal="right" vertical="center" readingOrder="1"/>
    </xf>
    <xf numFmtId="0" fontId="8" fillId="4" borderId="0" xfId="4" applyFont="1" applyFill="1" applyBorder="1" applyAlignment="1">
      <alignment horizontal="right" vertical="center" readingOrder="1"/>
    </xf>
    <xf numFmtId="0" fontId="8" fillId="4" borderId="0" xfId="4" applyFont="1" applyFill="1" applyBorder="1" applyAlignment="1">
      <alignment horizontal="center" vertical="center" readingOrder="1"/>
    </xf>
    <xf numFmtId="0" fontId="8" fillId="4" borderId="25" xfId="4" applyFont="1" applyFill="1" applyBorder="1" applyAlignment="1">
      <alignment horizontal="right" vertical="center"/>
    </xf>
    <xf numFmtId="0" fontId="8" fillId="5" borderId="7" xfId="4" applyFont="1" applyFill="1" applyBorder="1" applyAlignment="1">
      <alignment vertical="center" readingOrder="1"/>
    </xf>
    <xf numFmtId="166" fontId="8" fillId="5" borderId="16" xfId="4" applyNumberFormat="1" applyFont="1" applyFill="1" applyBorder="1" applyAlignment="1">
      <alignment horizontal="center" vertical="center" readingOrder="1"/>
    </xf>
    <xf numFmtId="166" fontId="8" fillId="5" borderId="11" xfId="4" applyNumberFormat="1" applyFont="1" applyFill="1" applyBorder="1" applyAlignment="1">
      <alignment horizontal="center" vertical="center" readingOrder="1"/>
    </xf>
    <xf numFmtId="166" fontId="8" fillId="5" borderId="0" xfId="4" applyNumberFormat="1" applyFont="1" applyFill="1" applyBorder="1" applyAlignment="1">
      <alignment horizontal="center" vertical="center" readingOrder="1"/>
    </xf>
    <xf numFmtId="167" fontId="8" fillId="5" borderId="11" xfId="4" applyNumberFormat="1" applyFont="1" applyFill="1" applyBorder="1" applyAlignment="1">
      <alignment horizontal="center" vertical="center" readingOrder="1"/>
    </xf>
    <xf numFmtId="0" fontId="8" fillId="5" borderId="25" xfId="4" applyFont="1" applyFill="1" applyBorder="1" applyAlignment="1">
      <alignment horizontal="right" vertical="center" readingOrder="1"/>
    </xf>
    <xf numFmtId="0" fontId="8" fillId="5" borderId="0" xfId="4" applyFont="1" applyFill="1" applyBorder="1" applyAlignment="1">
      <alignment horizontal="right" vertical="center" readingOrder="1"/>
    </xf>
    <xf numFmtId="0" fontId="7" fillId="5" borderId="25" xfId="4" applyFont="1" applyFill="1" applyBorder="1" applyAlignment="1">
      <alignment vertical="center" readingOrder="1"/>
    </xf>
    <xf numFmtId="166" fontId="7" fillId="4" borderId="7" xfId="4" applyNumberFormat="1" applyFont="1" applyFill="1" applyBorder="1" applyAlignment="1">
      <alignment vertical="center" readingOrder="1"/>
    </xf>
    <xf numFmtId="166" fontId="7" fillId="4" borderId="16" xfId="4" applyNumberFormat="1" applyFont="1" applyFill="1" applyBorder="1" applyAlignment="1">
      <alignment horizontal="center" vertical="center" readingOrder="1"/>
    </xf>
    <xf numFmtId="166" fontId="7" fillId="4" borderId="11" xfId="4" applyNumberFormat="1" applyFont="1" applyFill="1" applyBorder="1" applyAlignment="1">
      <alignment horizontal="center" vertical="center" readingOrder="1"/>
    </xf>
    <xf numFmtId="166" fontId="7" fillId="4" borderId="0" xfId="4" applyNumberFormat="1" applyFont="1" applyFill="1" applyBorder="1" applyAlignment="1">
      <alignment horizontal="center" vertical="center" readingOrder="1"/>
    </xf>
    <xf numFmtId="167" fontId="7" fillId="4" borderId="11" xfId="4" applyNumberFormat="1" applyFont="1" applyFill="1" applyBorder="1" applyAlignment="1">
      <alignment horizontal="center" vertical="center" readingOrder="1"/>
    </xf>
    <xf numFmtId="0" fontId="7" fillId="4" borderId="25" xfId="4" applyFont="1" applyFill="1" applyBorder="1" applyAlignment="1">
      <alignment horizontal="right" vertical="center" readingOrder="1"/>
    </xf>
    <xf numFmtId="166" fontId="7" fillId="4" borderId="0" xfId="4" applyNumberFormat="1" applyFont="1" applyFill="1" applyBorder="1" applyAlignment="1">
      <alignment horizontal="right" vertical="center" readingOrder="1"/>
    </xf>
    <xf numFmtId="0" fontId="7" fillId="4" borderId="25" xfId="4" applyFont="1" applyFill="1" applyBorder="1" applyAlignment="1">
      <alignment vertical="center" readingOrder="1"/>
    </xf>
    <xf numFmtId="0" fontId="7" fillId="5" borderId="7" xfId="4" applyFont="1" applyFill="1" applyBorder="1" applyAlignment="1">
      <alignment vertical="center" readingOrder="1"/>
    </xf>
    <xf numFmtId="166" fontId="7" fillId="5" borderId="16" xfId="4" applyNumberFormat="1" applyFont="1" applyFill="1" applyBorder="1" applyAlignment="1">
      <alignment horizontal="center" vertical="center" readingOrder="1"/>
    </xf>
    <xf numFmtId="166" fontId="7" fillId="5" borderId="11" xfId="4" applyNumberFormat="1" applyFont="1" applyFill="1" applyBorder="1" applyAlignment="1">
      <alignment horizontal="center" vertical="center" readingOrder="1"/>
    </xf>
    <xf numFmtId="166" fontId="7" fillId="5" borderId="0" xfId="4" applyNumberFormat="1" applyFont="1" applyFill="1" applyBorder="1" applyAlignment="1">
      <alignment horizontal="center" vertical="center" readingOrder="1"/>
    </xf>
    <xf numFmtId="167" fontId="7" fillId="5" borderId="11" xfId="4" applyNumberFormat="1" applyFont="1" applyFill="1" applyBorder="1" applyAlignment="1">
      <alignment horizontal="center" vertical="center" readingOrder="1"/>
    </xf>
    <xf numFmtId="166" fontId="7" fillId="5" borderId="0" xfId="4" applyNumberFormat="1" applyFont="1" applyFill="1" applyBorder="1" applyAlignment="1">
      <alignment horizontal="right" vertical="center" readingOrder="1"/>
    </xf>
    <xf numFmtId="0" fontId="7" fillId="4" borderId="7" xfId="4" applyFont="1" applyFill="1" applyBorder="1" applyAlignment="1">
      <alignment vertical="center" readingOrder="1"/>
    </xf>
    <xf numFmtId="0" fontId="7" fillId="4" borderId="0" xfId="4" applyFont="1" applyFill="1" applyBorder="1" applyAlignment="1">
      <alignment horizontal="right" vertical="center" readingOrder="1"/>
    </xf>
    <xf numFmtId="0" fontId="8" fillId="4" borderId="7" xfId="4" applyFont="1" applyFill="1" applyBorder="1" applyAlignment="1">
      <alignment vertical="center" readingOrder="1"/>
    </xf>
    <xf numFmtId="166" fontId="8" fillId="4" borderId="16" xfId="4" applyNumberFormat="1" applyFont="1" applyFill="1" applyBorder="1" applyAlignment="1">
      <alignment horizontal="center" vertical="center" readingOrder="1"/>
    </xf>
    <xf numFmtId="166" fontId="8" fillId="4" borderId="11" xfId="4" applyNumberFormat="1" applyFont="1" applyFill="1" applyBorder="1" applyAlignment="1">
      <alignment horizontal="center" vertical="center" readingOrder="1"/>
    </xf>
    <xf numFmtId="167" fontId="8" fillId="4" borderId="11" xfId="4" applyNumberFormat="1" applyFont="1" applyFill="1" applyBorder="1" applyAlignment="1">
      <alignment horizontal="center" vertical="center" readingOrder="1"/>
    </xf>
    <xf numFmtId="167" fontId="7" fillId="4" borderId="11" xfId="4" quotePrefix="1" applyNumberFormat="1" applyFont="1" applyFill="1" applyBorder="1" applyAlignment="1">
      <alignment horizontal="center" vertical="center" readingOrder="1"/>
    </xf>
    <xf numFmtId="0" fontId="7" fillId="5" borderId="7" xfId="4" applyFont="1" applyFill="1" applyBorder="1" applyAlignment="1">
      <alignment horizontal="left" vertical="center" readingOrder="1"/>
    </xf>
    <xf numFmtId="0" fontId="7" fillId="4" borderId="7" xfId="4" applyFont="1" applyFill="1" applyBorder="1" applyAlignment="1">
      <alignment horizontal="left" vertical="center" readingOrder="1"/>
    </xf>
    <xf numFmtId="166" fontId="7" fillId="4" borderId="7" xfId="4" applyNumberFormat="1" applyFont="1" applyFill="1" applyBorder="1" applyAlignment="1">
      <alignment horizontal="left" vertical="center" readingOrder="1"/>
    </xf>
    <xf numFmtId="166" fontId="7" fillId="5" borderId="7" xfId="4" applyNumberFormat="1" applyFont="1" applyFill="1" applyBorder="1" applyAlignment="1">
      <alignment horizontal="left" vertical="center" readingOrder="1"/>
    </xf>
    <xf numFmtId="0" fontId="7" fillId="5" borderId="0" xfId="4" applyFont="1" applyFill="1" applyBorder="1" applyAlignment="1">
      <alignment horizontal="right" vertical="center" readingOrder="1"/>
    </xf>
    <xf numFmtId="0" fontId="7" fillId="4" borderId="0" xfId="4" applyFont="1" applyFill="1" applyAlignment="1">
      <alignment vertical="center" readingOrder="1"/>
    </xf>
    <xf numFmtId="167" fontId="7" fillId="4" borderId="25" xfId="4" applyNumberFormat="1" applyFont="1" applyFill="1" applyBorder="1" applyAlignment="1">
      <alignment vertical="center" readingOrder="1"/>
    </xf>
    <xf numFmtId="0" fontId="8" fillId="5" borderId="7" xfId="4" applyFont="1" applyFill="1" applyBorder="1" applyAlignment="1">
      <alignment horizontal="left" vertical="center" readingOrder="1"/>
    </xf>
    <xf numFmtId="0" fontId="8" fillId="4" borderId="7" xfId="4" applyFont="1" applyFill="1" applyBorder="1" applyAlignment="1">
      <alignment horizontal="left" vertical="center" readingOrder="1"/>
    </xf>
    <xf numFmtId="0" fontId="8" fillId="4" borderId="7" xfId="4" applyFont="1" applyFill="1" applyBorder="1" applyAlignment="1">
      <alignment horizontal="right" vertical="center" readingOrder="1"/>
    </xf>
    <xf numFmtId="166" fontId="8" fillId="5" borderId="5" xfId="4" applyNumberFormat="1" applyFont="1" applyFill="1" applyBorder="1" applyAlignment="1">
      <alignment horizontal="center" vertical="center" readingOrder="1"/>
    </xf>
    <xf numFmtId="166" fontId="8" fillId="5" borderId="4" xfId="4" applyNumberFormat="1" applyFont="1" applyFill="1" applyBorder="1" applyAlignment="1">
      <alignment horizontal="center" vertical="center" readingOrder="1"/>
    </xf>
    <xf numFmtId="166" fontId="8" fillId="5" borderId="32" xfId="4" applyNumberFormat="1" applyFont="1" applyFill="1" applyBorder="1" applyAlignment="1">
      <alignment vertical="center" readingOrder="1"/>
    </xf>
    <xf numFmtId="166" fontId="8" fillId="5" borderId="1" xfId="4" applyNumberFormat="1" applyFont="1" applyFill="1" applyBorder="1" applyAlignment="1">
      <alignment horizontal="center" vertical="center" readingOrder="1"/>
    </xf>
    <xf numFmtId="0" fontId="19" fillId="0" borderId="0" xfId="4" applyFont="1" applyFill="1" applyBorder="1" applyAlignment="1">
      <alignment readingOrder="1"/>
    </xf>
    <xf numFmtId="0" fontId="19" fillId="0" borderId="0" xfId="4" applyFont="1" applyFill="1" applyAlignment="1">
      <alignment vertical="center" readingOrder="1"/>
    </xf>
    <xf numFmtId="0" fontId="19" fillId="0" borderId="0" xfId="4" applyFont="1" applyFill="1" applyBorder="1" applyAlignment="1">
      <alignment vertical="center" readingOrder="1"/>
    </xf>
    <xf numFmtId="0" fontId="20" fillId="0" borderId="0" xfId="4" applyFont="1" applyFill="1" applyBorder="1" applyAlignment="1">
      <alignment horizontal="right" readingOrder="2"/>
    </xf>
    <xf numFmtId="0" fontId="20" fillId="0" borderId="0" xfId="4" applyFont="1" applyAlignment="1">
      <alignment readingOrder="2"/>
    </xf>
    <xf numFmtId="0" fontId="20" fillId="0" borderId="0" xfId="4" applyFont="1" applyFill="1" applyBorder="1" applyAlignment="1">
      <alignment readingOrder="2"/>
    </xf>
    <xf numFmtId="0" fontId="20" fillId="0" borderId="0" xfId="4" quotePrefix="1" applyFont="1" applyAlignment="1">
      <alignment horizontal="right" vertical="center" readingOrder="2"/>
    </xf>
    <xf numFmtId="0" fontId="20" fillId="0" borderId="0" xfId="4" applyFont="1" applyFill="1" applyAlignment="1">
      <alignment vertical="center" readingOrder="2"/>
    </xf>
    <xf numFmtId="0" fontId="3" fillId="0" borderId="0" xfId="4" applyFont="1" applyFill="1" applyAlignment="1">
      <alignment vertical="center" readingOrder="1"/>
    </xf>
    <xf numFmtId="0" fontId="3" fillId="0" borderId="0" xfId="4" applyFont="1" applyFill="1" applyBorder="1" applyAlignment="1">
      <alignment readingOrder="2"/>
    </xf>
    <xf numFmtId="0" fontId="6" fillId="0" borderId="0" xfId="1" applyFont="1" applyAlignment="1">
      <alignment vertical="center"/>
    </xf>
    <xf numFmtId="0" fontId="66" fillId="0" borderId="0" xfId="1" applyFont="1" applyBorder="1" applyAlignment="1">
      <alignment vertical="center"/>
    </xf>
    <xf numFmtId="0" fontId="33" fillId="0" borderId="0" xfId="1" applyFont="1" applyBorder="1" applyAlignment="1">
      <alignment vertical="center"/>
    </xf>
    <xf numFmtId="166" fontId="3" fillId="0" borderId="0" xfId="1" applyNumberFormat="1" applyFont="1" applyAlignment="1">
      <alignment horizontal="center" vertical="center"/>
    </xf>
    <xf numFmtId="166" fontId="4" fillId="0" borderId="0" xfId="1" applyNumberFormat="1" applyFont="1" applyAlignment="1">
      <alignment horizontal="center" vertical="center"/>
    </xf>
    <xf numFmtId="0" fontId="21" fillId="0" borderId="0" xfId="1" applyFont="1" applyAlignment="1">
      <alignment horizontal="right"/>
    </xf>
    <xf numFmtId="0" fontId="7" fillId="0" borderId="0" xfId="1" applyFont="1" applyAlignment="1">
      <alignment horizontal="right" vertical="center"/>
    </xf>
    <xf numFmtId="0" fontId="62" fillId="0" borderId="0" xfId="1" applyFont="1" applyAlignment="1">
      <alignment horizontal="centerContinuous" vertical="center"/>
    </xf>
    <xf numFmtId="0" fontId="6" fillId="0" borderId="0" xfId="1" applyFont="1" applyBorder="1" applyAlignment="1">
      <alignment vertical="center"/>
    </xf>
    <xf numFmtId="0" fontId="64" fillId="0" borderId="0" xfId="1" applyFont="1" applyAlignment="1">
      <alignment horizontal="left" vertical="center"/>
    </xf>
    <xf numFmtId="0" fontId="28" fillId="0" borderId="0" xfId="1" applyFont="1" applyAlignment="1">
      <alignment horizontal="centerContinuous" vertical="center"/>
    </xf>
    <xf numFmtId="0" fontId="20" fillId="0" borderId="0" xfId="1" applyFont="1" applyAlignment="1">
      <alignment horizontal="centerContinuous" vertical="center"/>
    </xf>
    <xf numFmtId="0" fontId="139" fillId="0" borderId="0" xfId="1" applyFont="1" applyAlignment="1">
      <alignment horizontal="centerContinuous" vertical="center"/>
    </xf>
    <xf numFmtId="0" fontId="64" fillId="0" borderId="0" xfId="1" applyFont="1" applyAlignment="1">
      <alignment horizontal="centerContinuous" vertical="center"/>
    </xf>
    <xf numFmtId="0" fontId="64" fillId="0" borderId="0" xfId="1" applyFont="1" applyBorder="1" applyAlignment="1">
      <alignment horizontal="centerContinuous" vertical="center"/>
    </xf>
    <xf numFmtId="0" fontId="33" fillId="0" borderId="0" xfId="1" applyFont="1" applyAlignment="1">
      <alignment horizontal="centerContinuous" vertical="center"/>
    </xf>
    <xf numFmtId="0" fontId="64" fillId="0" borderId="94" xfId="1" applyFont="1" applyFill="1" applyBorder="1" applyAlignment="1">
      <alignment horizontal="center" vertical="center" readingOrder="2"/>
    </xf>
    <xf numFmtId="0" fontId="65" fillId="0" borderId="0" xfId="1" applyFont="1" applyAlignment="1">
      <alignment horizontal="right" vertical="center"/>
    </xf>
    <xf numFmtId="0" fontId="113" fillId="0" borderId="0" xfId="1" applyFont="1" applyAlignment="1">
      <alignment horizontal="center" vertical="top"/>
    </xf>
    <xf numFmtId="0" fontId="115" fillId="0" borderId="0" xfId="1" applyFont="1" applyAlignment="1">
      <alignment horizontal="center" vertical="top"/>
    </xf>
    <xf numFmtId="0" fontId="3" fillId="2" borderId="42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/>
    </xf>
    <xf numFmtId="0" fontId="62" fillId="2" borderId="26" xfId="1" applyFont="1" applyFill="1" applyBorder="1" applyAlignment="1">
      <alignment horizontal="centerContinuous"/>
    </xf>
    <xf numFmtId="0" fontId="62" fillId="2" borderId="42" xfId="1" applyFont="1" applyFill="1" applyBorder="1" applyAlignment="1">
      <alignment horizontal="centerContinuous"/>
    </xf>
    <xf numFmtId="0" fontId="4" fillId="2" borderId="4" xfId="1" applyFont="1" applyFill="1" applyBorder="1" applyAlignment="1">
      <alignment horizontal="center"/>
    </xf>
    <xf numFmtId="0" fontId="4" fillId="2" borderId="27" xfId="1" applyFont="1" applyFill="1" applyBorder="1" applyAlignment="1">
      <alignment horizontal="center"/>
    </xf>
    <xf numFmtId="0" fontId="8" fillId="2" borderId="16" xfId="1" applyFont="1" applyFill="1" applyBorder="1" applyAlignment="1">
      <alignment horizontal="center"/>
    </xf>
    <xf numFmtId="0" fontId="3" fillId="2" borderId="17" xfId="1" applyFont="1" applyFill="1" applyBorder="1" applyAlignment="1">
      <alignment horizontal="center"/>
    </xf>
    <xf numFmtId="0" fontId="62" fillId="2" borderId="16" xfId="1" applyFont="1" applyFill="1" applyBorder="1" applyAlignment="1">
      <alignment horizontal="centerContinuous"/>
    </xf>
    <xf numFmtId="0" fontId="62" fillId="2" borderId="17" xfId="1" applyFont="1" applyFill="1" applyBorder="1" applyAlignment="1">
      <alignment horizontal="centerContinuous"/>
    </xf>
    <xf numFmtId="0" fontId="4" fillId="2" borderId="25" xfId="1" applyFont="1" applyFill="1" applyBorder="1" applyAlignment="1">
      <alignment horizontal="center"/>
    </xf>
    <xf numFmtId="0" fontId="62" fillId="2" borderId="11" xfId="1" applyFont="1" applyFill="1" applyBorder="1" applyAlignment="1">
      <alignment horizontal="centerContinuous"/>
    </xf>
    <xf numFmtId="0" fontId="7" fillId="2" borderId="58" xfId="1" applyFont="1" applyFill="1" applyBorder="1" applyAlignment="1">
      <alignment horizontal="center"/>
    </xf>
    <xf numFmtId="0" fontId="7" fillId="2" borderId="58" xfId="1" applyFont="1" applyFill="1" applyBorder="1" applyAlignment="1">
      <alignment horizontal="centerContinuous"/>
    </xf>
    <xf numFmtId="0" fontId="7" fillId="2" borderId="120" xfId="1" applyFont="1" applyFill="1" applyBorder="1" applyAlignment="1">
      <alignment horizontal="center"/>
    </xf>
    <xf numFmtId="0" fontId="3" fillId="2" borderId="57" xfId="1" applyFont="1" applyFill="1" applyBorder="1" applyAlignment="1">
      <alignment horizontal="center"/>
    </xf>
    <xf numFmtId="0" fontId="3" fillId="2" borderId="58" xfId="1" applyFont="1" applyFill="1" applyBorder="1" applyAlignment="1">
      <alignment horizontal="center"/>
    </xf>
    <xf numFmtId="0" fontId="62" fillId="2" borderId="58" xfId="1" applyFont="1" applyFill="1" applyBorder="1" applyAlignment="1">
      <alignment horizontal="centerContinuous"/>
    </xf>
    <xf numFmtId="0" fontId="8" fillId="5" borderId="1" xfId="1" applyFont="1" applyFill="1" applyBorder="1" applyAlignment="1">
      <alignment horizontal="centerContinuous"/>
    </xf>
    <xf numFmtId="0" fontId="8" fillId="5" borderId="23" xfId="1" applyFont="1" applyFill="1" applyBorder="1" applyAlignment="1">
      <alignment horizontal="centerContinuous"/>
    </xf>
    <xf numFmtId="166" fontId="7" fillId="5" borderId="1" xfId="1" applyNumberFormat="1" applyFont="1" applyFill="1" applyBorder="1" applyAlignment="1">
      <alignment horizontal="centerContinuous"/>
    </xf>
    <xf numFmtId="166" fontId="3" fillId="5" borderId="1" xfId="1" applyNumberFormat="1" applyFont="1" applyFill="1" applyBorder="1" applyAlignment="1">
      <alignment horizontal="center"/>
    </xf>
    <xf numFmtId="0" fontId="62" fillId="5" borderId="1" xfId="1" applyFont="1" applyFill="1" applyBorder="1" applyAlignment="1">
      <alignment horizontal="centerContinuous"/>
    </xf>
    <xf numFmtId="166" fontId="19" fillId="0" borderId="0" xfId="1" applyNumberFormat="1" applyFont="1" applyBorder="1" applyAlignment="1">
      <alignment horizontal="centerContinuous"/>
    </xf>
    <xf numFmtId="166" fontId="21" fillId="0" borderId="0" xfId="1" applyNumberFormat="1" applyFont="1" applyBorder="1" applyAlignment="1">
      <alignment horizontal="center"/>
    </xf>
    <xf numFmtId="0" fontId="21" fillId="0" borderId="0" xfId="1" applyFont="1" applyBorder="1" applyAlignment="1">
      <alignment horizontal="center"/>
    </xf>
    <xf numFmtId="166" fontId="33" fillId="0" borderId="0" xfId="1" applyNumberFormat="1" applyFont="1" applyBorder="1" applyAlignment="1">
      <alignment horizontal="center"/>
    </xf>
    <xf numFmtId="0" fontId="33" fillId="0" borderId="0" xfId="1" applyFont="1" applyBorder="1" applyAlignment="1">
      <alignment horizontal="center"/>
    </xf>
    <xf numFmtId="0" fontId="141" fillId="0" borderId="0" xfId="1" applyFont="1" applyAlignment="1">
      <alignment horizontal="centerContinuous" vertical="center"/>
    </xf>
    <xf numFmtId="0" fontId="63" fillId="0" borderId="0" xfId="1" applyFont="1" applyAlignment="1">
      <alignment horizontal="centerContinuous" vertical="center"/>
    </xf>
    <xf numFmtId="0" fontId="63" fillId="0" borderId="0" xfId="1" applyFont="1" applyBorder="1" applyAlignment="1">
      <alignment horizontal="centerContinuous" vertical="center"/>
    </xf>
    <xf numFmtId="0" fontId="63" fillId="0" borderId="0" xfId="1" applyFont="1" applyAlignment="1">
      <alignment horizontal="center" vertical="center"/>
    </xf>
    <xf numFmtId="0" fontId="65" fillId="0" borderId="0" xfId="1" applyFont="1" applyAlignment="1">
      <alignment horizontal="right" vertical="center" readingOrder="1"/>
    </xf>
    <xf numFmtId="0" fontId="64" fillId="0" borderId="0" xfId="1" applyFont="1" applyBorder="1" applyAlignment="1">
      <alignment vertical="center"/>
    </xf>
    <xf numFmtId="0" fontId="64" fillId="0" borderId="0" xfId="1" applyFont="1" applyAlignment="1">
      <alignment vertical="center"/>
    </xf>
    <xf numFmtId="0" fontId="4" fillId="2" borderId="42" xfId="1" applyFont="1" applyFill="1" applyBorder="1"/>
    <xf numFmtId="0" fontId="4" fillId="2" borderId="26" xfId="1" applyFont="1" applyFill="1" applyBorder="1"/>
    <xf numFmtId="0" fontId="115" fillId="2" borderId="4" xfId="1" applyFont="1" applyFill="1" applyBorder="1" applyAlignment="1">
      <alignment horizontal="center" vertical="top"/>
    </xf>
    <xf numFmtId="0" fontId="4" fillId="2" borderId="4" xfId="1" applyFont="1" applyFill="1" applyBorder="1" applyAlignment="1">
      <alignment horizontal="right"/>
    </xf>
    <xf numFmtId="0" fontId="4" fillId="2" borderId="5" xfId="1" applyFont="1" applyFill="1" applyBorder="1"/>
    <xf numFmtId="0" fontId="62" fillId="2" borderId="5" xfId="1" applyFont="1" applyFill="1" applyBorder="1"/>
    <xf numFmtId="0" fontId="4" fillId="2" borderId="17" xfId="1" applyFont="1" applyFill="1" applyBorder="1"/>
    <xf numFmtId="0" fontId="65" fillId="2" borderId="13" xfId="1" applyFont="1" applyFill="1" applyBorder="1"/>
    <xf numFmtId="0" fontId="142" fillId="2" borderId="14" xfId="1" applyFont="1" applyFill="1" applyBorder="1" applyAlignment="1">
      <alignment horizontal="center" vertical="top"/>
    </xf>
    <xf numFmtId="0" fontId="65" fillId="2" borderId="14" xfId="1" applyFont="1" applyFill="1" applyBorder="1"/>
    <xf numFmtId="0" fontId="65" fillId="2" borderId="14" xfId="1" applyFont="1" applyFill="1" applyBorder="1" applyAlignment="1">
      <alignment horizontal="right"/>
    </xf>
    <xf numFmtId="0" fontId="4" fillId="2" borderId="11" xfId="1" applyFont="1" applyFill="1" applyBorder="1"/>
    <xf numFmtId="0" fontId="62" fillId="2" borderId="11" xfId="1" applyFont="1" applyFill="1" applyBorder="1"/>
    <xf numFmtId="0" fontId="3" fillId="2" borderId="25" xfId="1" applyFont="1" applyFill="1" applyBorder="1"/>
    <xf numFmtId="0" fontId="3" fillId="2" borderId="0" xfId="1" applyFont="1" applyFill="1" applyBorder="1" applyAlignment="1">
      <alignment horizontal="center"/>
    </xf>
    <xf numFmtId="0" fontId="3" fillId="2" borderId="115" xfId="1" applyFont="1" applyFill="1" applyBorder="1" applyAlignment="1">
      <alignment horizontal="center"/>
    </xf>
    <xf numFmtId="0" fontId="62" fillId="2" borderId="0" xfId="1" applyFont="1" applyFill="1" applyBorder="1" applyAlignment="1">
      <alignment horizontal="center"/>
    </xf>
    <xf numFmtId="0" fontId="62" fillId="2" borderId="11" xfId="1" applyFont="1" applyFill="1" applyBorder="1" applyAlignment="1">
      <alignment horizontal="center"/>
    </xf>
    <xf numFmtId="0" fontId="3" fillId="2" borderId="78" xfId="1" applyFont="1" applyFill="1" applyBorder="1" applyAlignment="1">
      <alignment horizontal="center"/>
    </xf>
    <xf numFmtId="0" fontId="143" fillId="2" borderId="0" xfId="1" applyFont="1" applyFill="1" applyBorder="1" applyAlignment="1">
      <alignment horizontal="center"/>
    </xf>
    <xf numFmtId="0" fontId="3" fillId="2" borderId="78" xfId="1" applyFont="1" applyFill="1" applyBorder="1"/>
    <xf numFmtId="0" fontId="3" fillId="2" borderId="15" xfId="1" applyFont="1" applyFill="1" applyBorder="1" applyAlignment="1">
      <alignment horizontal="center"/>
    </xf>
    <xf numFmtId="0" fontId="3" fillId="2" borderId="0" xfId="1" applyFont="1" applyFill="1" applyBorder="1"/>
    <xf numFmtId="0" fontId="3" fillId="2" borderId="82" xfId="1" applyFont="1" applyFill="1" applyBorder="1" applyAlignment="1">
      <alignment horizontal="center"/>
    </xf>
    <xf numFmtId="171" fontId="4" fillId="0" borderId="0" xfId="1" applyNumberFormat="1" applyFont="1" applyBorder="1" applyAlignment="1">
      <alignment vertical="center"/>
    </xf>
    <xf numFmtId="166" fontId="7" fillId="0" borderId="9" xfId="1" applyNumberFormat="1" applyFont="1" applyBorder="1" applyAlignment="1">
      <alignment horizontal="center" vertical="center"/>
    </xf>
    <xf numFmtId="166" fontId="65" fillId="0" borderId="9" xfId="1" applyNumberFormat="1" applyFont="1" applyBorder="1" applyAlignment="1">
      <alignment horizontal="center" vertical="center"/>
    </xf>
    <xf numFmtId="166" fontId="69" fillId="0" borderId="10" xfId="1" applyNumberFormat="1" applyFont="1" applyBorder="1" applyAlignment="1">
      <alignment horizontal="center" vertical="center"/>
    </xf>
    <xf numFmtId="166" fontId="65" fillId="5" borderId="0" xfId="1" applyNumberFormat="1" applyFont="1" applyFill="1" applyBorder="1" applyAlignment="1">
      <alignment horizontal="center" vertical="center"/>
    </xf>
    <xf numFmtId="166" fontId="69" fillId="5" borderId="17" xfId="1" applyNumberFormat="1" applyFont="1" applyFill="1" applyBorder="1" applyAlignment="1">
      <alignment horizontal="center" vertical="center"/>
    </xf>
    <xf numFmtId="166" fontId="65" fillId="0" borderId="0" xfId="1" applyNumberFormat="1" applyFont="1" applyBorder="1" applyAlignment="1">
      <alignment horizontal="center" vertical="center"/>
    </xf>
    <xf numFmtId="166" fontId="69" fillId="0" borderId="17" xfId="1" applyNumberFormat="1" applyFont="1" applyBorder="1" applyAlignment="1">
      <alignment horizontal="center" vertical="center"/>
    </xf>
    <xf numFmtId="166" fontId="7" fillId="5" borderId="96" xfId="1" applyNumberFormat="1" applyFont="1" applyFill="1" applyBorder="1" applyAlignment="1">
      <alignment horizontal="center" vertical="center"/>
    </xf>
    <xf numFmtId="166" fontId="7" fillId="5" borderId="89" xfId="1" applyNumberFormat="1" applyFont="1" applyFill="1" applyBorder="1" applyAlignment="1">
      <alignment horizontal="center" vertical="center"/>
    </xf>
    <xf numFmtId="166" fontId="65" fillId="5" borderId="89" xfId="1" applyNumberFormat="1" applyFont="1" applyFill="1" applyBorder="1" applyAlignment="1">
      <alignment horizontal="center" vertical="center"/>
    </xf>
    <xf numFmtId="166" fontId="69" fillId="5" borderId="90" xfId="1" applyNumberFormat="1" applyFont="1" applyFill="1" applyBorder="1" applyAlignment="1">
      <alignment horizontal="center" vertical="center"/>
    </xf>
    <xf numFmtId="0" fontId="8" fillId="0" borderId="7" xfId="1" applyFont="1" applyBorder="1" applyAlignment="1">
      <alignment horizontal="centerContinuous" vertical="center"/>
    </xf>
    <xf numFmtId="0" fontId="4" fillId="0" borderId="94" xfId="1" applyFont="1" applyFill="1" applyBorder="1" applyAlignment="1">
      <alignment horizontal="centerContinuous" vertical="center" readingOrder="1"/>
    </xf>
    <xf numFmtId="0" fontId="3" fillId="0" borderId="25" xfId="1" applyFont="1" applyBorder="1" applyAlignment="1">
      <alignment horizontal="centerContinuous"/>
    </xf>
    <xf numFmtId="0" fontId="8" fillId="5" borderId="7" xfId="1" applyFont="1" applyFill="1" applyBorder="1" applyAlignment="1">
      <alignment horizontal="centerContinuous" vertical="center"/>
    </xf>
    <xf numFmtId="166" fontId="3" fillId="5" borderId="0" xfId="1" applyNumberFormat="1" applyFont="1" applyFill="1" applyAlignment="1">
      <alignment horizontal="center" vertical="center"/>
    </xf>
    <xf numFmtId="166" fontId="4" fillId="5" borderId="0" xfId="1" applyNumberFormat="1" applyFont="1" applyFill="1" applyAlignment="1">
      <alignment horizontal="center" vertical="center"/>
    </xf>
    <xf numFmtId="166" fontId="4" fillId="5" borderId="0" xfId="1" applyNumberFormat="1" applyFont="1" applyFill="1" applyBorder="1" applyAlignment="1">
      <alignment horizontal="center"/>
    </xf>
    <xf numFmtId="0" fontId="4" fillId="5" borderId="94" xfId="1" applyFont="1" applyFill="1" applyBorder="1" applyAlignment="1">
      <alignment horizontal="centerContinuous" vertical="center" readingOrder="1"/>
    </xf>
    <xf numFmtId="0" fontId="3" fillId="5" borderId="0" xfId="1" applyFont="1" applyFill="1" applyAlignment="1">
      <alignment horizontal="centerContinuous"/>
    </xf>
    <xf numFmtId="166" fontId="48" fillId="0" borderId="0" xfId="1" applyNumberFormat="1" applyFont="1" applyBorder="1" applyAlignment="1">
      <alignment horizontal="center"/>
    </xf>
    <xf numFmtId="166" fontId="64" fillId="0" borderId="0" xfId="1" applyNumberFormat="1" applyFont="1" applyBorder="1" applyAlignment="1">
      <alignment horizontal="center"/>
    </xf>
    <xf numFmtId="0" fontId="4" fillId="0" borderId="0" xfId="1" applyFont="1" applyFill="1" applyAlignment="1">
      <alignment horizontal="centerContinuous" vertical="center"/>
    </xf>
    <xf numFmtId="0" fontId="115" fillId="0" borderId="0" xfId="1" applyFont="1" applyAlignment="1">
      <alignment horizontal="centerContinuous" vertical="center"/>
    </xf>
    <xf numFmtId="0" fontId="62" fillId="0" borderId="0" xfId="1" applyFont="1" applyAlignment="1">
      <alignment vertical="center" readingOrder="2"/>
    </xf>
    <xf numFmtId="0" fontId="118" fillId="0" borderId="0" xfId="1" applyFont="1" applyAlignment="1">
      <alignment vertical="center" readingOrder="2"/>
    </xf>
    <xf numFmtId="0" fontId="27" fillId="0" borderId="0" xfId="1" applyFont="1" applyAlignment="1">
      <alignment vertical="center"/>
    </xf>
    <xf numFmtId="0" fontId="118" fillId="0" borderId="0" xfId="1" applyFont="1" applyAlignment="1">
      <alignment vertical="center"/>
    </xf>
    <xf numFmtId="0" fontId="144" fillId="0" borderId="0" xfId="1" applyFont="1" applyAlignment="1"/>
    <xf numFmtId="0" fontId="64" fillId="0" borderId="0" xfId="1" applyFont="1" applyFill="1" applyAlignment="1">
      <alignment vertical="center"/>
    </xf>
    <xf numFmtId="0" fontId="63" fillId="0" borderId="0" xfId="1" applyFont="1" applyAlignment="1">
      <alignment horizontal="right" vertical="center"/>
    </xf>
    <xf numFmtId="0" fontId="28" fillId="0" borderId="0" xfId="1" applyFont="1" applyAlignment="1">
      <alignment horizontal="center" vertical="center"/>
    </xf>
    <xf numFmtId="171" fontId="35" fillId="2" borderId="5" xfId="1" applyNumberFormat="1" applyFont="1" applyFill="1" applyBorder="1" applyAlignment="1">
      <alignment horizontal="center"/>
    </xf>
    <xf numFmtId="171" fontId="35" fillId="2" borderId="11" xfId="1" applyNumberFormat="1" applyFont="1" applyFill="1" applyBorder="1" applyAlignment="1">
      <alignment horizontal="center"/>
    </xf>
    <xf numFmtId="171" fontId="35" fillId="2" borderId="11" xfId="1" applyNumberFormat="1" applyFont="1" applyFill="1" applyBorder="1" applyAlignment="1">
      <alignment horizontal="center" vertical="center"/>
    </xf>
    <xf numFmtId="171" fontId="35" fillId="2" borderId="19" xfId="1" applyNumberFormat="1" applyFont="1" applyFill="1" applyBorder="1" applyAlignment="1">
      <alignment horizontal="center" vertical="center"/>
    </xf>
    <xf numFmtId="0" fontId="8" fillId="4" borderId="7" xfId="1" applyFont="1" applyFill="1" applyBorder="1" applyAlignment="1">
      <alignment horizontal="center"/>
    </xf>
    <xf numFmtId="2" fontId="8" fillId="4" borderId="11" xfId="1" applyNumberFormat="1" applyFont="1" applyFill="1" applyBorder="1" applyAlignment="1">
      <alignment horizontal="center" vertical="center"/>
    </xf>
    <xf numFmtId="0" fontId="4" fillId="4" borderId="25" xfId="1" applyFont="1" applyFill="1" applyBorder="1"/>
    <xf numFmtId="0" fontId="8" fillId="5" borderId="7" xfId="1" applyFont="1" applyFill="1" applyBorder="1" applyAlignment="1">
      <alignment horizontal="center"/>
    </xf>
    <xf numFmtId="2" fontId="8" fillId="5" borderId="11" xfId="1" applyNumberFormat="1" applyFont="1" applyFill="1" applyBorder="1" applyAlignment="1">
      <alignment horizontal="center" vertical="center"/>
    </xf>
    <xf numFmtId="0" fontId="4" fillId="7" borderId="25" xfId="1" applyFont="1" applyFill="1" applyBorder="1"/>
    <xf numFmtId="2" fontId="7" fillId="5" borderId="11" xfId="1" applyNumberFormat="1" applyFont="1" applyFill="1" applyBorder="1" applyAlignment="1">
      <alignment horizontal="center" vertical="center"/>
    </xf>
    <xf numFmtId="0" fontId="7" fillId="5" borderId="47" xfId="1" applyFont="1" applyFill="1" applyBorder="1" applyAlignment="1">
      <alignment vertical="center"/>
    </xf>
    <xf numFmtId="0" fontId="7" fillId="4" borderId="7" xfId="1" applyFont="1" applyFill="1" applyBorder="1" applyAlignment="1">
      <alignment horizontal="center"/>
    </xf>
    <xf numFmtId="2" fontId="7" fillId="4" borderId="11" xfId="1" applyNumberFormat="1" applyFont="1" applyFill="1" applyBorder="1" applyAlignment="1">
      <alignment horizontal="center" vertical="center"/>
    </xf>
    <xf numFmtId="0" fontId="7" fillId="4" borderId="47" xfId="1" applyFont="1" applyFill="1" applyBorder="1" applyAlignment="1">
      <alignment vertical="center"/>
    </xf>
    <xf numFmtId="0" fontId="3" fillId="4" borderId="0" xfId="1" applyFont="1" applyFill="1" applyBorder="1" applyAlignment="1">
      <alignment horizontal="center"/>
    </xf>
    <xf numFmtId="0" fontId="3" fillId="4" borderId="25" xfId="1" applyFont="1" applyFill="1" applyBorder="1" applyAlignment="1">
      <alignment horizontal="right" vertical="center"/>
    </xf>
    <xf numFmtId="0" fontId="3" fillId="4" borderId="25" xfId="1" applyFont="1" applyFill="1" applyBorder="1"/>
    <xf numFmtId="2" fontId="7" fillId="5" borderId="16" xfId="1" applyNumberFormat="1" applyFont="1" applyFill="1" applyBorder="1" applyAlignment="1">
      <alignment horizontal="center" vertical="center"/>
    </xf>
    <xf numFmtId="2" fontId="7" fillId="4" borderId="16" xfId="1" applyNumberFormat="1" applyFont="1" applyFill="1" applyBorder="1" applyAlignment="1">
      <alignment horizontal="center" vertical="center"/>
    </xf>
    <xf numFmtId="2" fontId="8" fillId="5" borderId="16" xfId="1" applyNumberFormat="1" applyFont="1" applyFill="1" applyBorder="1" applyAlignment="1">
      <alignment horizontal="center" vertical="center"/>
    </xf>
    <xf numFmtId="0" fontId="3" fillId="0" borderId="29" xfId="1" applyFont="1" applyFill="1" applyBorder="1" applyAlignment="1">
      <alignment horizontal="right" vertical="center"/>
    </xf>
    <xf numFmtId="0" fontId="7" fillId="0" borderId="38" xfId="1" applyFont="1" applyFill="1" applyBorder="1" applyAlignment="1">
      <alignment horizontal="center"/>
    </xf>
    <xf numFmtId="0" fontId="7" fillId="0" borderId="14" xfId="1" applyFont="1" applyFill="1" applyBorder="1" applyAlignment="1">
      <alignment horizontal="left" vertical="center"/>
    </xf>
    <xf numFmtId="0" fontId="7" fillId="0" borderId="13" xfId="1" applyFont="1" applyFill="1" applyBorder="1" applyAlignment="1">
      <alignment horizontal="center" vertical="center"/>
    </xf>
    <xf numFmtId="0" fontId="7" fillId="0" borderId="14" xfId="1" applyFont="1" applyFill="1" applyBorder="1" applyAlignment="1">
      <alignment horizontal="center" vertical="center"/>
    </xf>
    <xf numFmtId="166" fontId="7" fillId="0" borderId="14" xfId="1" applyNumberFormat="1" applyFont="1" applyFill="1" applyBorder="1" applyAlignment="1">
      <alignment horizontal="center" vertical="center"/>
    </xf>
    <xf numFmtId="166" fontId="7" fillId="0" borderId="15" xfId="1" applyNumberFormat="1" applyFont="1" applyFill="1" applyBorder="1" applyAlignment="1">
      <alignment horizontal="center" vertical="center"/>
    </xf>
    <xf numFmtId="2" fontId="7" fillId="0" borderId="13" xfId="1" applyNumberFormat="1" applyFont="1" applyFill="1" applyBorder="1" applyAlignment="1">
      <alignment horizontal="center" vertical="center"/>
    </xf>
    <xf numFmtId="0" fontId="7" fillId="0" borderId="91" xfId="1" applyFont="1" applyFill="1" applyBorder="1" applyAlignment="1">
      <alignment vertical="center"/>
    </xf>
    <xf numFmtId="0" fontId="3" fillId="7" borderId="27" xfId="1" applyFont="1" applyFill="1" applyBorder="1"/>
    <xf numFmtId="0" fontId="7" fillId="5" borderId="1" xfId="1" applyFont="1" applyFill="1" applyBorder="1"/>
    <xf numFmtId="0" fontId="8" fillId="5" borderId="23" xfId="1" applyFont="1" applyFill="1" applyBorder="1" applyAlignment="1">
      <alignment horizontal="left" vertical="center"/>
    </xf>
    <xf numFmtId="171" fontId="8" fillId="5" borderId="32" xfId="1" applyNumberFormat="1" applyFont="1" applyFill="1" applyBorder="1" applyAlignment="1">
      <alignment horizontal="center"/>
    </xf>
    <xf numFmtId="0" fontId="7" fillId="5" borderId="107" xfId="1" applyFont="1" applyFill="1" applyBorder="1"/>
    <xf numFmtId="0" fontId="3" fillId="7" borderId="33" xfId="1" applyFont="1" applyFill="1" applyBorder="1"/>
    <xf numFmtId="0" fontId="7" fillId="0" borderId="0" xfId="1" applyFont="1" applyFill="1" applyBorder="1" applyAlignment="1">
      <alignment horizontal="center"/>
    </xf>
    <xf numFmtId="0" fontId="8" fillId="0" borderId="0" xfId="1" applyFont="1" applyFill="1" applyBorder="1" applyAlignment="1">
      <alignment horizontal="left" vertical="center"/>
    </xf>
    <xf numFmtId="171" fontId="8" fillId="0" borderId="0" xfId="1" applyNumberFormat="1" applyFont="1" applyFill="1" applyBorder="1" applyAlignment="1">
      <alignment horizontal="center"/>
    </xf>
    <xf numFmtId="0" fontId="48" fillId="0" borderId="0" xfId="1" applyFont="1" applyFill="1" applyBorder="1" applyAlignment="1">
      <alignment horizontal="center"/>
    </xf>
    <xf numFmtId="0" fontId="47" fillId="0" borderId="0" xfId="1" applyFont="1" applyBorder="1" applyAlignment="1">
      <alignment horizontal="right" vertical="center"/>
    </xf>
    <xf numFmtId="0" fontId="20" fillId="0" borderId="0" xfId="1" applyFont="1" applyAlignment="1">
      <alignment horizontal="right" vertical="center" readingOrder="2"/>
    </xf>
    <xf numFmtId="171" fontId="48" fillId="0" borderId="0" xfId="1" applyNumberFormat="1" applyFont="1" applyBorder="1" applyAlignment="1">
      <alignment horizontal="left"/>
    </xf>
    <xf numFmtId="0" fontId="7" fillId="0" borderId="0" xfId="9" applyFont="1"/>
    <xf numFmtId="0" fontId="20" fillId="0" borderId="0" xfId="9" applyFont="1"/>
    <xf numFmtId="0" fontId="28" fillId="0" borderId="0" xfId="9" applyFont="1"/>
    <xf numFmtId="0" fontId="7" fillId="0" borderId="0" xfId="9" applyFont="1" applyFill="1" applyAlignment="1">
      <alignment horizontal="justify" wrapText="1"/>
    </xf>
    <xf numFmtId="0" fontId="28" fillId="0" borderId="0" xfId="9" applyFont="1" applyFill="1" applyAlignment="1">
      <alignment horizontal="justify" wrapText="1"/>
    </xf>
    <xf numFmtId="0" fontId="8" fillId="2" borderId="2" xfId="9" applyFont="1" applyFill="1" applyBorder="1" applyAlignment="1">
      <alignment horizontal="center" wrapText="1"/>
    </xf>
    <xf numFmtId="0" fontId="8" fillId="2" borderId="5" xfId="9" applyFont="1" applyFill="1" applyBorder="1" applyAlignment="1">
      <alignment horizontal="center" wrapText="1"/>
    </xf>
    <xf numFmtId="0" fontId="8" fillId="2" borderId="42" xfId="9" applyFont="1" applyFill="1" applyBorder="1" applyAlignment="1">
      <alignment horizontal="center" wrapText="1"/>
    </xf>
    <xf numFmtId="0" fontId="112" fillId="2" borderId="27" xfId="9" applyFont="1" applyFill="1" applyBorder="1"/>
    <xf numFmtId="0" fontId="7" fillId="2" borderId="7" xfId="9" applyFont="1" applyFill="1" applyBorder="1" applyAlignment="1">
      <alignment horizontal="center" vertical="center" wrapText="1"/>
    </xf>
    <xf numFmtId="0" fontId="7" fillId="2" borderId="11" xfId="9" applyFont="1" applyFill="1" applyBorder="1" applyAlignment="1">
      <alignment horizontal="center" vertical="center" wrapText="1"/>
    </xf>
    <xf numFmtId="0" fontId="7" fillId="2" borderId="17" xfId="9" applyFont="1" applyFill="1" applyBorder="1" applyAlignment="1">
      <alignment horizontal="center" vertical="center" wrapText="1"/>
    </xf>
    <xf numFmtId="0" fontId="112" fillId="2" borderId="25" xfId="9" applyFont="1" applyFill="1" applyBorder="1" applyAlignment="1">
      <alignment vertical="center"/>
    </xf>
    <xf numFmtId="0" fontId="7" fillId="2" borderId="11" xfId="9" applyFont="1" applyFill="1" applyBorder="1" applyAlignment="1">
      <alignment horizontal="center" vertical="center"/>
    </xf>
    <xf numFmtId="0" fontId="112" fillId="2" borderId="25" xfId="9" applyFont="1" applyFill="1" applyBorder="1" applyAlignment="1">
      <alignment horizontal="center" vertical="center" wrapText="1"/>
    </xf>
    <xf numFmtId="0" fontId="7" fillId="2" borderId="7" xfId="9" applyFont="1" applyFill="1" applyBorder="1" applyAlignment="1">
      <alignment horizontal="center" wrapText="1"/>
    </xf>
    <xf numFmtId="0" fontId="7" fillId="2" borderId="11" xfId="9" applyFont="1" applyFill="1" applyBorder="1" applyAlignment="1">
      <alignment horizontal="center" wrapText="1"/>
    </xf>
    <xf numFmtId="0" fontId="7" fillId="2" borderId="17" xfId="9" applyFont="1" applyFill="1" applyBorder="1" applyAlignment="1">
      <alignment horizontal="center" wrapText="1"/>
    </xf>
    <xf numFmtId="0" fontId="112" fillId="2" borderId="25" xfId="9" applyFont="1" applyFill="1" applyBorder="1" applyAlignment="1">
      <alignment horizontal="center" wrapText="1"/>
    </xf>
    <xf numFmtId="166" fontId="7" fillId="3" borderId="7" xfId="9" applyNumberFormat="1" applyFont="1" applyFill="1" applyBorder="1" applyAlignment="1">
      <alignment horizontal="center" vertical="center" wrapText="1"/>
    </xf>
    <xf numFmtId="166" fontId="7" fillId="5" borderId="7" xfId="9" applyNumberFormat="1" applyFont="1" applyFill="1" applyBorder="1" applyAlignment="1">
      <alignment horizontal="center" vertical="center" wrapText="1"/>
    </xf>
    <xf numFmtId="0" fontId="7" fillId="0" borderId="0" xfId="9" applyFont="1" applyBorder="1"/>
    <xf numFmtId="0" fontId="35" fillId="0" borderId="0" xfId="9" applyFont="1" applyBorder="1"/>
    <xf numFmtId="0" fontId="35" fillId="0" borderId="0" xfId="9" applyFont="1" applyBorder="1" applyAlignment="1">
      <alignment horizontal="left" vertical="center"/>
    </xf>
    <xf numFmtId="3" fontId="35" fillId="0" borderId="0" xfId="9" applyNumberFormat="1" applyFont="1"/>
    <xf numFmtId="166" fontId="24" fillId="0" borderId="0" xfId="9" applyNumberFormat="1" applyFont="1" applyBorder="1" applyAlignment="1">
      <alignment horizontal="center" vertical="center"/>
    </xf>
    <xf numFmtId="0" fontId="35" fillId="0" borderId="0" xfId="9" applyFont="1" applyBorder="1" applyAlignment="1">
      <alignment vertical="center"/>
    </xf>
    <xf numFmtId="0" fontId="7" fillId="0" borderId="0" xfId="9" applyFont="1" applyBorder="1" applyAlignment="1">
      <alignment horizontal="right" vertical="center"/>
    </xf>
    <xf numFmtId="0" fontId="35" fillId="0" borderId="0" xfId="9" applyFont="1" applyBorder="1" applyAlignment="1">
      <alignment horizontal="right" vertical="center"/>
    </xf>
    <xf numFmtId="0" fontId="148" fillId="5" borderId="0" xfId="10" applyFont="1" applyFill="1" applyAlignment="1">
      <alignment vertical="center"/>
    </xf>
    <xf numFmtId="49" fontId="149" fillId="5" borderId="0" xfId="10" applyNumberFormat="1" applyFont="1" applyFill="1" applyAlignment="1">
      <alignment horizontal="right" vertical="center" readingOrder="2"/>
    </xf>
    <xf numFmtId="0" fontId="149" fillId="5" borderId="0" xfId="10" applyFont="1" applyFill="1" applyAlignment="1">
      <alignment vertical="center" readingOrder="2"/>
    </xf>
    <xf numFmtId="0" fontId="149" fillId="5" borderId="0" xfId="10" applyFont="1" applyFill="1" applyAlignment="1">
      <alignment horizontal="right" vertical="center" readingOrder="2"/>
    </xf>
    <xf numFmtId="0" fontId="149" fillId="5" borderId="0" xfId="10" applyFont="1" applyFill="1"/>
    <xf numFmtId="0" fontId="148" fillId="0" borderId="124" xfId="10" applyFont="1" applyFill="1" applyBorder="1" applyAlignment="1">
      <alignment vertical="center"/>
    </xf>
    <xf numFmtId="49" fontId="150" fillId="0" borderId="125" xfId="10" applyNumberFormat="1" applyFont="1" applyFill="1" applyBorder="1" applyAlignment="1">
      <alignment horizontal="right" vertical="center" readingOrder="2"/>
    </xf>
    <xf numFmtId="0" fontId="150" fillId="0" borderId="125" xfId="10" applyFont="1" applyFill="1" applyBorder="1" applyAlignment="1">
      <alignment vertical="center" readingOrder="2"/>
    </xf>
    <xf numFmtId="0" fontId="150" fillId="0" borderId="125" xfId="10" applyFont="1" applyFill="1" applyBorder="1" applyAlignment="1">
      <alignment horizontal="right" vertical="center" readingOrder="2"/>
    </xf>
    <xf numFmtId="0" fontId="149" fillId="0" borderId="126" xfId="10" applyFont="1" applyFill="1" applyBorder="1"/>
    <xf numFmtId="0" fontId="151" fillId="0" borderId="127" xfId="10" applyFont="1" applyFill="1" applyBorder="1" applyAlignment="1">
      <alignment vertical="center"/>
    </xf>
    <xf numFmtId="0" fontId="149" fillId="0" borderId="128" xfId="10" applyFont="1" applyFill="1" applyBorder="1"/>
    <xf numFmtId="0" fontId="148" fillId="0" borderId="127" xfId="10" applyFont="1" applyFill="1" applyBorder="1" applyAlignment="1">
      <alignment vertical="center"/>
    </xf>
    <xf numFmtId="49" fontId="152" fillId="0" borderId="0" xfId="10" applyNumberFormat="1" applyFont="1" applyFill="1" applyBorder="1" applyAlignment="1">
      <alignment horizontal="right" vertical="center" readingOrder="2"/>
    </xf>
    <xf numFmtId="0" fontId="150" fillId="0" borderId="0" xfId="10" applyFont="1" applyFill="1" applyBorder="1" applyAlignment="1">
      <alignment vertical="center" readingOrder="2"/>
    </xf>
    <xf numFmtId="0" fontId="150" fillId="0" borderId="0" xfId="10" applyFont="1" applyFill="1" applyBorder="1" applyAlignment="1">
      <alignment horizontal="right" vertical="center" readingOrder="2"/>
    </xf>
    <xf numFmtId="49" fontId="153" fillId="0" borderId="127" xfId="10" applyNumberFormat="1" applyFont="1" applyFill="1" applyBorder="1" applyAlignment="1">
      <alignment horizontal="center" vertical="center" readingOrder="2"/>
    </xf>
    <xf numFmtId="49" fontId="152" fillId="0" borderId="0" xfId="10" applyNumberFormat="1" applyFont="1" applyFill="1" applyBorder="1" applyAlignment="1">
      <alignment horizontal="center" vertical="center" readingOrder="2"/>
    </xf>
    <xf numFmtId="0" fontId="149" fillId="0" borderId="0" xfId="10" applyFont="1" applyFill="1" applyBorder="1" applyAlignment="1">
      <alignment vertical="center" readingOrder="2"/>
    </xf>
    <xf numFmtId="0" fontId="154" fillId="0" borderId="0" xfId="10" applyFont="1" applyFill="1" applyBorder="1" applyAlignment="1">
      <alignment vertical="center" readingOrder="2"/>
    </xf>
    <xf numFmtId="0" fontId="148" fillId="0" borderId="127" xfId="10" applyFont="1" applyFill="1" applyBorder="1" applyAlignment="1">
      <alignment horizontal="center" vertical="center"/>
    </xf>
    <xf numFmtId="49" fontId="66" fillId="0" borderId="0" xfId="10" applyNumberFormat="1" applyFont="1" applyFill="1" applyBorder="1" applyAlignment="1">
      <alignment horizontal="right" vertical="center" readingOrder="2"/>
    </xf>
    <xf numFmtId="0" fontId="155" fillId="0" borderId="0" xfId="10" applyFont="1" applyFill="1" applyBorder="1" applyAlignment="1">
      <alignment horizontal="right" vertical="center" readingOrder="2"/>
    </xf>
    <xf numFmtId="166" fontId="148" fillId="0" borderId="127" xfId="10" applyNumberFormat="1" applyFont="1" applyFill="1" applyBorder="1" applyAlignment="1">
      <alignment horizontal="center" vertical="center"/>
    </xf>
    <xf numFmtId="0" fontId="150" fillId="0" borderId="0" xfId="10" applyFont="1" applyFill="1" applyBorder="1" applyAlignment="1">
      <alignment vertical="center" readingOrder="1"/>
    </xf>
    <xf numFmtId="172" fontId="66" fillId="0" borderId="0" xfId="10" applyNumberFormat="1" applyFont="1" applyFill="1" applyBorder="1" applyAlignment="1">
      <alignment horizontal="right" vertical="center" readingOrder="2"/>
    </xf>
    <xf numFmtId="174" fontId="66" fillId="0" borderId="0" xfId="10" applyNumberFormat="1" applyFont="1" applyFill="1" applyBorder="1" applyAlignment="1">
      <alignment horizontal="right" vertical="center" readingOrder="2"/>
    </xf>
    <xf numFmtId="0" fontId="35" fillId="0" borderId="0" xfId="10" applyFont="1" applyFill="1" applyBorder="1" applyAlignment="1">
      <alignment vertical="center" readingOrder="2"/>
    </xf>
    <xf numFmtId="0" fontId="66" fillId="0" borderId="0" xfId="10" applyFont="1" applyFill="1" applyBorder="1" applyAlignment="1">
      <alignment vertical="center" readingOrder="2"/>
    </xf>
    <xf numFmtId="0" fontId="155" fillId="5" borderId="0" xfId="10" applyFont="1" applyFill="1" applyAlignment="1">
      <alignment horizontal="right" vertical="center" readingOrder="2"/>
    </xf>
    <xf numFmtId="0" fontId="148" fillId="0" borderId="129" xfId="10" applyFont="1" applyFill="1" applyBorder="1" applyAlignment="1">
      <alignment horizontal="center" vertical="center"/>
    </xf>
    <xf numFmtId="49" fontId="66" fillId="0" borderId="130" xfId="10" applyNumberFormat="1" applyFont="1" applyFill="1" applyBorder="1" applyAlignment="1">
      <alignment horizontal="right" vertical="center" readingOrder="2"/>
    </xf>
    <xf numFmtId="0" fontId="149" fillId="0" borderId="130" xfId="10" applyFont="1" applyFill="1" applyBorder="1" applyAlignment="1">
      <alignment vertical="center" readingOrder="2"/>
    </xf>
    <xf numFmtId="0" fontId="66" fillId="0" borderId="130" xfId="10" applyFont="1" applyFill="1" applyBorder="1" applyAlignment="1">
      <alignment vertical="center" readingOrder="2"/>
    </xf>
    <xf numFmtId="174" fontId="66" fillId="0" borderId="130" xfId="10" applyNumberFormat="1" applyFont="1" applyFill="1" applyBorder="1" applyAlignment="1">
      <alignment horizontal="right" vertical="center" readingOrder="2"/>
    </xf>
    <xf numFmtId="0" fontId="149" fillId="0" borderId="131" xfId="10" applyFont="1" applyFill="1" applyBorder="1"/>
    <xf numFmtId="0" fontId="148" fillId="5" borderId="0" xfId="10" applyFont="1" applyFill="1" applyAlignment="1">
      <alignment horizontal="center" vertical="center"/>
    </xf>
    <xf numFmtId="0" fontId="158" fillId="5" borderId="0" xfId="10" applyFont="1" applyFill="1" applyAlignment="1">
      <alignment vertical="center"/>
    </xf>
    <xf numFmtId="0" fontId="37" fillId="5" borderId="0" xfId="10" applyFont="1" applyFill="1" applyAlignment="1">
      <alignment horizontal="left" vertical="center"/>
    </xf>
    <xf numFmtId="0" fontId="37" fillId="5" borderId="0" xfId="10" applyFont="1" applyFill="1" applyAlignment="1">
      <alignment vertical="center"/>
    </xf>
    <xf numFmtId="49" fontId="158" fillId="5" borderId="0" xfId="10" applyNumberFormat="1" applyFont="1" applyFill="1" applyAlignment="1">
      <alignment vertical="center"/>
    </xf>
    <xf numFmtId="0" fontId="158" fillId="0" borderId="132" xfId="10" applyNumberFormat="1" applyFont="1" applyFill="1" applyBorder="1" applyAlignment="1">
      <alignment vertical="center"/>
    </xf>
    <xf numFmtId="0" fontId="158" fillId="0" borderId="135" xfId="10" applyNumberFormat="1" applyFont="1" applyFill="1" applyBorder="1" applyAlignment="1">
      <alignment vertical="center"/>
    </xf>
    <xf numFmtId="0" fontId="159" fillId="0" borderId="0" xfId="10" applyNumberFormat="1" applyFont="1" applyFill="1" applyBorder="1" applyAlignment="1">
      <alignment horizontal="center" vertical="center"/>
    </xf>
    <xf numFmtId="0" fontId="159" fillId="0" borderId="0" xfId="10" applyNumberFormat="1" applyFont="1" applyFill="1" applyBorder="1" applyAlignment="1">
      <alignment vertical="center"/>
    </xf>
    <xf numFmtId="0" fontId="159" fillId="0" borderId="136" xfId="10" applyNumberFormat="1" applyFont="1" applyFill="1" applyBorder="1" applyAlignment="1">
      <alignment vertical="center"/>
    </xf>
    <xf numFmtId="0" fontId="37" fillId="0" borderId="0" xfId="10" applyNumberFormat="1" applyFont="1" applyFill="1" applyBorder="1" applyAlignment="1">
      <alignment horizontal="left" vertical="center"/>
    </xf>
    <xf numFmtId="0" fontId="37" fillId="0" borderId="0" xfId="10" applyNumberFormat="1" applyFont="1" applyFill="1" applyBorder="1" applyAlignment="1">
      <alignment vertical="center"/>
    </xf>
    <xf numFmtId="0" fontId="160" fillId="0" borderId="136" xfId="10" applyNumberFormat="1" applyFont="1" applyFill="1" applyBorder="1" applyAlignment="1">
      <alignment horizontal="center" vertical="center" readingOrder="1"/>
    </xf>
    <xf numFmtId="0" fontId="160" fillId="0" borderId="0" xfId="10" applyNumberFormat="1" applyFont="1" applyFill="1" applyBorder="1" applyAlignment="1">
      <alignment horizontal="left" vertical="center" readingOrder="1"/>
    </xf>
    <xf numFmtId="0" fontId="37" fillId="0" borderId="0" xfId="10" applyNumberFormat="1" applyFont="1" applyFill="1" applyBorder="1" applyAlignment="1">
      <alignment horizontal="left" vertical="center" readingOrder="1"/>
    </xf>
    <xf numFmtId="0" fontId="37" fillId="0" borderId="136" xfId="10" applyNumberFormat="1" applyFont="1" applyFill="1" applyBorder="1" applyAlignment="1">
      <alignment horizontal="center" vertical="center"/>
    </xf>
    <xf numFmtId="0" fontId="160" fillId="0" borderId="1" xfId="10" applyNumberFormat="1" applyFont="1" applyFill="1" applyBorder="1" applyAlignment="1">
      <alignment horizontal="left" vertical="center" readingOrder="1"/>
    </xf>
    <xf numFmtId="49" fontId="37" fillId="0" borderId="0" xfId="10" applyNumberFormat="1" applyFont="1" applyFill="1" applyBorder="1" applyAlignment="1">
      <alignment horizontal="left" vertical="center" readingOrder="1"/>
    </xf>
    <xf numFmtId="0" fontId="157" fillId="0" borderId="0" xfId="11" applyNumberFormat="1" applyFont="1" applyFill="1" applyBorder="1" applyAlignment="1" applyProtection="1">
      <alignment horizontal="left" vertical="center" readingOrder="1"/>
    </xf>
    <xf numFmtId="0" fontId="157" fillId="0" borderId="0" xfId="11" applyNumberFormat="1" applyFont="1" applyFill="1" applyBorder="1" applyAlignment="1" applyProtection="1">
      <alignment vertical="center"/>
    </xf>
    <xf numFmtId="0" fontId="37" fillId="0" borderId="136" xfId="10" applyNumberFormat="1" applyFont="1" applyFill="1" applyBorder="1" applyAlignment="1">
      <alignment horizontal="center" vertical="center" readingOrder="1"/>
    </xf>
    <xf numFmtId="49" fontId="160" fillId="0" borderId="1" xfId="10" applyNumberFormat="1" applyFont="1" applyFill="1" applyBorder="1" applyAlignment="1">
      <alignment horizontal="left" vertical="center" readingOrder="1"/>
    </xf>
    <xf numFmtId="0" fontId="35" fillId="0" borderId="0" xfId="10" applyNumberFormat="1" applyFont="1" applyFill="1" applyBorder="1" applyAlignment="1">
      <alignment horizontal="left" vertical="center" readingOrder="1"/>
    </xf>
    <xf numFmtId="0" fontId="35" fillId="0" borderId="1" xfId="10" applyNumberFormat="1" applyFont="1" applyFill="1" applyBorder="1" applyAlignment="1">
      <alignment vertical="center"/>
    </xf>
    <xf numFmtId="0" fontId="35" fillId="0" borderId="0" xfId="10" applyNumberFormat="1" applyFont="1" applyFill="1" applyBorder="1" applyAlignment="1">
      <alignment vertical="center"/>
    </xf>
    <xf numFmtId="0" fontId="37" fillId="0" borderId="1" xfId="10" applyNumberFormat="1" applyFont="1" applyFill="1" applyBorder="1" applyAlignment="1">
      <alignment vertical="center"/>
    </xf>
    <xf numFmtId="0" fontId="158" fillId="0" borderId="137" xfId="10" applyNumberFormat="1" applyFont="1" applyFill="1" applyBorder="1" applyAlignment="1">
      <alignment vertical="center"/>
    </xf>
    <xf numFmtId="0" fontId="37" fillId="0" borderId="138" xfId="10" applyNumberFormat="1" applyFont="1" applyFill="1" applyBorder="1" applyAlignment="1">
      <alignment horizontal="left" vertical="center" readingOrder="1"/>
    </xf>
    <xf numFmtId="0" fontId="37" fillId="0" borderId="138" xfId="10" applyNumberFormat="1" applyFont="1" applyFill="1" applyBorder="1" applyAlignment="1">
      <alignment vertical="center"/>
    </xf>
    <xf numFmtId="0" fontId="37" fillId="0" borderId="139" xfId="10" applyNumberFormat="1" applyFont="1" applyFill="1" applyBorder="1" applyAlignment="1">
      <alignment horizontal="center" vertical="center" readingOrder="1"/>
    </xf>
    <xf numFmtId="174" fontId="37" fillId="5" borderId="0" xfId="10" applyNumberFormat="1" applyFont="1" applyFill="1" applyAlignment="1">
      <alignment horizontal="left" vertical="center" readingOrder="1"/>
    </xf>
    <xf numFmtId="0" fontId="37" fillId="5" borderId="0" xfId="10" applyFont="1" applyFill="1" applyAlignment="1">
      <alignment horizontal="left" vertical="center" readingOrder="1"/>
    </xf>
    <xf numFmtId="0" fontId="37" fillId="5" borderId="0" xfId="10" applyFont="1" applyFill="1" applyAlignment="1">
      <alignment horizontal="center" vertical="center" readingOrder="1"/>
    </xf>
    <xf numFmtId="0" fontId="35" fillId="0" borderId="0" xfId="10" applyFont="1" applyFill="1" applyBorder="1" applyAlignment="1">
      <alignment horizontal="right" vertical="center" readingOrder="2"/>
    </xf>
    <xf numFmtId="0" fontId="157" fillId="0" borderId="0" xfId="11" applyFont="1" applyAlignment="1" applyProtection="1"/>
    <xf numFmtId="0" fontId="161" fillId="0" borderId="0" xfId="0" applyFont="1"/>
    <xf numFmtId="0" fontId="157" fillId="0" borderId="0" xfId="11" applyNumberFormat="1" applyFont="1" applyFill="1" applyBorder="1" applyAlignment="1" applyProtection="1">
      <alignment horizontal="center" vertical="center" readingOrder="1"/>
    </xf>
    <xf numFmtId="0" fontId="35" fillId="0" borderId="0" xfId="10" applyNumberFormat="1" applyFont="1" applyFill="1" applyBorder="1" applyAlignment="1">
      <alignment horizontal="center" vertical="center" readingOrder="1"/>
    </xf>
    <xf numFmtId="0" fontId="35" fillId="0" borderId="136" xfId="10" applyNumberFormat="1" applyFont="1" applyFill="1" applyBorder="1" applyAlignment="1">
      <alignment horizontal="center" vertical="center" readingOrder="1"/>
    </xf>
    <xf numFmtId="0" fontId="157" fillId="0" borderId="0" xfId="11" applyFont="1" applyAlignment="1" applyProtection="1">
      <alignment horizontal="center" vertical="center"/>
    </xf>
    <xf numFmtId="0" fontId="157" fillId="0" borderId="136" xfId="11" applyNumberFormat="1" applyFont="1" applyFill="1" applyBorder="1" applyAlignment="1" applyProtection="1">
      <alignment horizontal="center" vertical="center" readingOrder="1"/>
    </xf>
    <xf numFmtId="0" fontId="37" fillId="0" borderId="128" xfId="10" applyNumberFormat="1" applyFont="1" applyFill="1" applyBorder="1" applyAlignment="1">
      <alignment horizontal="center" vertical="center" readingOrder="1"/>
    </xf>
    <xf numFmtId="49" fontId="35" fillId="0" borderId="0" xfId="10" applyNumberFormat="1" applyFont="1" applyFill="1" applyBorder="1" applyAlignment="1">
      <alignment horizontal="right" vertical="center" readingOrder="2"/>
    </xf>
    <xf numFmtId="0" fontId="157" fillId="0" borderId="127" xfId="11" applyFont="1" applyFill="1" applyBorder="1" applyAlignment="1" applyProtection="1">
      <alignment horizontal="center" vertical="center"/>
    </xf>
    <xf numFmtId="0" fontId="157" fillId="0" borderId="0" xfId="11" applyFont="1" applyAlignment="1" applyProtection="1">
      <alignment vertical="center"/>
    </xf>
    <xf numFmtId="166" fontId="89" fillId="5" borderId="16" xfId="0" applyNumberFormat="1" applyFont="1" applyFill="1" applyBorder="1" applyAlignment="1">
      <alignment horizontal="center" vertical="center"/>
    </xf>
    <xf numFmtId="166" fontId="89" fillId="0" borderId="16" xfId="0" applyNumberFormat="1" applyFont="1" applyFill="1" applyBorder="1" applyAlignment="1">
      <alignment horizontal="center" vertical="center"/>
    </xf>
    <xf numFmtId="166" fontId="89" fillId="4" borderId="16" xfId="0" applyNumberFormat="1" applyFont="1" applyFill="1" applyBorder="1" applyAlignment="1">
      <alignment horizontal="center" vertical="center"/>
    </xf>
    <xf numFmtId="166" fontId="88" fillId="5" borderId="16" xfId="0" applyNumberFormat="1" applyFont="1" applyFill="1" applyBorder="1" applyAlignment="1">
      <alignment horizontal="center" vertical="center"/>
    </xf>
    <xf numFmtId="166" fontId="88" fillId="4" borderId="16" xfId="0" applyNumberFormat="1" applyFont="1" applyFill="1" applyBorder="1" applyAlignment="1">
      <alignment horizontal="center" vertical="center"/>
    </xf>
    <xf numFmtId="166" fontId="98" fillId="5" borderId="22" xfId="0" applyNumberFormat="1" applyFont="1" applyFill="1" applyBorder="1" applyAlignment="1">
      <alignment horizontal="center" vertical="center"/>
    </xf>
    <xf numFmtId="166" fontId="89" fillId="5" borderId="26" xfId="0" applyNumberFormat="1" applyFont="1" applyFill="1" applyBorder="1" applyAlignment="1">
      <alignment horizontal="center" vertical="center"/>
    </xf>
    <xf numFmtId="166" fontId="89" fillId="5" borderId="68" xfId="0" applyNumberFormat="1" applyFont="1" applyFill="1" applyBorder="1" applyAlignment="1">
      <alignment horizontal="center" vertical="center"/>
    </xf>
    <xf numFmtId="0" fontId="89" fillId="4" borderId="16" xfId="0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166" fontId="8" fillId="4" borderId="16" xfId="0" applyNumberFormat="1" applyFont="1" applyFill="1" applyBorder="1" applyAlignment="1">
      <alignment horizontal="center" vertical="center"/>
    </xf>
    <xf numFmtId="166" fontId="8" fillId="4" borderId="0" xfId="0" applyNumberFormat="1" applyFont="1" applyFill="1" applyBorder="1" applyAlignment="1">
      <alignment horizontal="center" vertical="center"/>
    </xf>
    <xf numFmtId="166" fontId="8" fillId="5" borderId="16" xfId="0" applyNumberFormat="1" applyFont="1" applyFill="1" applyBorder="1" applyAlignment="1">
      <alignment horizontal="center" vertical="center"/>
    </xf>
    <xf numFmtId="166" fontId="7" fillId="5" borderId="16" xfId="0" applyNumberFormat="1" applyFont="1" applyFill="1" applyBorder="1" applyAlignment="1">
      <alignment horizontal="center" vertical="center"/>
    </xf>
    <xf numFmtId="166" fontId="7" fillId="4" borderId="16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Border="1" applyAlignment="1">
      <alignment horizontal="center" vertical="center"/>
    </xf>
    <xf numFmtId="166" fontId="7" fillId="5" borderId="22" xfId="0" applyNumberFormat="1" applyFont="1" applyFill="1" applyBorder="1" applyAlignment="1">
      <alignment horizontal="center" vertical="center"/>
    </xf>
    <xf numFmtId="166" fontId="8" fillId="4" borderId="0" xfId="0" applyNumberFormat="1" applyFont="1" applyFill="1" applyBorder="1" applyAlignment="1">
      <alignment horizontal="left" vertical="center"/>
    </xf>
    <xf numFmtId="166" fontId="8" fillId="5" borderId="16" xfId="0" quotePrefix="1" applyNumberFormat="1" applyFont="1" applyFill="1" applyBorder="1" applyAlignment="1">
      <alignment horizontal="center" vertical="center"/>
    </xf>
    <xf numFmtId="166" fontId="8" fillId="5" borderId="0" xfId="0" quotePrefix="1" applyNumberFormat="1" applyFont="1" applyFill="1" applyBorder="1" applyAlignment="1">
      <alignment horizontal="center" vertical="center"/>
    </xf>
    <xf numFmtId="166" fontId="7" fillId="4" borderId="16" xfId="0" quotePrefix="1" applyNumberFormat="1" applyFont="1" applyFill="1" applyBorder="1" applyAlignment="1">
      <alignment horizontal="center" vertical="center"/>
    </xf>
    <xf numFmtId="166" fontId="7" fillId="4" borderId="0" xfId="0" quotePrefix="1" applyNumberFormat="1" applyFont="1" applyFill="1" applyBorder="1" applyAlignment="1">
      <alignment horizontal="center" vertical="center"/>
    </xf>
    <xf numFmtId="166" fontId="7" fillId="5" borderId="16" xfId="0" quotePrefix="1" applyNumberFormat="1" applyFont="1" applyFill="1" applyBorder="1" applyAlignment="1">
      <alignment horizontal="center" vertical="center"/>
    </xf>
    <xf numFmtId="166" fontId="7" fillId="0" borderId="16" xfId="0" applyNumberFormat="1" applyFont="1" applyFill="1" applyBorder="1" applyAlignment="1">
      <alignment horizontal="center" vertical="center"/>
    </xf>
    <xf numFmtId="166" fontId="8" fillId="4" borderId="8" xfId="0" applyNumberFormat="1" applyFont="1" applyFill="1" applyBorder="1" applyAlignment="1">
      <alignment horizontal="center" vertical="center"/>
    </xf>
    <xf numFmtId="166" fontId="8" fillId="4" borderId="9" xfId="0" applyNumberFormat="1" applyFont="1" applyFill="1" applyBorder="1" applyAlignment="1">
      <alignment horizontal="center" vertical="center"/>
    </xf>
    <xf numFmtId="166" fontId="8" fillId="0" borderId="16" xfId="0" applyNumberFormat="1" applyFont="1" applyFill="1" applyBorder="1" applyAlignment="1">
      <alignment horizontal="center" vertical="center"/>
    </xf>
    <xf numFmtId="166" fontId="8" fillId="0" borderId="0" xfId="0" applyNumberFormat="1" applyFont="1" applyFill="1" applyBorder="1" applyAlignment="1">
      <alignment horizontal="center" vertical="center"/>
    </xf>
    <xf numFmtId="166" fontId="7" fillId="3" borderId="16" xfId="0" applyNumberFormat="1" applyFont="1" applyFill="1" applyBorder="1" applyAlignment="1">
      <alignment horizontal="center" vertical="center"/>
    </xf>
    <xf numFmtId="3" fontId="7" fillId="5" borderId="0" xfId="0" applyNumberFormat="1" applyFont="1" applyFill="1" applyBorder="1" applyAlignment="1">
      <alignment horizontal="center" vertical="center"/>
    </xf>
    <xf numFmtId="3" fontId="8" fillId="5" borderId="0" xfId="0" applyNumberFormat="1" applyFont="1" applyFill="1" applyBorder="1" applyAlignment="1">
      <alignment horizontal="center" vertical="center"/>
    </xf>
    <xf numFmtId="3" fontId="8" fillId="5" borderId="17" xfId="0" applyNumberFormat="1" applyFont="1" applyFill="1" applyBorder="1" applyAlignment="1">
      <alignment horizontal="center" vertical="center"/>
    </xf>
    <xf numFmtId="0" fontId="7" fillId="5" borderId="47" xfId="0" applyFont="1" applyFill="1" applyBorder="1" applyAlignment="1">
      <alignment horizontal="center" vertical="center"/>
    </xf>
    <xf numFmtId="166" fontId="8" fillId="0" borderId="0" xfId="0" applyNumberFormat="1" applyFont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3" fontId="8" fillId="0" borderId="17" xfId="0" applyNumberFormat="1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166" fontId="7" fillId="3" borderId="23" xfId="0" applyNumberFormat="1" applyFont="1" applyFill="1" applyBorder="1" applyAlignment="1">
      <alignment horizontal="center" vertical="center"/>
    </xf>
    <xf numFmtId="166" fontId="8" fillId="5" borderId="7" xfId="0" applyNumberFormat="1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Continuous" vertical="center"/>
    </xf>
    <xf numFmtId="166" fontId="8" fillId="4" borderId="7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Alignment="1">
      <alignment horizontal="centerContinuous" vertical="center"/>
    </xf>
    <xf numFmtId="166" fontId="7" fillId="4" borderId="0" xfId="0" applyNumberFormat="1" applyFont="1" applyFill="1" applyAlignment="1">
      <alignment horizontal="center" vertical="center"/>
    </xf>
    <xf numFmtId="166" fontId="7" fillId="5" borderId="17" xfId="0" applyNumberFormat="1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right" vertical="center"/>
    </xf>
    <xf numFmtId="0" fontId="3" fillId="0" borderId="0" xfId="0" applyFont="1" applyFill="1"/>
    <xf numFmtId="0" fontId="20" fillId="0" borderId="0" xfId="0" applyFont="1" applyFill="1" applyAlignment="1">
      <alignment vertical="center"/>
    </xf>
    <xf numFmtId="0" fontId="7" fillId="0" borderId="0" xfId="0" applyFont="1" applyFill="1" applyBorder="1"/>
    <xf numFmtId="0" fontId="7" fillId="5" borderId="16" xfId="0" applyFont="1" applyFill="1" applyBorder="1" applyAlignment="1">
      <alignment vertical="center"/>
    </xf>
    <xf numFmtId="0" fontId="8" fillId="0" borderId="16" xfId="0" applyFont="1" applyFill="1" applyBorder="1" applyAlignment="1">
      <alignment vertical="center"/>
    </xf>
    <xf numFmtId="166" fontId="7" fillId="0" borderId="26" xfId="0" applyNumberFormat="1" applyFont="1" applyFill="1" applyBorder="1" applyAlignment="1">
      <alignment horizontal="center" vertical="center"/>
    </xf>
    <xf numFmtId="166" fontId="7" fillId="0" borderId="34" xfId="0" applyNumberFormat="1" applyFont="1" applyFill="1" applyBorder="1" applyAlignment="1">
      <alignment horizontal="center" vertical="center"/>
    </xf>
    <xf numFmtId="166" fontId="7" fillId="5" borderId="64" xfId="0" applyNumberFormat="1" applyFont="1" applyFill="1" applyBorder="1" applyAlignment="1">
      <alignment horizontal="center" vertical="center"/>
    </xf>
    <xf numFmtId="166" fontId="7" fillId="0" borderId="13" xfId="0" applyNumberFormat="1" applyFont="1" applyFill="1" applyBorder="1" applyAlignment="1">
      <alignment horizontal="center" vertical="center"/>
    </xf>
    <xf numFmtId="166" fontId="8" fillId="5" borderId="68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20" fillId="0" borderId="0" xfId="0" applyFont="1" applyFill="1"/>
    <xf numFmtId="0" fontId="84" fillId="4" borderId="8" xfId="0" applyFont="1" applyFill="1" applyBorder="1" applyAlignment="1">
      <alignment horizontal="center" vertical="center"/>
    </xf>
    <xf numFmtId="166" fontId="85" fillId="0" borderId="16" xfId="0" applyNumberFormat="1" applyFont="1" applyBorder="1" applyAlignment="1">
      <alignment horizontal="center" vertical="center"/>
    </xf>
    <xf numFmtId="166" fontId="85" fillId="5" borderId="16" xfId="0" applyNumberFormat="1" applyFont="1" applyFill="1" applyBorder="1" applyAlignment="1">
      <alignment horizontal="center" vertical="center"/>
    </xf>
    <xf numFmtId="166" fontId="85" fillId="0" borderId="22" xfId="0" applyNumberFormat="1" applyFont="1" applyBorder="1" applyAlignment="1">
      <alignment horizontal="center" vertical="center"/>
    </xf>
    <xf numFmtId="0" fontId="4" fillId="0" borderId="0" xfId="0" applyFont="1" applyFill="1"/>
    <xf numFmtId="0" fontId="21" fillId="0" borderId="0" xfId="0" applyFont="1" applyFill="1"/>
    <xf numFmtId="0" fontId="3" fillId="0" borderId="0" xfId="0" applyFont="1"/>
    <xf numFmtId="0" fontId="7" fillId="3" borderId="0" xfId="0" applyFont="1" applyFill="1" applyBorder="1" applyAlignment="1">
      <alignment horizontal="left" vertical="center"/>
    </xf>
    <xf numFmtId="166" fontId="7" fillId="3" borderId="0" xfId="0" applyNumberFormat="1" applyFont="1" applyFill="1" applyBorder="1" applyAlignment="1">
      <alignment horizontal="center"/>
    </xf>
    <xf numFmtId="166" fontId="7" fillId="3" borderId="17" xfId="0" applyNumberFormat="1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left" vertical="center"/>
    </xf>
    <xf numFmtId="166" fontId="7" fillId="5" borderId="0" xfId="0" applyNumberFormat="1" applyFont="1" applyFill="1" applyBorder="1" applyAlignment="1">
      <alignment horizontal="center"/>
    </xf>
    <xf numFmtId="166" fontId="7" fillId="5" borderId="0" xfId="0" applyNumberFormat="1" applyFont="1" applyFill="1" applyAlignment="1">
      <alignment horizontal="center"/>
    </xf>
    <xf numFmtId="166" fontId="124" fillId="3" borderId="16" xfId="0" applyNumberFormat="1" applyFont="1" applyFill="1" applyBorder="1" applyAlignment="1">
      <alignment horizontal="center" vertical="center"/>
    </xf>
    <xf numFmtId="166" fontId="123" fillId="3" borderId="0" xfId="0" applyNumberFormat="1" applyFont="1" applyFill="1" applyBorder="1" applyAlignment="1">
      <alignment horizontal="center" vertical="center"/>
    </xf>
    <xf numFmtId="166" fontId="125" fillId="3" borderId="0" xfId="0" applyNumberFormat="1" applyFont="1" applyFill="1" applyBorder="1" applyAlignment="1">
      <alignment horizontal="center" vertical="center"/>
    </xf>
    <xf numFmtId="166" fontId="125" fillId="3" borderId="17" xfId="0" applyNumberFormat="1" applyFont="1" applyFill="1" applyBorder="1" applyAlignment="1">
      <alignment horizontal="center" vertical="center"/>
    </xf>
    <xf numFmtId="166" fontId="124" fillId="5" borderId="16" xfId="0" applyNumberFormat="1" applyFont="1" applyFill="1" applyBorder="1" applyAlignment="1">
      <alignment horizontal="center" vertical="center"/>
    </xf>
    <xf numFmtId="166" fontId="123" fillId="5" borderId="0" xfId="0" applyNumberFormat="1" applyFont="1" applyFill="1" applyBorder="1" applyAlignment="1">
      <alignment horizontal="center" vertical="center"/>
    </xf>
    <xf numFmtId="166" fontId="125" fillId="5" borderId="0" xfId="0" applyNumberFormat="1" applyFont="1" applyFill="1" applyBorder="1" applyAlignment="1">
      <alignment horizontal="center" vertical="center"/>
    </xf>
    <xf numFmtId="166" fontId="125" fillId="5" borderId="17" xfId="0" applyNumberFormat="1" applyFont="1" applyFill="1" applyBorder="1" applyAlignment="1">
      <alignment horizontal="center" vertical="center"/>
    </xf>
    <xf numFmtId="166" fontId="7" fillId="5" borderId="23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readingOrder="1"/>
    </xf>
    <xf numFmtId="0" fontId="4" fillId="0" borderId="0" xfId="0" applyFont="1" applyFill="1" applyAlignment="1">
      <alignment horizontal="centerContinuous" vertical="center" readingOrder="1"/>
    </xf>
    <xf numFmtId="0" fontId="28" fillId="0" borderId="0" xfId="0" applyFont="1" applyFill="1" applyAlignment="1">
      <alignment horizontal="left" vertical="center" readingOrder="1"/>
    </xf>
    <xf numFmtId="166" fontId="8" fillId="4" borderId="8" xfId="0" applyNumberFormat="1" applyFont="1" applyFill="1" applyBorder="1" applyAlignment="1">
      <alignment horizontal="center" vertical="center" readingOrder="1"/>
    </xf>
    <xf numFmtId="166" fontId="8" fillId="5" borderId="16" xfId="0" applyNumberFormat="1" applyFont="1" applyFill="1" applyBorder="1" applyAlignment="1">
      <alignment horizontal="center" vertical="center" readingOrder="1"/>
    </xf>
    <xf numFmtId="166" fontId="7" fillId="4" borderId="16" xfId="0" applyNumberFormat="1" applyFont="1" applyFill="1" applyBorder="1" applyAlignment="1">
      <alignment horizontal="center" vertical="center" readingOrder="1"/>
    </xf>
    <xf numFmtId="166" fontId="7" fillId="5" borderId="16" xfId="0" applyNumberFormat="1" applyFont="1" applyFill="1" applyBorder="1" applyAlignment="1">
      <alignment horizontal="center" vertical="center" readingOrder="1"/>
    </xf>
    <xf numFmtId="166" fontId="8" fillId="4" borderId="16" xfId="0" applyNumberFormat="1" applyFont="1" applyFill="1" applyBorder="1" applyAlignment="1">
      <alignment horizontal="center" vertical="center" readingOrder="1"/>
    </xf>
    <xf numFmtId="166" fontId="8" fillId="5" borderId="5" xfId="0" applyNumberFormat="1" applyFont="1" applyFill="1" applyBorder="1" applyAlignment="1">
      <alignment horizontal="center" vertical="center" readingOrder="1"/>
    </xf>
    <xf numFmtId="166" fontId="8" fillId="5" borderId="32" xfId="0" applyNumberFormat="1" applyFont="1" applyFill="1" applyBorder="1" applyAlignment="1">
      <alignment vertical="center" readingOrder="1"/>
    </xf>
    <xf numFmtId="0" fontId="19" fillId="0" borderId="0" xfId="0" applyFont="1" applyFill="1" applyBorder="1" applyAlignment="1">
      <alignment readingOrder="1"/>
    </xf>
    <xf numFmtId="0" fontId="3" fillId="0" borderId="0" xfId="0" applyFont="1" applyFill="1" applyAlignment="1">
      <alignment vertical="center" readingOrder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8" fillId="2" borderId="42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7" fillId="2" borderId="4" xfId="0" applyFont="1" applyFill="1" applyBorder="1" applyAlignment="1">
      <alignment vertical="center"/>
    </xf>
    <xf numFmtId="0" fontId="7" fillId="2" borderId="27" xfId="0" applyFont="1" applyFill="1" applyBorder="1" applyAlignment="1">
      <alignment vertical="center"/>
    </xf>
    <xf numFmtId="0" fontId="7" fillId="2" borderId="7" xfId="0" applyFont="1" applyFill="1" applyBorder="1" applyAlignment="1">
      <alignment horizontal="centerContinuous" vertical="center"/>
    </xf>
    <xf numFmtId="0" fontId="8" fillId="2" borderId="0" xfId="0" applyFont="1" applyFill="1" applyBorder="1" applyAlignment="1">
      <alignment horizontal="centerContinuous" vertical="center"/>
    </xf>
    <xf numFmtId="0" fontId="8" fillId="2" borderId="17" xfId="0" applyFont="1" applyFill="1" applyBorder="1" applyAlignment="1">
      <alignment horizontal="centerContinuous" vertical="center"/>
    </xf>
    <xf numFmtId="0" fontId="7" fillId="2" borderId="0" xfId="0" applyFont="1" applyFill="1" applyBorder="1" applyAlignment="1">
      <alignment horizontal="centerContinuous" vertical="center"/>
    </xf>
    <xf numFmtId="0" fontId="7" fillId="2" borderId="11" xfId="0" applyFont="1" applyFill="1" applyBorder="1"/>
    <xf numFmtId="0" fontId="7" fillId="2" borderId="0" xfId="0" applyFont="1" applyFill="1" applyBorder="1" applyAlignment="1">
      <alignment vertical="center"/>
    </xf>
    <xf numFmtId="0" fontId="7" fillId="2" borderId="25" xfId="0" applyFont="1" applyFill="1" applyBorder="1" applyAlignment="1">
      <alignment vertical="center"/>
    </xf>
    <xf numFmtId="0" fontId="7" fillId="2" borderId="0" xfId="0" applyFont="1" applyFill="1" applyAlignment="1">
      <alignment horizontal="centerContinuous" vertical="center"/>
    </xf>
    <xf numFmtId="0" fontId="7" fillId="2" borderId="17" xfId="0" applyFont="1" applyFill="1" applyBorder="1" applyAlignment="1">
      <alignment horizontal="centerContinuous"/>
    </xf>
    <xf numFmtId="0" fontId="7" fillId="2" borderId="0" xfId="0" applyFont="1" applyFill="1" applyBorder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8" fillId="2" borderId="1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centerContinuous"/>
    </xf>
    <xf numFmtId="0" fontId="8" fillId="2" borderId="105" xfId="0" applyFont="1" applyFill="1" applyBorder="1" applyAlignment="1">
      <alignment horizontal="left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left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/>
    </xf>
    <xf numFmtId="0" fontId="7" fillId="2" borderId="0" xfId="0" applyFont="1" applyFill="1"/>
    <xf numFmtId="0" fontId="8" fillId="2" borderId="0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vertical="center"/>
    </xf>
    <xf numFmtId="3" fontId="8" fillId="3" borderId="7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3" fontId="8" fillId="3" borderId="0" xfId="0" applyNumberFormat="1" applyFont="1" applyFill="1" applyBorder="1" applyAlignment="1">
      <alignment horizontal="center" vertical="center"/>
    </xf>
    <xf numFmtId="3" fontId="8" fillId="3" borderId="17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right" vertical="center"/>
    </xf>
    <xf numFmtId="0" fontId="7" fillId="3" borderId="25" xfId="0" applyFont="1" applyFill="1" applyBorder="1" applyAlignment="1">
      <alignment vertical="center"/>
    </xf>
    <xf numFmtId="3" fontId="8" fillId="5" borderId="7" xfId="0" applyNumberFormat="1" applyFont="1" applyFill="1" applyBorder="1" applyAlignment="1">
      <alignment horizontal="center" vertical="center"/>
    </xf>
    <xf numFmtId="3" fontId="7" fillId="5" borderId="0" xfId="0" applyNumberFormat="1" applyFont="1" applyFill="1" applyAlignment="1">
      <alignment horizontal="center" vertical="center"/>
    </xf>
    <xf numFmtId="0" fontId="7" fillId="5" borderId="25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20" fillId="0" borderId="0" xfId="0" applyFont="1" applyBorder="1" applyAlignment="1">
      <alignment horizontal="centerContinuous" vertical="top"/>
    </xf>
    <xf numFmtId="0" fontId="20" fillId="0" borderId="0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4" fillId="0" borderId="0" xfId="0" applyFont="1" applyBorder="1" applyAlignment="1">
      <alignment vertical="center"/>
    </xf>
    <xf numFmtId="0" fontId="54" fillId="0" borderId="0" xfId="0" applyFont="1" applyAlignment="1">
      <alignment vertical="center"/>
    </xf>
    <xf numFmtId="0" fontId="54" fillId="0" borderId="0" xfId="0" quotePrefix="1" applyFont="1" applyBorder="1" applyAlignment="1">
      <alignment vertical="center"/>
    </xf>
    <xf numFmtId="0" fontId="54" fillId="0" borderId="0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7" fillId="2" borderId="26" xfId="0" applyFont="1" applyFill="1" applyBorder="1" applyAlignment="1">
      <alignment vertical="center"/>
    </xf>
    <xf numFmtId="0" fontId="8" fillId="2" borderId="4" xfId="0" applyFont="1" applyFill="1" applyBorder="1" applyAlignment="1">
      <alignment horizontal="centerContinuous" vertical="center"/>
    </xf>
    <xf numFmtId="0" fontId="8" fillId="2" borderId="42" xfId="0" applyFont="1" applyFill="1" applyBorder="1" applyAlignment="1">
      <alignment horizontal="centerContinuous" vertical="center"/>
    </xf>
    <xf numFmtId="0" fontId="8" fillId="2" borderId="27" xfId="0" applyFont="1" applyFill="1" applyBorder="1" applyAlignment="1">
      <alignment horizontal="right" vertical="center"/>
    </xf>
    <xf numFmtId="0" fontId="7" fillId="2" borderId="16" xfId="0" applyFont="1" applyFill="1" applyBorder="1" applyAlignment="1">
      <alignment horizontal="centerContinuous" vertical="center"/>
    </xf>
    <xf numFmtId="0" fontId="7" fillId="2" borderId="0" xfId="0" applyFont="1" applyFill="1" applyBorder="1"/>
    <xf numFmtId="0" fontId="7" fillId="2" borderId="16" xfId="0" applyFont="1" applyFill="1" applyBorder="1" applyAlignment="1">
      <alignment horizontal="centerContinuous"/>
    </xf>
    <xf numFmtId="0" fontId="7" fillId="2" borderId="13" xfId="0" applyFont="1" applyFill="1" applyBorder="1" applyAlignment="1">
      <alignment horizontal="centerContinuous"/>
    </xf>
    <xf numFmtId="0" fontId="8" fillId="2" borderId="14" xfId="0" applyFont="1" applyFill="1" applyBorder="1" applyAlignment="1">
      <alignment horizontal="centerContinuous" vertical="center"/>
    </xf>
    <xf numFmtId="0" fontId="7" fillId="2" borderId="14" xfId="0" applyFont="1" applyFill="1" applyBorder="1" applyAlignment="1">
      <alignment horizontal="centerContinuous" vertical="center"/>
    </xf>
    <xf numFmtId="0" fontId="7" fillId="2" borderId="14" xfId="0" applyFont="1" applyFill="1" applyBorder="1" applyAlignment="1">
      <alignment horizontal="centerContinuous"/>
    </xf>
    <xf numFmtId="0" fontId="7" fillId="2" borderId="15" xfId="0" applyFont="1" applyFill="1" applyBorder="1" applyAlignment="1">
      <alignment horizontal="centerContinuous"/>
    </xf>
    <xf numFmtId="0" fontId="8" fillId="2" borderId="17" xfId="0" applyFont="1" applyFill="1" applyBorder="1" applyAlignment="1">
      <alignment horizontal="center" vertical="top"/>
    </xf>
    <xf numFmtId="0" fontId="8" fillId="2" borderId="87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8" fillId="2" borderId="25" xfId="0" applyFont="1" applyFill="1" applyBorder="1" applyAlignment="1">
      <alignment horizontal="left" vertical="center"/>
    </xf>
    <xf numFmtId="0" fontId="7" fillId="2" borderId="25" xfId="0" applyFont="1" applyFill="1" applyBorder="1"/>
    <xf numFmtId="168" fontId="8" fillId="3" borderId="7" xfId="0" applyNumberFormat="1" applyFont="1" applyFill="1" applyBorder="1" applyAlignment="1">
      <alignment horizontal="center" vertical="center"/>
    </xf>
    <xf numFmtId="168" fontId="7" fillId="3" borderId="0" xfId="0" applyNumberFormat="1" applyFont="1" applyFill="1" applyBorder="1" applyAlignment="1">
      <alignment horizontal="center" vertical="center"/>
    </xf>
    <xf numFmtId="168" fontId="7" fillId="3" borderId="0" xfId="0" applyNumberFormat="1" applyFont="1" applyFill="1" applyAlignment="1">
      <alignment horizontal="center" vertical="center"/>
    </xf>
    <xf numFmtId="168" fontId="8" fillId="3" borderId="0" xfId="0" applyNumberFormat="1" applyFont="1" applyFill="1" applyBorder="1" applyAlignment="1">
      <alignment horizontal="center" vertical="center"/>
    </xf>
    <xf numFmtId="168" fontId="8" fillId="3" borderId="17" xfId="0" applyNumberFormat="1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right" vertical="center"/>
    </xf>
    <xf numFmtId="168" fontId="8" fillId="5" borderId="7" xfId="0" applyNumberFormat="1" applyFont="1" applyFill="1" applyBorder="1" applyAlignment="1">
      <alignment horizontal="center" vertical="center"/>
    </xf>
    <xf numFmtId="168" fontId="7" fillId="5" borderId="0" xfId="0" applyNumberFormat="1" applyFont="1" applyFill="1" applyBorder="1" applyAlignment="1">
      <alignment horizontal="center" vertical="center"/>
    </xf>
    <xf numFmtId="168" fontId="7" fillId="5" borderId="0" xfId="0" applyNumberFormat="1" applyFont="1" applyFill="1" applyAlignment="1">
      <alignment horizontal="center" vertical="center"/>
    </xf>
    <xf numFmtId="168" fontId="8" fillId="5" borderId="0" xfId="0" applyNumberFormat="1" applyFont="1" applyFill="1" applyBorder="1" applyAlignment="1">
      <alignment horizontal="center" vertical="center"/>
    </xf>
    <xf numFmtId="168" fontId="8" fillId="5" borderId="17" xfId="0" applyNumberFormat="1" applyFont="1" applyFill="1" applyBorder="1" applyAlignment="1">
      <alignment horizontal="center" vertical="center"/>
    </xf>
    <xf numFmtId="0" fontId="8" fillId="5" borderId="25" xfId="0" applyFont="1" applyFill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Continuous" vertical="top"/>
    </xf>
    <xf numFmtId="0" fontId="57" fillId="0" borderId="0" xfId="0" applyFont="1" applyAlignment="1">
      <alignment vertical="center"/>
    </xf>
    <xf numFmtId="0" fontId="3" fillId="0" borderId="0" xfId="0" applyFont="1" applyFill="1" applyBorder="1" applyAlignment="1">
      <alignment readingOrder="1"/>
    </xf>
    <xf numFmtId="0" fontId="131" fillId="0" borderId="0" xfId="0" applyFont="1" applyFill="1" applyBorder="1" applyAlignment="1">
      <alignment horizontal="center" vertical="center" readingOrder="1"/>
    </xf>
    <xf numFmtId="0" fontId="64" fillId="0" borderId="0" xfId="0" applyFont="1" applyFill="1" applyBorder="1" applyAlignment="1">
      <alignment readingOrder="1"/>
    </xf>
    <xf numFmtId="0" fontId="33" fillId="0" borderId="0" xfId="0" applyFont="1" applyFill="1" applyBorder="1" applyAlignment="1">
      <alignment readingOrder="1"/>
    </xf>
    <xf numFmtId="0" fontId="3" fillId="0" borderId="0" xfId="0" applyFont="1" applyFill="1" applyBorder="1" applyAlignment="1">
      <alignment horizontal="left" readingOrder="1"/>
    </xf>
    <xf numFmtId="0" fontId="7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73" fillId="0" borderId="0" xfId="0" applyFont="1" applyAlignment="1">
      <alignment horizontal="center" vertical="center"/>
    </xf>
    <xf numFmtId="0" fontId="20" fillId="0" borderId="0" xfId="0" applyFont="1"/>
    <xf numFmtId="0" fontId="73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11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8" fillId="0" borderId="0" xfId="0" applyFont="1" applyAlignment="1">
      <alignment horizontal="left" vertical="center"/>
    </xf>
    <xf numFmtId="0" fontId="112" fillId="2" borderId="2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right" vertical="center"/>
    </xf>
    <xf numFmtId="0" fontId="2" fillId="2" borderId="5" xfId="0" applyFont="1" applyFill="1" applyBorder="1" applyAlignment="1">
      <alignment horizontal="left" vertical="center"/>
    </xf>
    <xf numFmtId="0" fontId="8" fillId="2" borderId="5" xfId="0" applyFont="1" applyFill="1" applyBorder="1" applyAlignment="1">
      <alignment horizontal="left" vertical="center"/>
    </xf>
    <xf numFmtId="0" fontId="7" fillId="2" borderId="5" xfId="0" applyFont="1" applyFill="1" applyBorder="1"/>
    <xf numFmtId="0" fontId="2" fillId="2" borderId="5" xfId="0" applyFont="1" applyFill="1" applyBorder="1" applyAlignment="1">
      <alignment vertical="center"/>
    </xf>
    <xf numFmtId="0" fontId="112" fillId="2" borderId="7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1" xfId="0" applyFont="1" applyFill="1" applyBorder="1"/>
    <xf numFmtId="0" fontId="2" fillId="2" borderId="11" xfId="0" applyFont="1" applyFill="1" applyBorder="1" applyAlignment="1">
      <alignment horizontal="center"/>
    </xf>
    <xf numFmtId="0" fontId="112" fillId="2" borderId="11" xfId="0" applyFont="1" applyFill="1" applyBorder="1" applyAlignment="1">
      <alignment horizontal="center" vertical="center"/>
    </xf>
    <xf numFmtId="0" fontId="112" fillId="2" borderId="7" xfId="0" applyFont="1" applyFill="1" applyBorder="1" applyAlignment="1">
      <alignment horizontal="centerContinuous" vertical="center"/>
    </xf>
    <xf numFmtId="0" fontId="112" fillId="2" borderId="38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112" fillId="2" borderId="19" xfId="0" applyFont="1" applyFill="1" applyBorder="1" applyAlignment="1">
      <alignment horizontal="center" vertical="center"/>
    </xf>
    <xf numFmtId="1" fontId="7" fillId="5" borderId="7" xfId="0" applyNumberFormat="1" applyFont="1" applyFill="1" applyBorder="1" applyAlignment="1">
      <alignment horizontal="center" vertical="center"/>
    </xf>
    <xf numFmtId="166" fontId="8" fillId="5" borderId="10" xfId="0" applyNumberFormat="1" applyFont="1" applyFill="1" applyBorder="1" applyAlignment="1">
      <alignment horizontal="center" vertical="center"/>
    </xf>
    <xf numFmtId="1" fontId="7" fillId="3" borderId="7" xfId="0" applyNumberFormat="1" applyFont="1" applyFill="1" applyBorder="1" applyAlignment="1">
      <alignment horizontal="center" vertical="center"/>
    </xf>
    <xf numFmtId="166" fontId="8" fillId="3" borderId="17" xfId="0" applyNumberFormat="1" applyFont="1" applyFill="1" applyBorder="1" applyAlignment="1">
      <alignment horizontal="center" vertical="center"/>
    </xf>
    <xf numFmtId="166" fontId="8" fillId="5" borderId="9" xfId="0" applyNumberFormat="1" applyFont="1" applyFill="1" applyBorder="1" applyAlignment="1">
      <alignment vertical="center"/>
    </xf>
    <xf numFmtId="166" fontId="8" fillId="5" borderId="17" xfId="0" applyNumberFormat="1" applyFont="1" applyFill="1" applyBorder="1" applyAlignment="1">
      <alignment horizontal="center" vertical="center"/>
    </xf>
    <xf numFmtId="166" fontId="8" fillId="5" borderId="23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5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112" fillId="2" borderId="26" xfId="0" applyFont="1" applyFill="1" applyBorder="1" applyAlignment="1">
      <alignment vertical="center"/>
    </xf>
    <xf numFmtId="0" fontId="112" fillId="2" borderId="4" xfId="0" applyFont="1" applyFill="1" applyBorder="1" applyAlignment="1">
      <alignment vertical="center"/>
    </xf>
    <xf numFmtId="0" fontId="112" fillId="2" borderId="42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right" vertical="center"/>
    </xf>
    <xf numFmtId="0" fontId="7" fillId="2" borderId="17" xfId="0" applyFont="1" applyFill="1" applyBorder="1" applyAlignment="1">
      <alignment horizontal="right" vertical="center"/>
    </xf>
    <xf numFmtId="0" fontId="112" fillId="2" borderId="16" xfId="0" applyFont="1" applyFill="1" applyBorder="1" applyAlignment="1">
      <alignment vertical="center"/>
    </xf>
    <xf numFmtId="0" fontId="112" fillId="2" borderId="0" xfId="0" applyFont="1" applyFill="1" applyBorder="1" applyAlignment="1">
      <alignment vertical="center"/>
    </xf>
    <xf numFmtId="0" fontId="112" fillId="2" borderId="17" xfId="0" applyFont="1" applyFill="1" applyBorder="1" applyAlignment="1">
      <alignment horizontal="left" vertical="center"/>
    </xf>
    <xf numFmtId="0" fontId="112" fillId="2" borderId="0" xfId="0" applyFont="1" applyFill="1" applyBorder="1" applyAlignment="1">
      <alignment horizontal="center" vertical="center"/>
    </xf>
    <xf numFmtId="0" fontId="112" fillId="2" borderId="17" xfId="0" applyFont="1" applyFill="1" applyBorder="1" applyAlignment="1">
      <alignment horizontal="right" vertical="center"/>
    </xf>
    <xf numFmtId="0" fontId="8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right" vertical="center"/>
    </xf>
    <xf numFmtId="0" fontId="112" fillId="2" borderId="16" xfId="0" applyFont="1" applyFill="1" applyBorder="1" applyAlignment="1">
      <alignment horizontal="left" vertical="center"/>
    </xf>
    <xf numFmtId="0" fontId="112" fillId="2" borderId="0" xfId="0" applyFont="1" applyFill="1" applyBorder="1" applyAlignment="1">
      <alignment horizontal="left" vertical="center"/>
    </xf>
    <xf numFmtId="0" fontId="112" fillId="2" borderId="0" xfId="0" applyFont="1" applyFill="1" applyBorder="1" applyAlignment="1">
      <alignment horizontal="righ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right"/>
    </xf>
    <xf numFmtId="0" fontId="2" fillId="2" borderId="13" xfId="0" applyFont="1" applyFill="1" applyBorder="1" applyAlignment="1">
      <alignment horizontal="left" vertical="center"/>
    </xf>
    <xf numFmtId="0" fontId="2" fillId="2" borderId="14" xfId="0" applyFont="1" applyFill="1" applyBorder="1" applyAlignment="1">
      <alignment horizontal="left" vertical="center"/>
    </xf>
    <xf numFmtId="0" fontId="112" fillId="2" borderId="14" xfId="0" applyFont="1" applyFill="1" applyBorder="1" applyAlignment="1">
      <alignment vertical="center"/>
    </xf>
    <xf numFmtId="0" fontId="112" fillId="2" borderId="15" xfId="0" applyFont="1" applyFill="1" applyBorder="1" applyAlignment="1">
      <alignment vertical="center"/>
    </xf>
    <xf numFmtId="0" fontId="8" fillId="2" borderId="14" xfId="0" applyFont="1" applyFill="1" applyBorder="1" applyAlignment="1">
      <alignment horizontal="left" vertical="center"/>
    </xf>
    <xf numFmtId="0" fontId="7" fillId="2" borderId="14" xfId="0" applyFont="1" applyFill="1" applyBorder="1"/>
    <xf numFmtId="0" fontId="7" fillId="2" borderId="14" xfId="0" applyFont="1" applyFill="1" applyBorder="1" applyAlignment="1">
      <alignment vertical="center"/>
    </xf>
    <xf numFmtId="0" fontId="8" fillId="2" borderId="14" xfId="0" applyFont="1" applyFill="1" applyBorder="1" applyAlignment="1">
      <alignment vertical="center"/>
    </xf>
    <xf numFmtId="0" fontId="2" fillId="2" borderId="14" xfId="0" applyFont="1" applyFill="1" applyBorder="1" applyAlignment="1">
      <alignment horizontal="right" vertical="center"/>
    </xf>
    <xf numFmtId="0" fontId="8" fillId="2" borderId="37" xfId="0" applyFont="1" applyFill="1" applyBorder="1" applyAlignment="1">
      <alignment vertical="center"/>
    </xf>
    <xf numFmtId="0" fontId="8" fillId="2" borderId="37" xfId="0" applyFont="1" applyFill="1" applyBorder="1" applyAlignment="1">
      <alignment horizontal="right" vertical="center"/>
    </xf>
    <xf numFmtId="0" fontId="2" fillId="2" borderId="37" xfId="0" applyFont="1" applyFill="1" applyBorder="1" applyAlignment="1">
      <alignment horizontal="left" vertical="center"/>
    </xf>
    <xf numFmtId="0" fontId="8" fillId="2" borderId="8" xfId="0" applyFont="1" applyFill="1" applyBorder="1" applyAlignment="1">
      <alignment vertical="center"/>
    </xf>
    <xf numFmtId="0" fontId="8" fillId="2" borderId="10" xfId="0" applyFont="1" applyFill="1" applyBorder="1" applyAlignment="1">
      <alignment horizontal="right" vertical="center"/>
    </xf>
    <xf numFmtId="0" fontId="7" fillId="2" borderId="37" xfId="0" applyFont="1" applyFill="1" applyBorder="1"/>
    <xf numFmtId="0" fontId="7" fillId="2" borderId="37" xfId="0" applyFont="1" applyFill="1" applyBorder="1" applyAlignment="1">
      <alignment vertical="center"/>
    </xf>
    <xf numFmtId="0" fontId="112" fillId="2" borderId="8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vertical="center"/>
    </xf>
    <xf numFmtId="166" fontId="7" fillId="5" borderId="8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166" fontId="3" fillId="0" borderId="0" xfId="0" applyNumberFormat="1" applyFont="1" applyAlignment="1">
      <alignment vertical="center"/>
    </xf>
    <xf numFmtId="0" fontId="3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Continuous" vertical="center"/>
    </xf>
    <xf numFmtId="0" fontId="28" fillId="0" borderId="0" xfId="0" applyFont="1" applyAlignment="1">
      <alignment horizontal="left" vertical="center"/>
    </xf>
    <xf numFmtId="0" fontId="8" fillId="5" borderId="16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5" borderId="22" xfId="0" applyFont="1" applyFill="1" applyBorder="1" applyAlignment="1">
      <alignment horizontal="center"/>
    </xf>
    <xf numFmtId="0" fontId="19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166" fontId="137" fillId="4" borderId="9" xfId="0" applyNumberFormat="1" applyFont="1" applyFill="1" applyBorder="1" applyAlignment="1">
      <alignment horizontal="center" vertical="center" readingOrder="1"/>
    </xf>
    <xf numFmtId="166" fontId="137" fillId="5" borderId="0" xfId="0" applyNumberFormat="1" applyFont="1" applyFill="1" applyBorder="1" applyAlignment="1">
      <alignment horizontal="center" vertical="center" readingOrder="1"/>
    </xf>
    <xf numFmtId="166" fontId="137" fillId="4" borderId="0" xfId="0" applyNumberFormat="1" applyFont="1" applyFill="1" applyBorder="1" applyAlignment="1">
      <alignment horizontal="center" vertical="center" readingOrder="1"/>
    </xf>
    <xf numFmtId="0" fontId="136" fillId="2" borderId="86" xfId="0" applyFont="1" applyFill="1" applyBorder="1" applyAlignment="1">
      <alignment horizontal="center" vertical="center" readingOrder="1"/>
    </xf>
    <xf numFmtId="0" fontId="136" fillId="2" borderId="78" xfId="0" applyFont="1" applyFill="1" applyBorder="1" applyAlignment="1">
      <alignment horizontal="center" vertical="center" readingOrder="1"/>
    </xf>
    <xf numFmtId="0" fontId="136" fillId="2" borderId="82" xfId="0" applyFont="1" applyFill="1" applyBorder="1" applyAlignment="1">
      <alignment horizontal="center" vertical="center" readingOrder="1"/>
    </xf>
    <xf numFmtId="0" fontId="112" fillId="2" borderId="4" xfId="0" applyFont="1" applyFill="1" applyBorder="1" applyAlignment="1">
      <alignment horizontal="center" vertical="center"/>
    </xf>
    <xf numFmtId="0" fontId="112" fillId="2" borderId="14" xfId="0" applyFont="1" applyFill="1" applyBorder="1" applyAlignment="1">
      <alignment horizontal="center" vertical="center"/>
    </xf>
    <xf numFmtId="0" fontId="2" fillId="2" borderId="85" xfId="0" applyFont="1" applyFill="1" applyBorder="1" applyAlignment="1">
      <alignment vertical="center"/>
    </xf>
    <xf numFmtId="0" fontId="2" fillId="2" borderId="80" xfId="0" applyFont="1" applyFill="1" applyBorder="1" applyAlignment="1">
      <alignment vertical="center"/>
    </xf>
    <xf numFmtId="0" fontId="2" fillId="2" borderId="83" xfId="0" applyFont="1" applyFill="1" applyBorder="1" applyAlignment="1">
      <alignment vertical="center"/>
    </xf>
    <xf numFmtId="166" fontId="7" fillId="3" borderId="0" xfId="0" applyNumberFormat="1" applyFont="1" applyFill="1" applyBorder="1" applyAlignment="1">
      <alignment horizontal="centerContinuous" vertical="center"/>
    </xf>
    <xf numFmtId="166" fontId="8" fillId="3" borderId="7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Border="1" applyAlignment="1">
      <alignment horizontal="centerContinuous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1" fontId="7" fillId="3" borderId="0" xfId="0" applyNumberFormat="1" applyFont="1" applyFill="1" applyBorder="1" applyAlignment="1">
      <alignment horizontal="right" vertical="center"/>
    </xf>
    <xf numFmtId="166" fontId="7" fillId="3" borderId="7" xfId="0" applyNumberFormat="1" applyFont="1" applyFill="1" applyBorder="1" applyAlignment="1">
      <alignment horizontal="centerContinuous" vertical="center"/>
    </xf>
    <xf numFmtId="1" fontId="8" fillId="4" borderId="0" xfId="0" applyNumberFormat="1" applyFont="1" applyFill="1" applyBorder="1" applyAlignment="1">
      <alignment horizontal="centerContinuous" vertical="center"/>
    </xf>
    <xf numFmtId="1" fontId="7" fillId="4" borderId="0" xfId="0" applyNumberFormat="1" applyFont="1" applyFill="1" applyBorder="1" applyAlignment="1">
      <alignment horizontal="centerContinuous" vertical="center"/>
    </xf>
    <xf numFmtId="166" fontId="8" fillId="4" borderId="11" xfId="0" applyNumberFormat="1" applyFont="1" applyFill="1" applyBorder="1" applyAlignment="1">
      <alignment horizontal="center" vertical="center"/>
    </xf>
    <xf numFmtId="0" fontId="7" fillId="4" borderId="25" xfId="0" applyFont="1" applyFill="1" applyBorder="1"/>
    <xf numFmtId="166" fontId="8" fillId="4" borderId="17" xfId="0" applyNumberFormat="1" applyFont="1" applyFill="1" applyBorder="1" applyAlignment="1">
      <alignment horizontal="center" vertical="center"/>
    </xf>
    <xf numFmtId="1" fontId="7" fillId="4" borderId="25" xfId="0" applyNumberFormat="1" applyFont="1" applyFill="1" applyBorder="1" applyAlignment="1">
      <alignment horizontal="center" vertical="center"/>
    </xf>
    <xf numFmtId="2" fontId="7" fillId="3" borderId="0" xfId="0" applyNumberFormat="1" applyFont="1" applyFill="1" applyBorder="1" applyAlignment="1">
      <alignment horizontal="center"/>
    </xf>
    <xf numFmtId="2" fontId="7" fillId="3" borderId="0" xfId="0" applyNumberFormat="1" applyFont="1" applyFill="1" applyBorder="1" applyAlignment="1">
      <alignment horizontal="center" vertical="center"/>
    </xf>
    <xf numFmtId="2" fontId="7" fillId="3" borderId="7" xfId="0" applyNumberFormat="1" applyFont="1" applyFill="1" applyBorder="1" applyAlignment="1">
      <alignment horizontal="center"/>
    </xf>
    <xf numFmtId="2" fontId="7" fillId="3" borderId="17" xfId="0" applyNumberFormat="1" applyFont="1" applyFill="1" applyBorder="1" applyAlignment="1">
      <alignment horizontal="center" vertical="center"/>
    </xf>
    <xf numFmtId="166" fontId="7" fillId="5" borderId="7" xfId="0" applyNumberFormat="1" applyFont="1" applyFill="1" applyBorder="1" applyAlignment="1">
      <alignment horizontal="centerContinuous" vertical="center"/>
    </xf>
    <xf numFmtId="166" fontId="7" fillId="3" borderId="0" xfId="0" applyNumberFormat="1" applyFont="1" applyFill="1" applyAlignment="1">
      <alignment horizontal="centerContinuous" vertical="center"/>
    </xf>
    <xf numFmtId="166" fontId="7" fillId="3" borderId="0" xfId="0" applyNumberFormat="1" applyFont="1" applyFill="1" applyAlignment="1">
      <alignment horizontal="center" vertical="center"/>
    </xf>
    <xf numFmtId="166" fontId="8" fillId="5" borderId="11" xfId="0" applyNumberFormat="1" applyFont="1" applyFill="1" applyBorder="1" applyAlignment="1">
      <alignment horizontal="center" vertical="center"/>
    </xf>
    <xf numFmtId="2" fontId="7" fillId="5" borderId="7" xfId="0" applyNumberFormat="1" applyFont="1" applyFill="1" applyBorder="1" applyAlignment="1">
      <alignment horizontal="center"/>
    </xf>
    <xf numFmtId="2" fontId="7" fillId="5" borderId="0" xfId="0" applyNumberFormat="1" applyFont="1" applyFill="1" applyBorder="1" applyAlignment="1">
      <alignment horizontal="center"/>
    </xf>
    <xf numFmtId="2" fontId="7" fillId="5" borderId="0" xfId="0" applyNumberFormat="1" applyFont="1" applyFill="1" applyBorder="1" applyAlignment="1">
      <alignment horizontal="center" vertical="center"/>
    </xf>
    <xf numFmtId="2" fontId="7" fillId="5" borderId="17" xfId="0" applyNumberFormat="1" applyFont="1" applyFill="1" applyBorder="1" applyAlignment="1">
      <alignment horizontal="center" vertical="center"/>
    </xf>
    <xf numFmtId="166" fontId="88" fillId="5" borderId="7" xfId="0" applyNumberFormat="1" applyFont="1" applyFill="1" applyBorder="1" applyAlignment="1">
      <alignment horizontal="center"/>
    </xf>
    <xf numFmtId="166" fontId="88" fillId="5" borderId="0" xfId="0" applyNumberFormat="1" applyFont="1" applyFill="1" applyBorder="1" applyAlignment="1">
      <alignment horizontal="center"/>
    </xf>
    <xf numFmtId="166" fontId="88" fillId="5" borderId="0" xfId="0" applyNumberFormat="1" applyFont="1" applyFill="1" applyAlignment="1">
      <alignment horizontal="center"/>
    </xf>
    <xf numFmtId="166" fontId="89" fillId="5" borderId="0" xfId="0" applyNumberFormat="1" applyFont="1" applyFill="1" applyAlignment="1">
      <alignment horizontal="center"/>
    </xf>
    <xf numFmtId="166" fontId="88" fillId="3" borderId="7" xfId="0" applyNumberFormat="1" applyFont="1" applyFill="1" applyBorder="1" applyAlignment="1">
      <alignment horizontal="centerContinuous" vertical="center"/>
    </xf>
    <xf numFmtId="166" fontId="88" fillId="3" borderId="0" xfId="0" applyNumberFormat="1" applyFont="1" applyFill="1" applyBorder="1" applyAlignment="1">
      <alignment horizontal="centerContinuous" vertical="center"/>
    </xf>
    <xf numFmtId="166" fontId="88" fillId="3" borderId="0" xfId="0" applyNumberFormat="1" applyFont="1" applyFill="1" applyBorder="1" applyAlignment="1">
      <alignment horizontal="center"/>
    </xf>
    <xf numFmtId="166" fontId="89" fillId="3" borderId="0" xfId="0" applyNumberFormat="1" applyFont="1" applyFill="1" applyBorder="1" applyAlignment="1">
      <alignment horizontal="center"/>
    </xf>
    <xf numFmtId="166" fontId="88" fillId="5" borderId="7" xfId="0" applyNumberFormat="1" applyFont="1" applyFill="1" applyBorder="1" applyAlignment="1">
      <alignment horizontal="centerContinuous" vertical="center"/>
    </xf>
    <xf numFmtId="166" fontId="88" fillId="5" borderId="0" xfId="0" applyNumberFormat="1" applyFont="1" applyFill="1" applyBorder="1" applyAlignment="1">
      <alignment horizontal="centerContinuous" vertical="center"/>
    </xf>
    <xf numFmtId="166" fontId="89" fillId="5" borderId="0" xfId="0" applyNumberFormat="1" applyFont="1" applyFill="1" applyBorder="1" applyAlignment="1">
      <alignment horizontal="center"/>
    </xf>
    <xf numFmtId="166" fontId="88" fillId="3" borderId="7" xfId="0" applyNumberFormat="1" applyFont="1" applyFill="1" applyBorder="1" applyAlignment="1">
      <alignment horizontal="center" vertical="center"/>
    </xf>
    <xf numFmtId="166" fontId="88" fillId="3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4" fillId="0" borderId="0" xfId="0" quotePrefix="1" applyFont="1" applyAlignment="1">
      <alignment horizontal="left" vertical="center"/>
    </xf>
    <xf numFmtId="0" fontId="20" fillId="0" borderId="0" xfId="0" applyFont="1" applyAlignment="1">
      <alignment horizontal="left"/>
    </xf>
    <xf numFmtId="0" fontId="8" fillId="4" borderId="0" xfId="0" applyFont="1" applyFill="1" applyAlignment="1">
      <alignment horizontal="left"/>
    </xf>
    <xf numFmtId="166" fontId="89" fillId="0" borderId="0" xfId="0" applyNumberFormat="1" applyFont="1" applyFill="1" applyBorder="1" applyAlignment="1">
      <alignment horizontal="center" vertical="center"/>
    </xf>
    <xf numFmtId="166" fontId="88" fillId="5" borderId="0" xfId="0" applyNumberFormat="1" applyFont="1" applyFill="1" applyBorder="1" applyAlignment="1">
      <alignment horizontal="center" vertical="center"/>
    </xf>
    <xf numFmtId="166" fontId="88" fillId="4" borderId="0" xfId="0" applyNumberFormat="1" applyFont="1" applyFill="1" applyBorder="1" applyAlignment="1">
      <alignment horizontal="center" vertical="center"/>
    </xf>
    <xf numFmtId="166" fontId="98" fillId="5" borderId="1" xfId="0" applyNumberFormat="1" applyFont="1" applyFill="1" applyBorder="1" applyAlignment="1">
      <alignment horizontal="center" vertical="center"/>
    </xf>
    <xf numFmtId="0" fontId="89" fillId="5" borderId="4" xfId="0" applyFont="1" applyFill="1" applyBorder="1" applyAlignment="1">
      <alignment horizontal="left" vertical="center"/>
    </xf>
    <xf numFmtId="166" fontId="89" fillId="5" borderId="39" xfId="0" applyNumberFormat="1" applyFont="1" applyFill="1" applyBorder="1" applyAlignment="1">
      <alignment horizontal="center" vertical="center"/>
    </xf>
    <xf numFmtId="0" fontId="89" fillId="4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7" fillId="2" borderId="5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left" vertical="center"/>
    </xf>
    <xf numFmtId="3" fontId="47" fillId="0" borderId="0" xfId="0" applyNumberFormat="1" applyFont="1" applyBorder="1" applyAlignment="1">
      <alignment vertical="center"/>
    </xf>
    <xf numFmtId="3" fontId="28" fillId="0" borderId="0" xfId="0" applyNumberFormat="1" applyFont="1" applyBorder="1" applyAlignment="1">
      <alignment vertical="center"/>
    </xf>
    <xf numFmtId="3" fontId="20" fillId="0" borderId="0" xfId="0" applyNumberFormat="1" applyFont="1" applyBorder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6" fontId="8" fillId="5" borderId="1" xfId="0" applyNumberFormat="1" applyFont="1" applyFill="1" applyBorder="1" applyAlignment="1">
      <alignment horizontal="center" vertical="center"/>
    </xf>
    <xf numFmtId="1" fontId="8" fillId="3" borderId="0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right" vertical="center"/>
    </xf>
    <xf numFmtId="0" fontId="114" fillId="0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center" vertical="center"/>
    </xf>
    <xf numFmtId="0" fontId="117" fillId="0" borderId="0" xfId="0" applyFont="1" applyFill="1" applyBorder="1" applyAlignment="1">
      <alignment horizontal="left" vertical="center"/>
    </xf>
    <xf numFmtId="0" fontId="101" fillId="0" borderId="0" xfId="0" applyFont="1"/>
    <xf numFmtId="0" fontId="102" fillId="0" borderId="0" xfId="0" applyFont="1"/>
    <xf numFmtId="0" fontId="8" fillId="0" borderId="0" xfId="0" applyFont="1" applyFill="1" applyBorder="1"/>
    <xf numFmtId="0" fontId="7" fillId="2" borderId="86" xfId="0" applyFont="1" applyFill="1" applyBorder="1"/>
    <xf numFmtId="0" fontId="7" fillId="2" borderId="78" xfId="0" applyFont="1" applyFill="1" applyBorder="1"/>
    <xf numFmtId="0" fontId="45" fillId="2" borderId="78" xfId="0" applyFont="1" applyFill="1" applyBorder="1" applyAlignment="1">
      <alignment horizontal="centerContinuous" vertical="center"/>
    </xf>
    <xf numFmtId="0" fontId="7" fillId="2" borderId="78" xfId="0" applyFont="1" applyFill="1" applyBorder="1" applyAlignment="1">
      <alignment vertical="center"/>
    </xf>
    <xf numFmtId="0" fontId="7" fillId="2" borderId="82" xfId="0" applyFont="1" applyFill="1" applyBorder="1"/>
    <xf numFmtId="0" fontId="77" fillId="0" borderId="0" xfId="0" applyFont="1"/>
    <xf numFmtId="0" fontId="54" fillId="0" borderId="0" xfId="0" applyFont="1" applyAlignment="1">
      <alignment horizontal="left" vertical="center"/>
    </xf>
    <xf numFmtId="0" fontId="77" fillId="0" borderId="0" xfId="0" applyFont="1" applyAlignment="1">
      <alignment horizontal="left"/>
    </xf>
    <xf numFmtId="166" fontId="70" fillId="3" borderId="4" xfId="0" applyNumberFormat="1" applyFont="1" applyFill="1" applyBorder="1" applyAlignment="1">
      <alignment horizontal="center" vertical="center"/>
    </xf>
    <xf numFmtId="3" fontId="7" fillId="5" borderId="7" xfId="0" applyNumberFormat="1" applyFont="1" applyFill="1" applyBorder="1" applyAlignment="1">
      <alignment horizontal="center" vertical="center"/>
    </xf>
    <xf numFmtId="3" fontId="8" fillId="5" borderId="0" xfId="0" applyNumberFormat="1" applyFont="1" applyFill="1" applyAlignment="1">
      <alignment horizontal="center" vertical="center"/>
    </xf>
    <xf numFmtId="1" fontId="7" fillId="5" borderId="79" xfId="0" applyNumberFormat="1" applyFont="1" applyFill="1" applyBorder="1" applyAlignment="1">
      <alignment horizontal="right" vertical="center"/>
    </xf>
    <xf numFmtId="1" fontId="7" fillId="5" borderId="25" xfId="0" applyNumberFormat="1" applyFont="1" applyFill="1" applyBorder="1" applyAlignment="1">
      <alignment horizontal="right"/>
    </xf>
    <xf numFmtId="3" fontId="7" fillId="3" borderId="7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Alignment="1">
      <alignment horizontal="center" vertical="center"/>
    </xf>
    <xf numFmtId="3" fontId="8" fillId="3" borderId="0" xfId="0" applyNumberFormat="1" applyFont="1" applyFill="1" applyAlignment="1">
      <alignment horizontal="center" vertical="center"/>
    </xf>
    <xf numFmtId="1" fontId="7" fillId="3" borderId="79" xfId="0" applyNumberFormat="1" applyFont="1" applyFill="1" applyBorder="1" applyAlignment="1">
      <alignment horizontal="right" vertical="center"/>
    </xf>
    <xf numFmtId="1" fontId="7" fillId="3" borderId="25" xfId="0" applyNumberFormat="1" applyFont="1" applyFill="1" applyBorder="1" applyAlignment="1">
      <alignment horizontal="right"/>
    </xf>
    <xf numFmtId="1" fontId="45" fillId="3" borderId="0" xfId="0" applyNumberFormat="1" applyFont="1" applyFill="1" applyBorder="1" applyAlignment="1">
      <alignment horizontal="center" vertical="center"/>
    </xf>
    <xf numFmtId="3" fontId="7" fillId="5" borderId="1" xfId="0" applyNumberFormat="1" applyFont="1" applyFill="1" applyBorder="1" applyAlignment="1">
      <alignment horizontal="center" vertical="center"/>
    </xf>
    <xf numFmtId="3" fontId="8" fillId="5" borderId="1" xfId="0" applyNumberFormat="1" applyFont="1" applyFill="1" applyBorder="1" applyAlignment="1">
      <alignment horizontal="center" vertical="center"/>
    </xf>
    <xf numFmtId="1" fontId="7" fillId="5" borderId="17" xfId="0" applyNumberFormat="1" applyFont="1" applyFill="1" applyBorder="1" applyAlignment="1">
      <alignment horizontal="center"/>
    </xf>
    <xf numFmtId="1" fontId="7" fillId="5" borderId="0" xfId="0" applyNumberFormat="1" applyFont="1" applyFill="1" applyBorder="1" applyAlignment="1">
      <alignment horizontal="center"/>
    </xf>
    <xf numFmtId="1" fontId="7" fillId="5" borderId="25" xfId="0" applyNumberFormat="1" applyFont="1" applyFill="1" applyBorder="1" applyAlignment="1">
      <alignment horizontal="center"/>
    </xf>
    <xf numFmtId="1" fontId="7" fillId="3" borderId="17" xfId="0" applyNumberFormat="1" applyFont="1" applyFill="1" applyBorder="1" applyAlignment="1">
      <alignment horizontal="center"/>
    </xf>
    <xf numFmtId="1" fontId="7" fillId="3" borderId="0" xfId="0" applyNumberFormat="1" applyFont="1" applyFill="1" applyBorder="1" applyAlignment="1">
      <alignment horizontal="center"/>
    </xf>
    <xf numFmtId="1" fontId="7" fillId="3" borderId="25" xfId="0" applyNumberFormat="1" applyFont="1" applyFill="1" applyBorder="1" applyAlignment="1">
      <alignment horizontal="center"/>
    </xf>
    <xf numFmtId="1" fontId="8" fillId="5" borderId="0" xfId="0" applyNumberFormat="1" applyFont="1" applyFill="1" applyBorder="1" applyAlignment="1">
      <alignment horizontal="center" vertical="center"/>
    </xf>
    <xf numFmtId="1" fontId="7" fillId="5" borderId="47" xfId="0" applyNumberFormat="1" applyFont="1" applyFill="1" applyBorder="1" applyAlignment="1">
      <alignment horizontal="center" vertical="center"/>
    </xf>
    <xf numFmtId="1" fontId="7" fillId="3" borderId="47" xfId="0" applyNumberFormat="1" applyFont="1" applyFill="1" applyBorder="1" applyAlignment="1">
      <alignment horizontal="center" vertical="center"/>
    </xf>
    <xf numFmtId="3" fontId="8" fillId="5" borderId="23" xfId="0" applyNumberFormat="1" applyFont="1" applyFill="1" applyBorder="1" applyAlignment="1">
      <alignment horizontal="center" vertical="center"/>
    </xf>
    <xf numFmtId="1" fontId="8" fillId="5" borderId="16" xfId="0" applyNumberFormat="1" applyFont="1" applyFill="1" applyBorder="1" applyAlignment="1">
      <alignment horizontal="center"/>
    </xf>
    <xf numFmtId="3" fontId="7" fillId="0" borderId="7" xfId="0" applyNumberFormat="1" applyFont="1" applyFill="1" applyBorder="1" applyAlignment="1">
      <alignment horizontal="center" vertical="center"/>
    </xf>
    <xf numFmtId="1" fontId="8" fillId="0" borderId="16" xfId="0" applyNumberFormat="1" applyFont="1" applyFill="1" applyBorder="1" applyAlignment="1">
      <alignment horizontal="center"/>
    </xf>
    <xf numFmtId="1" fontId="7" fillId="0" borderId="25" xfId="0" applyNumberFormat="1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vertical="center"/>
    </xf>
    <xf numFmtId="3" fontId="7" fillId="5" borderId="25" xfId="0" applyNumberFormat="1" applyFont="1" applyFill="1" applyBorder="1" applyAlignment="1">
      <alignment horizontal="center" vertical="center"/>
    </xf>
    <xf numFmtId="3" fontId="7" fillId="0" borderId="25" xfId="0" applyNumberFormat="1" applyFont="1" applyFill="1" applyBorder="1" applyAlignment="1">
      <alignment horizontal="center" vertical="center"/>
    </xf>
    <xf numFmtId="1" fontId="7" fillId="0" borderId="25" xfId="0" applyNumberFormat="1" applyFont="1" applyFill="1" applyBorder="1" applyAlignment="1">
      <alignment horizontal="right" vertical="center"/>
    </xf>
    <xf numFmtId="1" fontId="7" fillId="0" borderId="25" xfId="0" applyNumberFormat="1" applyFont="1" applyFill="1" applyBorder="1" applyAlignment="1">
      <alignment horizontal="center"/>
    </xf>
    <xf numFmtId="0" fontId="60" fillId="5" borderId="0" xfId="0" applyFont="1" applyFill="1" applyBorder="1" applyAlignment="1">
      <alignment horizontal="right" vertical="center"/>
    </xf>
    <xf numFmtId="0" fontId="7" fillId="5" borderId="25" xfId="0" applyFont="1" applyFill="1" applyBorder="1" applyAlignment="1">
      <alignment horizontal="centerContinuous" vertical="center"/>
    </xf>
    <xf numFmtId="166" fontId="8" fillId="0" borderId="17" xfId="0" applyNumberFormat="1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Continuous" vertical="center"/>
    </xf>
    <xf numFmtId="0" fontId="7" fillId="0" borderId="0" xfId="0" applyFont="1" applyFill="1" applyBorder="1" applyAlignment="1">
      <alignment horizontal="right" vertical="center"/>
    </xf>
    <xf numFmtId="166" fontId="4" fillId="0" borderId="17" xfId="0" applyNumberFormat="1" applyFont="1" applyFill="1" applyBorder="1" applyAlignment="1">
      <alignment horizontal="center" vertical="center"/>
    </xf>
    <xf numFmtId="0" fontId="116" fillId="0" borderId="16" xfId="0" applyFont="1" applyFill="1" applyBorder="1" applyAlignment="1">
      <alignment horizontal="center" vertical="center"/>
    </xf>
    <xf numFmtId="0" fontId="65" fillId="0" borderId="25" xfId="0" applyFont="1" applyFill="1" applyBorder="1" applyAlignment="1">
      <alignment horizontal="center" vertical="center"/>
    </xf>
    <xf numFmtId="0" fontId="117" fillId="5" borderId="0" xfId="0" applyFont="1" applyFill="1" applyBorder="1" applyAlignment="1">
      <alignment horizontal="left" vertical="center"/>
    </xf>
    <xf numFmtId="0" fontId="7" fillId="5" borderId="107" xfId="0" applyFont="1" applyFill="1" applyBorder="1" applyAlignment="1">
      <alignment horizontal="center" vertical="center"/>
    </xf>
    <xf numFmtId="167" fontId="7" fillId="3" borderId="0" xfId="0" applyNumberFormat="1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left" vertical="center"/>
    </xf>
    <xf numFmtId="0" fontId="28" fillId="0" borderId="0" xfId="0" applyFont="1" applyFill="1"/>
    <xf numFmtId="0" fontId="8" fillId="5" borderId="1" xfId="0" applyFont="1" applyFill="1" applyBorder="1" applyAlignment="1">
      <alignment horizontal="center" vertical="center" readingOrder="1"/>
    </xf>
    <xf numFmtId="0" fontId="20" fillId="0" borderId="0" xfId="0" applyFont="1" applyFill="1" applyBorder="1" applyAlignment="1">
      <alignment readingOrder="1"/>
    </xf>
    <xf numFmtId="1" fontId="137" fillId="5" borderId="25" xfId="0" applyNumberFormat="1" applyFont="1" applyFill="1" applyBorder="1" applyAlignment="1">
      <alignment horizontal="center" vertical="center" readingOrder="1"/>
    </xf>
    <xf numFmtId="1" fontId="136" fillId="4" borderId="25" xfId="0" applyNumberFormat="1" applyFont="1" applyFill="1" applyBorder="1" applyAlignment="1">
      <alignment horizontal="center" vertical="center" readingOrder="1"/>
    </xf>
    <xf numFmtId="1" fontId="136" fillId="5" borderId="25" xfId="0" applyNumberFormat="1" applyFont="1" applyFill="1" applyBorder="1" applyAlignment="1">
      <alignment horizontal="center" vertical="center" readingOrder="1"/>
    </xf>
    <xf numFmtId="167" fontId="7" fillId="5" borderId="0" xfId="0" applyNumberFormat="1" applyFont="1" applyFill="1" applyBorder="1" applyAlignment="1">
      <alignment horizontal="center" vertical="center"/>
    </xf>
    <xf numFmtId="167" fontId="7" fillId="5" borderId="17" xfId="0" applyNumberFormat="1" applyFont="1" applyFill="1" applyBorder="1" applyAlignment="1">
      <alignment horizontal="center" vertical="center"/>
    </xf>
    <xf numFmtId="167" fontId="7" fillId="3" borderId="17" xfId="0" applyNumberFormat="1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5" borderId="1" xfId="0" applyNumberFormat="1" applyFont="1" applyFill="1" applyBorder="1" applyAlignment="1">
      <alignment horizontal="center" vertical="center"/>
    </xf>
    <xf numFmtId="166" fontId="7" fillId="5" borderId="21" xfId="0" applyNumberFormat="1" applyFont="1" applyFill="1" applyBorder="1" applyAlignment="1">
      <alignment horizontal="center" vertical="center"/>
    </xf>
    <xf numFmtId="166" fontId="7" fillId="5" borderId="7" xfId="0" applyNumberFormat="1" applyFont="1" applyFill="1" applyBorder="1" applyAlignment="1">
      <alignment horizontal="center" vertical="center"/>
    </xf>
    <xf numFmtId="166" fontId="7" fillId="0" borderId="7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 vertical="center"/>
    </xf>
    <xf numFmtId="166" fontId="8" fillId="5" borderId="0" xfId="0" applyNumberFormat="1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vertical="center"/>
    </xf>
    <xf numFmtId="1" fontId="7" fillId="5" borderId="0" xfId="0" applyNumberFormat="1" applyFont="1" applyFill="1" applyBorder="1" applyAlignment="1">
      <alignment horizontal="right" vertical="center"/>
    </xf>
    <xf numFmtId="0" fontId="7" fillId="3" borderId="7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8" fillId="3" borderId="17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/>
    </xf>
    <xf numFmtId="0" fontId="7" fillId="5" borderId="16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8" fillId="5" borderId="17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7" fillId="3" borderId="47" xfId="0" applyFont="1" applyFill="1" applyBorder="1" applyAlignment="1">
      <alignment horizontal="center" vertical="center"/>
    </xf>
    <xf numFmtId="166" fontId="8" fillId="3" borderId="0" xfId="0" applyNumberFormat="1" applyFont="1" applyFill="1" applyBorder="1" applyAlignment="1">
      <alignment horizontal="centerContinuous" vertical="center"/>
    </xf>
    <xf numFmtId="166" fontId="8" fillId="5" borderId="0" xfId="0" applyNumberFormat="1" applyFont="1" applyFill="1" applyBorder="1" applyAlignment="1">
      <alignment horizontal="centerContinuous" vertical="center"/>
    </xf>
    <xf numFmtId="166" fontId="7" fillId="3" borderId="0" xfId="0" applyNumberFormat="1" applyFont="1" applyFill="1" applyBorder="1" applyAlignment="1">
      <alignment vertical="center"/>
    </xf>
    <xf numFmtId="166" fontId="7" fillId="5" borderId="0" xfId="0" applyNumberFormat="1" applyFont="1" applyFill="1" applyBorder="1" applyAlignment="1">
      <alignment vertical="center"/>
    </xf>
    <xf numFmtId="166" fontId="8" fillId="3" borderId="7" xfId="0" applyNumberFormat="1" applyFont="1" applyFill="1" applyBorder="1" applyAlignment="1">
      <alignment horizontal="centerContinuous" vertical="center"/>
    </xf>
    <xf numFmtId="166" fontId="8" fillId="5" borderId="7" xfId="0" applyNumberFormat="1" applyFont="1" applyFill="1" applyBorder="1" applyAlignment="1">
      <alignment horizontal="centerContinuous" vertical="center"/>
    </xf>
    <xf numFmtId="0" fontId="7" fillId="0" borderId="8" xfId="0" applyFont="1" applyFill="1" applyBorder="1"/>
    <xf numFmtId="0" fontId="7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right" vertical="center"/>
    </xf>
    <xf numFmtId="166" fontId="7" fillId="0" borderId="0" xfId="0" applyNumberFormat="1" applyFont="1" applyFill="1" applyAlignment="1">
      <alignment horizontal="center" vertical="center"/>
    </xf>
    <xf numFmtId="166" fontId="7" fillId="0" borderId="4" xfId="0" applyNumberFormat="1" applyFont="1" applyFill="1" applyBorder="1" applyAlignment="1">
      <alignment horizontal="center" vertical="center"/>
    </xf>
    <xf numFmtId="166" fontId="7" fillId="0" borderId="35" xfId="0" applyNumberFormat="1" applyFont="1" applyFill="1" applyBorder="1" applyAlignment="1">
      <alignment horizontal="center" vertical="center"/>
    </xf>
    <xf numFmtId="166" fontId="7" fillId="5" borderId="63" xfId="0" applyNumberFormat="1" applyFont="1" applyFill="1" applyBorder="1" applyAlignment="1">
      <alignment horizontal="center" vertical="center"/>
    </xf>
    <xf numFmtId="166" fontId="7" fillId="0" borderId="14" xfId="0" applyNumberFormat="1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166" fontId="8" fillId="3" borderId="11" xfId="0" applyNumberFormat="1" applyFont="1" applyFill="1" applyBorder="1" applyAlignment="1">
      <alignment horizontal="center" vertical="center"/>
    </xf>
    <xf numFmtId="1" fontId="8" fillId="3" borderId="0" xfId="0" applyNumberFormat="1" applyFont="1" applyFill="1" applyBorder="1" applyAlignment="1">
      <alignment horizontal="centerContinuous" vertical="center"/>
    </xf>
    <xf numFmtId="1" fontId="7" fillId="3" borderId="0" xfId="0" applyNumberFormat="1" applyFont="1" applyFill="1" applyBorder="1" applyAlignment="1">
      <alignment horizontal="centerContinuous" vertical="center"/>
    </xf>
    <xf numFmtId="0" fontId="7" fillId="3" borderId="25" xfId="0" applyFont="1" applyFill="1" applyBorder="1"/>
    <xf numFmtId="1" fontId="8" fillId="5" borderId="0" xfId="0" applyNumberFormat="1" applyFont="1" applyFill="1" applyBorder="1" applyAlignment="1">
      <alignment horizontal="centerContinuous" vertical="center"/>
    </xf>
    <xf numFmtId="1" fontId="7" fillId="5" borderId="0" xfId="0" applyNumberFormat="1" applyFont="1" applyFill="1" applyBorder="1" applyAlignment="1">
      <alignment horizontal="centerContinuous" vertical="center"/>
    </xf>
    <xf numFmtId="0" fontId="7" fillId="5" borderId="25" xfId="0" applyFont="1" applyFill="1" applyBorder="1"/>
    <xf numFmtId="0" fontId="84" fillId="4" borderId="0" xfId="0" applyFont="1" applyFill="1" applyBorder="1" applyAlignment="1">
      <alignment horizontal="center" vertical="center"/>
    </xf>
    <xf numFmtId="166" fontId="85" fillId="0" borderId="0" xfId="0" applyNumberFormat="1" applyFont="1" applyBorder="1" applyAlignment="1">
      <alignment horizontal="center" vertical="center"/>
    </xf>
    <xf numFmtId="166" fontId="85" fillId="5" borderId="0" xfId="0" applyNumberFormat="1" applyFont="1" applyFill="1" applyBorder="1" applyAlignment="1">
      <alignment horizontal="center" vertical="center"/>
    </xf>
    <xf numFmtId="166" fontId="85" fillId="0" borderId="1" xfId="0" applyNumberFormat="1" applyFont="1" applyBorder="1" applyAlignment="1">
      <alignment horizontal="center" vertical="center"/>
    </xf>
    <xf numFmtId="166" fontId="89" fillId="5" borderId="0" xfId="0" applyNumberFormat="1" applyFont="1" applyFill="1" applyAlignment="1">
      <alignment horizontal="center" vertical="center"/>
    </xf>
    <xf numFmtId="166" fontId="89" fillId="0" borderId="0" xfId="0" applyNumberFormat="1" applyFont="1" applyFill="1" applyAlignment="1">
      <alignment horizontal="center" vertical="center"/>
    </xf>
    <xf numFmtId="166" fontId="89" fillId="4" borderId="0" xfId="0" applyNumberFormat="1" applyFont="1" applyFill="1" applyAlignment="1">
      <alignment horizontal="center" vertical="center"/>
    </xf>
    <xf numFmtId="166" fontId="88" fillId="5" borderId="0" xfId="0" applyNumberFormat="1" applyFont="1" applyFill="1" applyAlignment="1">
      <alignment horizontal="center" vertical="center"/>
    </xf>
    <xf numFmtId="166" fontId="88" fillId="4" borderId="0" xfId="0" applyNumberFormat="1" applyFont="1" applyFill="1" applyAlignment="1">
      <alignment horizontal="center" vertical="center"/>
    </xf>
    <xf numFmtId="166" fontId="89" fillId="5" borderId="4" xfId="0" applyNumberFormat="1" applyFont="1" applyFill="1" applyBorder="1" applyAlignment="1">
      <alignment horizontal="center" vertical="center"/>
    </xf>
    <xf numFmtId="0" fontId="89" fillId="4" borderId="0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left" vertical="center"/>
    </xf>
    <xf numFmtId="0" fontId="7" fillId="2" borderId="86" xfId="0" quotePrefix="1" applyFont="1" applyFill="1" applyBorder="1" applyAlignment="1">
      <alignment horizontal="left" vertical="center"/>
    </xf>
    <xf numFmtId="0" fontId="7" fillId="2" borderId="78" xfId="0" applyFont="1" applyFill="1" applyBorder="1" applyAlignment="1">
      <alignment horizontal="center"/>
    </xf>
    <xf numFmtId="0" fontId="7" fillId="2" borderId="78" xfId="0" applyFont="1" applyFill="1" applyBorder="1" applyAlignment="1">
      <alignment horizontal="centerContinuous" vertical="center"/>
    </xf>
    <xf numFmtId="0" fontId="7" fillId="2" borderId="78" xfId="0" applyFont="1" applyFill="1" applyBorder="1" applyAlignment="1">
      <alignment horizontal="center" vertical="center"/>
    </xf>
    <xf numFmtId="1" fontId="7" fillId="5" borderId="16" xfId="0" applyNumberFormat="1" applyFont="1" applyFill="1" applyBorder="1" applyAlignment="1">
      <alignment horizontal="center"/>
    </xf>
    <xf numFmtId="166" fontId="4" fillId="5" borderId="17" xfId="0" applyNumberFormat="1" applyFont="1" applyFill="1" applyBorder="1" applyAlignment="1">
      <alignment horizontal="center" vertical="center"/>
    </xf>
    <xf numFmtId="0" fontId="114" fillId="5" borderId="0" xfId="0" applyFont="1" applyFill="1" applyBorder="1" applyAlignment="1">
      <alignment horizontal="left" vertical="center"/>
    </xf>
    <xf numFmtId="0" fontId="116" fillId="5" borderId="16" xfId="0" applyFont="1" applyFill="1" applyBorder="1" applyAlignment="1">
      <alignment horizontal="center" vertical="center"/>
    </xf>
    <xf numFmtId="0" fontId="65" fillId="5" borderId="0" xfId="0" applyFont="1" applyFill="1" applyBorder="1" applyAlignment="1">
      <alignment horizontal="center" vertical="center"/>
    </xf>
    <xf numFmtId="0" fontId="65" fillId="5" borderId="25" xfId="0" applyFont="1" applyFill="1" applyBorder="1" applyAlignment="1">
      <alignment horizontal="center" vertical="center"/>
    </xf>
    <xf numFmtId="166" fontId="114" fillId="5" borderId="0" xfId="0" applyNumberFormat="1" applyFont="1" applyFill="1" applyBorder="1" applyAlignment="1">
      <alignment horizontal="left" vertical="center"/>
    </xf>
    <xf numFmtId="166" fontId="116" fillId="5" borderId="16" xfId="0" applyNumberFormat="1" applyFont="1" applyFill="1" applyBorder="1" applyAlignment="1">
      <alignment horizontal="center" vertical="center"/>
    </xf>
    <xf numFmtId="166" fontId="65" fillId="5" borderId="0" xfId="0" applyNumberFormat="1" applyFont="1" applyFill="1" applyBorder="1" applyAlignment="1">
      <alignment horizontal="center" vertical="center"/>
    </xf>
    <xf numFmtId="166" fontId="65" fillId="5" borderId="25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right" vertical="center"/>
    </xf>
    <xf numFmtId="0" fontId="7" fillId="4" borderId="25" xfId="0" applyFont="1" applyFill="1" applyBorder="1" applyAlignment="1">
      <alignment horizontal="centerContinuous" vertical="center"/>
    </xf>
    <xf numFmtId="166" fontId="7" fillId="3" borderId="16" xfId="0" applyNumberFormat="1" applyFont="1" applyFill="1" applyBorder="1" applyAlignment="1">
      <alignment vertical="center"/>
    </xf>
    <xf numFmtId="166" fontId="7" fillId="3" borderId="25" xfId="0" applyNumberFormat="1" applyFont="1" applyFill="1" applyBorder="1" applyAlignment="1">
      <alignment vertical="center"/>
    </xf>
    <xf numFmtId="0" fontId="136" fillId="2" borderId="156" xfId="0" applyFont="1" applyFill="1" applyBorder="1" applyAlignment="1">
      <alignment horizontal="center" vertical="center" readingOrder="1"/>
    </xf>
    <xf numFmtId="0" fontId="136" fillId="2" borderId="42" xfId="0" applyFont="1" applyFill="1" applyBorder="1" applyAlignment="1">
      <alignment horizontal="center" vertical="center" readingOrder="1"/>
    </xf>
    <xf numFmtId="0" fontId="136" fillId="2" borderId="5" xfId="0" applyFont="1" applyFill="1" applyBorder="1" applyAlignment="1">
      <alignment horizontal="center" vertical="center" readingOrder="1"/>
    </xf>
    <xf numFmtId="0" fontId="136" fillId="2" borderId="26" xfId="0" applyFont="1" applyFill="1" applyBorder="1" applyAlignment="1">
      <alignment horizontal="center" vertical="center" readingOrder="1"/>
    </xf>
    <xf numFmtId="0" fontId="66" fillId="2" borderId="27" xfId="0" applyFont="1" applyFill="1" applyBorder="1" applyAlignment="1">
      <alignment horizontal="center" vertical="center" readingOrder="1"/>
    </xf>
    <xf numFmtId="0" fontId="136" fillId="2" borderId="157" xfId="0" applyFont="1" applyFill="1" applyBorder="1" applyAlignment="1">
      <alignment horizontal="center" vertical="center" readingOrder="1"/>
    </xf>
    <xf numFmtId="0" fontId="136" fillId="2" borderId="17" xfId="0" applyFont="1" applyFill="1" applyBorder="1" applyAlignment="1">
      <alignment horizontal="center" vertical="center" readingOrder="1"/>
    </xf>
    <xf numFmtId="0" fontId="136" fillId="2" borderId="11" xfId="0" applyFont="1" applyFill="1" applyBorder="1" applyAlignment="1">
      <alignment horizontal="center" vertical="center" readingOrder="1"/>
    </xf>
    <xf numFmtId="0" fontId="136" fillId="2" borderId="16" xfId="0" applyFont="1" applyFill="1" applyBorder="1" applyAlignment="1">
      <alignment horizontal="center" vertical="center" readingOrder="1"/>
    </xf>
    <xf numFmtId="0" fontId="66" fillId="2" borderId="25" xfId="0" applyFont="1" applyFill="1" applyBorder="1" applyAlignment="1">
      <alignment horizontal="center" vertical="center" readingOrder="1"/>
    </xf>
    <xf numFmtId="0" fontId="35" fillId="2" borderId="25" xfId="0" applyFont="1" applyFill="1" applyBorder="1" applyAlignment="1">
      <alignment horizontal="center" vertical="center" readingOrder="1"/>
    </xf>
    <xf numFmtId="0" fontId="136" fillId="2" borderId="158" xfId="0" applyFont="1" applyFill="1" applyBorder="1" applyAlignment="1">
      <alignment horizontal="center" vertical="center" readingOrder="1"/>
    </xf>
    <xf numFmtId="0" fontId="136" fillId="2" borderId="15" xfId="0" applyFont="1" applyFill="1" applyBorder="1" applyAlignment="1">
      <alignment horizontal="center" vertical="center" readingOrder="1"/>
    </xf>
    <xf numFmtId="0" fontId="136" fillId="2" borderId="19" xfId="0" applyFont="1" applyFill="1" applyBorder="1" applyAlignment="1">
      <alignment horizontal="center" vertical="center" readingOrder="1"/>
    </xf>
    <xf numFmtId="0" fontId="136" fillId="2" borderId="81" xfId="0" applyFont="1" applyFill="1" applyBorder="1" applyAlignment="1">
      <alignment horizontal="center" vertical="center" readingOrder="1"/>
    </xf>
    <xf numFmtId="0" fontId="66" fillId="2" borderId="29" xfId="0" applyFont="1" applyFill="1" applyBorder="1" applyAlignment="1">
      <alignment horizontal="center" vertical="center" readingOrder="1"/>
    </xf>
    <xf numFmtId="166" fontId="137" fillId="4" borderId="159" xfId="0" applyNumberFormat="1" applyFont="1" applyFill="1" applyBorder="1" applyAlignment="1">
      <alignment horizontal="center" vertical="center" readingOrder="1"/>
    </xf>
    <xf numFmtId="1" fontId="137" fillId="4" borderId="25" xfId="0" applyNumberFormat="1" applyFont="1" applyFill="1" applyBorder="1" applyAlignment="1">
      <alignment horizontal="center" vertical="center" readingOrder="1"/>
    </xf>
    <xf numFmtId="166" fontId="137" fillId="5" borderId="157" xfId="0" applyNumberFormat="1" applyFont="1" applyFill="1" applyBorder="1" applyAlignment="1">
      <alignment horizontal="center" vertical="center" readingOrder="1"/>
    </xf>
    <xf numFmtId="166" fontId="137" fillId="4" borderId="157" xfId="0" applyNumberFormat="1" applyFont="1" applyFill="1" applyBorder="1" applyAlignment="1">
      <alignment horizontal="center" vertical="center" readingOrder="1"/>
    </xf>
    <xf numFmtId="0" fontId="7" fillId="5" borderId="21" xfId="0" applyFont="1" applyFill="1" applyBorder="1" applyAlignment="1">
      <alignment horizontal="center" vertical="center"/>
    </xf>
    <xf numFmtId="166" fontId="8" fillId="5" borderId="21" xfId="0" applyNumberFormat="1" applyFont="1" applyFill="1" applyBorder="1" applyAlignment="1">
      <alignment horizontal="center" vertical="center"/>
    </xf>
    <xf numFmtId="166" fontId="7" fillId="5" borderId="1" xfId="0" applyNumberFormat="1" applyFont="1" applyFill="1" applyBorder="1" applyAlignment="1">
      <alignment horizontal="centerContinuous" vertical="center"/>
    </xf>
    <xf numFmtId="166" fontId="8" fillId="5" borderId="21" xfId="0" applyNumberFormat="1" applyFont="1" applyFill="1" applyBorder="1" applyAlignment="1">
      <alignment horizontal="centerContinuous" vertical="center"/>
    </xf>
    <xf numFmtId="0" fontId="7" fillId="5" borderId="33" xfId="0" applyFont="1" applyFill="1" applyBorder="1" applyAlignment="1">
      <alignment vertical="center"/>
    </xf>
    <xf numFmtId="0" fontId="19" fillId="0" borderId="0" xfId="0" quotePrefix="1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center"/>
    </xf>
    <xf numFmtId="166" fontId="47" fillId="0" borderId="0" xfId="0" applyNumberFormat="1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166" fontId="8" fillId="5" borderId="22" xfId="0" applyNumberFormat="1" applyFont="1" applyFill="1" applyBorder="1" applyAlignment="1">
      <alignment horizontal="center" vertical="center"/>
    </xf>
    <xf numFmtId="166" fontId="8" fillId="5" borderId="1" xfId="0" applyNumberFormat="1" applyFont="1" applyFill="1" applyBorder="1" applyAlignment="1">
      <alignment horizontal="center" vertical="center"/>
    </xf>
    <xf numFmtId="0" fontId="7" fillId="5" borderId="33" xfId="0" applyFont="1" applyFill="1" applyBorder="1"/>
    <xf numFmtId="1" fontId="45" fillId="3" borderId="0" xfId="0" applyNumberFormat="1" applyFont="1" applyFill="1" applyBorder="1" applyAlignment="1">
      <alignment horizontal="center"/>
    </xf>
    <xf numFmtId="1" fontId="45" fillId="5" borderId="47" xfId="0" applyNumberFormat="1" applyFont="1" applyFill="1" applyBorder="1" applyAlignment="1">
      <alignment horizontal="center" vertical="center"/>
    </xf>
    <xf numFmtId="1" fontId="45" fillId="3" borderId="47" xfId="0" applyNumberFormat="1" applyFont="1" applyFill="1" applyBorder="1" applyAlignment="1">
      <alignment horizontal="center" vertical="center"/>
    </xf>
    <xf numFmtId="1" fontId="45" fillId="0" borderId="0" xfId="0" applyNumberFormat="1" applyFont="1" applyFill="1" applyBorder="1" applyAlignment="1">
      <alignment horizontal="center" vertical="center"/>
    </xf>
    <xf numFmtId="1" fontId="45" fillId="0" borderId="25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center"/>
    </xf>
    <xf numFmtId="1" fontId="7" fillId="5" borderId="1" xfId="0" applyNumberFormat="1" applyFont="1" applyFill="1" applyBorder="1" applyAlignment="1">
      <alignment horizontal="center" vertical="center"/>
    </xf>
    <xf numFmtId="0" fontId="7" fillId="5" borderId="33" xfId="0" applyFont="1" applyFill="1" applyBorder="1" applyAlignment="1">
      <alignment horizontal="centerContinuous" vertical="center"/>
    </xf>
    <xf numFmtId="0" fontId="7" fillId="5" borderId="1" xfId="0" applyFont="1" applyFill="1" applyBorder="1" applyAlignment="1">
      <alignment horizontal="right" vertical="center"/>
    </xf>
    <xf numFmtId="166" fontId="4" fillId="5" borderId="23" xfId="0" applyNumberFormat="1" applyFont="1" applyFill="1" applyBorder="1" applyAlignment="1">
      <alignment horizontal="center" vertical="center"/>
    </xf>
    <xf numFmtId="166" fontId="65" fillId="5" borderId="33" xfId="0" applyNumberFormat="1" applyFont="1" applyFill="1" applyBorder="1" applyAlignment="1">
      <alignment horizontal="center" vertical="center"/>
    </xf>
    <xf numFmtId="0" fontId="45" fillId="0" borderId="47" xfId="0" applyFont="1" applyFill="1" applyBorder="1" applyAlignment="1">
      <alignment horizontal="center" vertical="center"/>
    </xf>
    <xf numFmtId="166" fontId="7" fillId="5" borderId="1" xfId="0" applyNumberFormat="1" applyFont="1" applyFill="1" applyBorder="1" applyAlignment="1">
      <alignment horizontal="center"/>
    </xf>
    <xf numFmtId="166" fontId="124" fillId="5" borderId="22" xfId="0" applyNumberFormat="1" applyFont="1" applyFill="1" applyBorder="1" applyAlignment="1">
      <alignment horizontal="center" vertical="center"/>
    </xf>
    <xf numFmtId="166" fontId="123" fillId="5" borderId="1" xfId="0" applyNumberFormat="1" applyFont="1" applyFill="1" applyBorder="1" applyAlignment="1">
      <alignment horizontal="center" vertical="center"/>
    </xf>
    <xf numFmtId="166" fontId="125" fillId="5" borderId="1" xfId="0" applyNumberFormat="1" applyFont="1" applyFill="1" applyBorder="1" applyAlignment="1">
      <alignment horizontal="center" vertical="center"/>
    </xf>
    <xf numFmtId="166" fontId="125" fillId="5" borderId="23" xfId="0" applyNumberFormat="1" applyFont="1" applyFill="1" applyBorder="1" applyAlignment="1">
      <alignment horizontal="center" vertical="center"/>
    </xf>
    <xf numFmtId="166" fontId="45" fillId="3" borderId="0" xfId="0" applyNumberFormat="1" applyFont="1" applyFill="1" applyBorder="1" applyAlignment="1">
      <alignment vertical="center"/>
    </xf>
    <xf numFmtId="0" fontId="37" fillId="0" borderId="0" xfId="0" applyFont="1" applyFill="1" applyBorder="1" applyAlignment="1"/>
    <xf numFmtId="0" fontId="37" fillId="0" borderId="0" xfId="0" applyFont="1" applyFill="1" applyBorder="1" applyAlignment="1">
      <alignment horizontal="centerContinuous" vertical="center"/>
    </xf>
    <xf numFmtId="0" fontId="128" fillId="0" borderId="0" xfId="0" applyFont="1" applyFill="1" applyBorder="1" applyAlignment="1">
      <alignment horizontal="center" vertical="center"/>
    </xf>
    <xf numFmtId="0" fontId="70" fillId="0" borderId="0" xfId="0" applyFont="1" applyFill="1" applyBorder="1"/>
    <xf numFmtId="0" fontId="70" fillId="10" borderId="100" xfId="0" applyFont="1" applyFill="1" applyBorder="1" applyAlignment="1">
      <alignment horizontal="right" vertical="center"/>
    </xf>
    <xf numFmtId="166" fontId="26" fillId="4" borderId="0" xfId="0" applyNumberFormat="1" applyFont="1" applyFill="1" applyBorder="1" applyAlignment="1">
      <alignment horizontal="center" vertical="center"/>
    </xf>
    <xf numFmtId="166" fontId="37" fillId="7" borderId="0" xfId="0" applyNumberFormat="1" applyFont="1" applyFill="1" applyBorder="1" applyAlignment="1">
      <alignment horizontal="center" vertical="center"/>
    </xf>
    <xf numFmtId="166" fontId="37" fillId="8" borderId="0" xfId="0" applyNumberFormat="1" applyFont="1" applyFill="1" applyBorder="1" applyAlignment="1">
      <alignment horizontal="center" vertical="center"/>
    </xf>
    <xf numFmtId="166" fontId="26" fillId="7" borderId="0" xfId="0" applyNumberFormat="1" applyFont="1" applyFill="1" applyBorder="1" applyAlignment="1">
      <alignment horizontal="center" vertical="center"/>
    </xf>
    <xf numFmtId="166" fontId="37" fillId="4" borderId="0" xfId="0" applyNumberFormat="1" applyFont="1" applyFill="1" applyBorder="1" applyAlignment="1">
      <alignment horizontal="center" vertical="center"/>
    </xf>
    <xf numFmtId="166" fontId="37" fillId="10" borderId="0" xfId="0" applyNumberFormat="1" applyFont="1" applyFill="1" applyBorder="1" applyAlignment="1">
      <alignment horizontal="center" vertical="center"/>
    </xf>
    <xf numFmtId="166" fontId="26" fillId="8" borderId="0" xfId="0" applyNumberFormat="1" applyFont="1" applyFill="1" applyBorder="1" applyAlignment="1">
      <alignment horizontal="center" vertical="center"/>
    </xf>
    <xf numFmtId="166" fontId="26" fillId="10" borderId="0" xfId="0" applyNumberFormat="1" applyFont="1" applyFill="1" applyBorder="1" applyAlignment="1">
      <alignment horizontal="center" vertical="center"/>
    </xf>
    <xf numFmtId="166" fontId="26" fillId="0" borderId="4" xfId="0" applyNumberFormat="1" applyFont="1" applyBorder="1" applyAlignment="1">
      <alignment horizontal="center" vertical="center"/>
    </xf>
    <xf numFmtId="166" fontId="26" fillId="10" borderId="89" xfId="0" applyNumberFormat="1" applyFont="1" applyFill="1" applyBorder="1" applyAlignment="1">
      <alignment horizontal="center" vertical="center"/>
    </xf>
    <xf numFmtId="166" fontId="45" fillId="0" borderId="0" xfId="0" applyNumberFormat="1" applyFont="1" applyBorder="1" applyAlignment="1"/>
    <xf numFmtId="0" fontId="45" fillId="0" borderId="0" xfId="0" applyFont="1" applyAlignment="1">
      <alignment vertical="center"/>
    </xf>
    <xf numFmtId="3" fontId="8" fillId="5" borderId="21" xfId="0" applyNumberFormat="1" applyFont="1" applyFill="1" applyBorder="1" applyAlignment="1">
      <alignment horizontal="center" vertical="center"/>
    </xf>
    <xf numFmtId="168" fontId="8" fillId="5" borderId="21" xfId="0" applyNumberFormat="1" applyFont="1" applyFill="1" applyBorder="1" applyAlignment="1">
      <alignment horizontal="center" vertical="center"/>
    </xf>
    <xf numFmtId="168" fontId="7" fillId="5" borderId="1" xfId="0" applyNumberFormat="1" applyFont="1" applyFill="1" applyBorder="1" applyAlignment="1">
      <alignment horizontal="center" vertical="center"/>
    </xf>
    <xf numFmtId="168" fontId="8" fillId="5" borderId="1" xfId="0" applyNumberFormat="1" applyFont="1" applyFill="1" applyBorder="1" applyAlignment="1">
      <alignment horizontal="center" vertical="center"/>
    </xf>
    <xf numFmtId="1" fontId="7" fillId="5" borderId="21" xfId="0" applyNumberFormat="1" applyFont="1" applyFill="1" applyBorder="1" applyAlignment="1">
      <alignment horizontal="center" vertical="center"/>
    </xf>
    <xf numFmtId="166" fontId="8" fillId="3" borderId="23" xfId="0" applyNumberFormat="1" applyFont="1" applyFill="1" applyBorder="1" applyAlignment="1">
      <alignment horizontal="center" vertical="center"/>
    </xf>
    <xf numFmtId="0" fontId="56" fillId="0" borderId="0" xfId="0" applyFont="1" applyAlignment="1">
      <alignment horizontal="center"/>
    </xf>
    <xf numFmtId="0" fontId="45" fillId="0" borderId="0" xfId="0" applyFont="1" applyAlignment="1">
      <alignment horizontal="centerContinuous" vertical="center"/>
    </xf>
    <xf numFmtId="0" fontId="128" fillId="0" borderId="0" xfId="0" applyFont="1" applyAlignment="1">
      <alignment horizontal="center"/>
    </xf>
    <xf numFmtId="0" fontId="56" fillId="0" borderId="0" xfId="0" applyFont="1" applyBorder="1" applyAlignment="1">
      <alignment horizontal="centerContinuous"/>
    </xf>
    <xf numFmtId="0" fontId="37" fillId="0" borderId="0" xfId="0" applyFont="1" applyAlignment="1">
      <alignment horizontal="left" vertical="center"/>
    </xf>
    <xf numFmtId="166" fontId="70" fillId="7" borderId="79" xfId="0" applyNumberFormat="1" applyFont="1" applyFill="1" applyBorder="1" applyAlignment="1">
      <alignment horizontal="center" vertical="center"/>
    </xf>
    <xf numFmtId="0" fontId="45" fillId="0" borderId="0" xfId="0" applyFont="1"/>
    <xf numFmtId="0" fontId="107" fillId="0" borderId="0" xfId="0" applyFont="1"/>
    <xf numFmtId="166" fontId="7" fillId="5" borderId="0" xfId="9" applyNumberFormat="1" applyFont="1" applyFill="1" applyBorder="1" applyAlignment="1">
      <alignment horizontal="center" vertical="center" wrapText="1"/>
    </xf>
    <xf numFmtId="166" fontId="7" fillId="5" borderId="17" xfId="9" applyNumberFormat="1" applyFont="1" applyFill="1" applyBorder="1" applyAlignment="1">
      <alignment horizontal="center" vertical="center" wrapText="1"/>
    </xf>
    <xf numFmtId="0" fontId="7" fillId="5" borderId="25" xfId="9" applyFont="1" applyFill="1" applyBorder="1" applyAlignment="1">
      <alignment horizontal="center" vertical="center" wrapText="1"/>
    </xf>
    <xf numFmtId="166" fontId="7" fillId="3" borderId="0" xfId="9" applyNumberFormat="1" applyFont="1" applyFill="1" applyBorder="1" applyAlignment="1">
      <alignment horizontal="center" vertical="center" wrapText="1"/>
    </xf>
    <xf numFmtId="166" fontId="7" fillId="3" borderId="17" xfId="9" applyNumberFormat="1" applyFont="1" applyFill="1" applyBorder="1" applyAlignment="1">
      <alignment horizontal="center" vertical="center" wrapText="1"/>
    </xf>
    <xf numFmtId="0" fontId="7" fillId="3" borderId="25" xfId="9" applyFont="1" applyFill="1" applyBorder="1" applyAlignment="1">
      <alignment horizontal="center" vertical="center" wrapText="1"/>
    </xf>
    <xf numFmtId="166" fontId="88" fillId="3" borderId="0" xfId="0" applyNumberFormat="1" applyFont="1" applyFill="1" applyAlignment="1">
      <alignment horizontal="center" vertical="center"/>
    </xf>
    <xf numFmtId="166" fontId="88" fillId="3" borderId="0" xfId="0" applyNumberFormat="1" applyFont="1" applyFill="1" applyAlignment="1">
      <alignment horizontal="center"/>
    </xf>
    <xf numFmtId="166" fontId="89" fillId="3" borderId="0" xfId="0" applyNumberFormat="1" applyFont="1" applyFill="1" applyAlignment="1">
      <alignment horizontal="center"/>
    </xf>
    <xf numFmtId="1" fontId="47" fillId="0" borderId="0" xfId="0" applyNumberFormat="1" applyFont="1" applyBorder="1" applyAlignment="1">
      <alignment vertical="center"/>
    </xf>
    <xf numFmtId="0" fontId="157" fillId="0" borderId="0" xfId="11" applyFont="1" applyAlignment="1" applyProtection="1"/>
    <xf numFmtId="176" fontId="182" fillId="0" borderId="0" xfId="13" applyNumberFormat="1" applyFont="1" applyFill="1"/>
    <xf numFmtId="176" fontId="182" fillId="0" borderId="0" xfId="13" applyNumberFormat="1" applyFont="1"/>
    <xf numFmtId="165" fontId="182" fillId="0" borderId="0" xfId="14" applyFont="1" applyFill="1" applyAlignment="1">
      <alignment horizontal="center"/>
    </xf>
    <xf numFmtId="49" fontId="184" fillId="0" borderId="0" xfId="11" applyNumberFormat="1" applyFont="1" applyFill="1" applyBorder="1" applyAlignment="1" applyProtection="1">
      <alignment horizontal="center" vertical="center" readingOrder="2"/>
    </xf>
    <xf numFmtId="0" fontId="184" fillId="0" borderId="0" xfId="11" applyFont="1" applyFill="1" applyBorder="1" applyAlignment="1" applyProtection="1">
      <alignment horizontal="center" vertical="center" readingOrder="2"/>
    </xf>
    <xf numFmtId="0" fontId="186" fillId="0" borderId="0" xfId="11" applyNumberFormat="1" applyFont="1" applyFill="1" applyBorder="1" applyAlignment="1" applyProtection="1">
      <alignment horizontal="left" vertical="center" readingOrder="1"/>
    </xf>
    <xf numFmtId="0" fontId="60" fillId="5" borderId="0" xfId="0" applyFont="1" applyFill="1" applyBorder="1" applyAlignment="1">
      <alignment horizontal="center" vertical="center"/>
    </xf>
    <xf numFmtId="1" fontId="7" fillId="3" borderId="25" xfId="0" applyNumberFormat="1" applyFont="1" applyFill="1" applyBorder="1" applyAlignment="1">
      <alignment horizontal="center" vertical="center"/>
    </xf>
    <xf numFmtId="1" fontId="7" fillId="5" borderId="25" xfId="0" applyNumberFormat="1" applyFont="1" applyFill="1" applyBorder="1" applyAlignment="1">
      <alignment horizontal="center" vertical="center"/>
    </xf>
    <xf numFmtId="166" fontId="7" fillId="3" borderId="0" xfId="0" applyNumberFormat="1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5" borderId="1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5" borderId="2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166" fontId="89" fillId="5" borderId="0" xfId="0" applyNumberFormat="1" applyFont="1" applyFill="1" applyBorder="1" applyAlignment="1">
      <alignment horizontal="center" vertical="center"/>
    </xf>
    <xf numFmtId="166" fontId="89" fillId="5" borderId="17" xfId="0" applyNumberFormat="1" applyFont="1" applyFill="1" applyBorder="1" applyAlignment="1">
      <alignment horizontal="center" vertical="center"/>
    </xf>
    <xf numFmtId="166" fontId="89" fillId="4" borderId="0" xfId="0" applyNumberFormat="1" applyFont="1" applyFill="1" applyBorder="1" applyAlignment="1">
      <alignment horizontal="center" vertical="center"/>
    </xf>
    <xf numFmtId="166" fontId="89" fillId="4" borderId="17" xfId="0" applyNumberFormat="1" applyFont="1" applyFill="1" applyBorder="1" applyAlignment="1">
      <alignment horizontal="center" vertical="center"/>
    </xf>
    <xf numFmtId="166" fontId="7" fillId="5" borderId="21" xfId="0" applyNumberFormat="1" applyFont="1" applyFill="1" applyBorder="1" applyAlignment="1">
      <alignment horizontal="center" vertical="center"/>
    </xf>
    <xf numFmtId="166" fontId="7" fillId="0" borderId="7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 vertical="center"/>
    </xf>
    <xf numFmtId="166" fontId="7" fillId="5" borderId="7" xfId="0" applyNumberFormat="1" applyFont="1" applyFill="1" applyBorder="1" applyAlignment="1">
      <alignment horizontal="center" vertical="center"/>
    </xf>
    <xf numFmtId="166" fontId="3" fillId="5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6" fontId="3" fillId="5" borderId="0" xfId="0" applyNumberFormat="1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166" fontId="3" fillId="0" borderId="0" xfId="0" applyNumberFormat="1" applyFont="1" applyFill="1" applyBorder="1" applyAlignment="1">
      <alignment horizontal="center" vertical="center"/>
    </xf>
    <xf numFmtId="166" fontId="7" fillId="5" borderId="1" xfId="6" applyNumberFormat="1" applyFont="1" applyFill="1" applyBorder="1" applyAlignment="1">
      <alignment horizontal="center" vertical="center"/>
    </xf>
    <xf numFmtId="0" fontId="7" fillId="3" borderId="33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166" fontId="8" fillId="5" borderId="9" xfId="0" applyNumberFormat="1" applyFont="1" applyFill="1" applyBorder="1" applyAlignment="1">
      <alignment horizontal="center" vertical="center"/>
    </xf>
    <xf numFmtId="166" fontId="8" fillId="5" borderId="0" xfId="0" applyNumberFormat="1" applyFont="1" applyFill="1" applyBorder="1" applyAlignment="1">
      <alignment horizontal="center" vertical="center"/>
    </xf>
    <xf numFmtId="166" fontId="8" fillId="3" borderId="16" xfId="0" applyNumberFormat="1" applyFont="1" applyFill="1" applyBorder="1" applyAlignment="1">
      <alignment horizontal="center" vertical="center"/>
    </xf>
    <xf numFmtId="166" fontId="8" fillId="3" borderId="0" xfId="0" applyNumberFormat="1" applyFont="1" applyFill="1" applyBorder="1" applyAlignment="1">
      <alignment horizontal="center" vertical="center"/>
    </xf>
    <xf numFmtId="166" fontId="8" fillId="5" borderId="16" xfId="0" applyNumberFormat="1" applyFont="1" applyFill="1" applyBorder="1" applyAlignment="1">
      <alignment horizontal="center" vertical="center"/>
    </xf>
    <xf numFmtId="1" fontId="7" fillId="3" borderId="0" xfId="0" applyNumberFormat="1" applyFont="1" applyFill="1" applyBorder="1" applyAlignment="1">
      <alignment horizontal="center" vertical="center"/>
    </xf>
    <xf numFmtId="1" fontId="7" fillId="5" borderId="0" xfId="0" applyNumberFormat="1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35" fillId="2" borderId="19" xfId="0" applyFont="1" applyFill="1" applyBorder="1" applyAlignment="1">
      <alignment horizontal="center" vertical="center"/>
    </xf>
    <xf numFmtId="0" fontId="4" fillId="0" borderId="0" xfId="0" applyFont="1"/>
    <xf numFmtId="0" fontId="6" fillId="0" borderId="0" xfId="0" applyFont="1"/>
    <xf numFmtId="0" fontId="7" fillId="0" borderId="1" xfId="0" applyFont="1" applyBorder="1"/>
    <xf numFmtId="0" fontId="8" fillId="0" borderId="0" xfId="0" applyFont="1" applyAlignment="1">
      <alignment horizontal="left"/>
    </xf>
    <xf numFmtId="0" fontId="7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/>
    <xf numFmtId="0" fontId="9" fillId="2" borderId="4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right" vertical="center"/>
    </xf>
    <xf numFmtId="0" fontId="9" fillId="2" borderId="5" xfId="0" applyFont="1" applyFill="1" applyBorder="1"/>
    <xf numFmtId="0" fontId="10" fillId="0" borderId="0" xfId="0" applyFont="1"/>
    <xf numFmtId="0" fontId="11" fillId="2" borderId="11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Continuous"/>
    </xf>
    <xf numFmtId="0" fontId="14" fillId="2" borderId="0" xfId="0" applyFont="1" applyFill="1" applyBorder="1" applyAlignment="1">
      <alignment horizontal="center"/>
    </xf>
    <xf numFmtId="0" fontId="14" fillId="2" borderId="11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Continuous"/>
    </xf>
    <xf numFmtId="0" fontId="15" fillId="2" borderId="11" xfId="0" applyFont="1" applyFill="1" applyBorder="1" applyAlignment="1">
      <alignment horizontal="center" vertical="center"/>
    </xf>
    <xf numFmtId="0" fontId="16" fillId="0" borderId="0" xfId="0" applyFont="1"/>
    <xf numFmtId="0" fontId="16" fillId="0" borderId="0" xfId="0" applyFont="1" applyBorder="1"/>
    <xf numFmtId="0" fontId="8" fillId="2" borderId="18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17" fillId="2" borderId="19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3" fillId="4" borderId="0" xfId="0" applyFont="1" applyFill="1"/>
    <xf numFmtId="0" fontId="7" fillId="5" borderId="0" xfId="0" applyFont="1" applyFill="1" applyAlignment="1">
      <alignment horizontal="center"/>
    </xf>
    <xf numFmtId="0" fontId="0" fillId="0" borderId="0" xfId="0" applyFill="1"/>
    <xf numFmtId="0" fontId="3" fillId="0" borderId="0" xfId="0" applyFont="1" applyBorder="1"/>
    <xf numFmtId="0" fontId="7" fillId="5" borderId="3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9" fillId="0" borderId="0" xfId="0" applyFont="1" applyAlignment="1">
      <alignment horizontal="left"/>
    </xf>
    <xf numFmtId="0" fontId="19" fillId="0" borderId="0" xfId="0" applyFont="1" applyAlignment="1">
      <alignment readingOrder="1"/>
    </xf>
    <xf numFmtId="0" fontId="19" fillId="0" borderId="0" xfId="0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Continuous" vertical="center"/>
    </xf>
    <xf numFmtId="0" fontId="3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20" fillId="0" borderId="0" xfId="0" applyFont="1" applyAlignment="1">
      <alignment horizontal="right" vertical="center" readingOrder="1"/>
    </xf>
    <xf numFmtId="0" fontId="4" fillId="0" borderId="0" xfId="0" applyFont="1" applyFill="1" applyBorder="1" applyAlignment="1">
      <alignment horizontal="centerContinuous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readingOrder="1"/>
    </xf>
    <xf numFmtId="0" fontId="3" fillId="0" borderId="0" xfId="0" applyFont="1" applyFill="1" applyBorder="1" applyAlignment="1">
      <alignment horizontal="right" readingOrder="2"/>
    </xf>
    <xf numFmtId="0" fontId="3" fillId="0" borderId="0" xfId="0" applyFont="1" applyFill="1" applyBorder="1" applyAlignment="1">
      <alignment horizontal="right" readingOrder="1"/>
    </xf>
    <xf numFmtId="0" fontId="3" fillId="0" borderId="25" xfId="0" applyFont="1" applyBorder="1"/>
    <xf numFmtId="0" fontId="66" fillId="0" borderId="0" xfId="0" applyFont="1" applyAlignment="1">
      <alignment vertical="center"/>
    </xf>
    <xf numFmtId="0" fontId="7" fillId="2" borderId="27" xfId="0" applyFont="1" applyFill="1" applyBorder="1" applyAlignment="1">
      <alignment horizontal="left" vertical="center"/>
    </xf>
    <xf numFmtId="0" fontId="7" fillId="2" borderId="35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/>
    </xf>
    <xf numFmtId="0" fontId="7" fillId="2" borderId="19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/>
    </xf>
    <xf numFmtId="0" fontId="7" fillId="2" borderId="10" xfId="0" applyFont="1" applyFill="1" applyBorder="1"/>
    <xf numFmtId="0" fontId="14" fillId="2" borderId="16" xfId="0" applyFont="1" applyFill="1" applyBorder="1" applyAlignment="1">
      <alignment horizontal="center"/>
    </xf>
    <xf numFmtId="0" fontId="14" fillId="2" borderId="17" xfId="0" applyFont="1" applyFill="1" applyBorder="1" applyAlignment="1">
      <alignment horizontal="center"/>
    </xf>
    <xf numFmtId="0" fontId="59" fillId="2" borderId="11" xfId="0" quotePrefix="1" applyFont="1" applyFill="1" applyBorder="1" applyAlignment="1">
      <alignment horizontal="right"/>
    </xf>
    <xf numFmtId="0" fontId="15" fillId="2" borderId="0" xfId="0" applyFont="1" applyFill="1" applyBorder="1" applyAlignment="1">
      <alignment horizontal="center"/>
    </xf>
    <xf numFmtId="0" fontId="15" fillId="2" borderId="0" xfId="0" quotePrefix="1" applyFont="1" applyFill="1" applyBorder="1" applyAlignment="1">
      <alignment horizontal="left"/>
    </xf>
    <xf numFmtId="0" fontId="15" fillId="2" borderId="0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8" fillId="2" borderId="91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104" fillId="0" borderId="0" xfId="0" applyFont="1" applyBorder="1"/>
    <xf numFmtId="0" fontId="104" fillId="0" borderId="0" xfId="0" applyFont="1" applyAlignment="1">
      <alignment horizontal="left"/>
    </xf>
    <xf numFmtId="0" fontId="104" fillId="0" borderId="0" xfId="0" applyFont="1"/>
    <xf numFmtId="0" fontId="104" fillId="0" borderId="0" xfId="0" applyFont="1" applyAlignment="1">
      <alignment readingOrder="1"/>
    </xf>
    <xf numFmtId="0" fontId="20" fillId="0" borderId="0" xfId="0" applyFont="1" applyBorder="1"/>
    <xf numFmtId="0" fontId="20" fillId="0" borderId="0" xfId="0" applyFont="1" applyAlignment="1">
      <alignment readingOrder="1"/>
    </xf>
    <xf numFmtId="0" fontId="146" fillId="0" borderId="0" xfId="0" applyFont="1" applyFill="1" applyBorder="1" applyAlignment="1">
      <alignment horizontal="center" vertical="center"/>
    </xf>
    <xf numFmtId="0" fontId="104" fillId="0" borderId="0" xfId="0" applyFont="1" applyFill="1" applyBorder="1"/>
    <xf numFmtId="0" fontId="145" fillId="0" borderId="0" xfId="0" applyFont="1" applyFill="1" applyBorder="1" applyAlignment="1">
      <alignment horizontal="center" vertical="center"/>
    </xf>
    <xf numFmtId="166" fontId="3" fillId="0" borderId="0" xfId="0" applyNumberFormat="1" applyFont="1"/>
    <xf numFmtId="0" fontId="4" fillId="0" borderId="0" xfId="0" applyFont="1" applyBorder="1"/>
    <xf numFmtId="0" fontId="6" fillId="0" borderId="0" xfId="0" applyFont="1" applyFill="1"/>
    <xf numFmtId="0" fontId="6" fillId="0" borderId="0" xfId="0" applyFont="1" applyFill="1" applyBorder="1"/>
    <xf numFmtId="0" fontId="27" fillId="0" borderId="0" xfId="0" applyFont="1" applyFill="1"/>
    <xf numFmtId="0" fontId="27" fillId="0" borderId="0" xfId="0" applyFont="1" applyFill="1" applyBorder="1"/>
    <xf numFmtId="0" fontId="33" fillId="0" borderId="0" xfId="0" applyFont="1" applyFill="1"/>
    <xf numFmtId="0" fontId="28" fillId="0" borderId="0" xfId="0" applyFont="1"/>
    <xf numFmtId="0" fontId="29" fillId="0" borderId="0" xfId="0" applyFont="1"/>
    <xf numFmtId="0" fontId="28" fillId="0" borderId="0" xfId="0" applyFont="1" applyBorder="1"/>
    <xf numFmtId="166" fontId="30" fillId="0" borderId="0" xfId="0" applyNumberFormat="1" applyFont="1" applyBorder="1"/>
    <xf numFmtId="0" fontId="30" fillId="0" borderId="0" xfId="0" applyFont="1"/>
    <xf numFmtId="0" fontId="31" fillId="0" borderId="0" xfId="0" applyFont="1"/>
    <xf numFmtId="0" fontId="31" fillId="0" borderId="0" xfId="0" applyFont="1" applyBorder="1"/>
    <xf numFmtId="0" fontId="33" fillId="0" borderId="0" xfId="0" applyFont="1" applyFill="1" applyBorder="1"/>
    <xf numFmtId="0" fontId="8" fillId="0" borderId="1" xfId="0" applyFont="1" applyBorder="1"/>
    <xf numFmtId="0" fontId="34" fillId="0" borderId="1" xfId="0" applyFont="1" applyBorder="1"/>
    <xf numFmtId="166" fontId="34" fillId="0" borderId="1" xfId="0" applyNumberFormat="1" applyFont="1" applyBorder="1"/>
    <xf numFmtId="0" fontId="8" fillId="0" borderId="0" xfId="0" applyFont="1" applyBorder="1"/>
    <xf numFmtId="0" fontId="34" fillId="0" borderId="0" xfId="0" applyFont="1" applyBorder="1" applyAlignment="1">
      <alignment horizontal="right"/>
    </xf>
    <xf numFmtId="0" fontId="8" fillId="2" borderId="2" xfId="0" applyFont="1" applyFill="1" applyBorder="1" applyAlignment="1">
      <alignment horizontal="left" vertical="center"/>
    </xf>
    <xf numFmtId="0" fontId="8" fillId="2" borderId="5" xfId="0" applyFont="1" applyFill="1" applyBorder="1"/>
    <xf numFmtId="0" fontId="34" fillId="2" borderId="5" xfId="0" applyFont="1" applyFill="1" applyBorder="1"/>
    <xf numFmtId="166" fontId="34" fillId="2" borderId="5" xfId="0" applyNumberFormat="1" applyFont="1" applyFill="1" applyBorder="1"/>
    <xf numFmtId="0" fontId="8" fillId="2" borderId="26" xfId="0" applyFont="1" applyFill="1" applyBorder="1"/>
    <xf numFmtId="0" fontId="8" fillId="2" borderId="4" xfId="0" applyFont="1" applyFill="1" applyBorder="1"/>
    <xf numFmtId="0" fontId="35" fillId="2" borderId="7" xfId="0" applyFont="1" applyFill="1" applyBorder="1" applyAlignment="1">
      <alignment horizontal="center"/>
    </xf>
    <xf numFmtId="0" fontId="35" fillId="2" borderId="11" xfId="0" applyFont="1" applyFill="1" applyBorder="1" applyAlignment="1">
      <alignment horizontal="center"/>
    </xf>
    <xf numFmtId="0" fontId="24" fillId="2" borderId="11" xfId="0" applyFont="1" applyFill="1" applyBorder="1" applyAlignment="1">
      <alignment horizontal="center"/>
    </xf>
    <xf numFmtId="166" fontId="35" fillId="2" borderId="11" xfId="0" applyNumberFormat="1" applyFont="1" applyFill="1" applyBorder="1" applyAlignment="1">
      <alignment horizontal="center"/>
    </xf>
    <xf numFmtId="0" fontId="35" fillId="2" borderId="16" xfId="0" applyFont="1" applyFill="1" applyBorder="1" applyAlignment="1">
      <alignment horizontal="centerContinuous"/>
    </xf>
    <xf numFmtId="0" fontId="35" fillId="2" borderId="11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center"/>
    </xf>
    <xf numFmtId="0" fontId="24" fillId="2" borderId="25" xfId="0" applyFont="1" applyFill="1" applyBorder="1" applyAlignment="1">
      <alignment horizontal="center"/>
    </xf>
    <xf numFmtId="0" fontId="35" fillId="2" borderId="11" xfId="0" applyFont="1" applyFill="1" applyBorder="1"/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Continuous"/>
    </xf>
    <xf numFmtId="0" fontId="35" fillId="2" borderId="7" xfId="0" applyFont="1" applyFill="1" applyBorder="1" applyAlignment="1">
      <alignment horizontal="center" vertical="center"/>
    </xf>
    <xf numFmtId="166" fontId="35" fillId="2" borderId="11" xfId="0" applyNumberFormat="1" applyFont="1" applyFill="1" applyBorder="1" applyAlignment="1">
      <alignment horizontal="center" vertical="center"/>
    </xf>
    <xf numFmtId="0" fontId="35" fillId="2" borderId="16" xfId="0" applyFont="1" applyFill="1" applyBorder="1" applyAlignment="1">
      <alignment horizontal="centerContinuous" vertical="center"/>
    </xf>
    <xf numFmtId="0" fontId="35" fillId="2" borderId="11" xfId="0" applyFont="1" applyFill="1" applyBorder="1" applyAlignment="1">
      <alignment horizontal="centerContinuous" vertical="center" readingOrder="2"/>
    </xf>
    <xf numFmtId="0" fontId="16" fillId="0" borderId="0" xfId="0" applyFont="1" applyFill="1"/>
    <xf numFmtId="0" fontId="24" fillId="2" borderId="11" xfId="0" applyFont="1" applyFill="1" applyBorder="1" applyAlignment="1">
      <alignment horizontal="left" vertical="center"/>
    </xf>
    <xf numFmtId="0" fontId="35" fillId="2" borderId="0" xfId="0" applyFont="1" applyFill="1" applyBorder="1" applyAlignment="1">
      <alignment horizontal="centerContinuous" vertical="center"/>
    </xf>
    <xf numFmtId="0" fontId="24" fillId="6" borderId="25" xfId="0" applyFont="1" applyFill="1" applyBorder="1" applyAlignment="1">
      <alignment horizontal="center"/>
    </xf>
    <xf numFmtId="0" fontId="16" fillId="0" borderId="0" xfId="0" applyFont="1" applyFill="1" applyBorder="1"/>
    <xf numFmtId="0" fontId="35" fillId="2" borderId="28" xfId="0" applyFont="1" applyFill="1" applyBorder="1" applyAlignment="1">
      <alignment horizontal="center" vertical="center"/>
    </xf>
    <xf numFmtId="0" fontId="24" fillId="2" borderId="19" xfId="0" applyFont="1" applyFill="1" applyBorder="1" applyAlignment="1">
      <alignment horizontal="center" vertical="center"/>
    </xf>
    <xf numFmtId="166" fontId="35" fillId="2" borderId="19" xfId="0" applyNumberFormat="1" applyFont="1" applyFill="1" applyBorder="1" applyAlignment="1">
      <alignment horizontal="center" vertical="center"/>
    </xf>
    <xf numFmtId="0" fontId="35" fillId="2" borderId="13" xfId="0" applyFont="1" applyFill="1" applyBorder="1" applyAlignment="1">
      <alignment horizontal="centerContinuous" vertical="center"/>
    </xf>
    <xf numFmtId="0" fontId="35" fillId="2" borderId="14" xfId="0" applyFont="1" applyFill="1" applyBorder="1" applyAlignment="1">
      <alignment horizontal="centerContinuous"/>
    </xf>
    <xf numFmtId="0" fontId="24" fillId="2" borderId="29" xfId="0" applyFont="1" applyFill="1" applyBorder="1" applyAlignment="1">
      <alignment horizontal="center"/>
    </xf>
    <xf numFmtId="166" fontId="35" fillId="0" borderId="30" xfId="0" applyNumberFormat="1" applyFont="1" applyBorder="1" applyAlignment="1">
      <alignment horizontal="center" vertical="center"/>
    </xf>
    <xf numFmtId="166" fontId="35" fillId="0" borderId="0" xfId="0" applyNumberFormat="1" applyFont="1" applyBorder="1" applyAlignment="1">
      <alignment horizontal="center" vertical="center"/>
    </xf>
    <xf numFmtId="166" fontId="35" fillId="0" borderId="0" xfId="0" applyNumberFormat="1" applyFont="1" applyAlignment="1">
      <alignment horizontal="center" vertical="center"/>
    </xf>
    <xf numFmtId="166" fontId="24" fillId="0" borderId="11" xfId="0" applyNumberFormat="1" applyFont="1" applyBorder="1" applyAlignment="1">
      <alignment horizontal="center" vertical="center"/>
    </xf>
    <xf numFmtId="166" fontId="35" fillId="0" borderId="0" xfId="0" applyNumberFormat="1" applyFont="1" applyAlignment="1">
      <alignment horizontal="centerContinuous" vertical="center"/>
    </xf>
    <xf numFmtId="166" fontId="35" fillId="0" borderId="17" xfId="0" applyNumberFormat="1" applyFont="1" applyBorder="1" applyAlignment="1">
      <alignment horizontal="center" vertical="center"/>
    </xf>
    <xf numFmtId="166" fontId="35" fillId="5" borderId="7" xfId="0" applyNumberFormat="1" applyFont="1" applyFill="1" applyBorder="1" applyAlignment="1">
      <alignment horizontal="center" vertical="center"/>
    </xf>
    <xf numFmtId="166" fontId="35" fillId="5" borderId="0" xfId="0" applyNumberFormat="1" applyFont="1" applyFill="1" applyBorder="1" applyAlignment="1">
      <alignment horizontal="center" vertical="center"/>
    </xf>
    <xf numFmtId="166" fontId="35" fillId="5" borderId="0" xfId="0" applyNumberFormat="1" applyFont="1" applyFill="1" applyAlignment="1">
      <alignment horizontal="center" vertical="center"/>
    </xf>
    <xf numFmtId="166" fontId="24" fillId="5" borderId="11" xfId="0" applyNumberFormat="1" applyFont="1" applyFill="1" applyBorder="1" applyAlignment="1">
      <alignment horizontal="center" vertical="center"/>
    </xf>
    <xf numFmtId="166" fontId="35" fillId="5" borderId="0" xfId="0" applyNumberFormat="1" applyFont="1" applyFill="1" applyAlignment="1">
      <alignment horizontal="centerContinuous" vertical="center"/>
    </xf>
    <xf numFmtId="166" fontId="35" fillId="5" borderId="17" xfId="0" applyNumberFormat="1" applyFont="1" applyFill="1" applyBorder="1" applyAlignment="1">
      <alignment horizontal="center" vertical="center"/>
    </xf>
    <xf numFmtId="166" fontId="35" fillId="0" borderId="7" xfId="0" applyNumberFormat="1" applyFont="1" applyBorder="1" applyAlignment="1">
      <alignment horizontal="center" vertical="center"/>
    </xf>
    <xf numFmtId="166" fontId="35" fillId="0" borderId="21" xfId="0" applyNumberFormat="1" applyFont="1" applyBorder="1" applyAlignment="1">
      <alignment horizontal="center" vertical="center"/>
    </xf>
    <xf numFmtId="166" fontId="35" fillId="0" borderId="1" xfId="0" applyNumberFormat="1" applyFont="1" applyBorder="1" applyAlignment="1">
      <alignment horizontal="center" vertical="center"/>
    </xf>
    <xf numFmtId="166" fontId="24" fillId="0" borderId="32" xfId="0" applyNumberFormat="1" applyFont="1" applyBorder="1" applyAlignment="1">
      <alignment horizontal="center" vertical="center"/>
    </xf>
    <xf numFmtId="166" fontId="35" fillId="0" borderId="1" xfId="0" applyNumberFormat="1" applyFont="1" applyBorder="1" applyAlignment="1">
      <alignment horizontal="centerContinuous" vertical="center"/>
    </xf>
    <xf numFmtId="166" fontId="35" fillId="0" borderId="23" xfId="0" applyNumberFormat="1" applyFont="1" applyBorder="1" applyAlignment="1">
      <alignment horizontal="center" vertical="center"/>
    </xf>
    <xf numFmtId="166" fontId="35" fillId="0" borderId="0" xfId="0" applyNumberFormat="1" applyFont="1" applyBorder="1" applyAlignment="1">
      <alignment horizontal="centerContinuous" vertical="center"/>
    </xf>
    <xf numFmtId="166" fontId="28" fillId="0" borderId="0" xfId="0" applyNumberFormat="1" applyFont="1" applyBorder="1" applyAlignment="1">
      <alignment horizontal="center"/>
    </xf>
    <xf numFmtId="166" fontId="28" fillId="0" borderId="0" xfId="0" applyNumberFormat="1" applyFont="1" applyBorder="1"/>
    <xf numFmtId="166" fontId="4" fillId="0" borderId="0" xfId="0" applyNumberFormat="1" applyFont="1" applyBorder="1" applyAlignment="1">
      <alignment horizontal="center"/>
    </xf>
    <xf numFmtId="166" fontId="4" fillId="0" borderId="0" xfId="0" applyNumberFormat="1" applyFont="1" applyBorder="1"/>
    <xf numFmtId="0" fontId="24" fillId="0" borderId="0" xfId="0" applyFont="1" applyAlignment="1">
      <alignment horizontal="centerContinuous" vertical="center"/>
    </xf>
    <xf numFmtId="0" fontId="40" fillId="0" borderId="0" xfId="0" applyFont="1" applyAlignment="1">
      <alignment horizontal="centerContinuous" vertical="center"/>
    </xf>
    <xf numFmtId="0" fontId="24" fillId="0" borderId="0" xfId="0" applyFont="1" applyBorder="1" applyAlignment="1">
      <alignment horizontal="centerContinuous" vertical="center"/>
    </xf>
    <xf numFmtId="166" fontId="5" fillId="0" borderId="0" xfId="0" applyNumberFormat="1" applyFont="1" applyBorder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0" fontId="41" fillId="0" borderId="0" xfId="0" applyFont="1" applyAlignment="1">
      <alignment horizontal="centerContinuous" vertical="center"/>
    </xf>
    <xf numFmtId="0" fontId="41" fillId="0" borderId="0" xfId="0" applyFont="1" applyBorder="1" applyAlignment="1">
      <alignment horizontal="centerContinuous" vertical="center"/>
    </xf>
    <xf numFmtId="0" fontId="42" fillId="0" borderId="0" xfId="0" applyFont="1" applyBorder="1" applyAlignment="1"/>
    <xf numFmtId="0" fontId="30" fillId="0" borderId="0" xfId="0" applyFont="1" applyBorder="1" applyAlignment="1">
      <alignment horizontal="right"/>
    </xf>
    <xf numFmtId="166" fontId="7" fillId="6" borderId="2" xfId="0" applyNumberFormat="1" applyFont="1" applyFill="1" applyBorder="1" applyAlignment="1">
      <alignment horizontal="center" vertical="center"/>
    </xf>
    <xf numFmtId="166" fontId="7" fillId="6" borderId="34" xfId="0" applyNumberFormat="1" applyFont="1" applyFill="1" applyBorder="1" applyAlignment="1">
      <alignment horizontal="left" vertical="center"/>
    </xf>
    <xf numFmtId="166" fontId="7" fillId="6" borderId="35" xfId="0" applyNumberFormat="1" applyFont="1" applyFill="1" applyBorder="1" applyAlignment="1">
      <alignment horizontal="center" vertical="center"/>
    </xf>
    <xf numFmtId="166" fontId="8" fillId="6" borderId="35" xfId="0" applyNumberFormat="1" applyFont="1" applyFill="1" applyBorder="1" applyAlignment="1">
      <alignment horizontal="center" vertical="center"/>
    </xf>
    <xf numFmtId="166" fontId="7" fillId="6" borderId="36" xfId="0" applyNumberFormat="1" applyFont="1" applyFill="1" applyBorder="1" applyAlignment="1">
      <alignment horizontal="right" vertical="center"/>
    </xf>
    <xf numFmtId="0" fontId="8" fillId="6" borderId="26" xfId="0" applyFont="1" applyFill="1" applyBorder="1"/>
    <xf numFmtId="1" fontId="8" fillId="6" borderId="27" xfId="0" applyNumberFormat="1" applyFont="1" applyFill="1" applyBorder="1" applyAlignment="1">
      <alignment horizontal="right" vertical="center"/>
    </xf>
    <xf numFmtId="0" fontId="7" fillId="6" borderId="7" xfId="0" applyFont="1" applyFill="1" applyBorder="1"/>
    <xf numFmtId="0" fontId="7" fillId="6" borderId="37" xfId="0" applyFont="1" applyFill="1" applyBorder="1"/>
    <xf numFmtId="166" fontId="3" fillId="0" borderId="0" xfId="0" applyNumberFormat="1" applyFont="1" applyFill="1" applyBorder="1" applyAlignment="1">
      <alignment horizontal="center"/>
    </xf>
    <xf numFmtId="0" fontId="7" fillId="6" borderId="11" xfId="0" applyFont="1" applyFill="1" applyBorder="1"/>
    <xf numFmtId="0" fontId="7" fillId="6" borderId="11" xfId="0" applyFont="1" applyFill="1" applyBorder="1" applyAlignment="1">
      <alignment horizontal="center"/>
    </xf>
    <xf numFmtId="0" fontId="7" fillId="6" borderId="13" xfId="0" applyFont="1" applyFill="1" applyBorder="1"/>
    <xf numFmtId="0" fontId="7" fillId="6" borderId="14" xfId="0" applyFont="1" applyFill="1" applyBorder="1"/>
    <xf numFmtId="0" fontId="7" fillId="6" borderId="15" xfId="0" applyFont="1" applyFill="1" applyBorder="1"/>
    <xf numFmtId="0" fontId="8" fillId="6" borderId="7" xfId="0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/>
    </xf>
    <xf numFmtId="0" fontId="7" fillId="6" borderId="11" xfId="0" quotePrefix="1" applyFont="1" applyFill="1" applyBorder="1" applyAlignment="1">
      <alignment horizontal="right" vertical="center"/>
    </xf>
    <xf numFmtId="0" fontId="8" fillId="6" borderId="37" xfId="0" applyFont="1" applyFill="1" applyBorder="1"/>
    <xf numFmtId="0" fontId="7" fillId="6" borderId="37" xfId="0" quotePrefix="1" applyFont="1" applyFill="1" applyBorder="1" applyAlignment="1">
      <alignment horizontal="right" vertical="center"/>
    </xf>
    <xf numFmtId="0" fontId="7" fillId="6" borderId="37" xfId="0" applyFont="1" applyFill="1" applyBorder="1" applyAlignment="1">
      <alignment horizontal="center"/>
    </xf>
    <xf numFmtId="0" fontId="7" fillId="6" borderId="0" xfId="0" applyFont="1" applyFill="1" applyBorder="1"/>
    <xf numFmtId="0" fontId="7" fillId="6" borderId="7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left" vertical="center"/>
    </xf>
    <xf numFmtId="0" fontId="8" fillId="6" borderId="7" xfId="0" applyFont="1" applyFill="1" applyBorder="1" applyAlignment="1">
      <alignment horizontal="center"/>
    </xf>
    <xf numFmtId="0" fontId="8" fillId="6" borderId="1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0" fontId="7" fillId="6" borderId="11" xfId="0" quotePrefix="1" applyFont="1" applyFill="1" applyBorder="1" applyAlignment="1">
      <alignment horizontal="left" vertical="center"/>
    </xf>
    <xf numFmtId="166" fontId="43" fillId="0" borderId="0" xfId="0" applyNumberFormat="1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8" fillId="6" borderId="3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166" fontId="3" fillId="0" borderId="0" xfId="0" applyNumberFormat="1" applyFont="1" applyFill="1"/>
    <xf numFmtId="166" fontId="3" fillId="0" borderId="0" xfId="0" applyNumberFormat="1" applyFont="1" applyFill="1" applyBorder="1"/>
    <xf numFmtId="166" fontId="0" fillId="0" borderId="0" xfId="0" applyNumberFormat="1"/>
    <xf numFmtId="2" fontId="3" fillId="0" borderId="0" xfId="0" applyNumberFormat="1" applyFont="1" applyFill="1" applyBorder="1"/>
    <xf numFmtId="0" fontId="47" fillId="0" borderId="0" xfId="0" applyFont="1" applyAlignment="1">
      <alignment horizontal="left" vertical="center"/>
    </xf>
    <xf numFmtId="166" fontId="19" fillId="0" borderId="0" xfId="0" applyNumberFormat="1" applyFont="1" applyAlignment="1">
      <alignment horizontal="left" vertical="center"/>
    </xf>
    <xf numFmtId="0" fontId="19" fillId="0" borderId="0" xfId="0" applyFont="1" applyBorder="1" applyAlignment="1">
      <alignment horizontal="right" vertical="center" readingOrder="2"/>
    </xf>
    <xf numFmtId="0" fontId="21" fillId="0" borderId="0" xfId="0" applyFont="1" applyFill="1" applyAlignment="1">
      <alignment horizontal="left" vertical="center"/>
    </xf>
    <xf numFmtId="166" fontId="20" fillId="0" borderId="0" xfId="0" applyNumberFormat="1" applyFont="1" applyAlignment="1">
      <alignment horizontal="left" vertical="center"/>
    </xf>
    <xf numFmtId="0" fontId="20" fillId="0" borderId="0" xfId="0" applyFont="1" applyBorder="1" applyAlignment="1">
      <alignment horizontal="right" vertical="center" readingOrder="2"/>
    </xf>
    <xf numFmtId="166" fontId="48" fillId="0" borderId="0" xfId="0" applyNumberFormat="1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0" fillId="0" borderId="0" xfId="0" applyFont="1" applyBorder="1" applyAlignment="1">
      <alignment horizontal="right" vertical="center"/>
    </xf>
    <xf numFmtId="166" fontId="21" fillId="0" borderId="0" xfId="0" applyNumberFormat="1" applyFont="1" applyFill="1" applyBorder="1" applyAlignment="1">
      <alignment horizontal="left" vertical="center"/>
    </xf>
    <xf numFmtId="0" fontId="28" fillId="0" borderId="0" xfId="0" applyFont="1" applyBorder="1" applyAlignment="1">
      <alignment horizontal="left" vertical="center"/>
    </xf>
    <xf numFmtId="166" fontId="21" fillId="0" borderId="0" xfId="0" applyNumberFormat="1" applyFont="1" applyFill="1" applyAlignment="1">
      <alignment horizontal="left" vertical="center"/>
    </xf>
    <xf numFmtId="0" fontId="20" fillId="0" borderId="0" xfId="0" applyFont="1" applyAlignment="1">
      <alignment horizontal="left" vertical="center"/>
    </xf>
    <xf numFmtId="166" fontId="21" fillId="0" borderId="0" xfId="0" applyNumberFormat="1" applyFont="1" applyFill="1"/>
    <xf numFmtId="166" fontId="21" fillId="0" borderId="0" xfId="0" applyNumberFormat="1" applyFont="1" applyFill="1" applyBorder="1" applyAlignment="1">
      <alignment vertical="center"/>
    </xf>
    <xf numFmtId="166" fontId="3" fillId="0" borderId="0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4" fillId="0" borderId="39" xfId="0" applyNumberFormat="1" applyFont="1" applyFill="1" applyBorder="1" applyAlignment="1">
      <alignment vertical="center"/>
    </xf>
    <xf numFmtId="0" fontId="49" fillId="0" borderId="0" xfId="0" applyFont="1" applyAlignment="1">
      <alignment horizontal="left" vertical="center"/>
    </xf>
    <xf numFmtId="0" fontId="3" fillId="0" borderId="0" xfId="0" applyFont="1" applyFill="1" applyAlignment="1">
      <alignment vertical="center"/>
    </xf>
    <xf numFmtId="0" fontId="51" fillId="0" borderId="0" xfId="0" applyFont="1" applyBorder="1" applyAlignment="1">
      <alignment horizontal="center"/>
    </xf>
    <xf numFmtId="0" fontId="30" fillId="0" borderId="0" xfId="0" applyFont="1" applyBorder="1"/>
    <xf numFmtId="0" fontId="7" fillId="0" borderId="0" xfId="0" applyFont="1" applyBorder="1" applyAlignment="1">
      <alignment horizontal="right"/>
    </xf>
    <xf numFmtId="0" fontId="28" fillId="0" borderId="0" xfId="0" applyFont="1" applyBorder="1" applyAlignment="1">
      <alignment horizontal="right"/>
    </xf>
    <xf numFmtId="0" fontId="7" fillId="2" borderId="2" xfId="0" applyFont="1" applyFill="1" applyBorder="1"/>
    <xf numFmtId="0" fontId="7" fillId="2" borderId="4" xfId="0" applyFont="1" applyFill="1" applyBorder="1"/>
    <xf numFmtId="0" fontId="7" fillId="2" borderId="4" xfId="0" applyFont="1" applyFill="1" applyBorder="1" applyAlignment="1">
      <alignment horizontal="center" vertical="center"/>
    </xf>
    <xf numFmtId="0" fontId="7" fillId="2" borderId="26" xfId="0" applyFont="1" applyFill="1" applyBorder="1"/>
    <xf numFmtId="0" fontId="7" fillId="2" borderId="40" xfId="0" applyFont="1" applyFill="1" applyBorder="1"/>
    <xf numFmtId="0" fontId="8" fillId="2" borderId="27" xfId="0" applyFont="1" applyFill="1" applyBorder="1"/>
    <xf numFmtId="0" fontId="7" fillId="2" borderId="0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Continuous" vertical="center"/>
    </xf>
    <xf numFmtId="0" fontId="3" fillId="0" borderId="0" xfId="0" applyFont="1" applyFill="1" applyBorder="1" applyAlignment="1">
      <alignment vertical="center"/>
    </xf>
    <xf numFmtId="0" fontId="8" fillId="2" borderId="25" xfId="0" applyFont="1" applyFill="1" applyBorder="1" applyAlignment="1">
      <alignment horizontal="centerContinuous" vertical="center"/>
    </xf>
    <xf numFmtId="0" fontId="53" fillId="0" borderId="0" xfId="0" applyFont="1"/>
    <xf numFmtId="0" fontId="43" fillId="0" borderId="0" xfId="0" applyFont="1" applyFill="1" applyAlignment="1">
      <alignment vertical="center"/>
    </xf>
    <xf numFmtId="0" fontId="8" fillId="2" borderId="11" xfId="0" applyFont="1" applyFill="1" applyBorder="1" applyAlignment="1">
      <alignment vertical="center"/>
    </xf>
    <xf numFmtId="0" fontId="7" fillId="2" borderId="0" xfId="0" applyNumberFormat="1" applyFont="1" applyFill="1" applyBorder="1" applyAlignment="1">
      <alignment horizontal="center" vertical="center"/>
    </xf>
    <xf numFmtId="0" fontId="8" fillId="2" borderId="25" xfId="0" applyNumberFormat="1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vertical="center"/>
    </xf>
    <xf numFmtId="0" fontId="8" fillId="2" borderId="31" xfId="0" applyFont="1" applyFill="1" applyBorder="1" applyAlignment="1">
      <alignment horizontal="centerContinuous" vertical="center"/>
    </xf>
    <xf numFmtId="0" fontId="7" fillId="2" borderId="38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Continuous" vertical="center"/>
    </xf>
    <xf numFmtId="0" fontId="8" fillId="2" borderId="41" xfId="0" applyFont="1" applyFill="1" applyBorder="1" applyAlignment="1">
      <alignment horizontal="center" vertical="center"/>
    </xf>
    <xf numFmtId="166" fontId="7" fillId="4" borderId="7" xfId="0" applyNumberFormat="1" applyFont="1" applyFill="1" applyBorder="1" applyAlignment="1">
      <alignment horizontal="centerContinuous" vertical="center"/>
    </xf>
    <xf numFmtId="166" fontId="8" fillId="4" borderId="0" xfId="0" applyNumberFormat="1" applyFont="1" applyFill="1" applyAlignment="1">
      <alignment horizontal="center" vertical="center"/>
    </xf>
    <xf numFmtId="166" fontId="7" fillId="4" borderId="17" xfId="0" applyNumberFormat="1" applyFont="1" applyFill="1" applyBorder="1" applyAlignment="1">
      <alignment horizontal="center" vertical="center"/>
    </xf>
    <xf numFmtId="166" fontId="8" fillId="5" borderId="0" xfId="0" applyNumberFormat="1" applyFont="1" applyFill="1" applyAlignment="1">
      <alignment horizontal="center" vertical="center"/>
    </xf>
    <xf numFmtId="166" fontId="7" fillId="5" borderId="0" xfId="0" applyNumberFormat="1" applyFont="1" applyFill="1" applyAlignment="1">
      <alignment horizontal="centerContinuous" vertical="center"/>
    </xf>
    <xf numFmtId="166" fontId="7" fillId="4" borderId="21" xfId="0" applyNumberFormat="1" applyFont="1" applyFill="1" applyBorder="1" applyAlignment="1">
      <alignment horizontal="centerContinuous" vertical="center"/>
    </xf>
    <xf numFmtId="166" fontId="7" fillId="4" borderId="1" xfId="0" applyNumberFormat="1" applyFont="1" applyFill="1" applyBorder="1" applyAlignment="1">
      <alignment horizontal="centerContinuous" vertical="center"/>
    </xf>
    <xf numFmtId="166" fontId="8" fillId="4" borderId="1" xfId="0" applyNumberFormat="1" applyFont="1" applyFill="1" applyBorder="1" applyAlignment="1">
      <alignment horizontal="center" vertical="center"/>
    </xf>
    <xf numFmtId="166" fontId="7" fillId="4" borderId="1" xfId="0" applyNumberFormat="1" applyFont="1" applyFill="1" applyBorder="1" applyAlignment="1">
      <alignment horizontal="center" vertical="center"/>
    </xf>
    <xf numFmtId="166" fontId="7" fillId="4" borderId="23" xfId="0" applyNumberFormat="1" applyFont="1" applyFill="1" applyBorder="1" applyAlignment="1">
      <alignment horizontal="center" vertical="center"/>
    </xf>
    <xf numFmtId="166" fontId="8" fillId="7" borderId="21" xfId="0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vertical="center"/>
    </xf>
    <xf numFmtId="166" fontId="7" fillId="7" borderId="1" xfId="0" applyNumberFormat="1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166" fontId="8" fillId="7" borderId="1" xfId="0" applyNumberFormat="1" applyFont="1" applyFill="1" applyBorder="1" applyAlignment="1">
      <alignment horizontal="center" vertical="center"/>
    </xf>
    <xf numFmtId="0" fontId="8" fillId="7" borderId="21" xfId="0" applyFont="1" applyFill="1" applyBorder="1" applyAlignment="1">
      <alignment vertical="center"/>
    </xf>
    <xf numFmtId="0" fontId="8" fillId="7" borderId="1" xfId="0" quotePrefix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right" vertical="center"/>
    </xf>
    <xf numFmtId="0" fontId="8" fillId="7" borderId="33" xfId="0" applyFont="1" applyFill="1" applyBorder="1" applyAlignment="1">
      <alignment horizontal="right" vertical="center"/>
    </xf>
    <xf numFmtId="0" fontId="20" fillId="0" borderId="0" xfId="0" applyFont="1" applyBorder="1" applyAlignment="1">
      <alignment horizontal="left" vertical="center"/>
    </xf>
    <xf numFmtId="166" fontId="20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0" fillId="0" borderId="0" xfId="0" applyFont="1" applyFill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21" fillId="0" borderId="0" xfId="0" applyFont="1" applyBorder="1" applyAlignment="1"/>
    <xf numFmtId="0" fontId="21" fillId="0" borderId="0" xfId="0" applyFont="1" applyBorder="1" applyAlignment="1">
      <alignment horizontal="right"/>
    </xf>
    <xf numFmtId="0" fontId="21" fillId="0" borderId="0" xfId="0" applyFont="1" applyBorder="1" applyAlignment="1">
      <alignment horizontal="center" vertical="center"/>
    </xf>
    <xf numFmtId="0" fontId="57" fillId="0" borderId="0" xfId="0" quotePrefix="1" applyFont="1" applyBorder="1" applyAlignment="1">
      <alignment horizontal="center"/>
    </xf>
    <xf numFmtId="0" fontId="58" fillId="0" borderId="0" xfId="0" applyFont="1" applyBorder="1" applyAlignment="1">
      <alignment horizontal="right" readingOrder="2"/>
    </xf>
    <xf numFmtId="0" fontId="21" fillId="0" borderId="0" xfId="0" applyFont="1" applyBorder="1" applyAlignment="1">
      <alignment horizontal="right" readingOrder="2"/>
    </xf>
    <xf numFmtId="166" fontId="8" fillId="0" borderId="1" xfId="0" applyNumberFormat="1" applyFont="1" applyBorder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Border="1" applyAlignment="1">
      <alignment horizontal="center" vertical="center"/>
    </xf>
    <xf numFmtId="166" fontId="7" fillId="0" borderId="0" xfId="0" applyNumberFormat="1" applyFont="1" applyAlignment="1">
      <alignment horizontal="right" vertical="center"/>
    </xf>
    <xf numFmtId="166" fontId="8" fillId="0" borderId="0" xfId="0" applyNumberFormat="1" applyFont="1" applyBorder="1" applyAlignment="1">
      <alignment vertical="center"/>
    </xf>
    <xf numFmtId="0" fontId="8" fillId="0" borderId="0" xfId="0" quotePrefix="1" applyFont="1" applyBorder="1" applyAlignment="1">
      <alignment horizontal="center" vertical="center"/>
    </xf>
    <xf numFmtId="0" fontId="7" fillId="2" borderId="5" xfId="0" applyFont="1" applyFill="1" applyBorder="1" applyAlignment="1">
      <alignment vertical="center"/>
    </xf>
    <xf numFmtId="0" fontId="8" fillId="2" borderId="26" xfId="0" quotePrefix="1" applyFont="1" applyFill="1" applyBorder="1" applyAlignment="1">
      <alignment horizontal="right" vertical="center"/>
    </xf>
    <xf numFmtId="0" fontId="7" fillId="2" borderId="4" xfId="0" quotePrefix="1" applyFont="1" applyFill="1" applyBorder="1" applyAlignment="1">
      <alignment horizontal="left" vertical="center"/>
    </xf>
    <xf numFmtId="0" fontId="8" fillId="2" borderId="26" xfId="0" applyFont="1" applyFill="1" applyBorder="1" applyAlignment="1">
      <alignment vertical="center"/>
    </xf>
    <xf numFmtId="0" fontId="8" fillId="2" borderId="27" xfId="0" applyFont="1" applyFill="1" applyBorder="1" applyAlignment="1">
      <alignment vertical="center"/>
    </xf>
    <xf numFmtId="0" fontId="8" fillId="2" borderId="7" xfId="0" applyFont="1" applyFill="1" applyBorder="1" applyAlignment="1">
      <alignment vertical="center"/>
    </xf>
    <xf numFmtId="0" fontId="7" fillId="2" borderId="11" xfId="0" applyFont="1" applyFill="1" applyBorder="1" applyAlignment="1">
      <alignment horizontal="centerContinuous" vertical="center"/>
    </xf>
    <xf numFmtId="0" fontId="7" fillId="2" borderId="17" xfId="0" quotePrefix="1" applyFont="1" applyFill="1" applyBorder="1" applyAlignment="1">
      <alignment horizontal="centerContinuous" vertical="center"/>
    </xf>
    <xf numFmtId="0" fontId="7" fillId="2" borderId="10" xfId="0" applyFont="1" applyFill="1" applyBorder="1" applyAlignment="1">
      <alignment horizontal="centerContinuous" vertical="center" readingOrder="2"/>
    </xf>
    <xf numFmtId="0" fontId="7" fillId="2" borderId="37" xfId="0" applyFont="1" applyFill="1" applyBorder="1" applyAlignment="1">
      <alignment horizontal="centerContinuous" vertical="center" readingOrder="2"/>
    </xf>
    <xf numFmtId="0" fontId="7" fillId="2" borderId="37" xfId="0" applyFont="1" applyFill="1" applyBorder="1" applyAlignment="1">
      <alignment horizontal="centerContinuous" vertical="center"/>
    </xf>
    <xf numFmtId="0" fontId="7" fillId="2" borderId="8" xfId="0" applyFont="1" applyFill="1" applyBorder="1" applyAlignment="1">
      <alignment horizontal="centerContinuous" vertical="center"/>
    </xf>
    <xf numFmtId="0" fontId="7" fillId="2" borderId="37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left" vertical="center"/>
    </xf>
    <xf numFmtId="0" fontId="7" fillId="2" borderId="25" xfId="0" applyFont="1" applyFill="1" applyBorder="1" applyAlignment="1">
      <alignment horizontal="centerContinuous" vertical="center"/>
    </xf>
    <xf numFmtId="0" fontId="7" fillId="2" borderId="29" xfId="0" applyFont="1" applyFill="1" applyBorder="1" applyAlignment="1">
      <alignment horizontal="centerContinuous" vertical="center"/>
    </xf>
    <xf numFmtId="0" fontId="3" fillId="3" borderId="0" xfId="0" applyFont="1" applyFill="1" applyAlignment="1">
      <alignment vertical="center"/>
    </xf>
    <xf numFmtId="166" fontId="7" fillId="5" borderId="0" xfId="0" applyNumberFormat="1" applyFont="1" applyFill="1" applyAlignment="1">
      <alignment vertical="center"/>
    </xf>
    <xf numFmtId="0" fontId="3" fillId="3" borderId="0" xfId="0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vertical="center"/>
    </xf>
    <xf numFmtId="1" fontId="61" fillId="0" borderId="0" xfId="0" applyNumberFormat="1" applyFont="1" applyFill="1"/>
    <xf numFmtId="1" fontId="3" fillId="0" borderId="0" xfId="0" applyNumberFormat="1" applyFont="1" applyFill="1"/>
    <xf numFmtId="1" fontId="49" fillId="0" borderId="0" xfId="0" applyNumberFormat="1" applyFont="1" applyFill="1" applyBorder="1" applyAlignment="1">
      <alignment horizontal="left" vertical="center"/>
    </xf>
    <xf numFmtId="1" fontId="49" fillId="0" borderId="0" xfId="0" applyNumberFormat="1" applyFont="1" applyFill="1" applyBorder="1"/>
    <xf numFmtId="1" fontId="61" fillId="0" borderId="0" xfId="0" applyNumberFormat="1" applyFont="1" applyFill="1" applyBorder="1"/>
    <xf numFmtId="1" fontId="3" fillId="0" borderId="0" xfId="0" applyNumberFormat="1" applyFont="1" applyFill="1" applyBorder="1"/>
    <xf numFmtId="0" fontId="19" fillId="0" borderId="0" xfId="0" applyFont="1" applyBorder="1" applyAlignment="1"/>
    <xf numFmtId="0" fontId="47" fillId="0" borderId="0" xfId="0" applyFont="1"/>
    <xf numFmtId="166" fontId="19" fillId="0" borderId="0" xfId="0" applyNumberFormat="1" applyFont="1"/>
    <xf numFmtId="0" fontId="19" fillId="0" borderId="0" xfId="0" applyFont="1" applyFill="1" applyBorder="1"/>
    <xf numFmtId="0" fontId="19" fillId="0" borderId="0" xfId="0" applyFont="1" applyBorder="1" applyAlignment="1">
      <alignment horizontal="center" vertical="center"/>
    </xf>
    <xf numFmtId="0" fontId="54" fillId="0" borderId="0" xfId="0" quotePrefix="1" applyFont="1" applyBorder="1" applyAlignment="1">
      <alignment horizontal="center"/>
    </xf>
    <xf numFmtId="0" fontId="19" fillId="0" borderId="0" xfId="0" applyFont="1" applyBorder="1" applyAlignment="1">
      <alignment horizontal="right" readingOrder="2"/>
    </xf>
    <xf numFmtId="0" fontId="20" fillId="0" borderId="0" xfId="0" applyFont="1" applyBorder="1" applyAlignment="1"/>
    <xf numFmtId="166" fontId="20" fillId="0" borderId="0" xfId="0" applyNumberFormat="1" applyFont="1"/>
    <xf numFmtId="0" fontId="20" fillId="0" borderId="0" xfId="0" applyFont="1" applyFill="1" applyBorder="1"/>
    <xf numFmtId="0" fontId="20" fillId="0" borderId="0" xfId="0" quotePrefix="1" applyFont="1" applyBorder="1" applyAlignment="1">
      <alignment horizontal="center"/>
    </xf>
    <xf numFmtId="166" fontId="21" fillId="0" borderId="0" xfId="0" applyNumberFormat="1" applyFont="1" applyFill="1" applyBorder="1"/>
    <xf numFmtId="0" fontId="21" fillId="0" borderId="0" xfId="0" applyFont="1" applyFill="1" applyBorder="1"/>
    <xf numFmtId="166" fontId="20" fillId="0" borderId="0" xfId="0" applyNumberFormat="1" applyFont="1" applyFill="1"/>
    <xf numFmtId="0" fontId="20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Border="1" applyAlignment="1">
      <alignment horizontal="center"/>
    </xf>
    <xf numFmtId="1" fontId="49" fillId="0" borderId="7" xfId="0" applyNumberFormat="1" applyFont="1" applyFill="1" applyBorder="1" applyAlignment="1">
      <alignment horizontal="left" vertical="center"/>
    </xf>
    <xf numFmtId="0" fontId="7" fillId="2" borderId="15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0" fontId="62" fillId="0" borderId="0" xfId="0" applyFont="1" applyFill="1"/>
    <xf numFmtId="166" fontId="62" fillId="0" borderId="0" xfId="0" applyNumberFormat="1" applyFont="1" applyFill="1" applyAlignment="1">
      <alignment horizontal="centerContinuous" vertical="center"/>
    </xf>
    <xf numFmtId="166" fontId="27" fillId="0" borderId="0" xfId="0" applyNumberFormat="1" applyFont="1" applyFill="1" applyAlignment="1">
      <alignment horizontal="centerContinuous" vertical="center"/>
    </xf>
    <xf numFmtId="166" fontId="20" fillId="0" borderId="0" xfId="0" applyNumberFormat="1" applyFont="1" applyBorder="1" applyAlignment="1">
      <alignment horizontal="centerContinuous"/>
    </xf>
    <xf numFmtId="166" fontId="20" fillId="0" borderId="0" xfId="0" applyNumberFormat="1" applyFont="1" applyAlignment="1">
      <alignment horizontal="centerContinuous"/>
    </xf>
    <xf numFmtId="166" fontId="7" fillId="0" borderId="1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0" fontId="8" fillId="0" borderId="0" xfId="0" applyFont="1"/>
    <xf numFmtId="0" fontId="7" fillId="0" borderId="0" xfId="0" applyFont="1" applyBorder="1"/>
    <xf numFmtId="0" fontId="8" fillId="2" borderId="2" xfId="0" applyFont="1" applyFill="1" applyBorder="1" applyAlignment="1">
      <alignment horizontal="centerContinuous" vertical="center"/>
    </xf>
    <xf numFmtId="166" fontId="7" fillId="2" borderId="34" xfId="0" applyNumberFormat="1" applyFont="1" applyFill="1" applyBorder="1" applyAlignment="1">
      <alignment horizontal="left" vertical="center"/>
    </xf>
    <xf numFmtId="166" fontId="8" fillId="2" borderId="35" xfId="0" applyNumberFormat="1" applyFont="1" applyFill="1" applyBorder="1" applyAlignment="1">
      <alignment horizontal="center" vertical="center"/>
    </xf>
    <xf numFmtId="166" fontId="7" fillId="2" borderId="35" xfId="0" applyNumberFormat="1" applyFont="1" applyFill="1" applyBorder="1" applyAlignment="1">
      <alignment horizontal="center" vertical="center"/>
    </xf>
    <xf numFmtId="166" fontId="7" fillId="2" borderId="36" xfId="0" applyNumberFormat="1" applyFont="1" applyFill="1" applyBorder="1" applyAlignment="1">
      <alignment horizontal="right" vertical="center"/>
    </xf>
    <xf numFmtId="0" fontId="8" fillId="2" borderId="4" xfId="0" applyFont="1" applyFill="1" applyBorder="1" applyAlignment="1">
      <alignment horizontal="right" vertical="center"/>
    </xf>
    <xf numFmtId="0" fontId="8" fillId="2" borderId="43" xfId="0" applyFont="1" applyFill="1" applyBorder="1" applyAlignment="1">
      <alignment horizontal="centerContinuous"/>
    </xf>
    <xf numFmtId="166" fontId="7" fillId="2" borderId="45" xfId="0" applyNumberFormat="1" applyFont="1" applyFill="1" applyBorder="1" applyAlignment="1">
      <alignment horizontal="left" vertical="center"/>
    </xf>
    <xf numFmtId="166" fontId="8" fillId="2" borderId="44" xfId="0" applyNumberFormat="1" applyFont="1" applyFill="1" applyBorder="1" applyAlignment="1">
      <alignment horizontal="center" vertical="center"/>
    </xf>
    <xf numFmtId="166" fontId="7" fillId="2" borderId="44" xfId="0" applyNumberFormat="1" applyFont="1" applyFill="1" applyBorder="1" applyAlignment="1">
      <alignment horizontal="center" vertical="center"/>
    </xf>
    <xf numFmtId="166" fontId="7" fillId="2" borderId="44" xfId="0" applyNumberFormat="1" applyFont="1" applyFill="1" applyBorder="1" applyAlignment="1">
      <alignment horizontal="right" vertical="center"/>
    </xf>
    <xf numFmtId="166" fontId="8" fillId="2" borderId="43" xfId="0" applyNumberFormat="1" applyFont="1" applyFill="1" applyBorder="1" applyAlignment="1">
      <alignment horizontal="centerContinuous"/>
    </xf>
    <xf numFmtId="0" fontId="43" fillId="0" borderId="0" xfId="0" applyFont="1" applyFill="1"/>
    <xf numFmtId="166" fontId="43" fillId="0" borderId="0" xfId="0" applyNumberFormat="1" applyFont="1" applyFill="1"/>
    <xf numFmtId="166" fontId="8" fillId="2" borderId="43" xfId="0" applyNumberFormat="1" applyFont="1" applyFill="1" applyBorder="1" applyAlignment="1">
      <alignment horizontal="centerContinuous" vertical="center"/>
    </xf>
    <xf numFmtId="166" fontId="7" fillId="2" borderId="11" xfId="0" applyNumberFormat="1" applyFont="1" applyFill="1" applyBorder="1" applyAlignment="1">
      <alignment horizontal="center" vertical="center"/>
    </xf>
    <xf numFmtId="166" fontId="8" fillId="2" borderId="18" xfId="0" applyNumberFormat="1" applyFont="1" applyFill="1" applyBorder="1" applyAlignment="1">
      <alignment horizontal="centerContinuous" vertical="center"/>
    </xf>
    <xf numFmtId="166" fontId="7" fillId="2" borderId="19" xfId="0" applyNumberFormat="1" applyFont="1" applyFill="1" applyBorder="1" applyAlignment="1">
      <alignment horizontal="center" vertical="center"/>
    </xf>
    <xf numFmtId="0" fontId="7" fillId="2" borderId="29" xfId="0" applyFont="1" applyFill="1" applyBorder="1"/>
    <xf numFmtId="166" fontId="4" fillId="3" borderId="0" xfId="0" applyNumberFormat="1" applyFont="1" applyFill="1" applyBorder="1" applyAlignment="1">
      <alignment horizontal="centerContinuous"/>
    </xf>
    <xf numFmtId="166" fontId="3" fillId="3" borderId="0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/>
    </xf>
    <xf numFmtId="0" fontId="3" fillId="3" borderId="0" xfId="0" applyFont="1" applyFill="1" applyBorder="1"/>
    <xf numFmtId="0" fontId="8" fillId="0" borderId="0" xfId="0" applyFont="1" applyBorder="1" applyAlignment="1">
      <alignment horizontal="center"/>
    </xf>
    <xf numFmtId="166" fontId="7" fillId="2" borderId="2" xfId="0" applyNumberFormat="1" applyFont="1" applyFill="1" applyBorder="1" applyAlignment="1">
      <alignment horizontal="center"/>
    </xf>
    <xf numFmtId="166" fontId="8" fillId="2" borderId="35" xfId="0" applyNumberFormat="1" applyFont="1" applyFill="1" applyBorder="1" applyAlignment="1">
      <alignment horizontal="left" vertical="center"/>
    </xf>
    <xf numFmtId="166" fontId="8" fillId="2" borderId="35" xfId="0" applyNumberFormat="1" applyFont="1" applyFill="1" applyBorder="1" applyAlignment="1">
      <alignment horizontal="right" vertical="center"/>
    </xf>
    <xf numFmtId="0" fontId="7" fillId="2" borderId="4" xfId="0" applyFont="1" applyFill="1" applyBorder="1" applyAlignment="1">
      <alignment horizontal="right"/>
    </xf>
    <xf numFmtId="0" fontId="7" fillId="2" borderId="27" xfId="0" applyFont="1" applyFill="1" applyBorder="1"/>
    <xf numFmtId="166" fontId="7" fillId="2" borderId="37" xfId="0" applyNumberFormat="1" applyFont="1" applyFill="1" applyBorder="1" applyAlignment="1">
      <alignment horizontal="left"/>
    </xf>
    <xf numFmtId="0" fontId="7" fillId="2" borderId="8" xfId="0" applyFont="1" applyFill="1" applyBorder="1" applyAlignment="1">
      <alignment horizontal="centerContinuous"/>
    </xf>
    <xf numFmtId="0" fontId="7" fillId="2" borderId="10" xfId="0" applyFont="1" applyFill="1" applyBorder="1" applyAlignment="1">
      <alignment horizontal="centerContinuous"/>
    </xf>
    <xf numFmtId="0" fontId="7" fillId="2" borderId="37" xfId="0" quotePrefix="1" applyFont="1" applyFill="1" applyBorder="1" applyAlignment="1">
      <alignment horizontal="left"/>
    </xf>
    <xf numFmtId="166" fontId="7" fillId="2" borderId="37" xfId="0" applyNumberFormat="1" applyFont="1" applyFill="1" applyBorder="1" applyAlignment="1">
      <alignment horizontal="right"/>
    </xf>
    <xf numFmtId="166" fontId="7" fillId="2" borderId="11" xfId="0" applyNumberFormat="1" applyFont="1" applyFill="1" applyBorder="1" applyAlignment="1">
      <alignment horizontal="left"/>
    </xf>
    <xf numFmtId="166" fontId="8" fillId="2" borderId="7" xfId="0" applyNumberFormat="1" applyFont="1" applyFill="1" applyBorder="1" applyAlignment="1">
      <alignment horizontal="centerContinuous" vertical="center"/>
    </xf>
    <xf numFmtId="166" fontId="7" fillId="2" borderId="16" xfId="0" applyNumberFormat="1" applyFont="1" applyFill="1" applyBorder="1" applyAlignment="1">
      <alignment horizontal="centerContinuous"/>
    </xf>
    <xf numFmtId="166" fontId="8" fillId="2" borderId="11" xfId="0" applyNumberFormat="1" applyFont="1" applyFill="1" applyBorder="1" applyAlignment="1">
      <alignment horizontal="center"/>
    </xf>
    <xf numFmtId="166" fontId="7" fillId="2" borderId="16" xfId="0" applyNumberFormat="1" applyFont="1" applyFill="1" applyBorder="1" applyAlignment="1">
      <alignment horizontal="centerContinuous" vertical="center"/>
    </xf>
    <xf numFmtId="166" fontId="8" fillId="2" borderId="11" xfId="0" applyNumberFormat="1" applyFont="1" applyFill="1" applyBorder="1" applyAlignment="1">
      <alignment horizontal="center" vertical="center"/>
    </xf>
    <xf numFmtId="166" fontId="8" fillId="2" borderId="38" xfId="0" applyNumberFormat="1" applyFont="1" applyFill="1" applyBorder="1" applyAlignment="1">
      <alignment horizontal="centerContinuous" vertical="center"/>
    </xf>
    <xf numFmtId="166" fontId="7" fillId="2" borderId="13" xfId="0" applyNumberFormat="1" applyFont="1" applyFill="1" applyBorder="1" applyAlignment="1">
      <alignment horizontal="centerContinuous" vertical="center"/>
    </xf>
    <xf numFmtId="0" fontId="7" fillId="2" borderId="13" xfId="0" applyFont="1" applyFill="1" applyBorder="1"/>
    <xf numFmtId="166" fontId="3" fillId="3" borderId="0" xfId="0" applyNumberFormat="1" applyFont="1" applyFill="1"/>
    <xf numFmtId="0" fontId="3" fillId="3" borderId="0" xfId="0" applyFont="1" applyFill="1"/>
    <xf numFmtId="166" fontId="19" fillId="0" borderId="0" xfId="0" quotePrefix="1" applyNumberFormat="1" applyFont="1" applyAlignment="1">
      <alignment horizontal="left"/>
    </xf>
    <xf numFmtId="0" fontId="19" fillId="0" borderId="0" xfId="0" applyFont="1" applyBorder="1" applyAlignment="1">
      <alignment horizontal="right"/>
    </xf>
    <xf numFmtId="0" fontId="19" fillId="0" borderId="0" xfId="0" applyFont="1" applyBorder="1" applyAlignment="1">
      <alignment horizontal="center"/>
    </xf>
    <xf numFmtId="0" fontId="19" fillId="0" borderId="0" xfId="0" quotePrefix="1" applyFont="1" applyBorder="1" applyAlignment="1">
      <alignment horizontal="right" readingOrder="2"/>
    </xf>
    <xf numFmtId="166" fontId="20" fillId="0" borderId="0" xfId="0" quotePrefix="1" applyNumberFormat="1" applyFont="1" applyAlignment="1">
      <alignment horizontal="left"/>
    </xf>
    <xf numFmtId="0" fontId="20" fillId="0" borderId="0" xfId="0" applyFont="1" applyBorder="1" applyAlignment="1">
      <alignment horizontal="center"/>
    </xf>
    <xf numFmtId="0" fontId="20" fillId="0" borderId="0" xfId="0" quotePrefix="1" applyFont="1" applyBorder="1" applyAlignment="1">
      <alignment horizontal="right" readingOrder="2"/>
    </xf>
    <xf numFmtId="0" fontId="20" fillId="0" borderId="0" xfId="0" quotePrefix="1" applyFont="1" applyBorder="1" applyAlignment="1">
      <alignment horizontal="left"/>
    </xf>
    <xf numFmtId="166" fontId="20" fillId="0" borderId="0" xfId="0" applyNumberFormat="1" applyFont="1" applyAlignment="1">
      <alignment horizontal="center"/>
    </xf>
    <xf numFmtId="0" fontId="20" fillId="0" borderId="0" xfId="0" applyFont="1" applyBorder="1" applyAlignment="1">
      <alignment horizontal="left"/>
    </xf>
    <xf numFmtId="0" fontId="3" fillId="0" borderId="0" xfId="0" applyFont="1" applyBorder="1" applyAlignment="1">
      <alignment horizontal="right"/>
    </xf>
    <xf numFmtId="0" fontId="3" fillId="0" borderId="0" xfId="0" quotePrefix="1" applyFont="1" applyBorder="1" applyAlignment="1">
      <alignment horizontal="center"/>
    </xf>
    <xf numFmtId="166" fontId="20" fillId="0" borderId="0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2" borderId="43" xfId="0" applyFont="1" applyFill="1" applyBorder="1" applyAlignment="1">
      <alignment horizontal="center"/>
    </xf>
    <xf numFmtId="166" fontId="4" fillId="0" borderId="0" xfId="0" applyNumberFormat="1" applyFont="1" applyFill="1"/>
    <xf numFmtId="166" fontId="4" fillId="0" borderId="0" xfId="0" applyNumberFormat="1" applyFont="1"/>
    <xf numFmtId="166" fontId="62" fillId="0" borderId="0" xfId="0" applyNumberFormat="1" applyFont="1" applyFill="1"/>
    <xf numFmtId="166" fontId="27" fillId="0" borderId="0" xfId="0" applyNumberFormat="1" applyFont="1" applyFill="1"/>
    <xf numFmtId="166" fontId="64" fillId="0" borderId="0" xfId="0" applyNumberFormat="1" applyFont="1" applyFill="1"/>
    <xf numFmtId="166" fontId="7" fillId="0" borderId="0" xfId="0" applyNumberFormat="1" applyFont="1" applyAlignment="1">
      <alignment horizontal="left" vertical="center"/>
    </xf>
    <xf numFmtId="166" fontId="28" fillId="0" borderId="0" xfId="0" applyNumberFormat="1" applyFont="1" applyAlignment="1">
      <alignment horizontal="left"/>
    </xf>
    <xf numFmtId="166" fontId="28" fillId="0" borderId="0" xfId="0" applyNumberFormat="1" applyFont="1"/>
    <xf numFmtId="166" fontId="28" fillId="0" borderId="0" xfId="0" applyNumberFormat="1" applyFont="1" applyBorder="1" applyAlignment="1">
      <alignment horizontal="left"/>
    </xf>
    <xf numFmtId="166" fontId="28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right"/>
    </xf>
    <xf numFmtId="166" fontId="63" fillId="0" borderId="0" xfId="0" applyNumberFormat="1" applyFont="1" applyFill="1"/>
    <xf numFmtId="166" fontId="8" fillId="0" borderId="1" xfId="0" applyNumberFormat="1" applyFont="1" applyBorder="1"/>
    <xf numFmtId="166" fontId="8" fillId="0" borderId="0" xfId="0" applyNumberFormat="1" applyFont="1" applyBorder="1"/>
    <xf numFmtId="166" fontId="8" fillId="2" borderId="7" xfId="0" applyNumberFormat="1" applyFont="1" applyFill="1" applyBorder="1"/>
    <xf numFmtId="166" fontId="8" fillId="2" borderId="0" xfId="0" applyNumberFormat="1" applyFont="1" applyFill="1" applyBorder="1"/>
    <xf numFmtId="166" fontId="8" fillId="2" borderId="5" xfId="0" applyNumberFormat="1" applyFont="1" applyFill="1" applyBorder="1"/>
    <xf numFmtId="0" fontId="7" fillId="2" borderId="42" xfId="0" applyFont="1" applyFill="1" applyBorder="1"/>
    <xf numFmtId="166" fontId="7" fillId="2" borderId="26" xfId="0" applyNumberFormat="1" applyFont="1" applyFill="1" applyBorder="1"/>
    <xf numFmtId="166" fontId="7" fillId="2" borderId="4" xfId="0" applyNumberFormat="1" applyFont="1" applyFill="1" applyBorder="1"/>
    <xf numFmtId="166" fontId="7" fillId="2" borderId="27" xfId="0" applyNumberFormat="1" applyFont="1" applyFill="1" applyBorder="1"/>
    <xf numFmtId="166" fontId="8" fillId="2" borderId="7" xfId="0" applyNumberFormat="1" applyFont="1" applyFill="1" applyBorder="1" applyAlignment="1">
      <alignment horizontal="centerContinuous"/>
    </xf>
    <xf numFmtId="166" fontId="8" fillId="2" borderId="11" xfId="0" applyNumberFormat="1" applyFont="1" applyFill="1" applyBorder="1"/>
    <xf numFmtId="166" fontId="7" fillId="2" borderId="13" xfId="0" applyNumberFormat="1" applyFont="1" applyFill="1" applyBorder="1" applyAlignment="1">
      <alignment horizontal="left" vertical="center"/>
    </xf>
    <xf numFmtId="166" fontId="7" fillId="2" borderId="14" xfId="0" applyNumberFormat="1" applyFont="1" applyFill="1" applyBorder="1" applyAlignment="1">
      <alignment horizontal="centerContinuous" vertical="center"/>
    </xf>
    <xf numFmtId="166" fontId="7" fillId="2" borderId="15" xfId="0" applyNumberFormat="1" applyFont="1" applyFill="1" applyBorder="1" applyAlignment="1">
      <alignment horizontal="right" vertical="center"/>
    </xf>
    <xf numFmtId="166" fontId="7" fillId="2" borderId="16" xfId="0" applyNumberFormat="1" applyFont="1" applyFill="1" applyBorder="1"/>
    <xf numFmtId="166" fontId="7" fillId="2" borderId="0" xfId="0" applyNumberFormat="1" applyFont="1" applyFill="1" applyBorder="1"/>
    <xf numFmtId="166" fontId="7" fillId="2" borderId="25" xfId="0" applyNumberFormat="1" applyFont="1" applyFill="1" applyBorder="1"/>
    <xf numFmtId="166" fontId="7" fillId="2" borderId="7" xfId="0" applyNumberFormat="1" applyFont="1" applyFill="1" applyBorder="1" applyAlignment="1">
      <alignment horizontal="centerContinuous"/>
    </xf>
    <xf numFmtId="166" fontId="7" fillId="2" borderId="11" xfId="0" applyNumberFormat="1" applyFont="1" applyFill="1" applyBorder="1"/>
    <xf numFmtId="166" fontId="7" fillId="2" borderId="37" xfId="0" applyNumberFormat="1" applyFont="1" applyFill="1" applyBorder="1"/>
    <xf numFmtId="166" fontId="7" fillId="2" borderId="11" xfId="0" applyNumberFormat="1" applyFont="1" applyFill="1" applyBorder="1" applyAlignment="1">
      <alignment horizontal="centerContinuous"/>
    </xf>
    <xf numFmtId="166" fontId="16" fillId="0" borderId="0" xfId="0" applyNumberFormat="1" applyFont="1" applyFill="1"/>
    <xf numFmtId="0" fontId="7" fillId="2" borderId="7" xfId="0" applyFont="1" applyFill="1" applyBorder="1" applyAlignment="1">
      <alignment horizontal="centerContinuous"/>
    </xf>
    <xf numFmtId="166" fontId="16" fillId="0" borderId="0" xfId="0" applyNumberFormat="1" applyFont="1" applyFill="1" applyBorder="1"/>
    <xf numFmtId="166" fontId="8" fillId="2" borderId="38" xfId="0" applyNumberFormat="1" applyFont="1" applyFill="1" applyBorder="1" applyAlignment="1">
      <alignment horizontal="centerContinuous"/>
    </xf>
    <xf numFmtId="166" fontId="7" fillId="2" borderId="19" xfId="0" applyNumberFormat="1" applyFont="1" applyFill="1" applyBorder="1" applyAlignment="1">
      <alignment horizontal="centerContinuous"/>
    </xf>
    <xf numFmtId="166" fontId="7" fillId="2" borderId="19" xfId="0" applyNumberFormat="1" applyFont="1" applyFill="1" applyBorder="1" applyAlignment="1">
      <alignment horizontal="center"/>
    </xf>
    <xf numFmtId="166" fontId="8" fillId="4" borderId="7" xfId="0" applyNumberFormat="1" applyFont="1" applyFill="1" applyBorder="1" applyAlignment="1">
      <alignment horizontal="centerContinuous" vertical="center"/>
    </xf>
    <xf numFmtId="166" fontId="4" fillId="0" borderId="0" xfId="0" applyNumberFormat="1" applyFont="1" applyFill="1" applyBorder="1"/>
    <xf numFmtId="166" fontId="7" fillId="5" borderId="1" xfId="0" quotePrefix="1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Continuous"/>
    </xf>
    <xf numFmtId="166" fontId="3" fillId="3" borderId="0" xfId="0" applyNumberFormat="1" applyFont="1" applyFill="1" applyBorder="1" applyAlignment="1">
      <alignment horizontal="centerContinuous" vertical="center"/>
    </xf>
    <xf numFmtId="0" fontId="65" fillId="3" borderId="0" xfId="0" applyFont="1" applyFill="1" applyBorder="1"/>
    <xf numFmtId="166" fontId="65" fillId="3" borderId="0" xfId="0" quotePrefix="1" applyNumberFormat="1" applyFont="1" applyFill="1" applyBorder="1" applyAlignment="1">
      <alignment horizontal="center" vertical="center"/>
    </xf>
    <xf numFmtId="166" fontId="65" fillId="3" borderId="0" xfId="0" applyNumberFormat="1" applyFont="1" applyFill="1" applyBorder="1" applyAlignment="1">
      <alignment horizontal="left" vertical="center"/>
    </xf>
    <xf numFmtId="0" fontId="35" fillId="0" borderId="0" xfId="0" applyFont="1" applyAlignment="1">
      <alignment horizontal="centerContinuous"/>
    </xf>
    <xf numFmtId="0" fontId="35" fillId="0" borderId="0" xfId="0" applyFont="1" applyAlignment="1">
      <alignment horizontal="centerContinuous" vertical="center"/>
    </xf>
    <xf numFmtId="166" fontId="40" fillId="0" borderId="0" xfId="0" applyNumberFormat="1" applyFont="1" applyAlignment="1">
      <alignment horizontal="centerContinuous" vertical="center"/>
    </xf>
    <xf numFmtId="166" fontId="24" fillId="0" borderId="0" xfId="0" applyNumberFormat="1" applyFont="1" applyAlignment="1">
      <alignment horizontal="centerContinuous" vertical="center"/>
    </xf>
    <xf numFmtId="166" fontId="24" fillId="0" borderId="0" xfId="0" applyNumberFormat="1" applyFont="1" applyBorder="1" applyAlignment="1">
      <alignment horizontal="centerContinuous" vertical="center"/>
    </xf>
    <xf numFmtId="0" fontId="35" fillId="0" borderId="0" xfId="0" applyFont="1" applyBorder="1" applyAlignment="1">
      <alignment horizontal="centerContinuous"/>
    </xf>
    <xf numFmtId="166" fontId="20" fillId="0" borderId="0" xfId="0" applyNumberFormat="1" applyFont="1" applyBorder="1" applyAlignment="1">
      <alignment horizontal="left"/>
    </xf>
    <xf numFmtId="166" fontId="8" fillId="0" borderId="0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Continuous" vertical="center"/>
    </xf>
    <xf numFmtId="166" fontId="7" fillId="0" borderId="0" xfId="0" quotePrefix="1" applyNumberFormat="1" applyFont="1" applyBorder="1" applyAlignment="1">
      <alignment horizontal="center" vertical="center"/>
    </xf>
    <xf numFmtId="166" fontId="7" fillId="0" borderId="0" xfId="0" applyNumberFormat="1" applyFont="1" applyBorder="1" applyAlignment="1">
      <alignment horizontal="left" vertical="center"/>
    </xf>
    <xf numFmtId="166" fontId="8" fillId="2" borderId="2" xfId="0" applyNumberFormat="1" applyFont="1" applyFill="1" applyBorder="1"/>
    <xf numFmtId="166" fontId="8" fillId="2" borderId="26" xfId="0" applyNumberFormat="1" applyFont="1" applyFill="1" applyBorder="1"/>
    <xf numFmtId="166" fontId="8" fillId="2" borderId="42" xfId="0" applyNumberFormat="1" applyFont="1" applyFill="1" applyBorder="1"/>
    <xf numFmtId="166" fontId="7" fillId="2" borderId="5" xfId="0" applyNumberFormat="1" applyFont="1" applyFill="1" applyBorder="1" applyAlignment="1">
      <alignment horizontal="center"/>
    </xf>
    <xf numFmtId="166" fontId="7" fillId="2" borderId="26" xfId="0" applyNumberFormat="1" applyFont="1" applyFill="1" applyBorder="1" applyAlignment="1">
      <alignment horizontal="centerContinuous" vertical="center"/>
    </xf>
    <xf numFmtId="166" fontId="7" fillId="2" borderId="42" xfId="0" applyNumberFormat="1" applyFont="1" applyFill="1" applyBorder="1" applyAlignment="1">
      <alignment horizontal="centerContinuous" vertical="center"/>
    </xf>
    <xf numFmtId="0" fontId="7" fillId="2" borderId="42" xfId="0" applyFont="1" applyFill="1" applyBorder="1" applyAlignment="1">
      <alignment horizontal="centerContinuous"/>
    </xf>
    <xf numFmtId="166" fontId="8" fillId="2" borderId="16" xfId="0" applyNumberFormat="1" applyFont="1" applyFill="1" applyBorder="1"/>
    <xf numFmtId="166" fontId="8" fillId="2" borderId="17" xfId="0" applyNumberFormat="1" applyFont="1" applyFill="1" applyBorder="1"/>
    <xf numFmtId="166" fontId="7" fillId="2" borderId="11" xfId="0" applyNumberFormat="1" applyFont="1" applyFill="1" applyBorder="1" applyAlignment="1">
      <alignment horizontal="centerContinuous" vertical="center"/>
    </xf>
    <xf numFmtId="166" fontId="7" fillId="2" borderId="7" xfId="0" applyNumberFormat="1" applyFont="1" applyFill="1" applyBorder="1"/>
    <xf numFmtId="166" fontId="7" fillId="2" borderId="16" xfId="0" applyNumberFormat="1" applyFont="1" applyFill="1" applyBorder="1" applyAlignment="1">
      <alignment horizontal="right"/>
    </xf>
    <xf numFmtId="166" fontId="7" fillId="2" borderId="17" xfId="0" applyNumberFormat="1" applyFont="1" applyFill="1" applyBorder="1" applyAlignment="1">
      <alignment horizontal="left"/>
    </xf>
    <xf numFmtId="166" fontId="7" fillId="2" borderId="19" xfId="0" applyNumberFormat="1" applyFont="1" applyFill="1" applyBorder="1" applyAlignment="1">
      <alignment horizontal="centerContinuous" vertical="center"/>
    </xf>
    <xf numFmtId="166" fontId="7" fillId="2" borderId="0" xfId="0" applyNumberFormat="1" applyFont="1" applyFill="1"/>
    <xf numFmtId="166" fontId="8" fillId="2" borderId="7" xfId="0" applyNumberFormat="1" applyFont="1" applyFill="1" applyBorder="1" applyAlignment="1">
      <alignment horizontal="center"/>
    </xf>
    <xf numFmtId="166" fontId="7" fillId="2" borderId="0" xfId="0" applyNumberFormat="1" applyFont="1" applyFill="1" applyBorder="1" applyAlignment="1">
      <alignment horizontal="centerContinuous"/>
    </xf>
    <xf numFmtId="166" fontId="7" fillId="2" borderId="0" xfId="0" applyNumberFormat="1" applyFont="1" applyFill="1" applyAlignment="1">
      <alignment horizontal="centerContinuous"/>
    </xf>
    <xf numFmtId="166" fontId="7" fillId="2" borderId="25" xfId="0" applyNumberFormat="1" applyFont="1" applyFill="1" applyBorder="1" applyAlignment="1">
      <alignment horizontal="centerContinuous"/>
    </xf>
    <xf numFmtId="166" fontId="8" fillId="2" borderId="38" xfId="0" applyNumberFormat="1" applyFont="1" applyFill="1" applyBorder="1" applyAlignment="1">
      <alignment horizontal="center"/>
    </xf>
    <xf numFmtId="166" fontId="4" fillId="0" borderId="0" xfId="0" applyNumberFormat="1" applyFont="1" applyFill="1" applyAlignment="1">
      <alignment vertical="center"/>
    </xf>
    <xf numFmtId="166" fontId="7" fillId="5" borderId="0" xfId="0" applyNumberFormat="1" applyFont="1" applyFill="1" applyAlignment="1">
      <alignment horizontal="center" vertical="center"/>
    </xf>
    <xf numFmtId="166" fontId="7" fillId="5" borderId="0" xfId="0" quotePrefix="1" applyNumberFormat="1" applyFont="1" applyFill="1" applyBorder="1" applyAlignment="1">
      <alignment horizontal="center" vertical="center"/>
    </xf>
    <xf numFmtId="166" fontId="4" fillId="3" borderId="0" xfId="0" applyNumberFormat="1" applyFont="1" applyFill="1" applyBorder="1" applyAlignment="1">
      <alignment vertical="center"/>
    </xf>
    <xf numFmtId="166" fontId="4" fillId="0" borderId="7" xfId="0" applyNumberFormat="1" applyFont="1" applyFill="1" applyBorder="1" applyAlignment="1">
      <alignment vertical="center"/>
    </xf>
    <xf numFmtId="0" fontId="19" fillId="0" borderId="0" xfId="0" quotePrefix="1" applyFont="1" applyBorder="1" applyAlignment="1">
      <alignment horizontal="left" vertical="center" readingOrder="1"/>
    </xf>
    <xf numFmtId="166" fontId="47" fillId="0" borderId="0" xfId="0" applyNumberFormat="1" applyFont="1" applyAlignment="1">
      <alignment vertical="center"/>
    </xf>
    <xf numFmtId="0" fontId="19" fillId="0" borderId="0" xfId="0" applyFont="1" applyBorder="1" applyAlignment="1">
      <alignment horizontal="right" vertical="center"/>
    </xf>
    <xf numFmtId="166" fontId="48" fillId="0" borderId="0" xfId="0" applyNumberFormat="1" applyFont="1" applyFill="1" applyAlignment="1">
      <alignment vertical="center"/>
    </xf>
    <xf numFmtId="0" fontId="20" fillId="0" borderId="0" xfId="0" quotePrefix="1" applyFont="1" applyBorder="1" applyAlignment="1">
      <alignment horizontal="left" vertical="center" readingOrder="1"/>
    </xf>
    <xf numFmtId="166" fontId="28" fillId="0" borderId="0" xfId="0" applyNumberFormat="1" applyFont="1" applyAlignment="1">
      <alignment vertical="center"/>
    </xf>
    <xf numFmtId="0" fontId="21" fillId="0" borderId="0" xfId="0" applyFont="1" applyFill="1" applyAlignment="1">
      <alignment vertical="center"/>
    </xf>
    <xf numFmtId="166" fontId="48" fillId="0" borderId="0" xfId="0" applyNumberFormat="1" applyFont="1" applyFill="1"/>
    <xf numFmtId="0" fontId="19" fillId="0" borderId="0" xfId="0" quotePrefix="1" applyFont="1" applyBorder="1" applyAlignment="1">
      <alignment horizontal="center"/>
    </xf>
    <xf numFmtId="0" fontId="20" fillId="0" borderId="0" xfId="0" quotePrefix="1" applyFont="1" applyBorder="1" applyAlignment="1">
      <alignment horizontal="left" readingOrder="1"/>
    </xf>
    <xf numFmtId="0" fontId="20" fillId="0" borderId="0" xfId="0" quotePrefix="1" applyFont="1" applyBorder="1" applyAlignment="1">
      <alignment horizontal="right" vertical="center" readingOrder="2"/>
    </xf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166" fontId="20" fillId="0" borderId="0" xfId="0" applyNumberFormat="1" applyFont="1" applyBorder="1"/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0" fontId="33" fillId="0" borderId="0" xfId="0" applyFont="1"/>
    <xf numFmtId="166" fontId="7" fillId="0" borderId="0" xfId="0" applyNumberFormat="1" applyFont="1" applyBorder="1" applyAlignment="1">
      <alignment horizontal="center"/>
    </xf>
    <xf numFmtId="166" fontId="7" fillId="0" borderId="0" xfId="0" applyNumberFormat="1" applyFont="1" applyBorder="1"/>
    <xf numFmtId="0" fontId="8" fillId="2" borderId="46" xfId="0" applyFont="1" applyFill="1" applyBorder="1" applyAlignment="1">
      <alignment horizontal="center"/>
    </xf>
    <xf numFmtId="166" fontId="7" fillId="2" borderId="5" xfId="0" applyNumberFormat="1" applyFont="1" applyFill="1" applyBorder="1"/>
    <xf numFmtId="0" fontId="3" fillId="0" borderId="27" xfId="0" applyFont="1" applyBorder="1"/>
    <xf numFmtId="0" fontId="4" fillId="0" borderId="25" xfId="0" applyFont="1" applyBorder="1"/>
    <xf numFmtId="0" fontId="7" fillId="2" borderId="11" xfId="0" applyFont="1" applyFill="1" applyBorder="1" applyAlignment="1">
      <alignment horizontal="center"/>
    </xf>
    <xf numFmtId="0" fontId="7" fillId="2" borderId="47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Continuous"/>
    </xf>
    <xf numFmtId="0" fontId="16" fillId="0" borderId="25" xfId="0" applyFont="1" applyBorder="1"/>
    <xf numFmtId="168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right"/>
    </xf>
    <xf numFmtId="0" fontId="28" fillId="0" borderId="0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168" fontId="8" fillId="0" borderId="0" xfId="0" applyNumberFormat="1" applyFont="1" applyBorder="1" applyAlignment="1">
      <alignment horizontal="center" vertical="center"/>
    </xf>
    <xf numFmtId="166" fontId="7" fillId="0" borderId="0" xfId="0" applyNumberFormat="1" applyFont="1" applyBorder="1" applyAlignment="1">
      <alignment horizontal="centerContinuous" vertical="center"/>
    </xf>
    <xf numFmtId="0" fontId="8" fillId="0" borderId="0" xfId="0" applyFont="1" applyBorder="1" applyAlignment="1">
      <alignment horizontal="right"/>
    </xf>
    <xf numFmtId="0" fontId="7" fillId="2" borderId="26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left"/>
    </xf>
    <xf numFmtId="0" fontId="7" fillId="2" borderId="27" xfId="0" applyFont="1" applyFill="1" applyBorder="1" applyAlignment="1">
      <alignment horizontal="right"/>
    </xf>
    <xf numFmtId="0" fontId="8" fillId="2" borderId="7" xfId="0" applyFont="1" applyFill="1" applyBorder="1"/>
    <xf numFmtId="0" fontId="7" fillId="2" borderId="14" xfId="0" applyFont="1" applyFill="1" applyBorder="1" applyAlignment="1">
      <alignment horizontal="left" vertical="center"/>
    </xf>
    <xf numFmtId="0" fontId="7" fillId="2" borderId="14" xfId="0" applyFont="1" applyFill="1" applyBorder="1" applyAlignment="1">
      <alignment horizontal="right" vertical="center"/>
    </xf>
    <xf numFmtId="0" fontId="7" fillId="2" borderId="16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right"/>
    </xf>
    <xf numFmtId="0" fontId="7" fillId="2" borderId="25" xfId="0" applyFont="1" applyFill="1" applyBorder="1" applyAlignment="1">
      <alignment horizontal="right"/>
    </xf>
    <xf numFmtId="0" fontId="4" fillId="0" borderId="0" xfId="0" applyFont="1" applyFill="1" applyAlignment="1">
      <alignment horizontal="left" vertical="center"/>
    </xf>
    <xf numFmtId="0" fontId="7" fillId="2" borderId="16" xfId="0" applyFont="1" applyFill="1" applyBorder="1"/>
    <xf numFmtId="0" fontId="8" fillId="2" borderId="7" xfId="0" applyFont="1" applyFill="1" applyBorder="1" applyAlignment="1">
      <alignment horizontal="center"/>
    </xf>
    <xf numFmtId="0" fontId="7" fillId="2" borderId="16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43" fillId="0" borderId="25" xfId="0" applyFont="1" applyBorder="1"/>
    <xf numFmtId="0" fontId="3" fillId="0" borderId="25" xfId="0" applyFont="1" applyFill="1" applyBorder="1"/>
    <xf numFmtId="0" fontId="3" fillId="4" borderId="25" xfId="0" applyFont="1" applyFill="1" applyBorder="1"/>
    <xf numFmtId="0" fontId="3" fillId="4" borderId="0" xfId="0" applyFont="1" applyFill="1" applyBorder="1"/>
    <xf numFmtId="166" fontId="20" fillId="0" borderId="0" xfId="0" applyNumberFormat="1" applyFont="1" applyBorder="1" applyAlignment="1">
      <alignment vertical="center"/>
    </xf>
    <xf numFmtId="0" fontId="21" fillId="0" borderId="0" xfId="0" applyFont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8" fillId="0" borderId="0" xfId="0" quotePrefix="1" applyFont="1" applyBorder="1" applyAlignment="1">
      <alignment horizontal="centerContinuous" vertical="center"/>
    </xf>
    <xf numFmtId="0" fontId="8" fillId="0" borderId="0" xfId="0" applyFont="1" applyAlignment="1">
      <alignment horizontal="centerContinuous" vertical="center"/>
    </xf>
    <xf numFmtId="0" fontId="7" fillId="0" borderId="0" xfId="0" applyFont="1" applyAlignment="1">
      <alignment horizontal="centerContinuous" vertical="center"/>
    </xf>
    <xf numFmtId="0" fontId="7" fillId="0" borderId="0" xfId="0" quotePrefix="1" applyFont="1" applyAlignment="1">
      <alignment horizontal="centerContinuous" vertical="center"/>
    </xf>
    <xf numFmtId="0" fontId="8" fillId="0" borderId="0" xfId="0" quotePrefix="1" applyFont="1" applyAlignment="1">
      <alignment horizontal="centerContinuous" vertical="center"/>
    </xf>
    <xf numFmtId="0" fontId="8" fillId="0" borderId="0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7" fillId="0" borderId="0" xfId="0" applyFont="1" applyBorder="1" applyAlignment="1">
      <alignment horizontal="centerContinuous"/>
    </xf>
    <xf numFmtId="0" fontId="8" fillId="0" borderId="0" xfId="0" applyFont="1" applyBorder="1" applyAlignment="1">
      <alignment horizontal="centerContinuous"/>
    </xf>
    <xf numFmtId="0" fontId="8" fillId="0" borderId="1" xfId="0" applyFont="1" applyBorder="1" applyAlignment="1">
      <alignment horizontal="center"/>
    </xf>
    <xf numFmtId="0" fontId="8" fillId="2" borderId="11" xfId="0" applyFont="1" applyFill="1" applyBorder="1"/>
    <xf numFmtId="0" fontId="7" fillId="2" borderId="7" xfId="0" applyFont="1" applyFill="1" applyBorder="1"/>
    <xf numFmtId="0" fontId="8" fillId="2" borderId="7" xfId="0" applyFont="1" applyFill="1" applyBorder="1" applyAlignment="1">
      <alignment horizontal="centerContinuous"/>
    </xf>
    <xf numFmtId="0" fontId="8" fillId="2" borderId="38" xfId="0" applyFont="1" applyFill="1" applyBorder="1" applyAlignment="1">
      <alignment horizontal="centerContinuous"/>
    </xf>
    <xf numFmtId="0" fontId="8" fillId="2" borderId="14" xfId="0" applyFont="1" applyFill="1" applyBorder="1" applyAlignment="1">
      <alignment horizontal="centerContinuous"/>
    </xf>
    <xf numFmtId="0" fontId="7" fillId="2" borderId="19" xfId="0" applyFont="1" applyFill="1" applyBorder="1" applyAlignment="1">
      <alignment horizontal="centerContinuous"/>
    </xf>
    <xf numFmtId="0" fontId="7" fillId="2" borderId="29" xfId="0" applyFont="1" applyFill="1" applyBorder="1" applyAlignment="1">
      <alignment horizontal="center"/>
    </xf>
    <xf numFmtId="166" fontId="7" fillId="5" borderId="10" xfId="0" applyNumberFormat="1" applyFont="1" applyFill="1" applyBorder="1" applyAlignment="1">
      <alignment horizontal="center" vertical="center"/>
    </xf>
    <xf numFmtId="166" fontId="8" fillId="4" borderId="0" xfId="0" applyNumberFormat="1" applyFont="1" applyFill="1" applyBorder="1" applyAlignment="1">
      <alignment horizontal="centerContinuous" vertical="center"/>
    </xf>
    <xf numFmtId="0" fontId="7" fillId="4" borderId="0" xfId="0" applyFont="1" applyFill="1" applyBorder="1" applyAlignment="1">
      <alignment horizontal="center" vertical="center"/>
    </xf>
    <xf numFmtId="168" fontId="8" fillId="5" borderId="21" xfId="0" applyNumberFormat="1" applyFont="1" applyFill="1" applyBorder="1" applyAlignment="1">
      <alignment horizontal="centerContinuous" vertical="center"/>
    </xf>
    <xf numFmtId="168" fontId="8" fillId="5" borderId="1" xfId="0" applyNumberFormat="1" applyFont="1" applyFill="1" applyBorder="1" applyAlignment="1">
      <alignment horizontal="centerContinuous" vertical="center"/>
    </xf>
    <xf numFmtId="168" fontId="7" fillId="5" borderId="1" xfId="0" applyNumberFormat="1" applyFont="1" applyFill="1" applyBorder="1" applyAlignment="1">
      <alignment horizontal="centerContinuous" vertical="center"/>
    </xf>
    <xf numFmtId="168" fontId="7" fillId="5" borderId="23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vertical="center"/>
    </xf>
    <xf numFmtId="168" fontId="4" fillId="0" borderId="0" xfId="0" applyNumberFormat="1" applyFont="1" applyFill="1" applyBorder="1" applyAlignment="1">
      <alignment horizontal="centerContinuous" vertical="center"/>
    </xf>
    <xf numFmtId="168" fontId="3" fillId="0" borderId="0" xfId="0" applyNumberFormat="1" applyFont="1" applyFill="1" applyBorder="1" applyAlignment="1">
      <alignment horizontal="centerContinuous" vertical="center"/>
    </xf>
    <xf numFmtId="168" fontId="3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right"/>
    </xf>
    <xf numFmtId="0" fontId="7" fillId="0" borderId="0" xfId="0" applyFont="1" applyAlignment="1">
      <alignment horizontal="left"/>
    </xf>
    <xf numFmtId="168" fontId="7" fillId="0" borderId="0" xfId="0" applyNumberFormat="1" applyFont="1" applyBorder="1" applyAlignment="1">
      <alignment horizontal="center" vertical="center"/>
    </xf>
    <xf numFmtId="0" fontId="8" fillId="2" borderId="50" xfId="0" applyFont="1" applyFill="1" applyBorder="1"/>
    <xf numFmtId="0" fontId="7" fillId="2" borderId="51" xfId="0" applyFont="1" applyFill="1" applyBorder="1"/>
    <xf numFmtId="0" fontId="7" fillId="2" borderId="51" xfId="0" applyFont="1" applyFill="1" applyBorder="1" applyAlignment="1">
      <alignment horizontal="center"/>
    </xf>
    <xf numFmtId="168" fontId="7" fillId="2" borderId="51" xfId="0" applyNumberFormat="1" applyFont="1" applyFill="1" applyBorder="1" applyAlignment="1">
      <alignment horizontal="center" vertical="center"/>
    </xf>
    <xf numFmtId="0" fontId="8" fillId="2" borderId="52" xfId="0" applyFont="1" applyFill="1" applyBorder="1" applyAlignment="1">
      <alignment horizontal="center"/>
    </xf>
    <xf numFmtId="0" fontId="8" fillId="2" borderId="54" xfId="0" applyFont="1" applyFill="1" applyBorder="1" applyAlignment="1">
      <alignment horizontal="center"/>
    </xf>
    <xf numFmtId="0" fontId="8" fillId="2" borderId="55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17" xfId="0" applyFont="1" applyFill="1" applyBorder="1" applyAlignment="1">
      <alignment horizontal="center"/>
    </xf>
    <xf numFmtId="0" fontId="8" fillId="2" borderId="56" xfId="0" applyFont="1" applyFill="1" applyBorder="1" applyAlignment="1">
      <alignment horizontal="center"/>
    </xf>
    <xf numFmtId="0" fontId="60" fillId="4" borderId="0" xfId="0" applyFont="1" applyFill="1" applyBorder="1" applyAlignment="1">
      <alignment horizontal="right" vertical="center"/>
    </xf>
    <xf numFmtId="0" fontId="60" fillId="4" borderId="25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/>
    </xf>
    <xf numFmtId="0" fontId="7" fillId="4" borderId="25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right"/>
    </xf>
    <xf numFmtId="0" fontId="4" fillId="0" borderId="0" xfId="0" applyFont="1" applyFill="1" applyAlignment="1">
      <alignment horizontal="right"/>
    </xf>
    <xf numFmtId="0" fontId="68" fillId="0" borderId="0" xfId="0" applyFont="1" applyFill="1" applyBorder="1"/>
    <xf numFmtId="0" fontId="68" fillId="0" borderId="0" xfId="0" applyFont="1" applyFill="1"/>
    <xf numFmtId="0" fontId="33" fillId="0" borderId="0" xfId="0" applyFont="1" applyFill="1" applyBorder="1" applyAlignment="1">
      <alignment vertical="center"/>
    </xf>
    <xf numFmtId="166" fontId="32" fillId="0" borderId="0" xfId="0" applyNumberFormat="1" applyFont="1" applyFill="1" applyAlignment="1">
      <alignment horizontal="left" vertical="center"/>
    </xf>
    <xf numFmtId="166" fontId="30" fillId="0" borderId="0" xfId="0" applyNumberFormat="1" applyFont="1" applyFill="1" applyAlignment="1">
      <alignment horizontal="left" vertical="center"/>
    </xf>
    <xf numFmtId="166" fontId="20" fillId="0" borderId="0" xfId="0" applyNumberFormat="1" applyFont="1" applyFill="1" applyAlignment="1">
      <alignment horizontal="left" vertical="center"/>
    </xf>
    <xf numFmtId="166" fontId="20" fillId="0" borderId="0" xfId="0" applyNumberFormat="1" applyFont="1" applyFill="1" applyAlignment="1">
      <alignment horizontal="centerContinuous" vertical="center"/>
    </xf>
    <xf numFmtId="0" fontId="20" fillId="0" borderId="0" xfId="0" applyFont="1" applyFill="1" applyAlignment="1">
      <alignment horizontal="right" vertical="center"/>
    </xf>
    <xf numFmtId="0" fontId="7" fillId="0" borderId="0" xfId="0" applyFont="1" applyFill="1" applyAlignment="1">
      <alignment horizontal="right" vertical="center"/>
    </xf>
    <xf numFmtId="0" fontId="33" fillId="0" borderId="0" xfId="0" applyFont="1" applyFill="1" applyAlignment="1">
      <alignment vertical="center"/>
    </xf>
    <xf numFmtId="166" fontId="30" fillId="0" borderId="0" xfId="0" applyNumberFormat="1" applyFont="1" applyFill="1" applyBorder="1" applyAlignment="1">
      <alignment horizontal="left" vertical="center"/>
    </xf>
    <xf numFmtId="166" fontId="20" fillId="0" borderId="0" xfId="0" applyNumberFormat="1" applyFont="1" applyFill="1" applyBorder="1" applyAlignment="1">
      <alignment horizontal="centerContinuous" vertical="center"/>
    </xf>
    <xf numFmtId="0" fontId="28" fillId="0" borderId="0" xfId="0" applyFont="1" applyFill="1" applyAlignment="1">
      <alignment horizontal="right" vertical="center"/>
    </xf>
    <xf numFmtId="0" fontId="66" fillId="0" borderId="0" xfId="0" applyFont="1" applyFill="1" applyBorder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68" fillId="0" borderId="0" xfId="0" applyFont="1" applyFill="1" applyBorder="1" applyAlignment="1">
      <alignment vertical="center"/>
    </xf>
    <xf numFmtId="0" fontId="68" fillId="0" borderId="0" xfId="0" applyFont="1" applyFill="1" applyAlignment="1">
      <alignment vertical="center"/>
    </xf>
    <xf numFmtId="166" fontId="7" fillId="0" borderId="7" xfId="0" applyNumberFormat="1" applyFont="1" applyFill="1" applyBorder="1" applyAlignment="1">
      <alignment horizontal="left"/>
    </xf>
    <xf numFmtId="166" fontId="7" fillId="0" borderId="0" xfId="0" applyNumberFormat="1" applyFont="1" applyFill="1" applyBorder="1" applyAlignment="1">
      <alignment horizontal="left"/>
    </xf>
    <xf numFmtId="166" fontId="7" fillId="0" borderId="0" xfId="0" applyNumberFormat="1" applyFont="1" applyFill="1" applyAlignment="1">
      <alignment horizontal="left"/>
    </xf>
    <xf numFmtId="166" fontId="7" fillId="0" borderId="0" xfId="0" applyNumberFormat="1" applyFont="1" applyFill="1"/>
    <xf numFmtId="166" fontId="7" fillId="0" borderId="0" xfId="0" applyNumberFormat="1" applyFont="1" applyFill="1" applyBorder="1"/>
    <xf numFmtId="166" fontId="7" fillId="0" borderId="17" xfId="0" applyNumberFormat="1" applyFont="1" applyFill="1" applyBorder="1"/>
    <xf numFmtId="0" fontId="8" fillId="0" borderId="16" xfId="0" applyFont="1" applyFill="1" applyBorder="1" applyAlignment="1"/>
    <xf numFmtId="0" fontId="7" fillId="0" borderId="0" xfId="0" applyFont="1" applyFill="1" applyAlignment="1">
      <alignment horizontal="right"/>
    </xf>
    <xf numFmtId="0" fontId="7" fillId="0" borderId="0" xfId="0" applyFont="1" applyFill="1"/>
    <xf numFmtId="0" fontId="7" fillId="0" borderId="25" xfId="0" applyFont="1" applyFill="1" applyBorder="1"/>
    <xf numFmtId="3" fontId="34" fillId="5" borderId="7" xfId="0" applyNumberFormat="1" applyFont="1" applyFill="1" applyBorder="1" applyAlignment="1">
      <alignment horizontal="left" vertical="center"/>
    </xf>
    <xf numFmtId="3" fontId="34" fillId="5" borderId="0" xfId="0" applyNumberFormat="1" applyFont="1" applyFill="1" applyBorder="1" applyAlignment="1">
      <alignment horizontal="left" vertical="center"/>
    </xf>
    <xf numFmtId="3" fontId="32" fillId="5" borderId="0" xfId="0" applyNumberFormat="1" applyFont="1" applyFill="1" applyBorder="1" applyAlignment="1">
      <alignment horizontal="left" vertical="center"/>
    </xf>
    <xf numFmtId="3" fontId="32" fillId="5" borderId="0" xfId="0" applyNumberFormat="1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right" vertical="center"/>
    </xf>
    <xf numFmtId="166" fontId="7" fillId="5" borderId="17" xfId="0" applyNumberFormat="1" applyFont="1" applyFill="1" applyBorder="1" applyAlignment="1">
      <alignment horizontal="right" vertical="center"/>
    </xf>
    <xf numFmtId="0" fontId="7" fillId="5" borderId="16" xfId="0" applyFont="1" applyFill="1" applyBorder="1" applyAlignment="1">
      <alignment horizontal="left" vertical="center"/>
    </xf>
    <xf numFmtId="0" fontId="8" fillId="5" borderId="0" xfId="0" applyFont="1" applyFill="1" applyBorder="1" applyAlignment="1">
      <alignment horizontal="right" vertical="center"/>
    </xf>
    <xf numFmtId="0" fontId="8" fillId="5" borderId="25" xfId="0" applyFont="1" applyFill="1" applyBorder="1" applyAlignment="1">
      <alignment vertical="center"/>
    </xf>
    <xf numFmtId="0" fontId="69" fillId="0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/>
    </xf>
    <xf numFmtId="3" fontId="8" fillId="0" borderId="7" xfId="0" applyNumberFormat="1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166" fontId="8" fillId="0" borderId="0" xfId="0" applyNumberFormat="1" applyFont="1" applyFill="1" applyAlignment="1">
      <alignment horizontal="right" vertical="center"/>
    </xf>
    <xf numFmtId="166" fontId="8" fillId="0" borderId="0" xfId="0" applyNumberFormat="1" applyFont="1" applyFill="1" applyBorder="1" applyAlignment="1">
      <alignment horizontal="right" vertical="center"/>
    </xf>
    <xf numFmtId="166" fontId="8" fillId="0" borderId="17" xfId="0" applyNumberFormat="1" applyFont="1" applyFill="1" applyBorder="1" applyAlignment="1">
      <alignment horizontal="right" vertical="center"/>
    </xf>
    <xf numFmtId="0" fontId="7" fillId="0" borderId="16" xfId="0" applyFont="1" applyFill="1" applyBorder="1" applyAlignment="1">
      <alignment horizontal="left" vertical="center"/>
    </xf>
    <xf numFmtId="0" fontId="7" fillId="0" borderId="0" xfId="0" applyFont="1" applyFill="1" applyAlignment="1">
      <alignment vertical="center"/>
    </xf>
    <xf numFmtId="0" fontId="8" fillId="0" borderId="25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3" fontId="32" fillId="0" borderId="7" xfId="0" applyNumberFormat="1" applyFont="1" applyFill="1" applyBorder="1" applyAlignment="1">
      <alignment horizontal="left" vertical="center"/>
    </xf>
    <xf numFmtId="3" fontId="32" fillId="0" borderId="0" xfId="0" applyNumberFormat="1" applyFont="1" applyFill="1" applyBorder="1" applyAlignment="1">
      <alignment horizontal="left" vertical="center"/>
    </xf>
    <xf numFmtId="3" fontId="32" fillId="0" borderId="0" xfId="0" quotePrefix="1" applyNumberFormat="1" applyFont="1" applyFill="1" applyBorder="1" applyAlignment="1">
      <alignment horizontal="left" vertical="center"/>
    </xf>
    <xf numFmtId="3" fontId="32" fillId="0" borderId="0" xfId="0" applyNumberFormat="1" applyFont="1" applyFill="1" applyBorder="1" applyAlignment="1">
      <alignment horizontal="center" vertical="center"/>
    </xf>
    <xf numFmtId="166" fontId="7" fillId="0" borderId="17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right" vertical="center"/>
    </xf>
    <xf numFmtId="0" fontId="7" fillId="0" borderId="0" xfId="0" quotePrefix="1" applyFont="1" applyFill="1" applyBorder="1" applyAlignment="1">
      <alignment horizontal="right" vertical="center" readingOrder="2"/>
    </xf>
    <xf numFmtId="166" fontId="32" fillId="0" borderId="7" xfId="0" applyNumberFormat="1" applyFont="1" applyFill="1" applyBorder="1" applyAlignment="1">
      <alignment horizontal="left" vertical="center"/>
    </xf>
    <xf numFmtId="166" fontId="32" fillId="0" borderId="0" xfId="0" applyNumberFormat="1" applyFont="1" applyFill="1" applyBorder="1" applyAlignment="1">
      <alignment horizontal="left" vertical="center"/>
    </xf>
    <xf numFmtId="166" fontId="32" fillId="0" borderId="0" xfId="0" quotePrefix="1" applyNumberFormat="1" applyFont="1" applyFill="1" applyAlignment="1">
      <alignment horizontal="left" vertical="center"/>
    </xf>
    <xf numFmtId="166" fontId="32" fillId="0" borderId="0" xfId="0" applyNumberFormat="1" applyFont="1" applyFill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3" fontId="32" fillId="0" borderId="2" xfId="0" applyNumberFormat="1" applyFont="1" applyFill="1" applyBorder="1" applyAlignment="1">
      <alignment horizontal="left" vertical="center"/>
    </xf>
    <xf numFmtId="3" fontId="32" fillId="0" borderId="4" xfId="0" applyNumberFormat="1" applyFont="1" applyFill="1" applyBorder="1" applyAlignment="1">
      <alignment horizontal="left" vertical="center"/>
    </xf>
    <xf numFmtId="3" fontId="32" fillId="0" borderId="4" xfId="0" quotePrefix="1" applyNumberFormat="1" applyFont="1" applyFill="1" applyBorder="1" applyAlignment="1">
      <alignment horizontal="left" vertical="center"/>
    </xf>
    <xf numFmtId="3" fontId="34" fillId="0" borderId="4" xfId="0" applyNumberFormat="1" applyFont="1" applyFill="1" applyBorder="1" applyAlignment="1">
      <alignment horizontal="left" vertical="center"/>
    </xf>
    <xf numFmtId="3" fontId="32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vertical="center"/>
    </xf>
    <xf numFmtId="166" fontId="7" fillId="0" borderId="42" xfId="0" applyNumberFormat="1" applyFont="1" applyFill="1" applyBorder="1" applyAlignment="1">
      <alignment horizontal="center" vertical="center"/>
    </xf>
    <xf numFmtId="166" fontId="7" fillId="0" borderId="4" xfId="0" applyNumberFormat="1" applyFont="1" applyFill="1" applyBorder="1" applyAlignment="1">
      <alignment horizontal="right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right" vertical="center"/>
    </xf>
    <xf numFmtId="0" fontId="7" fillId="0" borderId="4" xfId="0" quotePrefix="1" applyFont="1" applyFill="1" applyBorder="1" applyAlignment="1">
      <alignment horizontal="right" vertical="center" readingOrder="2"/>
    </xf>
    <xf numFmtId="0" fontId="7" fillId="0" borderId="27" xfId="0" applyFont="1" applyFill="1" applyBorder="1" applyAlignment="1">
      <alignment vertical="center"/>
    </xf>
    <xf numFmtId="3" fontId="34" fillId="5" borderId="21" xfId="0" applyNumberFormat="1" applyFont="1" applyFill="1" applyBorder="1" applyAlignment="1">
      <alignment horizontal="left" vertical="center"/>
    </xf>
    <xf numFmtId="3" fontId="34" fillId="5" borderId="1" xfId="0" applyNumberFormat="1" applyFont="1" applyFill="1" applyBorder="1" applyAlignment="1">
      <alignment horizontal="left" vertical="center"/>
    </xf>
    <xf numFmtId="3" fontId="32" fillId="5" borderId="1" xfId="0" applyNumberFormat="1" applyFont="1" applyFill="1" applyBorder="1" applyAlignment="1">
      <alignment horizontal="left" vertical="center"/>
    </xf>
    <xf numFmtId="3" fontId="34" fillId="5" borderId="1" xfId="0" applyNumberFormat="1" applyFont="1" applyFill="1" applyBorder="1" applyAlignment="1">
      <alignment horizontal="center" vertical="center"/>
    </xf>
    <xf numFmtId="166" fontId="7" fillId="5" borderId="1" xfId="0" applyNumberFormat="1" applyFont="1" applyFill="1" applyBorder="1" applyAlignment="1">
      <alignment horizontal="right" vertical="center"/>
    </xf>
    <xf numFmtId="0" fontId="7" fillId="5" borderId="22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horizontal="right" vertical="center"/>
    </xf>
    <xf numFmtId="0" fontId="7" fillId="0" borderId="0" xfId="0" quotePrefix="1" applyFont="1" applyFill="1" applyAlignment="1">
      <alignment vertical="center"/>
    </xf>
    <xf numFmtId="3" fontId="32" fillId="0" borderId="61" xfId="0" applyNumberFormat="1" applyFont="1" applyFill="1" applyBorder="1" applyAlignment="1">
      <alignment horizontal="left" vertical="center"/>
    </xf>
    <xf numFmtId="3" fontId="32" fillId="0" borderId="35" xfId="0" applyNumberFormat="1" applyFont="1" applyFill="1" applyBorder="1" applyAlignment="1">
      <alignment horizontal="left" vertical="center"/>
    </xf>
    <xf numFmtId="3" fontId="32" fillId="0" borderId="35" xfId="0" quotePrefix="1" applyNumberFormat="1" applyFont="1" applyFill="1" applyBorder="1" applyAlignment="1">
      <alignment horizontal="left" vertical="center"/>
    </xf>
    <xf numFmtId="3" fontId="34" fillId="0" borderId="35" xfId="0" applyNumberFormat="1" applyFont="1" applyFill="1" applyBorder="1" applyAlignment="1">
      <alignment horizontal="left" vertical="center"/>
    </xf>
    <xf numFmtId="3" fontId="32" fillId="0" borderId="35" xfId="0" applyNumberFormat="1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vertical="center"/>
    </xf>
    <xf numFmtId="166" fontId="7" fillId="0" borderId="36" xfId="0" applyNumberFormat="1" applyFont="1" applyFill="1" applyBorder="1" applyAlignment="1">
      <alignment horizontal="center" vertical="center"/>
    </xf>
    <xf numFmtId="166" fontId="7" fillId="0" borderId="35" xfId="0" applyNumberFormat="1" applyFont="1" applyFill="1" applyBorder="1" applyAlignment="1">
      <alignment horizontal="right" vertical="center"/>
    </xf>
    <xf numFmtId="0" fontId="7" fillId="3" borderId="3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right" vertical="center"/>
    </xf>
    <xf numFmtId="0" fontId="7" fillId="3" borderId="4" xfId="0" quotePrefix="1" applyFont="1" applyFill="1" applyBorder="1" applyAlignment="1">
      <alignment horizontal="right" vertical="center" readingOrder="2"/>
    </xf>
    <xf numFmtId="0" fontId="7" fillId="3" borderId="27" xfId="0" applyFont="1" applyFill="1" applyBorder="1" applyAlignment="1">
      <alignment vertical="center"/>
    </xf>
    <xf numFmtId="0" fontId="65" fillId="0" borderId="0" xfId="0" applyFont="1" applyFill="1" applyAlignment="1">
      <alignment vertical="center"/>
    </xf>
    <xf numFmtId="3" fontId="34" fillId="5" borderId="62" xfId="0" applyNumberFormat="1" applyFont="1" applyFill="1" applyBorder="1" applyAlignment="1">
      <alignment horizontal="left" vertical="center"/>
    </xf>
    <xf numFmtId="3" fontId="34" fillId="5" borderId="63" xfId="0" applyNumberFormat="1" applyFont="1" applyFill="1" applyBorder="1" applyAlignment="1">
      <alignment horizontal="left" vertical="center"/>
    </xf>
    <xf numFmtId="3" fontId="32" fillId="5" borderId="63" xfId="0" applyNumberFormat="1" applyFont="1" applyFill="1" applyBorder="1" applyAlignment="1">
      <alignment horizontal="left" vertical="center"/>
    </xf>
    <xf numFmtId="3" fontId="32" fillId="5" borderId="63" xfId="0" applyNumberFormat="1" applyFont="1" applyFill="1" applyBorder="1" applyAlignment="1">
      <alignment horizontal="center" vertical="center"/>
    </xf>
    <xf numFmtId="0" fontId="7" fillId="5" borderId="63" xfId="0" applyFont="1" applyFill="1" applyBorder="1" applyAlignment="1">
      <alignment vertical="center"/>
    </xf>
    <xf numFmtId="166" fontId="7" fillId="5" borderId="65" xfId="0" applyNumberFormat="1" applyFont="1" applyFill="1" applyBorder="1" applyAlignment="1">
      <alignment horizontal="center" vertical="center"/>
    </xf>
    <xf numFmtId="166" fontId="7" fillId="5" borderId="63" xfId="0" applyNumberFormat="1" applyFont="1" applyFill="1" applyBorder="1" applyAlignment="1">
      <alignment horizontal="right" vertical="center"/>
    </xf>
    <xf numFmtId="0" fontId="7" fillId="5" borderId="64" xfId="0" applyFont="1" applyFill="1" applyBorder="1" applyAlignment="1">
      <alignment horizontal="left" vertical="center"/>
    </xf>
    <xf numFmtId="0" fontId="8" fillId="5" borderId="63" xfId="0" applyFont="1" applyFill="1" applyBorder="1" applyAlignment="1">
      <alignment horizontal="right" vertical="center"/>
    </xf>
    <xf numFmtId="0" fontId="7" fillId="5" borderId="63" xfId="0" applyFont="1" applyFill="1" applyBorder="1" applyAlignment="1">
      <alignment horizontal="right" vertical="center"/>
    </xf>
    <xf numFmtId="0" fontId="7" fillId="5" borderId="63" xfId="0" quotePrefix="1" applyFont="1" applyFill="1" applyBorder="1" applyAlignment="1">
      <alignment horizontal="right" vertical="center" readingOrder="2"/>
    </xf>
    <xf numFmtId="0" fontId="7" fillId="5" borderId="66" xfId="0" applyFont="1" applyFill="1" applyBorder="1" applyAlignment="1">
      <alignment vertical="center"/>
    </xf>
    <xf numFmtId="3" fontId="34" fillId="0" borderId="38" xfId="0" applyNumberFormat="1" applyFont="1" applyFill="1" applyBorder="1" applyAlignment="1">
      <alignment horizontal="left" vertical="center"/>
    </xf>
    <xf numFmtId="3" fontId="34" fillId="0" borderId="14" xfId="0" applyNumberFormat="1" applyFont="1" applyFill="1" applyBorder="1" applyAlignment="1">
      <alignment horizontal="left" vertical="center"/>
    </xf>
    <xf numFmtId="3" fontId="34" fillId="0" borderId="14" xfId="0" quotePrefix="1" applyNumberFormat="1" applyFont="1" applyFill="1" applyBorder="1" applyAlignment="1">
      <alignment horizontal="left" vertical="center"/>
    </xf>
    <xf numFmtId="3" fontId="32" fillId="0" borderId="14" xfId="0" applyNumberFormat="1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vertical="center"/>
    </xf>
    <xf numFmtId="166" fontId="8" fillId="0" borderId="14" xfId="0" applyNumberFormat="1" applyFont="1" applyFill="1" applyBorder="1" applyAlignment="1">
      <alignment horizontal="center" vertical="center"/>
    </xf>
    <xf numFmtId="166" fontId="8" fillId="0" borderId="15" xfId="0" applyNumberFormat="1" applyFont="1" applyFill="1" applyBorder="1" applyAlignment="1">
      <alignment horizontal="center" vertical="center"/>
    </xf>
    <xf numFmtId="166" fontId="8" fillId="0" borderId="14" xfId="0" applyNumberFormat="1" applyFont="1" applyFill="1" applyBorder="1" applyAlignment="1">
      <alignment horizontal="right" vertical="center"/>
    </xf>
    <xf numFmtId="0" fontId="7" fillId="0" borderId="14" xfId="0" applyFont="1" applyFill="1" applyBorder="1" applyAlignment="1">
      <alignment horizontal="right" vertical="center"/>
    </xf>
    <xf numFmtId="0" fontId="7" fillId="0" borderId="29" xfId="0" applyFont="1" applyFill="1" applyBorder="1" applyAlignment="1">
      <alignment vertical="center"/>
    </xf>
    <xf numFmtId="0" fontId="7" fillId="0" borderId="7" xfId="0" applyFont="1" applyFill="1" applyBorder="1" applyAlignment="1">
      <alignment vertical="center"/>
    </xf>
    <xf numFmtId="3" fontId="34" fillId="0" borderId="0" xfId="0" applyNumberFormat="1" applyFont="1" applyFill="1" applyBorder="1" applyAlignment="1">
      <alignment horizontal="left" vertical="center"/>
    </xf>
    <xf numFmtId="3" fontId="34" fillId="5" borderId="0" xfId="0" applyNumberFormat="1" applyFont="1" applyFill="1" applyBorder="1" applyAlignment="1">
      <alignment horizontal="center" vertical="center"/>
    </xf>
    <xf numFmtId="0" fontId="8" fillId="5" borderId="0" xfId="0" applyFont="1" applyFill="1" applyBorder="1" applyAlignment="1">
      <alignment vertical="center"/>
    </xf>
    <xf numFmtId="166" fontId="8" fillId="5" borderId="0" xfId="0" applyNumberFormat="1" applyFont="1" applyFill="1" applyBorder="1" applyAlignment="1">
      <alignment horizontal="right" vertical="center"/>
    </xf>
    <xf numFmtId="0" fontId="8" fillId="5" borderId="0" xfId="0" applyFont="1" applyFill="1" applyBorder="1" applyAlignment="1">
      <alignment horizontal="right" vertical="center" readingOrder="2"/>
    </xf>
    <xf numFmtId="3" fontId="34" fillId="5" borderId="67" xfId="0" applyNumberFormat="1" applyFont="1" applyFill="1" applyBorder="1" applyAlignment="1">
      <alignment horizontal="left" vertical="center"/>
    </xf>
    <xf numFmtId="3" fontId="34" fillId="5" borderId="39" xfId="0" applyNumberFormat="1" applyFont="1" applyFill="1" applyBorder="1" applyAlignment="1">
      <alignment horizontal="left" vertical="center"/>
    </xf>
    <xf numFmtId="3" fontId="32" fillId="5" borderId="39" xfId="0" applyNumberFormat="1" applyFont="1" applyFill="1" applyBorder="1" applyAlignment="1">
      <alignment horizontal="left" vertical="center"/>
    </xf>
    <xf numFmtId="3" fontId="32" fillId="5" borderId="39" xfId="0" applyNumberFormat="1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vertical="center"/>
    </xf>
    <xf numFmtId="166" fontId="8" fillId="5" borderId="39" xfId="0" applyNumberFormat="1" applyFont="1" applyFill="1" applyBorder="1" applyAlignment="1">
      <alignment horizontal="right" vertical="center"/>
    </xf>
    <xf numFmtId="0" fontId="7" fillId="5" borderId="68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right" vertical="center"/>
    </xf>
    <xf numFmtId="0" fontId="8" fillId="5" borderId="70" xfId="0" applyFont="1" applyFill="1" applyBorder="1" applyAlignment="1">
      <alignment vertical="center" readingOrder="2"/>
    </xf>
    <xf numFmtId="166" fontId="8" fillId="5" borderId="1" xfId="0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166" fontId="71" fillId="0" borderId="0" xfId="0" applyNumberFormat="1" applyFont="1" applyFill="1" applyBorder="1" applyAlignment="1">
      <alignment horizontal="center" vertical="center"/>
    </xf>
    <xf numFmtId="166" fontId="71" fillId="0" borderId="0" xfId="0" applyNumberFormat="1" applyFont="1" applyFill="1" applyAlignment="1">
      <alignment horizontal="left" vertical="center"/>
    </xf>
    <xf numFmtId="166" fontId="71" fillId="0" borderId="0" xfId="0" applyNumberFormat="1" applyFont="1" applyFill="1" applyAlignment="1">
      <alignment vertical="center"/>
    </xf>
    <xf numFmtId="0" fontId="19" fillId="0" borderId="0" xfId="0" applyFont="1" applyFill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166" fontId="42" fillId="0" borderId="0" xfId="0" applyNumberFormat="1" applyFont="1" applyFill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166" fontId="61" fillId="0" borderId="0" xfId="0" applyNumberFormat="1" applyFont="1" applyFill="1" applyBorder="1" applyAlignment="1">
      <alignment horizontal="left"/>
    </xf>
    <xf numFmtId="166" fontId="61" fillId="0" borderId="0" xfId="0" applyNumberFormat="1" applyFont="1" applyFill="1" applyAlignment="1">
      <alignment horizontal="left"/>
    </xf>
    <xf numFmtId="166" fontId="61" fillId="0" borderId="0" xfId="0" applyNumberFormat="1" applyFont="1" applyFill="1"/>
    <xf numFmtId="0" fontId="4" fillId="0" borderId="0" xfId="0" applyFont="1" applyBorder="1" applyAlignment="1">
      <alignment horizontal="left"/>
    </xf>
    <xf numFmtId="166" fontId="4" fillId="0" borderId="0" xfId="0" applyNumberFormat="1" applyFont="1" applyAlignment="1">
      <alignment horizontal="center"/>
    </xf>
    <xf numFmtId="0" fontId="72" fillId="0" borderId="0" xfId="0" applyFont="1"/>
    <xf numFmtId="0" fontId="66" fillId="0" borderId="0" xfId="0" applyFont="1" applyFill="1"/>
    <xf numFmtId="0" fontId="64" fillId="0" borderId="0" xfId="0" applyFont="1" applyFill="1"/>
    <xf numFmtId="0" fontId="7" fillId="0" borderId="0" xfId="0" applyFont="1" applyBorder="1" applyAlignment="1">
      <alignment horizontal="left" vertical="center"/>
    </xf>
    <xf numFmtId="0" fontId="73" fillId="0" borderId="0" xfId="0" applyFont="1" applyAlignment="1">
      <alignment horizontal="center"/>
    </xf>
    <xf numFmtId="0" fontId="73" fillId="0" borderId="0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166" fontId="7" fillId="0" borderId="1" xfId="0" applyNumberFormat="1" applyFont="1" applyBorder="1"/>
    <xf numFmtId="0" fontId="7" fillId="2" borderId="2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Continuous"/>
    </xf>
    <xf numFmtId="0" fontId="7" fillId="2" borderId="26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 vertical="center"/>
    </xf>
    <xf numFmtId="166" fontId="7" fillId="2" borderId="8" xfId="0" applyNumberFormat="1" applyFont="1" applyFill="1" applyBorder="1" applyAlignment="1">
      <alignment horizontal="centerContinuous"/>
    </xf>
    <xf numFmtId="166" fontId="7" fillId="2" borderId="9" xfId="0" applyNumberFormat="1" applyFont="1" applyFill="1" applyBorder="1" applyAlignment="1">
      <alignment horizontal="centerContinuous"/>
    </xf>
    <xf numFmtId="0" fontId="7" fillId="2" borderId="9" xfId="0" applyFont="1" applyFill="1" applyBorder="1" applyAlignment="1">
      <alignment horizontal="centerContinuous"/>
    </xf>
    <xf numFmtId="0" fontId="8" fillId="2" borderId="9" xfId="0" applyFont="1" applyFill="1" applyBorder="1"/>
    <xf numFmtId="0" fontId="7" fillId="2" borderId="9" xfId="0" applyFont="1" applyFill="1" applyBorder="1"/>
    <xf numFmtId="0" fontId="7" fillId="2" borderId="8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left"/>
    </xf>
    <xf numFmtId="0" fontId="8" fillId="2" borderId="0" xfId="0" applyFont="1" applyFill="1" applyBorder="1"/>
    <xf numFmtId="166" fontId="7" fillId="2" borderId="13" xfId="0" applyNumberFormat="1" applyFont="1" applyFill="1" applyBorder="1" applyAlignment="1">
      <alignment horizontal="centerContinuous"/>
    </xf>
    <xf numFmtId="166" fontId="7" fillId="2" borderId="14" xfId="0" applyNumberFormat="1" applyFont="1" applyFill="1" applyBorder="1" applyAlignment="1">
      <alignment horizontal="centerContinuous"/>
    </xf>
    <xf numFmtId="0" fontId="8" fillId="2" borderId="14" xfId="0" applyFont="1" applyFill="1" applyBorder="1"/>
    <xf numFmtId="0" fontId="7" fillId="2" borderId="14" xfId="0" applyFont="1" applyFill="1" applyBorder="1" applyAlignment="1">
      <alignment horizontal="right"/>
    </xf>
    <xf numFmtId="166" fontId="8" fillId="2" borderId="37" xfId="0" applyNumberFormat="1" applyFont="1" applyFill="1" applyBorder="1" applyAlignment="1">
      <alignment horizontal="center"/>
    </xf>
    <xf numFmtId="0" fontId="8" fillId="2" borderId="37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8" fillId="2" borderId="37" xfId="0" applyFont="1" applyFill="1" applyBorder="1"/>
    <xf numFmtId="0" fontId="8" fillId="2" borderId="19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 vertical="center"/>
    </xf>
    <xf numFmtId="0" fontId="8" fillId="5" borderId="23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center"/>
    </xf>
    <xf numFmtId="166" fontId="4" fillId="3" borderId="0" xfId="0" applyNumberFormat="1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28" fillId="0" borderId="0" xfId="0" applyFont="1" applyBorder="1" applyAlignment="1"/>
    <xf numFmtId="0" fontId="29" fillId="0" borderId="0" xfId="0" applyFont="1" applyBorder="1" applyAlignment="1">
      <alignment horizontal="center"/>
    </xf>
    <xf numFmtId="0" fontId="28" fillId="0" borderId="0" xfId="0" applyFont="1" applyAlignment="1">
      <alignment horizontal="right"/>
    </xf>
    <xf numFmtId="0" fontId="63" fillId="0" borderId="0" xfId="0" applyFont="1" applyFill="1"/>
    <xf numFmtId="0" fontId="8" fillId="2" borderId="4" xfId="0" applyFont="1" applyFill="1" applyBorder="1" applyAlignment="1">
      <alignment horizontal="center" vertical="center"/>
    </xf>
    <xf numFmtId="166" fontId="7" fillId="2" borderId="37" xfId="0" applyNumberFormat="1" applyFont="1" applyFill="1" applyBorder="1" applyAlignment="1">
      <alignment horizontal="centerContinuous"/>
    </xf>
    <xf numFmtId="0" fontId="7" fillId="2" borderId="37" xfId="0" applyFont="1" applyFill="1" applyBorder="1" applyAlignment="1">
      <alignment horizontal="center"/>
    </xf>
    <xf numFmtId="0" fontId="7" fillId="2" borderId="37" xfId="0" applyFont="1" applyFill="1" applyBorder="1" applyAlignment="1">
      <alignment horizontal="centerContinuous"/>
    </xf>
    <xf numFmtId="0" fontId="8" fillId="2" borderId="0" xfId="0" applyFont="1" applyFill="1" applyBorder="1" applyAlignment="1">
      <alignment horizontal="left"/>
    </xf>
    <xf numFmtId="166" fontId="7" fillId="2" borderId="17" xfId="0" applyNumberFormat="1" applyFont="1" applyFill="1" applyBorder="1" applyAlignment="1">
      <alignment horizontal="centerContinuous"/>
    </xf>
    <xf numFmtId="166" fontId="8" fillId="2" borderId="72" xfId="0" applyNumberFormat="1" applyFont="1" applyFill="1" applyBorder="1" applyAlignment="1">
      <alignment horizontal="center"/>
    </xf>
    <xf numFmtId="166" fontId="8" fillId="2" borderId="73" xfId="0" applyNumberFormat="1" applyFont="1" applyFill="1" applyBorder="1" applyAlignment="1">
      <alignment horizontal="center"/>
    </xf>
    <xf numFmtId="166" fontId="7" fillId="2" borderId="73" xfId="0" applyNumberFormat="1" applyFont="1" applyFill="1" applyBorder="1" applyAlignment="1">
      <alignment horizontal="center"/>
    </xf>
    <xf numFmtId="0" fontId="7" fillId="2" borderId="73" xfId="0" applyFont="1" applyFill="1" applyBorder="1"/>
    <xf numFmtId="0" fontId="8" fillId="2" borderId="73" xfId="0" applyFont="1" applyFill="1" applyBorder="1" applyAlignment="1">
      <alignment horizontal="center"/>
    </xf>
    <xf numFmtId="0" fontId="8" fillId="2" borderId="74" xfId="0" applyFont="1" applyFill="1" applyBorder="1"/>
    <xf numFmtId="0" fontId="8" fillId="2" borderId="75" xfId="0" applyFont="1" applyFill="1" applyBorder="1" applyAlignment="1">
      <alignment horizontal="center"/>
    </xf>
    <xf numFmtId="0" fontId="8" fillId="2" borderId="73" xfId="0" applyFont="1" applyFill="1" applyBorder="1"/>
    <xf numFmtId="0" fontId="7" fillId="2" borderId="73" xfId="0" applyFont="1" applyFill="1" applyBorder="1" applyAlignment="1">
      <alignment horizontal="center"/>
    </xf>
    <xf numFmtId="0" fontId="8" fillId="2" borderId="76" xfId="0" applyFont="1" applyFill="1" applyBorder="1" applyAlignment="1">
      <alignment horizontal="center"/>
    </xf>
    <xf numFmtId="166" fontId="7" fillId="2" borderId="77" xfId="0" applyNumberFormat="1" applyFont="1" applyFill="1" applyBorder="1" applyAlignment="1">
      <alignment horizontal="center"/>
    </xf>
    <xf numFmtId="166" fontId="7" fillId="2" borderId="78" xfId="0" applyNumberFormat="1" applyFont="1" applyFill="1" applyBorder="1" applyAlignment="1">
      <alignment horizontal="center"/>
    </xf>
    <xf numFmtId="166" fontId="8" fillId="2" borderId="78" xfId="0" applyNumberFormat="1" applyFont="1" applyFill="1" applyBorder="1" applyAlignment="1">
      <alignment horizontal="center"/>
    </xf>
    <xf numFmtId="0" fontId="8" fillId="2" borderId="78" xfId="0" applyFont="1" applyFill="1" applyBorder="1" applyAlignment="1">
      <alignment horizontal="center"/>
    </xf>
    <xf numFmtId="0" fontId="7" fillId="2" borderId="79" xfId="0" applyFont="1" applyFill="1" applyBorder="1" applyAlignment="1">
      <alignment horizontal="center"/>
    </xf>
    <xf numFmtId="0" fontId="7" fillId="2" borderId="80" xfId="0" applyFont="1" applyFill="1" applyBorder="1" applyAlignment="1">
      <alignment horizontal="center"/>
    </xf>
    <xf numFmtId="166" fontId="7" fillId="2" borderId="81" xfId="0" applyNumberFormat="1" applyFont="1" applyFill="1" applyBorder="1" applyAlignment="1">
      <alignment horizontal="center"/>
    </xf>
    <xf numFmtId="166" fontId="7" fillId="2" borderId="82" xfId="0" applyNumberFormat="1" applyFont="1" applyFill="1" applyBorder="1" applyAlignment="1">
      <alignment horizontal="center"/>
    </xf>
    <xf numFmtId="166" fontId="7" fillId="2" borderId="49" xfId="0" applyNumberFormat="1" applyFont="1" applyFill="1" applyBorder="1" applyAlignment="1">
      <alignment horizontal="center"/>
    </xf>
    <xf numFmtId="166" fontId="7" fillId="2" borderId="83" xfId="0" applyNumberFormat="1" applyFont="1" applyFill="1" applyBorder="1" applyAlignment="1">
      <alignment horizontal="center"/>
    </xf>
    <xf numFmtId="0" fontId="8" fillId="2" borderId="84" xfId="0" applyFont="1" applyFill="1" applyBorder="1" applyAlignment="1">
      <alignment horizontal="center"/>
    </xf>
    <xf numFmtId="0" fontId="4" fillId="3" borderId="0" xfId="0" applyFont="1" applyFill="1"/>
    <xf numFmtId="0" fontId="60" fillId="3" borderId="0" xfId="0" applyFont="1" applyFill="1" applyBorder="1" applyAlignment="1">
      <alignment horizontal="center" vertical="center"/>
    </xf>
    <xf numFmtId="0" fontId="19" fillId="0" borderId="0" xfId="0" quotePrefix="1" applyFont="1" applyBorder="1" applyAlignment="1"/>
    <xf numFmtId="0" fontId="19" fillId="0" borderId="0" xfId="0" applyFont="1" applyBorder="1"/>
    <xf numFmtId="0" fontId="47" fillId="0" borderId="0" xfId="0" applyFont="1" applyBorder="1" applyAlignment="1">
      <alignment horizontal="center" vertical="center"/>
    </xf>
    <xf numFmtId="0" fontId="47" fillId="0" borderId="0" xfId="0" applyFont="1" applyBorder="1" applyAlignment="1">
      <alignment horizontal="left" vertical="center"/>
    </xf>
    <xf numFmtId="166" fontId="19" fillId="0" borderId="0" xfId="0" applyNumberFormat="1" applyFont="1" applyBorder="1" applyAlignment="1">
      <alignment horizontal="left" vertical="center"/>
    </xf>
    <xf numFmtId="166" fontId="47" fillId="0" borderId="0" xfId="0" applyNumberFormat="1" applyFont="1" applyBorder="1"/>
    <xf numFmtId="166" fontId="47" fillId="0" borderId="0" xfId="0" applyNumberFormat="1" applyFont="1" applyAlignment="1">
      <alignment horizontal="center"/>
    </xf>
    <xf numFmtId="166" fontId="47" fillId="0" borderId="0" xfId="0" applyNumberFormat="1" applyFont="1"/>
    <xf numFmtId="0" fontId="7" fillId="4" borderId="0" xfId="0" applyFont="1" applyFill="1" applyBorder="1"/>
    <xf numFmtId="166" fontId="48" fillId="0" borderId="0" xfId="0" applyNumberFormat="1" applyFont="1" applyFill="1" applyBorder="1"/>
    <xf numFmtId="0" fontId="21" fillId="0" borderId="0" xfId="0" applyFont="1" applyFill="1" applyBorder="1" applyAlignment="1">
      <alignment horizontal="center"/>
    </xf>
    <xf numFmtId="166" fontId="48" fillId="0" borderId="0" xfId="0" applyNumberFormat="1" applyFont="1" applyFill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33" fillId="0" borderId="0" xfId="0" applyFont="1" applyBorder="1"/>
    <xf numFmtId="0" fontId="7" fillId="2" borderId="5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0" fontId="7" fillId="2" borderId="27" xfId="0" applyNumberFormat="1" applyFont="1" applyFill="1" applyBorder="1" applyAlignment="1">
      <alignment horizontal="center"/>
    </xf>
    <xf numFmtId="0" fontId="7" fillId="2" borderId="25" xfId="0" applyNumberFormat="1" applyFont="1" applyFill="1" applyBorder="1" applyAlignment="1">
      <alignment horizontal="center"/>
    </xf>
    <xf numFmtId="0" fontId="8" fillId="2" borderId="11" xfId="0" applyFont="1" applyFill="1" applyBorder="1" applyAlignment="1">
      <alignment horizontal="left" vertical="center"/>
    </xf>
    <xf numFmtId="0" fontId="43" fillId="0" borderId="7" xfId="0" applyFont="1" applyBorder="1"/>
    <xf numFmtId="0" fontId="8" fillId="2" borderId="11" xfId="0" applyFont="1" applyFill="1" applyBorder="1" applyAlignment="1">
      <alignment horizontal="right" vertical="center"/>
    </xf>
    <xf numFmtId="0" fontId="7" fillId="2" borderId="38" xfId="0" applyFont="1" applyFill="1" applyBorder="1" applyAlignment="1">
      <alignment horizontal="center" vertical="center"/>
    </xf>
    <xf numFmtId="1" fontId="7" fillId="4" borderId="0" xfId="0" applyNumberFormat="1" applyFont="1" applyFill="1" applyBorder="1" applyAlignment="1">
      <alignment horizontal="center" vertical="center"/>
    </xf>
    <xf numFmtId="0" fontId="7" fillId="4" borderId="25" xfId="0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horizontal="center" vertical="center"/>
    </xf>
    <xf numFmtId="1" fontId="65" fillId="0" borderId="0" xfId="0" applyNumberFormat="1" applyFont="1" applyFill="1" applyBorder="1" applyAlignment="1">
      <alignment horizontal="centerContinuous" vertical="center"/>
    </xf>
    <xf numFmtId="0" fontId="65" fillId="0" borderId="0" xfId="0" applyFont="1" applyFill="1" applyBorder="1"/>
    <xf numFmtId="0" fontId="7" fillId="2" borderId="2" xfId="0" applyFont="1" applyFill="1" applyBorder="1" applyAlignment="1">
      <alignment horizontal="centerContinuous"/>
    </xf>
    <xf numFmtId="0" fontId="7" fillId="2" borderId="4" xfId="0" applyFont="1" applyFill="1" applyBorder="1" applyAlignment="1">
      <alignment horizontal="centerContinuous"/>
    </xf>
    <xf numFmtId="0" fontId="7" fillId="2" borderId="85" xfId="0" applyFont="1" applyFill="1" applyBorder="1" applyAlignment="1">
      <alignment horizontal="centerContinuous"/>
    </xf>
    <xf numFmtId="0" fontId="7" fillId="2" borderId="86" xfId="0" applyFont="1" applyFill="1" applyBorder="1" applyAlignment="1"/>
    <xf numFmtId="0" fontId="7" fillId="2" borderId="4" xfId="0" applyFont="1" applyFill="1" applyBorder="1" applyAlignment="1"/>
    <xf numFmtId="166" fontId="7" fillId="2" borderId="86" xfId="0" applyNumberFormat="1" applyFont="1" applyFill="1" applyBorder="1" applyAlignment="1"/>
    <xf numFmtId="0" fontId="8" fillId="2" borderId="86" xfId="0" applyFont="1" applyFill="1" applyBorder="1" applyAlignment="1">
      <alignment horizontal="left"/>
    </xf>
    <xf numFmtId="0" fontId="7" fillId="2" borderId="43" xfId="0" applyFont="1" applyFill="1" applyBorder="1" applyAlignment="1">
      <alignment horizontal="centerContinuous"/>
    </xf>
    <xf numFmtId="0" fontId="7" fillId="2" borderId="11" xfId="0" applyFont="1" applyFill="1" applyBorder="1" applyAlignment="1"/>
    <xf numFmtId="0" fontId="7" fillId="2" borderId="43" xfId="0" applyFont="1" applyFill="1" applyBorder="1" applyAlignment="1">
      <alignment horizontal="center"/>
    </xf>
    <xf numFmtId="0" fontId="43" fillId="0" borderId="0" xfId="0" applyFont="1"/>
    <xf numFmtId="0" fontId="7" fillId="2" borderId="16" xfId="0" applyFont="1" applyFill="1" applyBorder="1" applyAlignment="1"/>
    <xf numFmtId="0" fontId="7" fillId="2" borderId="17" xfId="0" applyFont="1" applyFill="1" applyBorder="1" applyAlignment="1"/>
    <xf numFmtId="0" fontId="8" fillId="2" borderId="11" xfId="0" applyFont="1" applyFill="1" applyBorder="1" applyAlignment="1">
      <alignment horizontal="right"/>
    </xf>
    <xf numFmtId="0" fontId="7" fillId="2" borderId="18" xfId="0" applyFont="1" applyFill="1" applyBorder="1" applyAlignment="1">
      <alignment horizontal="center"/>
    </xf>
    <xf numFmtId="166" fontId="3" fillId="0" borderId="0" xfId="0" applyNumberFormat="1" applyFont="1" applyBorder="1"/>
    <xf numFmtId="0" fontId="19" fillId="0" borderId="4" xfId="0" quotePrefix="1" applyFont="1" applyBorder="1" applyAlignment="1">
      <alignment horizontal="left"/>
    </xf>
    <xf numFmtId="0" fontId="19" fillId="0" borderId="4" xfId="0" applyFont="1" applyBorder="1" applyAlignment="1">
      <alignment horizontal="left"/>
    </xf>
    <xf numFmtId="0" fontId="19" fillId="0" borderId="4" xfId="0" applyFont="1" applyBorder="1" applyAlignment="1">
      <alignment horizontal="left" vertical="center"/>
    </xf>
    <xf numFmtId="166" fontId="47" fillId="0" borderId="4" xfId="0" applyNumberFormat="1" applyFont="1" applyBorder="1" applyAlignment="1">
      <alignment vertical="center"/>
    </xf>
    <xf numFmtId="166" fontId="47" fillId="0" borderId="4" xfId="0" applyNumberFormat="1" applyFont="1" applyFill="1" applyBorder="1" applyAlignment="1">
      <alignment horizontal="center" vertical="center"/>
    </xf>
    <xf numFmtId="0" fontId="19" fillId="0" borderId="4" xfId="0" applyFont="1" applyBorder="1" applyAlignment="1">
      <alignment horizontal="right" vertical="center" readingOrder="1"/>
    </xf>
    <xf numFmtId="0" fontId="19" fillId="0" borderId="4" xfId="0" applyFont="1" applyBorder="1" applyAlignment="1">
      <alignment horizontal="right" vertical="center" readingOrder="2"/>
    </xf>
    <xf numFmtId="0" fontId="19" fillId="0" borderId="4" xfId="0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28" fillId="0" borderId="0" xfId="0" applyNumberFormat="1" applyFont="1" applyFill="1" applyAlignment="1">
      <alignment horizontal="center" vertical="center"/>
    </xf>
    <xf numFmtId="0" fontId="20" fillId="0" borderId="0" xfId="0" applyFont="1" applyBorder="1" applyAlignment="1">
      <alignment horizontal="right" vertical="center" readingOrder="1"/>
    </xf>
    <xf numFmtId="166" fontId="48" fillId="0" borderId="0" xfId="0" applyNumberFormat="1" applyFont="1"/>
    <xf numFmtId="166" fontId="21" fillId="0" borderId="0" xfId="0" applyNumberFormat="1" applyFont="1"/>
    <xf numFmtId="0" fontId="48" fillId="0" borderId="0" xfId="0" applyFont="1" applyAlignment="1">
      <alignment horizontal="center"/>
    </xf>
    <xf numFmtId="166" fontId="48" fillId="0" borderId="0" xfId="0" applyNumberFormat="1" applyFont="1" applyFill="1" applyAlignment="1">
      <alignment horizontal="center" vertical="center"/>
    </xf>
    <xf numFmtId="0" fontId="48" fillId="0" borderId="0" xfId="0" applyFont="1" applyBorder="1"/>
    <xf numFmtId="0" fontId="21" fillId="0" borderId="0" xfId="0" applyFont="1" applyBorder="1"/>
    <xf numFmtId="1" fontId="31" fillId="0" borderId="0" xfId="0" applyNumberFormat="1" applyFont="1"/>
    <xf numFmtId="0" fontId="8" fillId="2" borderId="27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0" fontId="7" fillId="2" borderId="87" xfId="0" applyFont="1" applyFill="1" applyBorder="1" applyAlignment="1">
      <alignment horizontal="center"/>
    </xf>
    <xf numFmtId="0" fontId="65" fillId="0" borderId="0" xfId="0" applyFont="1"/>
    <xf numFmtId="0" fontId="76" fillId="0" borderId="0" xfId="0" applyFont="1"/>
    <xf numFmtId="0" fontId="7" fillId="2" borderId="43" xfId="0" applyFont="1" applyFill="1" applyBorder="1" applyAlignment="1">
      <alignment horizontal="center" vertical="center"/>
    </xf>
    <xf numFmtId="166" fontId="16" fillId="0" borderId="0" xfId="0" applyNumberFormat="1" applyFont="1" applyBorder="1"/>
    <xf numFmtId="0" fontId="7" fillId="2" borderId="18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right" vertical="center" readingOrder="1"/>
    </xf>
    <xf numFmtId="0" fontId="21" fillId="0" borderId="0" xfId="0" applyFont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Continuous" vertical="center"/>
    </xf>
    <xf numFmtId="0" fontId="8" fillId="0" borderId="1" xfId="0" applyFont="1" applyBorder="1" applyAlignment="1"/>
    <xf numFmtId="0" fontId="28" fillId="0" borderId="9" xfId="0" applyFont="1" applyBorder="1"/>
    <xf numFmtId="0" fontId="8" fillId="0" borderId="9" xfId="0" applyFont="1" applyBorder="1"/>
    <xf numFmtId="0" fontId="28" fillId="0" borderId="9" xfId="0" applyFont="1" applyFill="1" applyBorder="1"/>
    <xf numFmtId="0" fontId="8" fillId="0" borderId="0" xfId="0" applyFont="1" applyBorder="1" applyAlignment="1"/>
    <xf numFmtId="0" fontId="7" fillId="2" borderId="88" xfId="0" applyFont="1" applyFill="1" applyBorder="1" applyAlignment="1">
      <alignment horizontal="center"/>
    </xf>
    <xf numFmtId="0" fontId="8" fillId="2" borderId="51" xfId="0" applyFont="1" applyFill="1" applyBorder="1"/>
    <xf numFmtId="0" fontId="2" fillId="2" borderId="25" xfId="0" applyFont="1" applyFill="1" applyBorder="1" applyAlignment="1">
      <alignment horizontal="center"/>
    </xf>
    <xf numFmtId="0" fontId="2" fillId="2" borderId="25" xfId="0" applyFont="1" applyFill="1" applyBorder="1" applyAlignment="1"/>
    <xf numFmtId="0" fontId="8" fillId="5" borderId="25" xfId="0" applyFont="1" applyFill="1" applyBorder="1" applyAlignment="1"/>
    <xf numFmtId="0" fontId="8" fillId="4" borderId="25" xfId="0" applyFont="1" applyFill="1" applyBorder="1" applyAlignment="1"/>
    <xf numFmtId="0" fontId="28" fillId="0" borderId="0" xfId="0" applyFont="1" applyFill="1" applyBorder="1"/>
    <xf numFmtId="0" fontId="8" fillId="2" borderId="2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Continuous"/>
    </xf>
    <xf numFmtId="0" fontId="66" fillId="0" borderId="0" xfId="0" applyFont="1"/>
    <xf numFmtId="166" fontId="8" fillId="2" borderId="2" xfId="0" applyNumberFormat="1" applyFont="1" applyFill="1" applyBorder="1" applyAlignment="1">
      <alignment horizontal="left" vertical="center"/>
    </xf>
    <xf numFmtId="166" fontId="8" fillId="2" borderId="4" xfId="0" applyNumberFormat="1" applyFont="1" applyFill="1" applyBorder="1" applyAlignment="1">
      <alignment horizontal="left" vertical="center"/>
    </xf>
    <xf numFmtId="166" fontId="8" fillId="2" borderId="42" xfId="0" applyNumberFormat="1" applyFont="1" applyFill="1" applyBorder="1" applyAlignment="1">
      <alignment horizontal="right" vertical="center"/>
    </xf>
    <xf numFmtId="0" fontId="7" fillId="2" borderId="87" xfId="0" applyFont="1" applyFill="1" applyBorder="1" applyAlignment="1">
      <alignment horizontal="center" vertical="center"/>
    </xf>
    <xf numFmtId="166" fontId="7" fillId="2" borderId="43" xfId="0" applyNumberFormat="1" applyFont="1" applyFill="1" applyBorder="1" applyAlignment="1">
      <alignment horizontal="center" vertical="center"/>
    </xf>
    <xf numFmtId="0" fontId="43" fillId="0" borderId="0" xfId="0" applyFont="1" applyBorder="1"/>
    <xf numFmtId="166" fontId="7" fillId="2" borderId="43" xfId="0" applyNumberFormat="1" applyFont="1" applyFill="1" applyBorder="1" applyAlignment="1">
      <alignment horizontal="center"/>
    </xf>
    <xf numFmtId="166" fontId="7" fillId="2" borderId="18" xfId="0" applyNumberFormat="1" applyFont="1" applyFill="1" applyBorder="1" applyAlignment="1">
      <alignment horizontal="center" vertical="center"/>
    </xf>
    <xf numFmtId="167" fontId="7" fillId="5" borderId="7" xfId="0" applyNumberFormat="1" applyFont="1" applyFill="1" applyBorder="1" applyAlignment="1">
      <alignment horizontal="center"/>
    </xf>
    <xf numFmtId="167" fontId="7" fillId="5" borderId="0" xfId="0" applyNumberFormat="1" applyFont="1" applyFill="1" applyBorder="1" applyAlignment="1">
      <alignment horizontal="center"/>
    </xf>
    <xf numFmtId="167" fontId="7" fillId="5" borderId="17" xfId="0" applyNumberFormat="1" applyFont="1" applyFill="1" applyBorder="1" applyAlignment="1">
      <alignment horizontal="center"/>
    </xf>
    <xf numFmtId="167" fontId="7" fillId="3" borderId="7" xfId="0" applyNumberFormat="1" applyFont="1" applyFill="1" applyBorder="1" applyAlignment="1">
      <alignment horizontal="center"/>
    </xf>
    <xf numFmtId="167" fontId="7" fillId="3" borderId="0" xfId="0" applyNumberFormat="1" applyFont="1" applyFill="1" applyBorder="1" applyAlignment="1">
      <alignment horizontal="center"/>
    </xf>
    <xf numFmtId="167" fontId="7" fillId="3" borderId="17" xfId="0" applyNumberFormat="1" applyFont="1" applyFill="1" applyBorder="1" applyAlignment="1">
      <alignment horizontal="center"/>
    </xf>
    <xf numFmtId="167" fontId="7" fillId="3" borderId="21" xfId="0" applyNumberFormat="1" applyFont="1" applyFill="1" applyBorder="1" applyAlignment="1">
      <alignment horizontal="center"/>
    </xf>
    <xf numFmtId="167" fontId="7" fillId="3" borderId="1" xfId="0" applyNumberFormat="1" applyFont="1" applyFill="1" applyBorder="1" applyAlignment="1">
      <alignment horizontal="center"/>
    </xf>
    <xf numFmtId="167" fontId="7" fillId="3" borderId="23" xfId="0" applyNumberFormat="1" applyFont="1" applyFill="1" applyBorder="1" applyAlignment="1">
      <alignment horizontal="center"/>
    </xf>
    <xf numFmtId="166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6" fontId="19" fillId="0" borderId="0" xfId="0" applyNumberFormat="1" applyFont="1" applyFill="1" applyAlignment="1">
      <alignment horizontal="right" vertical="center" readingOrder="2"/>
    </xf>
    <xf numFmtId="166" fontId="20" fillId="0" borderId="0" xfId="0" applyNumberFormat="1" applyFont="1" applyFill="1" applyAlignment="1">
      <alignment horizontal="right" vertical="center" readingOrder="2"/>
    </xf>
    <xf numFmtId="1" fontId="3" fillId="0" borderId="0" xfId="0" applyNumberFormat="1" applyFont="1"/>
    <xf numFmtId="169" fontId="4" fillId="0" borderId="0" xfId="0" applyNumberFormat="1" applyFont="1"/>
    <xf numFmtId="0" fontId="3" fillId="0" borderId="7" xfId="0" applyFont="1" applyBorder="1"/>
    <xf numFmtId="0" fontId="8" fillId="2" borderId="3" xfId="0" applyFont="1" applyFill="1" applyBorder="1" applyAlignment="1">
      <alignment horizontal="center"/>
    </xf>
    <xf numFmtId="0" fontId="7" fillId="2" borderId="47" xfId="0" applyFont="1" applyFill="1" applyBorder="1" applyAlignment="1">
      <alignment horizontal="center" vertical="center"/>
    </xf>
    <xf numFmtId="2" fontId="7" fillId="2" borderId="19" xfId="0" applyNumberFormat="1" applyFont="1" applyFill="1" applyBorder="1" applyAlignment="1">
      <alignment horizontal="center" vertical="center"/>
    </xf>
    <xf numFmtId="0" fontId="7" fillId="0" borderId="7" xfId="0" applyFont="1" applyFill="1" applyBorder="1"/>
    <xf numFmtId="0" fontId="8" fillId="0" borderId="0" xfId="0" applyFont="1" applyFill="1" applyBorder="1" applyAlignment="1">
      <alignment horizontal="centerContinuous"/>
    </xf>
    <xf numFmtId="2" fontId="8" fillId="0" borderId="0" xfId="0" applyNumberFormat="1" applyFont="1" applyFill="1" applyBorder="1" applyAlignment="1">
      <alignment horizontal="center" vertical="center"/>
    </xf>
    <xf numFmtId="0" fontId="8" fillId="0" borderId="92" xfId="0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left" vertical="center"/>
    </xf>
    <xf numFmtId="2" fontId="19" fillId="0" borderId="0" xfId="0" applyNumberFormat="1" applyFont="1" applyBorder="1" applyAlignment="1">
      <alignment horizontal="center" vertical="center"/>
    </xf>
    <xf numFmtId="2" fontId="20" fillId="0" borderId="0" xfId="0" applyNumberFormat="1" applyFont="1" applyBorder="1" applyAlignment="1">
      <alignment horizontal="left" vertical="center"/>
    </xf>
    <xf numFmtId="2" fontId="20" fillId="0" borderId="0" xfId="0" applyNumberFormat="1" applyFont="1" applyBorder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0" fontId="82" fillId="2" borderId="27" xfId="0" applyFont="1" applyFill="1" applyBorder="1" applyAlignment="1"/>
    <xf numFmtId="0" fontId="82" fillId="2" borderId="25" xfId="0" applyFont="1" applyFill="1" applyBorder="1" applyAlignment="1"/>
    <xf numFmtId="0" fontId="82" fillId="2" borderId="20" xfId="0" applyFont="1" applyFill="1" applyBorder="1" applyAlignment="1"/>
    <xf numFmtId="0" fontId="81" fillId="4" borderId="7" xfId="0" applyFont="1" applyFill="1" applyBorder="1"/>
    <xf numFmtId="0" fontId="84" fillId="4" borderId="17" xfId="0" applyFont="1" applyFill="1" applyBorder="1" applyAlignment="1">
      <alignment horizontal="center" vertical="center"/>
    </xf>
    <xf numFmtId="0" fontId="81" fillId="4" borderId="12" xfId="0" applyFont="1" applyFill="1" applyBorder="1"/>
    <xf numFmtId="0" fontId="85" fillId="3" borderId="7" xfId="0" applyFont="1" applyFill="1" applyBorder="1" applyAlignment="1">
      <alignment vertical="center" wrapText="1"/>
    </xf>
    <xf numFmtId="166" fontId="85" fillId="0" borderId="17" xfId="0" applyNumberFormat="1" applyFont="1" applyBorder="1" applyAlignment="1">
      <alignment horizontal="center" vertical="center"/>
    </xf>
    <xf numFmtId="0" fontId="85" fillId="3" borderId="12" xfId="0" applyFont="1" applyFill="1" applyBorder="1" applyAlignment="1">
      <alignment vertical="center" wrapText="1"/>
    </xf>
    <xf numFmtId="0" fontId="85" fillId="5" borderId="7" xfId="0" applyFont="1" applyFill="1" applyBorder="1" applyAlignment="1">
      <alignment vertical="center" wrapText="1"/>
    </xf>
    <xf numFmtId="166" fontId="85" fillId="5" borderId="17" xfId="0" applyNumberFormat="1" applyFont="1" applyFill="1" applyBorder="1" applyAlignment="1">
      <alignment horizontal="center" vertical="center"/>
    </xf>
    <xf numFmtId="0" fontId="85" fillId="5" borderId="12" xfId="0" applyFont="1" applyFill="1" applyBorder="1" applyAlignment="1">
      <alignment vertical="center" wrapText="1"/>
    </xf>
    <xf numFmtId="0" fontId="85" fillId="3" borderId="12" xfId="0" applyFont="1" applyFill="1" applyBorder="1" applyAlignment="1">
      <alignment horizontal="right" vertical="center" wrapText="1"/>
    </xf>
    <xf numFmtId="0" fontId="85" fillId="5" borderId="12" xfId="0" applyFont="1" applyFill="1" applyBorder="1" applyAlignment="1">
      <alignment horizontal="right" vertical="center" wrapText="1"/>
    </xf>
    <xf numFmtId="0" fontId="2" fillId="5" borderId="0" xfId="0" applyFont="1" applyFill="1" applyBorder="1" applyAlignment="1">
      <alignment vertical="center" wrapText="1"/>
    </xf>
    <xf numFmtId="0" fontId="2" fillId="3" borderId="7" xfId="0" applyFont="1" applyFill="1" applyBorder="1" applyAlignment="1">
      <alignment vertical="center" wrapText="1"/>
    </xf>
    <xf numFmtId="0" fontId="85" fillId="3" borderId="21" xfId="0" applyFont="1" applyFill="1" applyBorder="1" applyAlignment="1">
      <alignment vertical="center" wrapText="1"/>
    </xf>
    <xf numFmtId="166" fontId="85" fillId="0" borderId="23" xfId="0" applyNumberFormat="1" applyFont="1" applyBorder="1" applyAlignment="1">
      <alignment horizontal="center" vertical="center"/>
    </xf>
    <xf numFmtId="0" fontId="85" fillId="3" borderId="24" xfId="0" applyFont="1" applyFill="1" applyBorder="1" applyAlignment="1">
      <alignment vertical="center" wrapText="1"/>
    </xf>
    <xf numFmtId="0" fontId="45" fillId="0" borderId="0" xfId="0" applyFont="1" applyBorder="1" applyAlignment="1">
      <alignment horizontal="left"/>
    </xf>
    <xf numFmtId="0" fontId="86" fillId="0" borderId="0" xfId="0" applyFont="1" applyFill="1"/>
    <xf numFmtId="0" fontId="45" fillId="0" borderId="0" xfId="0" applyFont="1" applyBorder="1" applyAlignment="1">
      <alignment horizontal="right" readingOrder="2"/>
    </xf>
    <xf numFmtId="0" fontId="48" fillId="0" borderId="0" xfId="0" applyFont="1" applyFill="1"/>
    <xf numFmtId="0" fontId="4" fillId="0" borderId="0" xfId="0" applyFont="1" applyAlignment="1">
      <alignment horizontal="left"/>
    </xf>
    <xf numFmtId="0" fontId="6" fillId="0" borderId="0" xfId="0" applyFont="1" applyFill="1" applyAlignment="1">
      <alignment horizontal="centerContinuous"/>
    </xf>
    <xf numFmtId="0" fontId="35" fillId="0" borderId="0" xfId="0" applyFont="1" applyAlignment="1">
      <alignment horizontal="center"/>
    </xf>
    <xf numFmtId="0" fontId="8" fillId="0" borderId="1" xfId="0" applyFont="1" applyBorder="1" applyAlignment="1">
      <alignment horizontal="left"/>
    </xf>
    <xf numFmtId="0" fontId="8" fillId="2" borderId="0" xfId="0" applyFont="1" applyFill="1" applyBorder="1" applyAlignment="1">
      <alignment horizontal="right"/>
    </xf>
    <xf numFmtId="0" fontId="8" fillId="2" borderId="25" xfId="0" applyFont="1" applyFill="1" applyBorder="1"/>
    <xf numFmtId="0" fontId="7" fillId="2" borderId="11" xfId="0" applyFont="1" applyFill="1" applyBorder="1" applyAlignment="1">
      <alignment horizontal="center" vertical="center" readingOrder="2"/>
    </xf>
    <xf numFmtId="0" fontId="7" fillId="2" borderId="7" xfId="0" applyFont="1" applyFill="1" applyBorder="1" applyAlignment="1">
      <alignment horizontal="center" vertical="center" readingOrder="2"/>
    </xf>
    <xf numFmtId="0" fontId="8" fillId="2" borderId="9" xfId="0" applyFont="1" applyFill="1" applyBorder="1" applyAlignment="1">
      <alignment horizontal="centerContinuous" vertical="center"/>
    </xf>
    <xf numFmtId="0" fontId="7" fillId="2" borderId="10" xfId="0" applyFont="1" applyFill="1" applyBorder="1" applyAlignment="1">
      <alignment horizontal="centerContinuous" vertical="center"/>
    </xf>
    <xf numFmtId="0" fontId="8" fillId="2" borderId="0" xfId="0" applyFont="1" applyFill="1" applyBorder="1" applyAlignment="1">
      <alignment horizontal="right" vertical="center"/>
    </xf>
    <xf numFmtId="0" fontId="7" fillId="2" borderId="95" xfId="0" applyFont="1" applyFill="1" applyBorder="1" applyAlignment="1">
      <alignment horizontal="center" vertical="center"/>
    </xf>
    <xf numFmtId="0" fontId="8" fillId="2" borderId="58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right"/>
    </xf>
    <xf numFmtId="0" fontId="8" fillId="2" borderId="60" xfId="0" applyFont="1" applyFill="1" applyBorder="1"/>
    <xf numFmtId="166" fontId="88" fillId="4" borderId="7" xfId="0" applyNumberFormat="1" applyFont="1" applyFill="1" applyBorder="1" applyAlignment="1">
      <alignment horizontal="center"/>
    </xf>
    <xf numFmtId="166" fontId="88" fillId="4" borderId="0" xfId="0" applyNumberFormat="1" applyFont="1" applyFill="1" applyBorder="1" applyAlignment="1">
      <alignment horizontal="center"/>
    </xf>
    <xf numFmtId="166" fontId="88" fillId="4" borderId="0" xfId="0" applyNumberFormat="1" applyFont="1" applyFill="1" applyAlignment="1">
      <alignment horizontal="center"/>
    </xf>
    <xf numFmtId="166" fontId="89" fillId="4" borderId="0" xfId="0" applyNumberFormat="1" applyFont="1" applyFill="1" applyAlignment="1">
      <alignment horizontal="center"/>
    </xf>
    <xf numFmtId="166" fontId="3" fillId="3" borderId="0" xfId="0" applyNumberFormat="1" applyFont="1" applyFill="1" applyBorder="1"/>
    <xf numFmtId="0" fontId="20" fillId="0" borderId="0" xfId="0" applyFont="1" applyBorder="1" applyAlignment="1">
      <alignment vertical="center" readingOrder="2"/>
    </xf>
    <xf numFmtId="0" fontId="20" fillId="0" borderId="0" xfId="0" quotePrefix="1" applyFont="1" applyAlignment="1">
      <alignment horizontal="left" vertical="center"/>
    </xf>
    <xf numFmtId="0" fontId="20" fillId="0" borderId="0" xfId="0" applyFont="1" applyFill="1" applyBorder="1" applyAlignment="1">
      <alignment vertical="center"/>
    </xf>
    <xf numFmtId="0" fontId="92" fillId="0" borderId="0" xfId="0" applyFont="1" applyFill="1" applyAlignment="1">
      <alignment horizontal="left" vertical="center"/>
    </xf>
    <xf numFmtId="166" fontId="92" fillId="0" borderId="0" xfId="0" applyNumberFormat="1" applyFont="1" applyFill="1" applyAlignment="1">
      <alignment horizontal="left" vertical="center"/>
    </xf>
    <xf numFmtId="0" fontId="92" fillId="0" borderId="0" xfId="0" applyFont="1" applyFill="1" applyBorder="1"/>
    <xf numFmtId="166" fontId="93" fillId="0" borderId="0" xfId="0" applyNumberFormat="1" applyFont="1" applyFill="1" applyAlignment="1">
      <alignment horizontal="right"/>
    </xf>
    <xf numFmtId="166" fontId="93" fillId="0" borderId="0" xfId="0" applyNumberFormat="1" applyFont="1" applyFill="1"/>
    <xf numFmtId="0" fontId="33" fillId="0" borderId="0" xfId="0" applyFont="1" applyFill="1" applyAlignment="1">
      <alignment horizontal="right" readingOrder="2"/>
    </xf>
    <xf numFmtId="166" fontId="33" fillId="0" borderId="0" xfId="0" applyNumberFormat="1" applyFont="1" applyFill="1" applyAlignment="1">
      <alignment horizontal="right" vertical="center" readingOrder="2"/>
    </xf>
    <xf numFmtId="0" fontId="33" fillId="0" borderId="0" xfId="0" applyFont="1" applyFill="1" applyAlignment="1">
      <alignment horizontal="center"/>
    </xf>
    <xf numFmtId="0" fontId="20" fillId="0" borderId="0" xfId="0" applyFont="1" applyFill="1" applyBorder="1" applyAlignment="1"/>
    <xf numFmtId="166" fontId="93" fillId="0" borderId="0" xfId="0" applyNumberFormat="1" applyFont="1" applyAlignment="1">
      <alignment horizontal="right"/>
    </xf>
    <xf numFmtId="0" fontId="33" fillId="0" borderId="0" xfId="0" applyFont="1" applyAlignment="1">
      <alignment horizontal="right" readingOrder="2"/>
    </xf>
    <xf numFmtId="0" fontId="92" fillId="0" borderId="0" xfId="0" applyFont="1"/>
    <xf numFmtId="0" fontId="92" fillId="0" borderId="0" xfId="0" applyFont="1" applyBorder="1"/>
    <xf numFmtId="0" fontId="93" fillId="0" borderId="0" xfId="0" applyFont="1" applyAlignment="1">
      <alignment horizontal="right"/>
    </xf>
    <xf numFmtId="0" fontId="93" fillId="0" borderId="0" xfId="0" applyFont="1"/>
    <xf numFmtId="0" fontId="33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vertical="center"/>
    </xf>
    <xf numFmtId="0" fontId="21" fillId="0" borderId="0" xfId="0" quotePrefix="1" applyFont="1" applyBorder="1" applyAlignment="1">
      <alignment horizontal="right" vertical="center" readingOrder="2"/>
    </xf>
    <xf numFmtId="166" fontId="94" fillId="0" borderId="0" xfId="0" applyNumberFormat="1" applyFont="1" applyAlignment="1">
      <alignment horizontal="center"/>
    </xf>
    <xf numFmtId="0" fontId="4" fillId="0" borderId="0" xfId="0" quotePrefix="1" applyFont="1" applyAlignment="1">
      <alignment horizontal="center" vertical="center"/>
    </xf>
    <xf numFmtId="0" fontId="4" fillId="0" borderId="0" xfId="0" quotePrefix="1" applyFont="1" applyAlignment="1">
      <alignment horizontal="right" vertical="center"/>
    </xf>
    <xf numFmtId="0" fontId="6" fillId="0" borderId="0" xfId="0" applyFont="1" applyFill="1" applyAlignment="1">
      <alignment horizontal="center"/>
    </xf>
    <xf numFmtId="0" fontId="66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0" borderId="0" xfId="0" applyFont="1" applyAlignment="1">
      <alignment horizontal="right"/>
    </xf>
    <xf numFmtId="0" fontId="10" fillId="0" borderId="0" xfId="0" applyFont="1" applyFill="1" applyAlignment="1">
      <alignment horizontal="center"/>
    </xf>
    <xf numFmtId="0" fontId="10" fillId="0" borderId="0" xfId="0" applyFont="1" applyFill="1"/>
    <xf numFmtId="0" fontId="89" fillId="5" borderId="7" xfId="0" applyFont="1" applyFill="1" applyBorder="1" applyAlignment="1">
      <alignment horizontal="left" vertical="center"/>
    </xf>
    <xf numFmtId="0" fontId="89" fillId="5" borderId="0" xfId="0" applyFont="1" applyFill="1" applyBorder="1" applyAlignment="1">
      <alignment horizontal="left" vertical="center"/>
    </xf>
    <xf numFmtId="0" fontId="88" fillId="5" borderId="0" xfId="0" applyFont="1" applyFill="1" applyBorder="1" applyAlignment="1">
      <alignment vertical="center"/>
    </xf>
    <xf numFmtId="0" fontId="89" fillId="5" borderId="25" xfId="0" applyFont="1" applyFill="1" applyBorder="1" applyAlignment="1">
      <alignment horizontal="left" vertical="center"/>
    </xf>
    <xf numFmtId="0" fontId="89" fillId="5" borderId="0" xfId="0" applyFont="1" applyFill="1" applyBorder="1" applyAlignment="1">
      <alignment horizontal="right" vertical="center"/>
    </xf>
    <xf numFmtId="0" fontId="89" fillId="5" borderId="0" xfId="0" applyFont="1" applyFill="1" applyBorder="1" applyAlignment="1">
      <alignment horizontal="right" vertical="center" readingOrder="2"/>
    </xf>
    <xf numFmtId="0" fontId="89" fillId="5" borderId="25" xfId="0" applyFont="1" applyFill="1" applyBorder="1" applyAlignment="1">
      <alignment horizontal="right" vertical="center" readingOrder="2"/>
    </xf>
    <xf numFmtId="0" fontId="89" fillId="0" borderId="7" xfId="0" applyFont="1" applyFill="1" applyBorder="1" applyAlignment="1">
      <alignment horizontal="left" vertical="center"/>
    </xf>
    <xf numFmtId="0" fontId="89" fillId="0" borderId="0" xfId="0" applyFont="1" applyFill="1" applyBorder="1" applyAlignment="1">
      <alignment horizontal="left" vertical="center"/>
    </xf>
    <xf numFmtId="0" fontId="88" fillId="0" borderId="0" xfId="0" applyFont="1" applyFill="1" applyBorder="1" applyAlignment="1">
      <alignment vertical="center"/>
    </xf>
    <xf numFmtId="0" fontId="89" fillId="0" borderId="25" xfId="0" applyFont="1" applyFill="1" applyBorder="1" applyAlignment="1">
      <alignment horizontal="left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right" vertical="center"/>
    </xf>
    <xf numFmtId="0" fontId="89" fillId="0" borderId="25" xfId="0" applyFont="1" applyFill="1" applyBorder="1" applyAlignment="1">
      <alignment horizontal="right" vertical="center"/>
    </xf>
    <xf numFmtId="0" fontId="88" fillId="5" borderId="7" xfId="0" applyFont="1" applyFill="1" applyBorder="1" applyAlignment="1">
      <alignment vertical="center"/>
    </xf>
    <xf numFmtId="0" fontId="88" fillId="5" borderId="0" xfId="0" applyFont="1" applyFill="1" applyBorder="1" applyAlignment="1">
      <alignment horizontal="right" vertical="center"/>
    </xf>
    <xf numFmtId="0" fontId="88" fillId="5" borderId="25" xfId="0" applyFont="1" applyFill="1" applyBorder="1" applyAlignment="1">
      <alignment horizontal="right" vertical="center"/>
    </xf>
    <xf numFmtId="0" fontId="88" fillId="0" borderId="7" xfId="0" applyFont="1" applyFill="1" applyBorder="1" applyAlignment="1">
      <alignment vertical="center"/>
    </xf>
    <xf numFmtId="0" fontId="89" fillId="0" borderId="0" xfId="0" applyFont="1" applyFill="1" applyBorder="1" applyAlignment="1">
      <alignment horizontal="right" vertical="center" readingOrder="2"/>
    </xf>
    <xf numFmtId="0" fontId="88" fillId="0" borderId="0" xfId="0" applyFont="1" applyFill="1" applyBorder="1" applyAlignment="1">
      <alignment horizontal="right" vertical="center"/>
    </xf>
    <xf numFmtId="0" fontId="88" fillId="0" borderId="25" xfId="0" applyFont="1" applyFill="1" applyBorder="1" applyAlignment="1">
      <alignment horizontal="right" vertical="center"/>
    </xf>
    <xf numFmtId="0" fontId="89" fillId="5" borderId="25" xfId="0" applyFont="1" applyFill="1" applyBorder="1" applyAlignment="1">
      <alignment horizontal="right" vertical="center"/>
    </xf>
    <xf numFmtId="0" fontId="88" fillId="4" borderId="7" xfId="0" applyFont="1" applyFill="1" applyBorder="1" applyAlignment="1">
      <alignment vertical="center"/>
    </xf>
    <xf numFmtId="0" fontId="88" fillId="4" borderId="0" xfId="0" applyFont="1" applyFill="1" applyBorder="1" applyAlignment="1">
      <alignment vertical="center"/>
    </xf>
    <xf numFmtId="0" fontId="89" fillId="4" borderId="25" xfId="0" applyFont="1" applyFill="1" applyBorder="1" applyAlignment="1">
      <alignment horizontal="left" vertical="center"/>
    </xf>
    <xf numFmtId="0" fontId="89" fillId="4" borderId="0" xfId="0" applyFont="1" applyFill="1" applyBorder="1" applyAlignment="1">
      <alignment horizontal="right" vertical="center"/>
    </xf>
    <xf numFmtId="0" fontId="89" fillId="4" borderId="0" xfId="0" applyFont="1" applyFill="1" applyBorder="1" applyAlignment="1">
      <alignment horizontal="right" vertical="center" readingOrder="2"/>
    </xf>
    <xf numFmtId="0" fontId="88" fillId="4" borderId="0" xfId="0" applyFont="1" applyFill="1" applyBorder="1" applyAlignment="1">
      <alignment horizontal="right" vertical="center"/>
    </xf>
    <xf numFmtId="0" fontId="88" fillId="4" borderId="25" xfId="0" applyFont="1" applyFill="1" applyBorder="1" applyAlignment="1">
      <alignment horizontal="right" vertical="center"/>
    </xf>
    <xf numFmtId="0" fontId="88" fillId="5" borderId="25" xfId="0" applyFont="1" applyFill="1" applyBorder="1" applyAlignment="1">
      <alignment horizontal="left" vertical="center"/>
    </xf>
    <xf numFmtId="166" fontId="88" fillId="5" borderId="17" xfId="0" applyNumberFormat="1" applyFont="1" applyFill="1" applyBorder="1" applyAlignment="1">
      <alignment horizontal="center" vertical="center"/>
    </xf>
    <xf numFmtId="0" fontId="88" fillId="4" borderId="25" xfId="0" applyFont="1" applyFill="1" applyBorder="1" applyAlignment="1">
      <alignment horizontal="left" vertical="center"/>
    </xf>
    <xf numFmtId="166" fontId="88" fillId="4" borderId="17" xfId="0" applyNumberFormat="1" applyFont="1" applyFill="1" applyBorder="1" applyAlignment="1">
      <alignment horizontal="center" vertical="center"/>
    </xf>
    <xf numFmtId="0" fontId="89" fillId="4" borderId="7" xfId="0" applyFont="1" applyFill="1" applyBorder="1" applyAlignment="1">
      <alignment horizontal="left" vertical="center"/>
    </xf>
    <xf numFmtId="0" fontId="89" fillId="4" borderId="25" xfId="0" applyFont="1" applyFill="1" applyBorder="1" applyAlignment="1">
      <alignment horizontal="right" vertical="center"/>
    </xf>
    <xf numFmtId="0" fontId="89" fillId="4" borderId="7" xfId="0" applyFont="1" applyFill="1" applyBorder="1" applyAlignment="1">
      <alignment horizontal="left" vertical="center" readingOrder="1"/>
    </xf>
    <xf numFmtId="0" fontId="89" fillId="4" borderId="0" xfId="0" applyFont="1" applyFill="1" applyBorder="1" applyAlignment="1">
      <alignment horizontal="left" vertical="center" readingOrder="1"/>
    </xf>
    <xf numFmtId="0" fontId="89" fillId="4" borderId="25" xfId="0" applyFont="1" applyFill="1" applyBorder="1" applyAlignment="1">
      <alignment horizontal="right" vertical="center" readingOrder="2"/>
    </xf>
    <xf numFmtId="166" fontId="98" fillId="5" borderId="0" xfId="0" applyNumberFormat="1" applyFont="1" applyFill="1" applyAlignment="1">
      <alignment horizontal="center" vertical="center"/>
    </xf>
    <xf numFmtId="0" fontId="89" fillId="5" borderId="2" xfId="0" applyFont="1" applyFill="1" applyBorder="1" applyAlignment="1">
      <alignment horizontal="left" vertical="center"/>
    </xf>
    <xf numFmtId="0" fontId="88" fillId="5" borderId="4" xfId="0" applyFont="1" applyFill="1" applyBorder="1" applyAlignment="1">
      <alignment vertical="center"/>
    </xf>
    <xf numFmtId="0" fontId="89" fillId="5" borderId="27" xfId="0" applyFont="1" applyFill="1" applyBorder="1" applyAlignment="1">
      <alignment horizontal="left" vertical="center"/>
    </xf>
    <xf numFmtId="166" fontId="89" fillId="5" borderId="42" xfId="0" applyNumberFormat="1" applyFont="1" applyFill="1" applyBorder="1" applyAlignment="1">
      <alignment horizontal="center" vertical="center"/>
    </xf>
    <xf numFmtId="0" fontId="89" fillId="5" borderId="4" xfId="0" applyFont="1" applyFill="1" applyBorder="1" applyAlignment="1">
      <alignment horizontal="right" vertical="center"/>
    </xf>
    <xf numFmtId="0" fontId="89" fillId="5" borderId="27" xfId="0" applyFont="1" applyFill="1" applyBorder="1" applyAlignment="1">
      <alignment horizontal="right" vertical="center"/>
    </xf>
    <xf numFmtId="0" fontId="89" fillId="5" borderId="67" xfId="0" applyFont="1" applyFill="1" applyBorder="1" applyAlignment="1">
      <alignment horizontal="left" vertical="center"/>
    </xf>
    <xf numFmtId="0" fontId="89" fillId="5" borderId="39" xfId="0" applyFont="1" applyFill="1" applyBorder="1" applyAlignment="1">
      <alignment horizontal="left" vertical="center"/>
    </xf>
    <xf numFmtId="0" fontId="88" fillId="5" borderId="39" xfId="0" applyFont="1" applyFill="1" applyBorder="1" applyAlignment="1">
      <alignment vertical="center"/>
    </xf>
    <xf numFmtId="0" fontId="89" fillId="5" borderId="70" xfId="0" applyFont="1" applyFill="1" applyBorder="1" applyAlignment="1">
      <alignment horizontal="left" vertical="center"/>
    </xf>
    <xf numFmtId="166" fontId="89" fillId="5" borderId="69" xfId="0" applyNumberFormat="1" applyFont="1" applyFill="1" applyBorder="1" applyAlignment="1">
      <alignment horizontal="center" vertical="center"/>
    </xf>
    <xf numFmtId="0" fontId="89" fillId="5" borderId="39" xfId="0" applyFont="1" applyFill="1" applyBorder="1" applyAlignment="1">
      <alignment horizontal="right" vertical="center"/>
    </xf>
    <xf numFmtId="0" fontId="89" fillId="5" borderId="70" xfId="0" applyFont="1" applyFill="1" applyBorder="1" applyAlignment="1">
      <alignment horizontal="right" vertical="center"/>
    </xf>
    <xf numFmtId="0" fontId="89" fillId="5" borderId="25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0" fontId="8" fillId="5" borderId="33" xfId="0" applyFont="1" applyFill="1" applyBorder="1" applyAlignment="1">
      <alignment horizontal="center" vertical="center"/>
    </xf>
    <xf numFmtId="0" fontId="89" fillId="5" borderId="1" xfId="0" applyFont="1" applyFill="1" applyBorder="1" applyAlignment="1">
      <alignment horizontal="right"/>
    </xf>
    <xf numFmtId="0" fontId="89" fillId="5" borderId="1" xfId="0" applyFont="1" applyFill="1" applyBorder="1" applyAlignment="1">
      <alignment horizontal="right" readingOrder="2"/>
    </xf>
    <xf numFmtId="0" fontId="89" fillId="5" borderId="33" xfId="0" applyFont="1" applyFill="1" applyBorder="1" applyAlignment="1">
      <alignment horizontal="right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right" readingOrder="2"/>
    </xf>
    <xf numFmtId="0" fontId="19" fillId="0" borderId="0" xfId="0" applyFont="1" applyAlignment="1">
      <alignment horizontal="right"/>
    </xf>
    <xf numFmtId="0" fontId="20" fillId="0" borderId="0" xfId="0" applyFont="1" applyAlignment="1">
      <alignment horizontal="right" readingOrder="2"/>
    </xf>
    <xf numFmtId="0" fontId="20" fillId="0" borderId="0" xfId="0" applyFont="1" applyAlignment="1">
      <alignment horizontal="right" vertical="center"/>
    </xf>
    <xf numFmtId="0" fontId="20" fillId="0" borderId="0" xfId="0" quotePrefix="1" applyFont="1" applyAlignment="1">
      <alignment horizontal="right" readingOrder="2"/>
    </xf>
    <xf numFmtId="0" fontId="20" fillId="0" borderId="0" xfId="0" quotePrefix="1" applyFont="1" applyAlignment="1">
      <alignment horizontal="center" vertical="center"/>
    </xf>
    <xf numFmtId="0" fontId="20" fillId="0" borderId="0" xfId="0" quotePrefix="1" applyFont="1" applyAlignment="1">
      <alignment horizontal="right"/>
    </xf>
    <xf numFmtId="0" fontId="19" fillId="0" borderId="0" xfId="0" quotePrefix="1" applyFont="1" applyAlignment="1">
      <alignment horizontal="right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/>
    </xf>
    <xf numFmtId="0" fontId="3" fillId="0" borderId="0" xfId="0" applyFont="1" applyBorder="1" applyAlignment="1">
      <alignment horizontal="right"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Continuous" vertical="center"/>
    </xf>
    <xf numFmtId="0" fontId="6" fillId="0" borderId="0" xfId="0" applyFont="1" applyFill="1" applyAlignment="1">
      <alignment horizontal="centerContinuous" vertical="center"/>
    </xf>
    <xf numFmtId="3" fontId="6" fillId="0" borderId="0" xfId="0" applyNumberFormat="1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66" fillId="0" borderId="0" xfId="0" applyFont="1" applyFill="1" applyAlignment="1">
      <alignment horizontal="centerContinuous" vertical="center"/>
    </xf>
    <xf numFmtId="0" fontId="66" fillId="0" borderId="0" xfId="0" applyFont="1" applyFill="1" applyBorder="1" applyAlignment="1">
      <alignment horizontal="centerContinuous" vertical="center"/>
    </xf>
    <xf numFmtId="3" fontId="66" fillId="0" borderId="0" xfId="0" applyNumberFormat="1" applyFont="1" applyFill="1" applyBorder="1" applyAlignment="1">
      <alignment horizontal="center" vertical="center"/>
    </xf>
    <xf numFmtId="0" fontId="28" fillId="0" borderId="0" xfId="0" applyFont="1" applyBorder="1" applyAlignment="1">
      <alignment horizontal="right" vertical="center"/>
    </xf>
    <xf numFmtId="0" fontId="33" fillId="0" borderId="0" xfId="0" applyFont="1" applyFill="1" applyBorder="1" applyAlignment="1">
      <alignment horizontal="center" vertical="center"/>
    </xf>
    <xf numFmtId="3" fontId="33" fillId="0" borderId="0" xfId="0" applyNumberFormat="1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0" fontId="7" fillId="2" borderId="5" xfId="0" quotePrefix="1" applyFont="1" applyFill="1" applyBorder="1"/>
    <xf numFmtId="3" fontId="3" fillId="0" borderId="0" xfId="0" applyNumberFormat="1" applyFont="1" applyFill="1" applyBorder="1" applyAlignment="1">
      <alignment horizontal="center" vertical="center"/>
    </xf>
    <xf numFmtId="166" fontId="3" fillId="0" borderId="0" xfId="0" applyNumberFormat="1" applyFont="1" applyFill="1" applyAlignment="1">
      <alignment vertical="center"/>
    </xf>
    <xf numFmtId="166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right" vertical="center"/>
    </xf>
    <xf numFmtId="0" fontId="3" fillId="0" borderId="0" xfId="0" applyFont="1" applyFill="1" applyAlignment="1"/>
    <xf numFmtId="0" fontId="3" fillId="0" borderId="0" xfId="0" applyFont="1" applyFill="1" applyBorder="1" applyAlignment="1"/>
    <xf numFmtId="0" fontId="3" fillId="0" borderId="25" xfId="0" applyFont="1" applyFill="1" applyBorder="1" applyAlignment="1">
      <alignment vertical="center"/>
    </xf>
    <xf numFmtId="0" fontId="7" fillId="4" borderId="7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/>
    </xf>
    <xf numFmtId="0" fontId="8" fillId="4" borderId="0" xfId="0" applyFont="1" applyFill="1" applyBorder="1" applyAlignment="1">
      <alignment horizontal="left" vertical="center"/>
    </xf>
    <xf numFmtId="1" fontId="34" fillId="4" borderId="9" xfId="0" applyNumberFormat="1" applyFont="1" applyFill="1" applyBorder="1" applyAlignment="1">
      <alignment horizontal="center"/>
    </xf>
    <xf numFmtId="1" fontId="34" fillId="4" borderId="10" xfId="0" applyNumberFormat="1" applyFont="1" applyFill="1" applyBorder="1" applyAlignment="1">
      <alignment horizontal="center"/>
    </xf>
    <xf numFmtId="166" fontId="7" fillId="4" borderId="0" xfId="0" applyNumberFormat="1" applyFont="1" applyFill="1" applyBorder="1" applyAlignment="1">
      <alignment horizontal="right" vertical="center"/>
    </xf>
    <xf numFmtId="0" fontId="8" fillId="4" borderId="7" xfId="0" applyFont="1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7" fillId="4" borderId="0" xfId="0" quotePrefix="1" applyFont="1" applyFill="1" applyBorder="1" applyAlignment="1">
      <alignment horizontal="center" vertical="center"/>
    </xf>
    <xf numFmtId="168" fontId="8" fillId="4" borderId="79" xfId="0" applyNumberFormat="1" applyFont="1" applyFill="1" applyBorder="1" applyAlignment="1">
      <alignment horizontal="center" vertical="center"/>
    </xf>
    <xf numFmtId="168" fontId="8" fillId="4" borderId="0" xfId="0" applyNumberFormat="1" applyFont="1" applyFill="1" applyBorder="1" applyAlignment="1">
      <alignment horizontal="center" vertical="center"/>
    </xf>
    <xf numFmtId="168" fontId="8" fillId="4" borderId="17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Border="1" applyAlignment="1">
      <alignment horizontal="left" vertical="center"/>
    </xf>
    <xf numFmtId="0" fontId="8" fillId="4" borderId="0" xfId="0" applyFont="1" applyFill="1" applyBorder="1" applyAlignment="1">
      <alignment horizontal="right" vertical="center"/>
    </xf>
    <xf numFmtId="0" fontId="6" fillId="0" borderId="0" xfId="0" applyFont="1" applyFill="1" applyAlignment="1">
      <alignment horizontal="right" vertical="center"/>
    </xf>
    <xf numFmtId="0" fontId="6" fillId="0" borderId="0" xfId="0" applyFont="1" applyFill="1" applyAlignment="1"/>
    <xf numFmtId="0" fontId="6" fillId="0" borderId="0" xfId="0" applyFont="1" applyFill="1" applyAlignment="1">
      <alignment horizontal="right"/>
    </xf>
    <xf numFmtId="0" fontId="6" fillId="0" borderId="25" xfId="0" applyFont="1" applyFill="1" applyBorder="1" applyAlignment="1">
      <alignment vertical="center"/>
    </xf>
    <xf numFmtId="0" fontId="7" fillId="5" borderId="7" xfId="0" applyFont="1" applyFill="1" applyBorder="1" applyAlignment="1">
      <alignment vertical="center"/>
    </xf>
    <xf numFmtId="0" fontId="8" fillId="5" borderId="0" xfId="0" applyFont="1" applyFill="1" applyBorder="1" applyAlignment="1">
      <alignment horizontal="left" vertical="center"/>
    </xf>
    <xf numFmtId="0" fontId="7" fillId="5" borderId="0" xfId="0" applyFont="1" applyFill="1" applyBorder="1"/>
    <xf numFmtId="168" fontId="8" fillId="5" borderId="79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8" fillId="4" borderId="0" xfId="0" applyFont="1" applyFill="1" applyBorder="1"/>
    <xf numFmtId="0" fontId="8" fillId="4" borderId="0" xfId="0" applyFont="1" applyFill="1" applyBorder="1" applyAlignment="1">
      <alignment horizontal="right" vertical="center" readingOrder="2"/>
    </xf>
    <xf numFmtId="166" fontId="7" fillId="5" borderId="0" xfId="0" applyNumberFormat="1" applyFont="1" applyFill="1" applyBorder="1" applyAlignment="1">
      <alignment horizontal="left" vertical="center"/>
    </xf>
    <xf numFmtId="168" fontId="7" fillId="5" borderId="79" xfId="0" applyNumberFormat="1" applyFont="1" applyFill="1" applyBorder="1" applyAlignment="1">
      <alignment horizontal="center" vertical="center"/>
    </xf>
    <xf numFmtId="168" fontId="7" fillId="5" borderId="17" xfId="0" applyNumberFormat="1" applyFont="1" applyFill="1" applyBorder="1" applyAlignment="1">
      <alignment horizontal="center" vertical="center"/>
    </xf>
    <xf numFmtId="168" fontId="7" fillId="4" borderId="79" xfId="0" applyNumberFormat="1" applyFont="1" applyFill="1" applyBorder="1" applyAlignment="1">
      <alignment horizontal="center" vertical="center"/>
    </xf>
    <xf numFmtId="168" fontId="7" fillId="4" borderId="0" xfId="0" applyNumberFormat="1" applyFont="1" applyFill="1" applyBorder="1" applyAlignment="1">
      <alignment horizontal="center" vertical="center"/>
    </xf>
    <xf numFmtId="168" fontId="7" fillId="4" borderId="17" xfId="0" applyNumberFormat="1" applyFont="1" applyFill="1" applyBorder="1" applyAlignment="1">
      <alignment horizontal="center" vertical="center"/>
    </xf>
    <xf numFmtId="0" fontId="8" fillId="5" borderId="0" xfId="0" applyFont="1" applyFill="1" applyBorder="1"/>
    <xf numFmtId="0" fontId="8" fillId="4" borderId="0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vertical="center"/>
    </xf>
    <xf numFmtId="0" fontId="4" fillId="0" borderId="0" xfId="0" applyFont="1" applyFill="1" applyAlignment="1">
      <alignment horizontal="right" vertical="center"/>
    </xf>
    <xf numFmtId="0" fontId="4" fillId="0" borderId="25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left" vertical="center"/>
    </xf>
    <xf numFmtId="166" fontId="8" fillId="5" borderId="0" xfId="0" applyNumberFormat="1" applyFont="1" applyFill="1" applyBorder="1" applyAlignment="1">
      <alignment horizontal="left" vertical="center"/>
    </xf>
    <xf numFmtId="170" fontId="3" fillId="0" borderId="0" xfId="15" applyNumberFormat="1" applyFont="1" applyFill="1" applyAlignment="1">
      <alignment vertical="center"/>
    </xf>
    <xf numFmtId="166" fontId="7" fillId="5" borderId="1" xfId="0" applyNumberFormat="1" applyFont="1" applyFill="1" applyBorder="1" applyAlignment="1">
      <alignment horizontal="left" vertical="center"/>
    </xf>
    <xf numFmtId="168" fontId="7" fillId="5" borderId="102" xfId="0" applyNumberFormat="1" applyFont="1" applyFill="1" applyBorder="1" applyAlignment="1">
      <alignment horizontal="center" vertical="center"/>
    </xf>
    <xf numFmtId="168" fontId="8" fillId="4" borderId="79" xfId="0" applyNumberFormat="1" applyFont="1" applyFill="1" applyBorder="1" applyAlignment="1">
      <alignment horizontal="left" vertical="center"/>
    </xf>
    <xf numFmtId="168" fontId="8" fillId="4" borderId="0" xfId="0" applyNumberFormat="1" applyFont="1" applyFill="1" applyBorder="1" applyAlignment="1">
      <alignment horizontal="left" vertical="center"/>
    </xf>
    <xf numFmtId="168" fontId="34" fillId="4" borderId="0" xfId="0" applyNumberFormat="1" applyFont="1" applyFill="1" applyBorder="1" applyAlignment="1">
      <alignment horizontal="center"/>
    </xf>
    <xf numFmtId="168" fontId="34" fillId="4" borderId="42" xfId="0" applyNumberFormat="1" applyFont="1" applyFill="1" applyBorder="1" applyAlignment="1">
      <alignment horizontal="center"/>
    </xf>
    <xf numFmtId="166" fontId="8" fillId="5" borderId="7" xfId="0" applyNumberFormat="1" applyFont="1" applyFill="1" applyBorder="1" applyAlignment="1">
      <alignment horizontal="left" vertical="center"/>
    </xf>
    <xf numFmtId="168" fontId="7" fillId="5" borderId="79" xfId="0" applyNumberFormat="1" applyFont="1" applyFill="1" applyBorder="1" applyAlignment="1">
      <alignment horizontal="left" vertical="center"/>
    </xf>
    <xf numFmtId="0" fontId="7" fillId="5" borderId="25" xfId="0" applyFont="1" applyFill="1" applyBorder="1" applyAlignment="1"/>
    <xf numFmtId="166" fontId="8" fillId="4" borderId="7" xfId="0" applyNumberFormat="1" applyFont="1" applyFill="1" applyBorder="1" applyAlignment="1">
      <alignment horizontal="left" vertical="center"/>
    </xf>
    <xf numFmtId="0" fontId="7" fillId="4" borderId="25" xfId="0" applyFont="1" applyFill="1" applyBorder="1" applyAlignment="1"/>
    <xf numFmtId="0" fontId="8" fillId="4" borderId="25" xfId="0" applyFont="1" applyFill="1" applyBorder="1" applyAlignment="1">
      <alignment horizontal="right" vertical="center"/>
    </xf>
    <xf numFmtId="0" fontId="8" fillId="5" borderId="7" xfId="0" applyFont="1" applyFill="1" applyBorder="1" applyAlignment="1">
      <alignment vertical="center"/>
    </xf>
    <xf numFmtId="0" fontId="8" fillId="4" borderId="2" xfId="0" applyFont="1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166" fontId="8" fillId="4" borderId="4" xfId="0" applyNumberFormat="1" applyFont="1" applyFill="1" applyBorder="1" applyAlignment="1">
      <alignment horizontal="left" vertical="center"/>
    </xf>
    <xf numFmtId="168" fontId="8" fillId="4" borderId="48" xfId="0" applyNumberFormat="1" applyFont="1" applyFill="1" applyBorder="1" applyAlignment="1">
      <alignment horizontal="center" vertical="center"/>
    </xf>
    <xf numFmtId="168" fontId="8" fillId="4" borderId="4" xfId="0" applyNumberFormat="1" applyFont="1" applyFill="1" applyBorder="1" applyAlignment="1">
      <alignment horizontal="center" vertical="center"/>
    </xf>
    <xf numFmtId="168" fontId="8" fillId="4" borderId="42" xfId="0" applyNumberFormat="1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right" vertical="center"/>
    </xf>
    <xf numFmtId="0" fontId="8" fillId="4" borderId="4" xfId="0" applyFont="1" applyFill="1" applyBorder="1" applyAlignment="1">
      <alignment horizontal="right" vertical="center"/>
    </xf>
    <xf numFmtId="0" fontId="7" fillId="4" borderId="27" xfId="0" applyFont="1" applyFill="1" applyBorder="1" applyAlignment="1"/>
    <xf numFmtId="0" fontId="70" fillId="5" borderId="0" xfId="0" applyFont="1" applyFill="1" applyBorder="1" applyAlignment="1">
      <alignment horizontal="right" vertical="center"/>
    </xf>
    <xf numFmtId="0" fontId="8" fillId="5" borderId="21" xfId="0" applyFont="1" applyFill="1" applyBorder="1" applyAlignment="1">
      <alignment vertical="center"/>
    </xf>
    <xf numFmtId="166" fontId="8" fillId="5" borderId="1" xfId="0" applyNumberFormat="1" applyFont="1" applyFill="1" applyBorder="1" applyAlignment="1">
      <alignment horizontal="left" vertical="center"/>
    </xf>
    <xf numFmtId="1" fontId="8" fillId="5" borderId="102" xfId="0" applyNumberFormat="1" applyFont="1" applyFill="1" applyBorder="1" applyAlignment="1">
      <alignment horizontal="center" vertical="center"/>
    </xf>
    <xf numFmtId="1" fontId="8" fillId="5" borderId="89" xfId="0" applyNumberFormat="1" applyFont="1" applyFill="1" applyBorder="1" applyAlignment="1">
      <alignment horizontal="center" vertical="center"/>
    </xf>
    <xf numFmtId="1" fontId="8" fillId="5" borderId="90" xfId="0" applyNumberFormat="1" applyFont="1" applyFill="1" applyBorder="1" applyAlignment="1">
      <alignment horizontal="center" vertical="center"/>
    </xf>
    <xf numFmtId="0" fontId="7" fillId="5" borderId="33" xfId="0" applyFont="1" applyFill="1" applyBorder="1" applyAlignment="1"/>
    <xf numFmtId="0" fontId="47" fillId="0" borderId="0" xfId="0" applyFont="1" applyBorder="1" applyAlignment="1">
      <alignment vertical="center"/>
    </xf>
    <xf numFmtId="1" fontId="47" fillId="0" borderId="4" xfId="0" applyNumberFormat="1" applyFont="1" applyBorder="1" applyAlignment="1">
      <alignment vertical="center"/>
    </xf>
    <xf numFmtId="0" fontId="100" fillId="0" borderId="0" xfId="0" applyFont="1" applyBorder="1" applyAlignment="1">
      <alignment horizontal="left" vertical="center"/>
    </xf>
    <xf numFmtId="0" fontId="39" fillId="0" borderId="0" xfId="0" applyFont="1" applyBorder="1" applyAlignment="1">
      <alignment vertical="center"/>
    </xf>
    <xf numFmtId="3" fontId="39" fillId="0" borderId="0" xfId="0" applyNumberFormat="1" applyFont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4" fillId="0" borderId="0" xfId="0" applyFont="1" applyBorder="1" applyAlignment="1">
      <alignment horizontal="right" vertical="center"/>
    </xf>
    <xf numFmtId="0" fontId="20" fillId="0" borderId="0" xfId="0" quotePrefix="1" applyFont="1" applyBorder="1" applyAlignment="1">
      <alignment vertical="center"/>
    </xf>
    <xf numFmtId="3" fontId="19" fillId="0" borderId="0" xfId="0" applyNumberFormat="1" applyFont="1" applyBorder="1" applyAlignment="1">
      <alignment horizontal="left" vertical="center"/>
    </xf>
    <xf numFmtId="168" fontId="47" fillId="0" borderId="0" xfId="0" applyNumberFormat="1" applyFont="1" applyBorder="1" applyAlignment="1">
      <alignment horizontal="center" vertical="center"/>
    </xf>
    <xf numFmtId="0" fontId="19" fillId="0" borderId="0" xfId="0" applyFont="1" applyAlignment="1"/>
    <xf numFmtId="0" fontId="19" fillId="0" borderId="0" xfId="0" applyFont="1" applyBorder="1" applyAlignment="1">
      <alignment horizontal="right" vertical="center" readingOrder="1"/>
    </xf>
    <xf numFmtId="0" fontId="21" fillId="0" borderId="0" xfId="0" applyFont="1" applyBorder="1" applyAlignment="1">
      <alignment horizontal="left" vertical="center"/>
    </xf>
    <xf numFmtId="168" fontId="101" fillId="0" borderId="0" xfId="0" applyNumberFormat="1" applyFont="1"/>
    <xf numFmtId="0" fontId="0" fillId="0" borderId="0" xfId="0" applyAlignment="1">
      <alignment horizontal="center"/>
    </xf>
    <xf numFmtId="0" fontId="179" fillId="0" borderId="0" xfId="0" applyFont="1" applyAlignment="1"/>
    <xf numFmtId="0" fontId="183" fillId="0" borderId="0" xfId="0" applyFont="1"/>
    <xf numFmtId="0" fontId="103" fillId="0" borderId="0" xfId="0" applyFont="1" applyAlignment="1">
      <alignment horizontal="centerContinuous" vertical="center"/>
    </xf>
    <xf numFmtId="1" fontId="103" fillId="0" borderId="0" xfId="0" applyNumberFormat="1" applyFont="1" applyAlignment="1">
      <alignment horizontal="centerContinuous" vertical="center"/>
    </xf>
    <xf numFmtId="0" fontId="64" fillId="0" borderId="0" xfId="0" applyFont="1" applyAlignment="1">
      <alignment horizontal="right"/>
    </xf>
    <xf numFmtId="0" fontId="176" fillId="7" borderId="2" xfId="0" applyFont="1" applyFill="1" applyBorder="1"/>
    <xf numFmtId="0" fontId="3" fillId="7" borderId="93" xfId="0" applyFont="1" applyFill="1" applyBorder="1"/>
    <xf numFmtId="0" fontId="176" fillId="7" borderId="7" xfId="0" applyFont="1" applyFill="1" applyBorder="1"/>
    <xf numFmtId="0" fontId="3" fillId="7" borderId="94" xfId="0" applyFont="1" applyFill="1" applyBorder="1"/>
    <xf numFmtId="0" fontId="176" fillId="7" borderId="7" xfId="0" applyFont="1" applyFill="1" applyBorder="1" applyAlignment="1">
      <alignment vertical="center"/>
    </xf>
    <xf numFmtId="0" fontId="3" fillId="7" borderId="94" xfId="0" applyFont="1" applyFill="1" applyBorder="1" applyAlignment="1">
      <alignment vertical="center"/>
    </xf>
    <xf numFmtId="0" fontId="0" fillId="0" borderId="0" xfId="0" applyFill="1" applyAlignment="1">
      <alignment horizontal="center"/>
    </xf>
    <xf numFmtId="12" fontId="0" fillId="0" borderId="0" xfId="0" applyNumberFormat="1" applyFill="1" applyAlignment="1">
      <alignment horizontal="center"/>
    </xf>
    <xf numFmtId="0" fontId="182" fillId="0" borderId="0" xfId="0" applyFont="1"/>
    <xf numFmtId="2" fontId="25" fillId="0" borderId="93" xfId="0" applyNumberFormat="1" applyFont="1" applyFill="1" applyBorder="1" applyAlignment="1">
      <alignment horizontal="left" vertical="top" wrapText="1"/>
    </xf>
    <xf numFmtId="166" fontId="28" fillId="0" borderId="4" xfId="0" applyNumberFormat="1" applyFont="1" applyFill="1" applyBorder="1" applyAlignment="1">
      <alignment horizontal="center" vertical="top"/>
    </xf>
    <xf numFmtId="166" fontId="28" fillId="0" borderId="27" xfId="0" applyNumberFormat="1" applyFont="1" applyFill="1" applyBorder="1" applyAlignment="1">
      <alignment horizontal="center" vertical="top"/>
    </xf>
    <xf numFmtId="2" fontId="25" fillId="0" borderId="93" xfId="0" applyNumberFormat="1" applyFont="1" applyFill="1" applyBorder="1" applyAlignment="1">
      <alignment horizontal="right" vertical="top" wrapText="1"/>
    </xf>
    <xf numFmtId="0" fontId="182" fillId="0" borderId="0" xfId="0" applyFont="1" applyFill="1"/>
    <xf numFmtId="0" fontId="182" fillId="0" borderId="0" xfId="0" applyFont="1" applyFill="1" applyAlignment="1">
      <alignment horizontal="center"/>
    </xf>
    <xf numFmtId="0" fontId="182" fillId="0" borderId="0" xfId="0" applyFont="1" applyAlignment="1">
      <alignment horizontal="center"/>
    </xf>
    <xf numFmtId="2" fontId="25" fillId="12" borderId="94" xfId="0" applyNumberFormat="1" applyFont="1" applyFill="1" applyBorder="1" applyAlignment="1">
      <alignment horizontal="left" vertical="top" wrapText="1" indent="2"/>
    </xf>
    <xf numFmtId="166" fontId="28" fillId="12" borderId="0" xfId="0" applyNumberFormat="1" applyFont="1" applyFill="1" applyBorder="1" applyAlignment="1">
      <alignment horizontal="center" vertical="top"/>
    </xf>
    <xf numFmtId="166" fontId="28" fillId="12" borderId="25" xfId="0" applyNumberFormat="1" applyFont="1" applyFill="1" applyBorder="1" applyAlignment="1">
      <alignment horizontal="center" vertical="top"/>
    </xf>
    <xf numFmtId="2" fontId="25" fillId="12" borderId="94" xfId="0" applyNumberFormat="1" applyFont="1" applyFill="1" applyBorder="1" applyAlignment="1">
      <alignment horizontal="right" vertical="top" wrapText="1" indent="2"/>
    </xf>
    <xf numFmtId="166" fontId="182" fillId="0" borderId="0" xfId="0" applyNumberFormat="1" applyFont="1" applyFill="1" applyAlignment="1">
      <alignment horizontal="center"/>
    </xf>
    <xf numFmtId="166" fontId="182" fillId="0" borderId="0" xfId="0" applyNumberFormat="1" applyFont="1" applyFill="1"/>
    <xf numFmtId="2" fontId="25" fillId="0" borderId="94" xfId="0" applyNumberFormat="1" applyFont="1" applyFill="1" applyBorder="1" applyAlignment="1">
      <alignment horizontal="left" vertical="top" wrapText="1" indent="2"/>
    </xf>
    <xf numFmtId="166" fontId="28" fillId="0" borderId="0" xfId="0" applyNumberFormat="1" applyFont="1" applyFill="1" applyBorder="1" applyAlignment="1">
      <alignment horizontal="center" vertical="top"/>
    </xf>
    <xf numFmtId="166" fontId="28" fillId="0" borderId="25" xfId="0" applyNumberFormat="1" applyFont="1" applyFill="1" applyBorder="1" applyAlignment="1">
      <alignment horizontal="center" vertical="top"/>
    </xf>
    <xf numFmtId="2" fontId="25" fillId="0" borderId="94" xfId="0" applyNumberFormat="1" applyFont="1" applyFill="1" applyBorder="1" applyAlignment="1">
      <alignment horizontal="right" vertical="top" wrapText="1" indent="2"/>
    </xf>
    <xf numFmtId="2" fontId="56" fillId="12" borderId="94" xfId="0" applyNumberFormat="1" applyFont="1" applyFill="1" applyBorder="1" applyAlignment="1">
      <alignment horizontal="left" vertical="top" wrapText="1" indent="7"/>
    </xf>
    <xf numFmtId="166" fontId="20" fillId="12" borderId="0" xfId="0" applyNumberFormat="1" applyFont="1" applyFill="1" applyBorder="1" applyAlignment="1">
      <alignment horizontal="center" vertical="top"/>
    </xf>
    <xf numFmtId="166" fontId="20" fillId="12" borderId="25" xfId="0" applyNumberFormat="1" applyFont="1" applyFill="1" applyBorder="1" applyAlignment="1">
      <alignment horizontal="center" vertical="top"/>
    </xf>
    <xf numFmtId="2" fontId="56" fillId="12" borderId="94" xfId="0" applyNumberFormat="1" applyFont="1" applyFill="1" applyBorder="1" applyAlignment="1">
      <alignment horizontal="right" vertical="top" wrapText="1" indent="7" readingOrder="2"/>
    </xf>
    <xf numFmtId="2" fontId="56" fillId="12" borderId="94" xfId="0" applyNumberFormat="1" applyFont="1" applyFill="1" applyBorder="1" applyAlignment="1">
      <alignment horizontal="right" vertical="top" wrapText="1" indent="7"/>
    </xf>
    <xf numFmtId="2" fontId="56" fillId="0" borderId="94" xfId="0" applyNumberFormat="1" applyFont="1" applyFill="1" applyBorder="1" applyAlignment="1">
      <alignment horizontal="left" vertical="top" wrapText="1" indent="7"/>
    </xf>
    <xf numFmtId="166" fontId="20" fillId="0" borderId="0" xfId="0" applyNumberFormat="1" applyFont="1" applyFill="1" applyBorder="1" applyAlignment="1">
      <alignment horizontal="center" vertical="top"/>
    </xf>
    <xf numFmtId="166" fontId="20" fillId="0" borderId="25" xfId="0" applyNumberFormat="1" applyFont="1" applyFill="1" applyBorder="1" applyAlignment="1">
      <alignment horizontal="center" vertical="top"/>
    </xf>
    <xf numFmtId="2" fontId="56" fillId="0" borderId="94" xfId="0" applyNumberFormat="1" applyFont="1" applyFill="1" applyBorder="1" applyAlignment="1">
      <alignment horizontal="right" vertical="top" wrapText="1" indent="9"/>
    </xf>
    <xf numFmtId="2" fontId="55" fillId="12" borderId="94" xfId="0" applyNumberFormat="1" applyFont="1" applyFill="1" applyBorder="1" applyAlignment="1">
      <alignment horizontal="left" vertical="top" wrapText="1" indent="11"/>
    </xf>
    <xf numFmtId="2" fontId="55" fillId="12" borderId="94" xfId="0" applyNumberFormat="1" applyFont="1" applyFill="1" applyBorder="1" applyAlignment="1">
      <alignment horizontal="right" vertical="top" wrapText="1" indent="11"/>
    </xf>
    <xf numFmtId="2" fontId="55" fillId="0" borderId="94" xfId="0" applyNumberFormat="1" applyFont="1" applyFill="1" applyBorder="1" applyAlignment="1">
      <alignment horizontal="left" vertical="top" wrapText="1" indent="11"/>
    </xf>
    <xf numFmtId="2" fontId="55" fillId="0" borderId="94" xfId="0" applyNumberFormat="1" applyFont="1" applyFill="1" applyBorder="1" applyAlignment="1">
      <alignment horizontal="right" vertical="top" wrapText="1" indent="11"/>
    </xf>
    <xf numFmtId="2" fontId="56" fillId="12" borderId="94" xfId="0" applyNumberFormat="1" applyFont="1" applyFill="1" applyBorder="1" applyAlignment="1">
      <alignment horizontal="right" vertical="top" wrapText="1" indent="9"/>
    </xf>
    <xf numFmtId="2" fontId="56" fillId="0" borderId="94" xfId="0" applyNumberFormat="1" applyFont="1" applyFill="1" applyBorder="1" applyAlignment="1">
      <alignment horizontal="right" vertical="top" wrapText="1" indent="7"/>
    </xf>
    <xf numFmtId="2" fontId="56" fillId="0" borderId="94" xfId="0" applyNumberFormat="1" applyFont="1" applyFill="1" applyBorder="1" applyAlignment="1">
      <alignment horizontal="left" vertical="top" wrapText="1" indent="9"/>
    </xf>
    <xf numFmtId="2" fontId="56" fillId="12" borderId="94" xfId="0" applyNumberFormat="1" applyFont="1" applyFill="1" applyBorder="1" applyAlignment="1">
      <alignment horizontal="left" vertical="top" wrapText="1" indent="9"/>
    </xf>
    <xf numFmtId="166" fontId="20" fillId="12" borderId="0" xfId="0" applyNumberFormat="1" applyFont="1" applyFill="1" applyBorder="1" applyAlignment="1">
      <alignment horizontal="center" vertical="center"/>
    </xf>
    <xf numFmtId="166" fontId="20" fillId="12" borderId="25" xfId="0" applyNumberFormat="1" applyFont="1" applyFill="1" applyBorder="1" applyAlignment="1">
      <alignment horizontal="center" vertical="center"/>
    </xf>
    <xf numFmtId="166" fontId="20" fillId="0" borderId="1" xfId="0" applyNumberFormat="1" applyFont="1" applyFill="1" applyBorder="1" applyAlignment="1">
      <alignment horizontal="center" vertical="top"/>
    </xf>
    <xf numFmtId="2" fontId="180" fillId="0" borderId="4" xfId="0" applyNumberFormat="1" applyFont="1" applyFill="1" applyBorder="1" applyAlignment="1">
      <alignment horizontal="left" vertical="top" wrapText="1" indent="9"/>
    </xf>
    <xf numFmtId="166" fontId="181" fillId="0" borderId="4" xfId="0" applyNumberFormat="1" applyFont="1" applyFill="1" applyBorder="1" applyAlignment="1">
      <alignment horizontal="center" vertical="center"/>
    </xf>
    <xf numFmtId="2" fontId="180" fillId="0" borderId="4" xfId="0" applyNumberFormat="1" applyFont="1" applyFill="1" applyBorder="1" applyAlignment="1">
      <alignment horizontal="right" vertical="top" wrapText="1" indent="9"/>
    </xf>
    <xf numFmtId="0" fontId="178" fillId="0" borderId="0" xfId="0" applyFont="1" applyFill="1" applyBorder="1"/>
    <xf numFmtId="0" fontId="0" fillId="0" borderId="0" xfId="0" applyFill="1" applyBorder="1"/>
    <xf numFmtId="0" fontId="176" fillId="7" borderId="21" xfId="0" applyFont="1" applyFill="1" applyBorder="1" applyAlignment="1">
      <alignment vertical="center"/>
    </xf>
    <xf numFmtId="0" fontId="3" fillId="7" borderId="113" xfId="0" applyFont="1" applyFill="1" applyBorder="1" applyAlignment="1">
      <alignment vertical="center"/>
    </xf>
    <xf numFmtId="166" fontId="28" fillId="0" borderId="4" xfId="0" applyNumberFormat="1" applyFont="1" applyFill="1" applyBorder="1" applyAlignment="1">
      <alignment horizontal="center" vertical="center"/>
    </xf>
    <xf numFmtId="166" fontId="28" fillId="0" borderId="25" xfId="0" applyNumberFormat="1" applyFont="1" applyFill="1" applyBorder="1" applyAlignment="1">
      <alignment horizontal="center" vertical="center"/>
    </xf>
    <xf numFmtId="166" fontId="28" fillId="12" borderId="0" xfId="0" applyNumberFormat="1" applyFont="1" applyFill="1" applyBorder="1" applyAlignment="1">
      <alignment horizontal="center" vertical="center"/>
    </xf>
    <xf numFmtId="166" fontId="28" fillId="12" borderId="25" xfId="0" applyNumberFormat="1" applyFont="1" applyFill="1" applyBorder="1" applyAlignment="1">
      <alignment horizontal="center" vertical="center"/>
    </xf>
    <xf numFmtId="166" fontId="28" fillId="0" borderId="0" xfId="0" applyNumberFormat="1" applyFont="1" applyFill="1" applyBorder="1" applyAlignment="1">
      <alignment horizontal="center" vertical="center"/>
    </xf>
    <xf numFmtId="166" fontId="20" fillId="0" borderId="0" xfId="0" applyNumberFormat="1" applyFont="1" applyFill="1" applyBorder="1" applyAlignment="1">
      <alignment horizontal="center" vertical="center"/>
    </xf>
    <xf numFmtId="166" fontId="20" fillId="0" borderId="25" xfId="0" applyNumberFormat="1" applyFont="1" applyFill="1" applyBorder="1" applyAlignment="1">
      <alignment horizontal="center" vertical="center"/>
    </xf>
    <xf numFmtId="2" fontId="56" fillId="0" borderId="94" xfId="0" applyNumberFormat="1" applyFont="1" applyFill="1" applyBorder="1" applyAlignment="1">
      <alignment horizontal="left" vertical="top" wrapText="1" indent="11"/>
    </xf>
    <xf numFmtId="2" fontId="56" fillId="0" borderId="94" xfId="0" applyNumberFormat="1" applyFont="1" applyFill="1" applyBorder="1" applyAlignment="1">
      <alignment horizontal="right" vertical="top" wrapText="1" indent="11"/>
    </xf>
    <xf numFmtId="2" fontId="56" fillId="12" borderId="94" xfId="0" applyNumberFormat="1" applyFont="1" applyFill="1" applyBorder="1" applyAlignment="1">
      <alignment horizontal="left" vertical="top" wrapText="1" indent="11"/>
    </xf>
    <xf numFmtId="2" fontId="56" fillId="12" borderId="94" xfId="0" applyNumberFormat="1" applyFont="1" applyFill="1" applyBorder="1" applyAlignment="1">
      <alignment horizontal="right" vertical="top" wrapText="1" indent="11"/>
    </xf>
    <xf numFmtId="2" fontId="56" fillId="3" borderId="94" xfId="0" applyNumberFormat="1" applyFont="1" applyFill="1" applyBorder="1" applyAlignment="1">
      <alignment horizontal="left" vertical="top" wrapText="1" indent="11"/>
    </xf>
    <xf numFmtId="2" fontId="55" fillId="12" borderId="94" xfId="0" applyNumberFormat="1" applyFont="1" applyFill="1" applyBorder="1" applyAlignment="1">
      <alignment horizontal="left" vertical="top" wrapText="1" indent="12"/>
    </xf>
    <xf numFmtId="2" fontId="55" fillId="12" borderId="94" xfId="0" applyNumberFormat="1" applyFont="1" applyFill="1" applyBorder="1" applyAlignment="1">
      <alignment horizontal="right" vertical="top" wrapText="1" indent="12"/>
    </xf>
    <xf numFmtId="2" fontId="55" fillId="0" borderId="94" xfId="0" applyNumberFormat="1" applyFont="1" applyFill="1" applyBorder="1" applyAlignment="1">
      <alignment horizontal="left" vertical="top" wrapText="1" indent="12"/>
    </xf>
    <xf numFmtId="2" fontId="55" fillId="0" borderId="94" xfId="0" applyNumberFormat="1" applyFont="1" applyFill="1" applyBorder="1" applyAlignment="1">
      <alignment horizontal="right" vertical="top" wrapText="1" indent="12"/>
    </xf>
    <xf numFmtId="166" fontId="20" fillId="0" borderId="1" xfId="0" applyNumberFormat="1" applyFont="1" applyFill="1" applyBorder="1" applyAlignment="1">
      <alignment horizontal="center" vertical="center"/>
    </xf>
    <xf numFmtId="166" fontId="20" fillId="0" borderId="33" xfId="0" applyNumberFormat="1" applyFont="1" applyFill="1" applyBorder="1" applyAlignment="1">
      <alignment horizontal="center" vertical="center"/>
    </xf>
    <xf numFmtId="2" fontId="180" fillId="0" borderId="4" xfId="0" applyNumberFormat="1" applyFont="1" applyFill="1" applyBorder="1" applyAlignment="1">
      <alignment horizontal="left" vertical="top" wrapText="1" indent="3"/>
    </xf>
    <xf numFmtId="2" fontId="180" fillId="0" borderId="4" xfId="0" applyNumberFormat="1" applyFont="1" applyFill="1" applyBorder="1" applyAlignment="1">
      <alignment horizontal="right" vertical="top" wrapText="1" indent="3"/>
    </xf>
    <xf numFmtId="2" fontId="25" fillId="0" borderId="94" xfId="0" applyNumberFormat="1" applyFont="1" applyFill="1" applyBorder="1" applyAlignment="1">
      <alignment horizontal="left" vertical="top" wrapText="1"/>
    </xf>
    <xf numFmtId="2" fontId="25" fillId="0" borderId="94" xfId="0" applyNumberFormat="1" applyFont="1" applyFill="1" applyBorder="1" applyAlignment="1">
      <alignment horizontal="right" vertical="top" wrapText="1"/>
    </xf>
    <xf numFmtId="2" fontId="25" fillId="0" borderId="94" xfId="0" applyNumberFormat="1" applyFont="1" applyFill="1" applyBorder="1" applyAlignment="1">
      <alignment horizontal="left" vertical="top" wrapText="1" indent="4"/>
    </xf>
    <xf numFmtId="2" fontId="25" fillId="0" borderId="94" xfId="0" applyNumberFormat="1" applyFont="1" applyFill="1" applyBorder="1" applyAlignment="1">
      <alignment horizontal="right" vertical="top" wrapText="1" indent="4"/>
    </xf>
    <xf numFmtId="2" fontId="25" fillId="12" borderId="94" xfId="0" applyNumberFormat="1" applyFont="1" applyFill="1" applyBorder="1" applyAlignment="1">
      <alignment horizontal="left" vertical="top" wrapText="1" indent="4"/>
    </xf>
    <xf numFmtId="2" fontId="25" fillId="12" borderId="94" xfId="0" applyNumberFormat="1" applyFont="1" applyFill="1" applyBorder="1" applyAlignment="1">
      <alignment horizontal="right" vertical="top" wrapText="1" indent="4"/>
    </xf>
    <xf numFmtId="2" fontId="56" fillId="0" borderId="94" xfId="0" applyNumberFormat="1" applyFont="1" applyFill="1" applyBorder="1" applyAlignment="1">
      <alignment horizontal="left" vertical="top" wrapText="1" indent="6"/>
    </xf>
    <xf numFmtId="2" fontId="56" fillId="0" borderId="94" xfId="0" applyNumberFormat="1" applyFont="1" applyFill="1" applyBorder="1" applyAlignment="1">
      <alignment horizontal="right" vertical="top" wrapText="1" indent="6"/>
    </xf>
    <xf numFmtId="2" fontId="56" fillId="12" borderId="94" xfId="0" applyNumberFormat="1" applyFont="1" applyFill="1" applyBorder="1" applyAlignment="1">
      <alignment horizontal="left" vertical="top" wrapText="1" indent="8"/>
    </xf>
    <xf numFmtId="2" fontId="56" fillId="12" borderId="94" xfId="0" applyNumberFormat="1" applyFont="1" applyFill="1" applyBorder="1" applyAlignment="1">
      <alignment horizontal="right" vertical="top" wrapText="1" indent="8"/>
    </xf>
    <xf numFmtId="2" fontId="56" fillId="0" borderId="94" xfId="0" applyNumberFormat="1" applyFont="1" applyFill="1" applyBorder="1" applyAlignment="1">
      <alignment horizontal="left" vertical="top" wrapText="1" indent="5"/>
    </xf>
    <xf numFmtId="2" fontId="56" fillId="0" borderId="94" xfId="0" applyNumberFormat="1" applyFont="1" applyFill="1" applyBorder="1" applyAlignment="1">
      <alignment horizontal="right" vertical="top" wrapText="1" indent="5"/>
    </xf>
    <xf numFmtId="2" fontId="56" fillId="12" borderId="94" xfId="0" applyNumberFormat="1" applyFont="1" applyFill="1" applyBorder="1" applyAlignment="1">
      <alignment horizontal="left" vertical="top" wrapText="1" indent="5"/>
    </xf>
    <xf numFmtId="2" fontId="56" fillId="12" borderId="94" xfId="0" applyNumberFormat="1" applyFont="1" applyFill="1" applyBorder="1" applyAlignment="1">
      <alignment horizontal="right" vertical="top" wrapText="1" indent="5"/>
    </xf>
    <xf numFmtId="166" fontId="28" fillId="0" borderId="1" xfId="0" applyNumberFormat="1" applyFont="1" applyFill="1" applyBorder="1" applyAlignment="1">
      <alignment horizontal="center" vertical="center"/>
    </xf>
    <xf numFmtId="166" fontId="28" fillId="0" borderId="33" xfId="0" applyNumberFormat="1" applyFont="1" applyFill="1" applyBorder="1" applyAlignment="1">
      <alignment horizontal="center" vertical="center"/>
    </xf>
    <xf numFmtId="0" fontId="78" fillId="0" borderId="0" xfId="0" applyFont="1"/>
    <xf numFmtId="171" fontId="92" fillId="0" borderId="0" xfId="0" applyNumberFormat="1" applyFont="1"/>
    <xf numFmtId="167" fontId="92" fillId="0" borderId="0" xfId="0" applyNumberFormat="1" applyFont="1"/>
    <xf numFmtId="0" fontId="7" fillId="0" borderId="0" xfId="0" applyFont="1" applyAlignment="1"/>
    <xf numFmtId="0" fontId="28" fillId="0" borderId="0" xfId="0" applyFont="1" applyAlignment="1"/>
    <xf numFmtId="0" fontId="28" fillId="0" borderId="0" xfId="0" applyFont="1" applyAlignment="1">
      <alignment horizontal="centerContinuous" vertical="center"/>
    </xf>
    <xf numFmtId="166" fontId="28" fillId="0" borderId="0" xfId="0" applyNumberFormat="1" applyFont="1" applyAlignment="1">
      <alignment horizontal="centerContinuous" vertical="center"/>
    </xf>
    <xf numFmtId="0" fontId="28" fillId="0" borderId="0" xfId="0" applyFont="1" applyAlignment="1">
      <alignment horizontal="centerContinuous"/>
    </xf>
    <xf numFmtId="0" fontId="47" fillId="0" borderId="0" xfId="0" quotePrefix="1" applyFont="1" applyFill="1" applyBorder="1" applyAlignment="1">
      <alignment horizontal="left" vertical="center"/>
    </xf>
    <xf numFmtId="0" fontId="8" fillId="2" borderId="85" xfId="0" applyFont="1" applyFill="1" applyBorder="1"/>
    <xf numFmtId="0" fontId="7" fillId="2" borderId="48" xfId="0" quotePrefix="1" applyFont="1" applyFill="1" applyBorder="1" applyAlignment="1">
      <alignment horizontal="left" vertical="center"/>
    </xf>
    <xf numFmtId="0" fontId="7" fillId="2" borderId="85" xfId="0" quotePrefix="1" applyFont="1" applyFill="1" applyBorder="1" applyAlignment="1">
      <alignment horizontal="left" vertical="center"/>
    </xf>
    <xf numFmtId="0" fontId="7" fillId="2" borderId="103" xfId="0" applyFont="1" applyFill="1" applyBorder="1"/>
    <xf numFmtId="0" fontId="8" fillId="2" borderId="80" xfId="0" applyFont="1" applyFill="1" applyBorder="1"/>
    <xf numFmtId="0" fontId="7" fillId="2" borderId="76" xfId="0" applyFont="1" applyFill="1" applyBorder="1" applyAlignment="1">
      <alignment horizontal="center"/>
    </xf>
    <xf numFmtId="0" fontId="7" fillId="2" borderId="79" xfId="0" applyFont="1" applyFill="1" applyBorder="1" applyAlignment="1">
      <alignment horizontal="centerContinuous" vertical="center"/>
    </xf>
    <xf numFmtId="0" fontId="7" fillId="2" borderId="80" xfId="0" applyFont="1" applyFill="1" applyBorder="1" applyAlignment="1">
      <alignment horizontal="centerContinuous" vertical="center"/>
    </xf>
    <xf numFmtId="0" fontId="7" fillId="2" borderId="76" xfId="0" applyFont="1" applyFill="1" applyBorder="1" applyAlignment="1">
      <alignment horizontal="centerContinuous" vertical="center"/>
    </xf>
    <xf numFmtId="0" fontId="105" fillId="0" borderId="25" xfId="0" applyFont="1" applyBorder="1"/>
    <xf numFmtId="0" fontId="7" fillId="2" borderId="7" xfId="0" applyFont="1" applyFill="1" applyBorder="1" applyAlignment="1">
      <alignment vertical="center"/>
    </xf>
    <xf numFmtId="0" fontId="8" fillId="2" borderId="80" xfId="0" applyFont="1" applyFill="1" applyBorder="1" applyAlignment="1">
      <alignment vertical="center"/>
    </xf>
    <xf numFmtId="0" fontId="7" fillId="2" borderId="79" xfId="0" applyFont="1" applyFill="1" applyBorder="1" applyAlignment="1">
      <alignment horizontal="center" vertical="center"/>
    </xf>
    <xf numFmtId="0" fontId="7" fillId="2" borderId="80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vertical="center"/>
    </xf>
    <xf numFmtId="12" fontId="0" fillId="0" borderId="0" xfId="0" applyNumberFormat="1" applyFill="1"/>
    <xf numFmtId="0" fontId="7" fillId="2" borderId="38" xfId="0" applyFont="1" applyFill="1" applyBorder="1"/>
    <xf numFmtId="0" fontId="8" fillId="2" borderId="83" xfId="0" applyFont="1" applyFill="1" applyBorder="1"/>
    <xf numFmtId="0" fontId="7" fillId="2" borderId="49" xfId="0" applyFont="1" applyFill="1" applyBorder="1"/>
    <xf numFmtId="0" fontId="7" fillId="2" borderId="83" xfId="0" applyFont="1" applyFill="1" applyBorder="1"/>
    <xf numFmtId="0" fontId="7" fillId="2" borderId="82" xfId="0" applyFont="1" applyFill="1" applyBorder="1" applyAlignment="1">
      <alignment horizontal="center"/>
    </xf>
    <xf numFmtId="0" fontId="7" fillId="2" borderId="84" xfId="0" applyFont="1" applyFill="1" applyBorder="1" applyAlignment="1">
      <alignment horizontal="center"/>
    </xf>
    <xf numFmtId="166" fontId="106" fillId="0" borderId="0" xfId="0" applyNumberFormat="1" applyFont="1"/>
    <xf numFmtId="0" fontId="8" fillId="5" borderId="7" xfId="0" applyFont="1" applyFill="1" applyBorder="1"/>
    <xf numFmtId="0" fontId="8" fillId="5" borderId="0" xfId="0" applyFont="1" applyFill="1" applyBorder="1" applyAlignment="1">
      <alignment horizontal="right"/>
    </xf>
    <xf numFmtId="166" fontId="0" fillId="0" borderId="0" xfId="0" applyNumberFormat="1" applyFill="1"/>
    <xf numFmtId="0" fontId="8" fillId="4" borderId="7" xfId="0" applyFont="1" applyFill="1" applyBorder="1"/>
    <xf numFmtId="166" fontId="8" fillId="4" borderId="0" xfId="0" applyNumberFormat="1" applyFont="1" applyFill="1" applyBorder="1" applyAlignment="1">
      <alignment horizontal="right"/>
    </xf>
    <xf numFmtId="166" fontId="8" fillId="4" borderId="25" xfId="0" applyNumberFormat="1" applyFont="1" applyFill="1" applyBorder="1"/>
    <xf numFmtId="0" fontId="7" fillId="5" borderId="7" xfId="0" applyFont="1" applyFill="1" applyBorder="1"/>
    <xf numFmtId="166" fontId="7" fillId="5" borderId="0" xfId="0" applyNumberFormat="1" applyFont="1" applyFill="1" applyBorder="1" applyAlignment="1">
      <alignment horizontal="right"/>
    </xf>
    <xf numFmtId="166" fontId="7" fillId="5" borderId="25" xfId="0" applyNumberFormat="1" applyFont="1" applyFill="1" applyBorder="1"/>
    <xf numFmtId="0" fontId="7" fillId="4" borderId="7" xfId="0" applyFont="1" applyFill="1" applyBorder="1"/>
    <xf numFmtId="166" fontId="7" fillId="4" borderId="0" xfId="0" applyNumberFormat="1" applyFont="1" applyFill="1" applyBorder="1" applyAlignment="1">
      <alignment horizontal="right"/>
    </xf>
    <xf numFmtId="166" fontId="7" fillId="4" borderId="0" xfId="0" applyNumberFormat="1" applyFont="1" applyFill="1" applyBorder="1"/>
    <xf numFmtId="166" fontId="7" fillId="4" borderId="25" xfId="0" applyNumberFormat="1" applyFont="1" applyFill="1" applyBorder="1"/>
    <xf numFmtId="166" fontId="7" fillId="5" borderId="0" xfId="0" applyNumberFormat="1" applyFont="1" applyFill="1" applyBorder="1"/>
    <xf numFmtId="166" fontId="8" fillId="5" borderId="0" xfId="0" applyNumberFormat="1" applyFont="1" applyFill="1" applyBorder="1" applyAlignment="1">
      <alignment horizontal="right"/>
    </xf>
    <xf numFmtId="166" fontId="8" fillId="5" borderId="0" xfId="0" applyNumberFormat="1" applyFont="1" applyFill="1" applyBorder="1"/>
    <xf numFmtId="166" fontId="8" fillId="5" borderId="25" xfId="0" applyNumberFormat="1" applyFont="1" applyFill="1" applyBorder="1"/>
    <xf numFmtId="166" fontId="7" fillId="4" borderId="25" xfId="0" applyNumberFormat="1" applyFont="1" applyFill="1" applyBorder="1" applyAlignment="1">
      <alignment horizontal="right"/>
    </xf>
    <xf numFmtId="0" fontId="104" fillId="0" borderId="7" xfId="0" applyFont="1" applyBorder="1"/>
    <xf numFmtId="0" fontId="7" fillId="4" borderId="17" xfId="0" applyFont="1" applyFill="1" applyBorder="1" applyAlignment="1">
      <alignment vertical="center"/>
    </xf>
    <xf numFmtId="166" fontId="7" fillId="5" borderId="25" xfId="0" applyNumberFormat="1" applyFont="1" applyFill="1" applyBorder="1" applyAlignment="1">
      <alignment horizontal="right"/>
    </xf>
    <xf numFmtId="0" fontId="107" fillId="0" borderId="0" xfId="0" applyFont="1" applyFill="1"/>
    <xf numFmtId="166" fontId="8" fillId="4" borderId="7" xfId="0" applyNumberFormat="1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right"/>
    </xf>
    <xf numFmtId="166" fontId="7" fillId="0" borderId="25" xfId="0" applyNumberFormat="1" applyFont="1" applyFill="1" applyBorder="1"/>
    <xf numFmtId="0" fontId="7" fillId="5" borderId="21" xfId="0" applyFont="1" applyFill="1" applyBorder="1"/>
    <xf numFmtId="166" fontId="7" fillId="5" borderId="1" xfId="0" applyNumberFormat="1" applyFont="1" applyFill="1" applyBorder="1" applyAlignment="1">
      <alignment horizontal="right"/>
    </xf>
    <xf numFmtId="166" fontId="7" fillId="5" borderId="33" xfId="0" applyNumberFormat="1" applyFont="1" applyFill="1" applyBorder="1"/>
    <xf numFmtId="166" fontId="20" fillId="0" borderId="0" xfId="0" quotePrefix="1" applyNumberFormat="1" applyFont="1" applyAlignment="1">
      <alignment horizontal="center" vertical="center"/>
    </xf>
    <xf numFmtId="0" fontId="104" fillId="0" borderId="0" xfId="0" applyFont="1" applyAlignment="1">
      <alignment horizontal="right"/>
    </xf>
    <xf numFmtId="0" fontId="20" fillId="0" borderId="0" xfId="0" quotePrefix="1" applyFont="1" applyAlignment="1">
      <alignment horizontal="right" vertical="center"/>
    </xf>
    <xf numFmtId="0" fontId="108" fillId="0" borderId="0" xfId="0" applyFont="1" applyAlignment="1">
      <alignment horizontal="right"/>
    </xf>
    <xf numFmtId="0" fontId="108" fillId="0" borderId="0" xfId="0" applyFont="1"/>
    <xf numFmtId="0" fontId="54" fillId="0" borderId="0" xfId="0" applyFont="1" applyAlignment="1">
      <alignment horizontal="right"/>
    </xf>
    <xf numFmtId="0" fontId="20" fillId="0" borderId="0" xfId="0" applyFont="1" applyAlignment="1">
      <alignment horizontal="right" vertical="top"/>
    </xf>
    <xf numFmtId="0" fontId="20" fillId="0" borderId="0" xfId="0" applyFont="1" applyFill="1" applyAlignment="1">
      <alignment horizontal="right"/>
    </xf>
    <xf numFmtId="0" fontId="20" fillId="0" borderId="0" xfId="0" applyFont="1" applyFill="1" applyAlignment="1">
      <alignment horizontal="center" vertical="center"/>
    </xf>
    <xf numFmtId="0" fontId="0" fillId="0" borderId="0" xfId="0" applyAlignment="1">
      <alignment horizontal="right"/>
    </xf>
    <xf numFmtId="0" fontId="101" fillId="0" borderId="0" xfId="0" applyFont="1" applyAlignment="1">
      <alignment horizontal="left"/>
    </xf>
    <xf numFmtId="0" fontId="109" fillId="0" borderId="0" xfId="0" applyFont="1" applyAlignment="1">
      <alignment horizontal="right"/>
    </xf>
    <xf numFmtId="0" fontId="28" fillId="0" borderId="0" xfId="0" applyFont="1" applyAlignment="1">
      <alignment horizontal="center" vertical="center"/>
    </xf>
    <xf numFmtId="0" fontId="8" fillId="0" borderId="0" xfId="0" quotePrefix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/>
    </xf>
    <xf numFmtId="0" fontId="7" fillId="2" borderId="104" xfId="0" applyFont="1" applyFill="1" applyBorder="1"/>
    <xf numFmtId="0" fontId="7" fillId="2" borderId="17" xfId="0" applyFont="1" applyFill="1" applyBorder="1"/>
    <xf numFmtId="0" fontId="7" fillId="2" borderId="31" xfId="0" applyFont="1" applyFill="1" applyBorder="1"/>
    <xf numFmtId="0" fontId="7" fillId="2" borderId="15" xfId="0" applyFont="1" applyFill="1" applyBorder="1"/>
    <xf numFmtId="0" fontId="7" fillId="2" borderId="41" xfId="0" applyFont="1" applyFill="1" applyBorder="1"/>
    <xf numFmtId="166" fontId="8" fillId="4" borderId="10" xfId="0" applyNumberFormat="1" applyFont="1" applyFill="1" applyBorder="1" applyAlignment="1">
      <alignment horizontal="center" vertical="center"/>
    </xf>
    <xf numFmtId="166" fontId="8" fillId="5" borderId="25" xfId="0" applyNumberFormat="1" applyFont="1" applyFill="1" applyBorder="1" applyAlignment="1">
      <alignment vertical="center"/>
    </xf>
    <xf numFmtId="166" fontId="7" fillId="0" borderId="25" xfId="0" applyNumberFormat="1" applyFont="1" applyFill="1" applyBorder="1" applyAlignment="1">
      <alignment vertical="center"/>
    </xf>
    <xf numFmtId="0" fontId="8" fillId="0" borderId="7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166" fontId="8" fillId="0" borderId="0" xfId="0" applyNumberFormat="1" applyFont="1" applyFill="1" applyBorder="1" applyAlignment="1">
      <alignment vertical="center"/>
    </xf>
    <xf numFmtId="166" fontId="8" fillId="0" borderId="25" xfId="0" applyNumberFormat="1" applyFont="1" applyFill="1" applyBorder="1" applyAlignment="1">
      <alignment vertical="center"/>
    </xf>
    <xf numFmtId="166" fontId="7" fillId="5" borderId="25" xfId="0" applyNumberFormat="1" applyFont="1" applyFill="1" applyBorder="1" applyAlignment="1">
      <alignment vertical="center"/>
    </xf>
    <xf numFmtId="166" fontId="7" fillId="0" borderId="0" xfId="0" applyNumberFormat="1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166" fontId="7" fillId="3" borderId="0" xfId="0" applyNumberFormat="1" applyFont="1" applyFill="1" applyBorder="1" applyAlignment="1">
      <alignment horizontal="right" vertical="center"/>
    </xf>
    <xf numFmtId="0" fontId="78" fillId="0" borderId="0" xfId="0" applyFont="1" applyFill="1"/>
    <xf numFmtId="0" fontId="105" fillId="0" borderId="0" xfId="0" applyFont="1" applyFill="1"/>
    <xf numFmtId="0" fontId="8" fillId="3" borderId="7" xfId="0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166" fontId="8" fillId="3" borderId="0" xfId="0" applyNumberFormat="1" applyFont="1" applyFill="1" applyBorder="1" applyAlignment="1">
      <alignment horizontal="right" vertical="center"/>
    </xf>
    <xf numFmtId="166" fontId="8" fillId="3" borderId="25" xfId="0" applyNumberFormat="1" applyFont="1" applyFill="1" applyBorder="1" applyAlignment="1">
      <alignment vertical="center"/>
    </xf>
    <xf numFmtId="166" fontId="8" fillId="5" borderId="33" xfId="0" applyNumberFormat="1" applyFont="1" applyFill="1" applyBorder="1" applyAlignment="1">
      <alignment vertical="center"/>
    </xf>
    <xf numFmtId="0" fontId="24" fillId="3" borderId="0" xfId="0" applyFont="1" applyFill="1" applyBorder="1" applyAlignment="1">
      <alignment vertical="center"/>
    </xf>
    <xf numFmtId="0" fontId="24" fillId="3" borderId="0" xfId="0" applyFont="1" applyFill="1" applyBorder="1" applyAlignment="1">
      <alignment horizontal="left" vertical="center"/>
    </xf>
    <xf numFmtId="166" fontId="24" fillId="3" borderId="0" xfId="0" applyNumberFormat="1" applyFont="1" applyFill="1" applyBorder="1" applyAlignment="1">
      <alignment horizontal="center" vertical="center"/>
    </xf>
    <xf numFmtId="166" fontId="24" fillId="3" borderId="0" xfId="0" quotePrefix="1" applyNumberFormat="1" applyFont="1" applyFill="1" applyBorder="1" applyAlignment="1">
      <alignment horizontal="center" vertical="center"/>
    </xf>
    <xf numFmtId="166" fontId="24" fillId="3" borderId="0" xfId="0" applyNumberFormat="1" applyFont="1" applyFill="1" applyBorder="1" applyAlignment="1">
      <alignment horizontal="right" vertical="center"/>
    </xf>
    <xf numFmtId="166" fontId="24" fillId="3" borderId="0" xfId="0" applyNumberFormat="1" applyFont="1" applyFill="1" applyBorder="1" applyAlignment="1">
      <alignment vertical="center"/>
    </xf>
    <xf numFmtId="166" fontId="20" fillId="0" borderId="0" xfId="0" quotePrefix="1" applyNumberFormat="1" applyFont="1" applyAlignment="1">
      <alignment horizontal="center"/>
    </xf>
    <xf numFmtId="166" fontId="20" fillId="0" borderId="0" xfId="0" quotePrefix="1" applyNumberFormat="1" applyFont="1" applyAlignment="1">
      <alignment horizontal="centerContinuous" vertical="center"/>
    </xf>
    <xf numFmtId="0" fontId="20" fillId="0" borderId="0" xfId="0" applyFont="1" applyAlignment="1">
      <alignment horizontal="center" vertical="top"/>
    </xf>
    <xf numFmtId="0" fontId="92" fillId="0" borderId="0" xfId="0" applyFont="1" applyFill="1"/>
    <xf numFmtId="0" fontId="6" fillId="0" borderId="25" xfId="0" applyFont="1" applyBorder="1"/>
    <xf numFmtId="0" fontId="66" fillId="0" borderId="0" xfId="0" applyFont="1" applyBorder="1"/>
    <xf numFmtId="0" fontId="66" fillId="0" borderId="25" xfId="0" applyFont="1" applyBorder="1"/>
    <xf numFmtId="0" fontId="63" fillId="0" borderId="0" xfId="0" applyFont="1" applyBorder="1"/>
    <xf numFmtId="0" fontId="33" fillId="0" borderId="25" xfId="0" applyFont="1" applyBorder="1"/>
    <xf numFmtId="0" fontId="28" fillId="0" borderId="0" xfId="0" applyFont="1" applyFill="1" applyBorder="1" applyAlignment="1">
      <alignment vertical="center"/>
    </xf>
    <xf numFmtId="0" fontId="7" fillId="2" borderId="2" xfId="0" applyFont="1" applyFill="1" applyBorder="1" applyAlignment="1"/>
    <xf numFmtId="0" fontId="7" fillId="2" borderId="26" xfId="0" applyFont="1" applyFill="1" applyBorder="1" applyAlignment="1">
      <alignment horizontal="centerContinuous"/>
    </xf>
    <xf numFmtId="0" fontId="8" fillId="2" borderId="26" xfId="0" applyFont="1" applyFill="1" applyBorder="1" applyAlignment="1">
      <alignment horizontal="center"/>
    </xf>
    <xf numFmtId="0" fontId="8" fillId="2" borderId="42" xfId="0" applyFont="1" applyFill="1" applyBorder="1" applyAlignment="1">
      <alignment horizontal="center"/>
    </xf>
    <xf numFmtId="0" fontId="7" fillId="2" borderId="38" xfId="0" applyFont="1" applyFill="1" applyBorder="1" applyAlignment="1">
      <alignment horizontal="centerContinuous"/>
    </xf>
    <xf numFmtId="0" fontId="8" fillId="2" borderId="13" xfId="0" applyFont="1" applyFill="1" applyBorder="1" applyAlignment="1">
      <alignment horizontal="centerContinuous"/>
    </xf>
    <xf numFmtId="0" fontId="8" fillId="2" borderId="15" xfId="0" applyFont="1" applyFill="1" applyBorder="1" applyAlignment="1">
      <alignment horizontal="centerContinuous"/>
    </xf>
    <xf numFmtId="166" fontId="7" fillId="0" borderId="7" xfId="0" applyNumberFormat="1" applyFont="1" applyBorder="1" applyAlignment="1">
      <alignment horizontal="center" vertical="center"/>
    </xf>
    <xf numFmtId="166" fontId="8" fillId="0" borderId="17" xfId="0" applyNumberFormat="1" applyFont="1" applyBorder="1" applyAlignment="1">
      <alignment horizontal="center" vertical="center"/>
    </xf>
    <xf numFmtId="0" fontId="21" fillId="0" borderId="25" xfId="0" applyFont="1" applyBorder="1"/>
    <xf numFmtId="0" fontId="3" fillId="0" borderId="0" xfId="0" applyFont="1" applyBorder="1" applyAlignment="1"/>
    <xf numFmtId="0" fontId="3" fillId="0" borderId="0" xfId="0" applyFont="1" applyAlignment="1">
      <alignment horizontal="right"/>
    </xf>
    <xf numFmtId="0" fontId="4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Continuous"/>
    </xf>
    <xf numFmtId="0" fontId="62" fillId="0" borderId="0" xfId="0" applyFont="1" applyFill="1" applyAlignment="1">
      <alignment horizontal="centerContinuous" vertical="center"/>
    </xf>
    <xf numFmtId="0" fontId="66" fillId="0" borderId="0" xfId="0" applyFont="1" applyFill="1" applyBorder="1"/>
    <xf numFmtId="0" fontId="66" fillId="0" borderId="0" xfId="0" applyFont="1" applyFill="1" applyBorder="1" applyAlignment="1">
      <alignment horizontal="centerContinuous"/>
    </xf>
    <xf numFmtId="0" fontId="27" fillId="0" borderId="0" xfId="0" applyFont="1" applyFill="1" applyAlignment="1">
      <alignment horizontal="centerContinuous" vertical="center"/>
    </xf>
    <xf numFmtId="0" fontId="63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8" fillId="2" borderId="2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left"/>
    </xf>
    <xf numFmtId="0" fontId="2" fillId="2" borderId="4" xfId="0" applyFont="1" applyFill="1" applyBorder="1"/>
    <xf numFmtId="0" fontId="2" fillId="2" borderId="26" xfId="0" applyFont="1" applyFill="1" applyBorder="1"/>
    <xf numFmtId="0" fontId="2" fillId="2" borderId="27" xfId="0" applyFont="1" applyFill="1" applyBorder="1" applyAlignment="1">
      <alignment horizontal="right"/>
    </xf>
    <xf numFmtId="0" fontId="7" fillId="2" borderId="7" xfId="0" applyFont="1" applyFill="1" applyBorder="1" applyAlignment="1">
      <alignment horizontal="left"/>
    </xf>
    <xf numFmtId="0" fontId="8" fillId="2" borderId="16" xfId="0" applyFont="1" applyFill="1" applyBorder="1"/>
    <xf numFmtId="0" fontId="7" fillId="2" borderId="11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  <xf numFmtId="0" fontId="8" fillId="2" borderId="14" xfId="0" applyFont="1" applyFill="1" applyBorder="1" applyAlignment="1">
      <alignment horizontal="center"/>
    </xf>
    <xf numFmtId="3" fontId="4" fillId="0" borderId="0" xfId="0" applyNumberFormat="1" applyFont="1" applyFill="1" applyAlignment="1">
      <alignment horizontal="center"/>
    </xf>
    <xf numFmtId="3" fontId="3" fillId="0" borderId="0" xfId="0" applyNumberFormat="1" applyFont="1" applyFill="1" applyBorder="1"/>
    <xf numFmtId="3" fontId="3" fillId="0" borderId="0" xfId="0" applyNumberFormat="1" applyFont="1" applyFill="1"/>
    <xf numFmtId="0" fontId="3" fillId="0" borderId="7" xfId="0" applyFont="1" applyFill="1" applyBorder="1"/>
    <xf numFmtId="1" fontId="45" fillId="5" borderId="0" xfId="0" applyNumberFormat="1" applyFont="1" applyFill="1" applyBorder="1" applyAlignment="1">
      <alignment horizontal="center" vertical="center"/>
    </xf>
    <xf numFmtId="166" fontId="20" fillId="0" borderId="0" xfId="0" applyNumberFormat="1" applyFont="1" applyFill="1" applyAlignment="1">
      <alignment horizontal="right"/>
    </xf>
    <xf numFmtId="0" fontId="21" fillId="3" borderId="0" xfId="0" applyFont="1" applyFill="1"/>
    <xf numFmtId="172" fontId="20" fillId="0" borderId="0" xfId="0" applyNumberFormat="1" applyFont="1" applyFill="1" applyAlignment="1">
      <alignment horizontal="right" vertical="center" readingOrder="2"/>
    </xf>
    <xf numFmtId="3" fontId="21" fillId="0" borderId="0" xfId="0" applyNumberFormat="1" applyFont="1" applyFill="1"/>
    <xf numFmtId="0" fontId="65" fillId="0" borderId="0" xfId="0" applyFont="1" applyFill="1"/>
    <xf numFmtId="0" fontId="111" fillId="0" borderId="0" xfId="0" applyFont="1" applyFill="1"/>
    <xf numFmtId="0" fontId="4" fillId="0" borderId="0" xfId="0" applyFont="1" applyFill="1" applyAlignment="1"/>
    <xf numFmtId="0" fontId="3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27" fillId="0" borderId="0" xfId="0" applyFont="1" applyFill="1" applyBorder="1" applyAlignment="1">
      <alignment horizontal="centerContinuous" vertical="center"/>
    </xf>
    <xf numFmtId="0" fontId="33" fillId="0" borderId="0" xfId="0" applyFont="1" applyFill="1" applyBorder="1" applyAlignment="1">
      <alignment horizontal="left"/>
    </xf>
    <xf numFmtId="0" fontId="7" fillId="0" borderId="0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7" fillId="2" borderId="2" xfId="0" applyFont="1" applyFill="1" applyBorder="1" applyAlignment="1">
      <alignment horizontal="left"/>
    </xf>
    <xf numFmtId="0" fontId="7" fillId="2" borderId="42" xfId="0" applyFont="1" applyFill="1" applyBorder="1" applyAlignment="1">
      <alignment horizontal="right"/>
    </xf>
    <xf numFmtId="0" fontId="3" fillId="0" borderId="4" xfId="0" applyFont="1" applyFill="1" applyBorder="1"/>
    <xf numFmtId="0" fontId="7" fillId="2" borderId="13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left"/>
    </xf>
    <xf numFmtId="0" fontId="7" fillId="2" borderId="37" xfId="0" applyFont="1" applyFill="1" applyBorder="1" applyAlignment="1">
      <alignment horizontal="left"/>
    </xf>
    <xf numFmtId="0" fontId="43" fillId="0" borderId="0" xfId="0" applyFont="1" applyFill="1" applyBorder="1"/>
    <xf numFmtId="0" fontId="43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7" fillId="4" borderId="7" xfId="0" applyFont="1" applyFill="1" applyBorder="1" applyAlignment="1">
      <alignment horizontal="centerContinuous"/>
    </xf>
    <xf numFmtId="0" fontId="7" fillId="4" borderId="0" xfId="0" applyFont="1" applyFill="1"/>
    <xf numFmtId="0" fontId="7" fillId="4" borderId="0" xfId="0" applyFont="1" applyFill="1" applyBorder="1" applyAlignment="1">
      <alignment horizontal="center"/>
    </xf>
    <xf numFmtId="0" fontId="7" fillId="4" borderId="17" xfId="0" applyFont="1" applyFill="1" applyBorder="1"/>
    <xf numFmtId="3" fontId="4" fillId="0" borderId="0" xfId="0" applyNumberFormat="1" applyFont="1" applyFill="1" applyBorder="1" applyAlignment="1">
      <alignment horizontal="center"/>
    </xf>
    <xf numFmtId="0" fontId="21" fillId="0" borderId="0" xfId="0" applyFont="1" applyFill="1" applyAlignment="1">
      <alignment horizontal="right"/>
    </xf>
    <xf numFmtId="1" fontId="45" fillId="5" borderId="16" xfId="0" applyNumberFormat="1" applyFont="1" applyFill="1" applyBorder="1" applyAlignment="1">
      <alignment horizontal="center"/>
    </xf>
    <xf numFmtId="0" fontId="19" fillId="0" borderId="0" xfId="0" applyFont="1" applyFill="1"/>
    <xf numFmtId="0" fontId="20" fillId="0" borderId="0" xfId="0" applyFont="1" applyFill="1" applyAlignment="1">
      <alignment horizontal="right" readingOrder="2"/>
    </xf>
    <xf numFmtId="3" fontId="20" fillId="0" borderId="0" xfId="0" applyNumberFormat="1" applyFont="1" applyFill="1"/>
    <xf numFmtId="3" fontId="3" fillId="0" borderId="0" xfId="8" applyNumberFormat="1" applyFont="1"/>
    <xf numFmtId="3" fontId="3" fillId="0" borderId="0" xfId="8" applyNumberFormat="1" applyFont="1" applyFill="1"/>
    <xf numFmtId="0" fontId="6" fillId="0" borderId="0" xfId="0" applyFont="1" applyAlignment="1">
      <alignment horizontal="centerContinuous" vertical="center"/>
    </xf>
    <xf numFmtId="0" fontId="66" fillId="0" borderId="0" xfId="0" applyFont="1" applyAlignment="1">
      <alignment horizontal="centerContinuous" vertical="center"/>
    </xf>
    <xf numFmtId="0" fontId="4" fillId="0" borderId="0" xfId="0" applyFont="1" applyAlignment="1">
      <alignment horizontal="right"/>
    </xf>
    <xf numFmtId="0" fontId="7" fillId="2" borderId="3" xfId="0" applyFont="1" applyFill="1" applyBorder="1"/>
    <xf numFmtId="0" fontId="3" fillId="7" borderId="27" xfId="0" applyFont="1" applyFill="1" applyBorder="1"/>
    <xf numFmtId="0" fontId="7" fillId="2" borderId="47" xfId="0" applyFont="1" applyFill="1" applyBorder="1"/>
    <xf numFmtId="0" fontId="3" fillId="7" borderId="25" xfId="0" applyFont="1" applyFill="1" applyBorder="1"/>
    <xf numFmtId="0" fontId="7" fillId="2" borderId="11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left" vertical="center"/>
    </xf>
    <xf numFmtId="0" fontId="7" fillId="2" borderId="47" xfId="0" applyFont="1" applyFill="1" applyBorder="1" applyAlignment="1">
      <alignment vertical="center"/>
    </xf>
    <xf numFmtId="0" fontId="7" fillId="2" borderId="7" xfId="0" quotePrefix="1" applyFont="1" applyFill="1" applyBorder="1" applyAlignment="1">
      <alignment horizontal="center" vertical="center"/>
    </xf>
    <xf numFmtId="0" fontId="7" fillId="2" borderId="11" xfId="0" quotePrefix="1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/>
    </xf>
    <xf numFmtId="0" fontId="7" fillId="2" borderId="19" xfId="0" applyFont="1" applyFill="1" applyBorder="1"/>
    <xf numFmtId="0" fontId="7" fillId="2" borderId="91" xfId="0" applyFont="1" applyFill="1" applyBorder="1"/>
    <xf numFmtId="0" fontId="69" fillId="0" borderId="0" xfId="0" applyFont="1" applyFill="1" applyBorder="1"/>
    <xf numFmtId="0" fontId="8" fillId="3" borderId="105" xfId="0" applyFont="1" applyFill="1" applyBorder="1"/>
    <xf numFmtId="0" fontId="8" fillId="3" borderId="9" xfId="0" applyFont="1" applyFill="1" applyBorder="1"/>
    <xf numFmtId="0" fontId="8" fillId="3" borderId="10" xfId="0" applyFont="1" applyFill="1" applyBorder="1"/>
    <xf numFmtId="0" fontId="8" fillId="3" borderId="106" xfId="0" applyFont="1" applyFill="1" applyBorder="1"/>
    <xf numFmtId="0" fontId="69" fillId="4" borderId="27" xfId="0" applyFont="1" applyFill="1" applyBorder="1"/>
    <xf numFmtId="0" fontId="69" fillId="0" borderId="7" xfId="0" applyFont="1" applyFill="1" applyBorder="1"/>
    <xf numFmtId="0" fontId="69" fillId="0" borderId="4" xfId="0" applyFont="1" applyFill="1" applyBorder="1"/>
    <xf numFmtId="3" fontId="7" fillId="5" borderId="0" xfId="0" quotePrefix="1" applyNumberFormat="1" applyFont="1" applyFill="1" applyAlignment="1">
      <alignment horizontal="center" vertical="center"/>
    </xf>
    <xf numFmtId="1" fontId="4" fillId="0" borderId="25" xfId="0" applyNumberFormat="1" applyFont="1" applyFill="1" applyBorder="1" applyAlignment="1">
      <alignment horizontal="center"/>
    </xf>
    <xf numFmtId="1" fontId="4" fillId="7" borderId="25" xfId="0" applyNumberFormat="1" applyFont="1" applyFill="1" applyBorder="1" applyAlignment="1">
      <alignment horizontal="center"/>
    </xf>
    <xf numFmtId="1" fontId="4" fillId="7" borderId="25" xfId="0" applyNumberFormat="1" applyFont="1" applyFill="1" applyBorder="1" applyAlignment="1">
      <alignment horizontal="left"/>
    </xf>
    <xf numFmtId="0" fontId="3" fillId="0" borderId="1" xfId="0" applyFont="1" applyFill="1" applyBorder="1"/>
    <xf numFmtId="1" fontId="4" fillId="0" borderId="33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72" fontId="21" fillId="0" borderId="0" xfId="0" applyNumberFormat="1" applyFont="1" applyAlignment="1">
      <alignment horizontal="right" vertical="center" readingOrder="2"/>
    </xf>
    <xf numFmtId="3" fontId="3" fillId="0" borderId="0" xfId="0" applyNumberFormat="1" applyFo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7" fillId="2" borderId="46" xfId="0" applyFont="1" applyFill="1" applyBorder="1" applyAlignment="1">
      <alignment horizontal="center"/>
    </xf>
    <xf numFmtId="0" fontId="2" fillId="2" borderId="27" xfId="0" applyFont="1" applyFill="1" applyBorder="1" applyAlignment="1">
      <alignment horizontal="right" vertical="center"/>
    </xf>
    <xf numFmtId="0" fontId="7" fillId="2" borderId="43" xfId="0" applyFont="1" applyFill="1" applyBorder="1" applyAlignment="1">
      <alignment vertical="center"/>
    </xf>
    <xf numFmtId="0" fontId="7" fillId="2" borderId="25" xfId="0" applyFont="1" applyFill="1" applyBorder="1" applyAlignment="1">
      <alignment horizontal="right" vertical="center"/>
    </xf>
    <xf numFmtId="0" fontId="7" fillId="2" borderId="43" xfId="0" quotePrefix="1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vertical="center"/>
    </xf>
    <xf numFmtId="0" fontId="7" fillId="2" borderId="29" xfId="0" applyFont="1" applyFill="1" applyBorder="1" applyAlignment="1">
      <alignment horizontal="right" vertical="center"/>
    </xf>
    <xf numFmtId="0" fontId="7" fillId="4" borderId="10" xfId="0" applyFont="1" applyFill="1" applyBorder="1"/>
    <xf numFmtId="0" fontId="7" fillId="4" borderId="8" xfId="0" applyFont="1" applyFill="1" applyBorder="1"/>
    <xf numFmtId="0" fontId="7" fillId="4" borderId="108" xfId="0" applyFont="1" applyFill="1" applyBorder="1" applyAlignment="1">
      <alignment horizontal="center"/>
    </xf>
    <xf numFmtId="3" fontId="7" fillId="0" borderId="0" xfId="0" applyNumberFormat="1" applyFont="1" applyFill="1" applyAlignment="1">
      <alignment horizontal="center" vertical="center"/>
    </xf>
    <xf numFmtId="0" fontId="7" fillId="0" borderId="16" xfId="0" applyFont="1" applyFill="1" applyBorder="1"/>
    <xf numFmtId="0" fontId="7" fillId="0" borderId="25" xfId="0" applyFont="1" applyFill="1" applyBorder="1" applyAlignment="1">
      <alignment horizontal="center" vertical="center"/>
    </xf>
    <xf numFmtId="1" fontId="8" fillId="0" borderId="16" xfId="0" applyNumberFormat="1" applyFont="1" applyFill="1" applyBorder="1" applyAlignment="1">
      <alignment horizontal="right"/>
    </xf>
    <xf numFmtId="1" fontId="45" fillId="5" borderId="25" xfId="0" applyNumberFormat="1" applyFont="1" applyFill="1" applyBorder="1" applyAlignment="1">
      <alignment horizontal="center" vertical="center"/>
    </xf>
    <xf numFmtId="3" fontId="20" fillId="0" borderId="0" xfId="0" applyNumberFormat="1" applyFont="1"/>
    <xf numFmtId="166" fontId="20" fillId="0" borderId="0" xfId="0" applyNumberFormat="1" applyFont="1" applyAlignment="1">
      <alignment horizontal="right"/>
    </xf>
    <xf numFmtId="172" fontId="20" fillId="0" borderId="0" xfId="0" applyNumberFormat="1" applyFont="1" applyAlignment="1">
      <alignment horizontal="right" vertical="center" readingOrder="2"/>
    </xf>
    <xf numFmtId="0" fontId="8" fillId="2" borderId="109" xfId="0" applyFont="1" applyFill="1" applyBorder="1" applyAlignment="1">
      <alignment horizontal="left" vertical="center"/>
    </xf>
    <xf numFmtId="0" fontId="8" fillId="2" borderId="104" xfId="0" applyFont="1" applyFill="1" applyBorder="1" applyAlignment="1">
      <alignment vertical="center"/>
    </xf>
    <xf numFmtId="0" fontId="7" fillId="2" borderId="55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vertical="center"/>
    </xf>
    <xf numFmtId="0" fontId="8" fillId="2" borderId="55" xfId="0" applyFont="1" applyFill="1" applyBorder="1" applyAlignment="1">
      <alignment horizontal="left" vertical="center"/>
    </xf>
    <xf numFmtId="0" fontId="8" fillId="2" borderId="11" xfId="0" quotePrefix="1" applyFont="1" applyFill="1" applyBorder="1" applyAlignment="1">
      <alignment horizontal="right" vertical="center"/>
    </xf>
    <xf numFmtId="0" fontId="7" fillId="2" borderId="56" xfId="0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vertical="center"/>
    </xf>
    <xf numFmtId="3" fontId="24" fillId="0" borderId="0" xfId="0" applyNumberFormat="1" applyFont="1" applyFill="1" applyBorder="1" applyAlignment="1">
      <alignment horizontal="center" vertical="center"/>
    </xf>
    <xf numFmtId="3" fontId="88" fillId="0" borderId="0" xfId="0" applyNumberFormat="1" applyFont="1" applyFill="1" applyBorder="1" applyAlignment="1">
      <alignment horizontal="right" vertical="center"/>
    </xf>
    <xf numFmtId="3" fontId="88" fillId="0" borderId="0" xfId="0" applyNumberFormat="1" applyFont="1" applyFill="1" applyBorder="1" applyAlignment="1">
      <alignment horizontal="center" vertical="center"/>
    </xf>
    <xf numFmtId="173" fontId="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Continuous" vertical="center"/>
    </xf>
    <xf numFmtId="0" fontId="20" fillId="0" borderId="0" xfId="0" applyFont="1" applyAlignment="1">
      <alignment horizontal="centerContinuous" vertical="top"/>
    </xf>
    <xf numFmtId="0" fontId="28" fillId="0" borderId="0" xfId="0" applyFont="1" applyAlignment="1">
      <alignment horizontal="centerContinuous" vertical="top"/>
    </xf>
    <xf numFmtId="3" fontId="89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Continuous" vertical="top"/>
    </xf>
    <xf numFmtId="3" fontId="88" fillId="0" borderId="0" xfId="6" applyNumberFormat="1" applyFont="1" applyFill="1" applyBorder="1" applyAlignment="1">
      <alignment horizontal="right" vertical="center"/>
    </xf>
    <xf numFmtId="3" fontId="88" fillId="0" borderId="0" xfId="6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Continuous" vertical="top"/>
    </xf>
    <xf numFmtId="3" fontId="89" fillId="0" borderId="0" xfId="6" applyNumberFormat="1" applyFont="1" applyFill="1" applyBorder="1" applyAlignment="1">
      <alignment horizontal="right" vertical="center"/>
    </xf>
    <xf numFmtId="3" fontId="89" fillId="0" borderId="0" xfId="6" applyNumberFormat="1" applyFont="1" applyFill="1" applyBorder="1" applyAlignment="1">
      <alignment horizontal="center" vertical="center"/>
    </xf>
    <xf numFmtId="3" fontId="89" fillId="0" borderId="0" xfId="0" applyNumberFormat="1" applyFont="1" applyFill="1" applyBorder="1" applyAlignment="1">
      <alignment horizontal="right" vertical="center"/>
    </xf>
    <xf numFmtId="0" fontId="3" fillId="0" borderId="25" xfId="0" applyFont="1" applyBorder="1" applyAlignment="1">
      <alignment vertical="center"/>
    </xf>
    <xf numFmtId="0" fontId="8" fillId="2" borderId="110" xfId="0" applyFont="1" applyFill="1" applyBorder="1" applyAlignment="1">
      <alignment horizontal="left" vertical="center"/>
    </xf>
    <xf numFmtId="0" fontId="8" fillId="2" borderId="111" xfId="0" applyFont="1" applyFill="1" applyBorder="1" applyAlignment="1">
      <alignment horizontal="center" vertical="center"/>
    </xf>
    <xf numFmtId="0" fontId="8" fillId="2" borderId="86" xfId="0" applyFont="1" applyFill="1" applyBorder="1" applyAlignment="1">
      <alignment horizontal="center" vertical="center"/>
    </xf>
    <xf numFmtId="0" fontId="8" fillId="2" borderId="86" xfId="0" applyFont="1" applyFill="1" applyBorder="1" applyAlignment="1">
      <alignment horizontal="left" vertical="center"/>
    </xf>
    <xf numFmtId="0" fontId="2" fillId="2" borderId="86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0" fontId="7" fillId="2" borderId="77" xfId="0" applyFont="1" applyFill="1" applyBorder="1" applyAlignment="1">
      <alignment horizontal="center" vertical="center"/>
    </xf>
    <xf numFmtId="0" fontId="8" fillId="2" borderId="78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left" vertical="center"/>
    </xf>
    <xf numFmtId="0" fontId="8" fillId="2" borderId="77" xfId="0" applyFont="1" applyFill="1" applyBorder="1" applyAlignment="1">
      <alignment horizontal="center" vertical="center"/>
    </xf>
    <xf numFmtId="0" fontId="8" fillId="2" borderId="78" xfId="0" applyFont="1" applyFill="1" applyBorder="1" applyAlignment="1">
      <alignment horizontal="left" vertical="center"/>
    </xf>
    <xf numFmtId="0" fontId="8" fillId="2" borderId="78" xfId="0" quotePrefix="1" applyFont="1" applyFill="1" applyBorder="1" applyAlignment="1">
      <alignment horizontal="right" vertical="center"/>
    </xf>
    <xf numFmtId="0" fontId="7" fillId="2" borderId="28" xfId="0" applyFont="1" applyFill="1" applyBorder="1" applyAlignment="1">
      <alignment horizontal="center" vertical="center"/>
    </xf>
    <xf numFmtId="0" fontId="7" fillId="2" borderId="81" xfId="0" applyFont="1" applyFill="1" applyBorder="1" applyAlignment="1">
      <alignment horizontal="center" vertical="center"/>
    </xf>
    <xf numFmtId="0" fontId="7" fillId="2" borderId="82" xfId="0" applyFont="1" applyFill="1" applyBorder="1" applyAlignment="1">
      <alignment horizontal="center" vertical="center"/>
    </xf>
    <xf numFmtId="0" fontId="8" fillId="2" borderId="82" xfId="0" applyFont="1" applyFill="1" applyBorder="1" applyAlignment="1">
      <alignment horizontal="center" vertical="center"/>
    </xf>
    <xf numFmtId="3" fontId="166" fillId="0" borderId="0" xfId="0" applyNumberFormat="1" applyFont="1" applyFill="1" applyBorder="1" applyAlignment="1">
      <alignment horizontal="right" vertical="center"/>
    </xf>
    <xf numFmtId="3" fontId="91" fillId="0" borderId="0" xfId="0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Continuous" vertical="top"/>
    </xf>
    <xf numFmtId="0" fontId="33" fillId="0" borderId="0" xfId="0" applyFont="1" applyAlignment="1">
      <alignment vertical="center"/>
    </xf>
    <xf numFmtId="0" fontId="3" fillId="0" borderId="0" xfId="0" applyFont="1" applyFill="1" applyBorder="1" applyAlignment="1">
      <alignment horizontal="centerContinuous"/>
    </xf>
    <xf numFmtId="0" fontId="3" fillId="0" borderId="0" xfId="0" applyFont="1" applyFill="1" applyAlignment="1">
      <alignment horizontal="centerContinuous" vertical="center"/>
    </xf>
    <xf numFmtId="0" fontId="3" fillId="0" borderId="0" xfId="0" applyFont="1" applyFill="1" applyBorder="1" applyAlignment="1">
      <alignment horizontal="centerContinuous" vertical="center"/>
    </xf>
    <xf numFmtId="0" fontId="7" fillId="2" borderId="17" xfId="0" applyFont="1" applyFill="1" applyBorder="1" applyAlignment="1">
      <alignment horizontal="right"/>
    </xf>
    <xf numFmtId="3" fontId="4" fillId="0" borderId="0" xfId="0" applyNumberFormat="1" applyFont="1" applyFill="1" applyAlignment="1">
      <alignment horizontal="right" vertical="center"/>
    </xf>
    <xf numFmtId="0" fontId="7" fillId="2" borderId="7" xfId="0" quotePrefix="1" applyFont="1" applyFill="1" applyBorder="1" applyAlignment="1">
      <alignment horizontal="center"/>
    </xf>
    <xf numFmtId="0" fontId="7" fillId="2" borderId="11" xfId="0" quotePrefix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/>
    </xf>
    <xf numFmtId="3" fontId="3" fillId="0" borderId="0" xfId="0" applyNumberFormat="1" applyFont="1" applyFill="1" applyAlignment="1">
      <alignment horizontal="right" vertical="center"/>
    </xf>
    <xf numFmtId="3" fontId="3" fillId="0" borderId="0" xfId="0" applyNumberFormat="1" applyFont="1" applyFill="1" applyAlignment="1">
      <alignment horizontal="center" vertical="center"/>
    </xf>
    <xf numFmtId="0" fontId="8" fillId="2" borderId="15" xfId="0" applyFont="1" applyFill="1" applyBorder="1" applyAlignment="1">
      <alignment horizontal="center"/>
    </xf>
    <xf numFmtId="3" fontId="7" fillId="0" borderId="7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3" fontId="7" fillId="0" borderId="0" xfId="0" applyNumberFormat="1" applyFont="1" applyFill="1" applyAlignment="1">
      <alignment horizontal="center"/>
    </xf>
    <xf numFmtId="3" fontId="8" fillId="0" borderId="17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right"/>
    </xf>
    <xf numFmtId="1" fontId="7" fillId="0" borderId="25" xfId="0" applyNumberFormat="1" applyFont="1" applyFill="1" applyBorder="1" applyAlignment="1">
      <alignment horizontal="right"/>
    </xf>
    <xf numFmtId="3" fontId="4" fillId="0" borderId="0" xfId="0" applyNumberFormat="1" applyFont="1" applyFill="1" applyAlignment="1">
      <alignment horizontal="center" vertical="center"/>
    </xf>
    <xf numFmtId="166" fontId="3" fillId="7" borderId="0" xfId="0" applyNumberFormat="1" applyFont="1" applyFill="1" applyBorder="1"/>
    <xf numFmtId="0" fontId="3" fillId="7" borderId="0" xfId="0" applyFont="1" applyFill="1"/>
    <xf numFmtId="3" fontId="24" fillId="0" borderId="0" xfId="0" applyNumberFormat="1" applyFont="1" applyFill="1" applyBorder="1" applyAlignment="1">
      <alignment horizontal="right" vertical="center"/>
    </xf>
    <xf numFmtId="3" fontId="35" fillId="0" borderId="0" xfId="0" applyNumberFormat="1" applyFont="1" applyFill="1" applyBorder="1" applyAlignment="1">
      <alignment horizontal="right" vertical="center"/>
    </xf>
    <xf numFmtId="0" fontId="3" fillId="7" borderId="0" xfId="0" applyFont="1" applyFill="1" applyBorder="1"/>
    <xf numFmtId="166" fontId="20" fillId="0" borderId="0" xfId="0" applyNumberFormat="1" applyFont="1" applyAlignment="1"/>
    <xf numFmtId="172" fontId="19" fillId="0" borderId="0" xfId="0" applyNumberFormat="1" applyFont="1" applyAlignment="1">
      <alignment horizontal="right" vertical="center" readingOrder="2"/>
    </xf>
    <xf numFmtId="0" fontId="64" fillId="0" borderId="0" xfId="0" applyFont="1" applyFill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7" fillId="2" borderId="11" xfId="0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 vertical="center"/>
    </xf>
    <xf numFmtId="1" fontId="7" fillId="0" borderId="0" xfId="0" applyNumberFormat="1" applyFont="1" applyFill="1" applyBorder="1" applyAlignment="1">
      <alignment horizontal="right" vertical="center"/>
    </xf>
    <xf numFmtId="1" fontId="7" fillId="0" borderId="25" xfId="0" applyNumberFormat="1" applyFont="1" applyFill="1" applyBorder="1" applyAlignment="1">
      <alignment horizontal="left"/>
    </xf>
    <xf numFmtId="1" fontId="4" fillId="0" borderId="7" xfId="0" applyNumberFormat="1" applyFont="1" applyFill="1" applyBorder="1" applyAlignment="1">
      <alignment horizontal="center"/>
    </xf>
    <xf numFmtId="0" fontId="62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27" fillId="0" borderId="0" xfId="0" applyFont="1" applyFill="1" applyAlignment="1">
      <alignment horizontal="left"/>
    </xf>
    <xf numFmtId="0" fontId="20" fillId="0" borderId="0" xfId="0" applyFont="1" applyAlignment="1">
      <alignment horizontal="centerContinuous"/>
    </xf>
    <xf numFmtId="0" fontId="113" fillId="0" borderId="0" xfId="0" applyFont="1" applyAlignment="1">
      <alignment horizontal="center"/>
    </xf>
    <xf numFmtId="0" fontId="8" fillId="2" borderId="4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7" fillId="2" borderId="105" xfId="0" applyFont="1" applyFill="1" applyBorder="1"/>
    <xf numFmtId="0" fontId="7" fillId="2" borderId="8" xfId="0" applyFont="1" applyFill="1" applyBorder="1"/>
    <xf numFmtId="0" fontId="8" fillId="4" borderId="16" xfId="0" applyFont="1" applyFill="1" applyBorder="1" applyAlignment="1">
      <alignment horizontal="center" vertical="center"/>
    </xf>
    <xf numFmtId="166" fontId="3" fillId="0" borderId="0" xfId="0" applyNumberFormat="1" applyFont="1" applyFill="1" applyAlignment="1">
      <alignment horizontal="center"/>
    </xf>
    <xf numFmtId="166" fontId="7" fillId="4" borderId="25" xfId="0" applyNumberFormat="1" applyFont="1" applyFill="1" applyBorder="1" applyAlignment="1">
      <alignment horizontal="center" vertical="center"/>
    </xf>
    <xf numFmtId="166" fontId="7" fillId="5" borderId="25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/>
    <xf numFmtId="166" fontId="7" fillId="0" borderId="4" xfId="0" applyNumberFormat="1" applyFont="1" applyBorder="1"/>
    <xf numFmtId="166" fontId="7" fillId="0" borderId="4" xfId="0" applyNumberFormat="1" applyFont="1" applyBorder="1" applyAlignment="1">
      <alignment horizontal="center"/>
    </xf>
    <xf numFmtId="0" fontId="7" fillId="0" borderId="0" xfId="0" applyFont="1" applyAlignment="1">
      <alignment horizontal="centerContinuous"/>
    </xf>
    <xf numFmtId="0" fontId="3" fillId="0" borderId="25" xfId="0" applyFont="1" applyFill="1" applyBorder="1" applyAlignment="1">
      <alignment horizontal="center"/>
    </xf>
    <xf numFmtId="0" fontId="7" fillId="2" borderId="43" xfId="0" applyFont="1" applyFill="1" applyBorder="1" applyAlignment="1">
      <alignment horizontal="centerContinuous" vertical="center"/>
    </xf>
    <xf numFmtId="0" fontId="7" fillId="2" borderId="18" xfId="0" applyFont="1" applyFill="1" applyBorder="1" applyAlignment="1">
      <alignment horizontal="centerContinuous" vertical="center"/>
    </xf>
    <xf numFmtId="0" fontId="7" fillId="2" borderId="19" xfId="0" applyFont="1" applyFill="1" applyBorder="1" applyAlignment="1">
      <alignment horizontal="centerContinuous" vertical="center"/>
    </xf>
    <xf numFmtId="166" fontId="4" fillId="0" borderId="0" xfId="0" applyNumberFormat="1" applyFont="1" applyFill="1" applyBorder="1" applyAlignment="1"/>
    <xf numFmtId="0" fontId="114" fillId="0" borderId="7" xfId="0" applyFont="1" applyFill="1" applyBorder="1" applyAlignment="1">
      <alignment horizontal="right"/>
    </xf>
    <xf numFmtId="166" fontId="7" fillId="0" borderId="1" xfId="0" applyNumberFormat="1" applyFont="1" applyFill="1" applyBorder="1" applyAlignment="1">
      <alignment horizontal="center" vertical="center"/>
    </xf>
    <xf numFmtId="166" fontId="7" fillId="0" borderId="0" xfId="0" applyNumberFormat="1" applyFont="1"/>
    <xf numFmtId="0" fontId="28" fillId="0" borderId="0" xfId="0" applyFont="1" applyBorder="1" applyAlignment="1">
      <alignment horizontal="centerContinuous"/>
    </xf>
    <xf numFmtId="0" fontId="8" fillId="2" borderId="42" xfId="0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centerContinuous" vertical="center"/>
    </xf>
    <xf numFmtId="0" fontId="7" fillId="5" borderId="0" xfId="0" applyFont="1" applyFill="1" applyBorder="1" applyAlignment="1">
      <alignment horizontal="centerContinuous" vertical="center"/>
    </xf>
    <xf numFmtId="166" fontId="7" fillId="4" borderId="25" xfId="0" applyNumberFormat="1" applyFont="1" applyFill="1" applyBorder="1" applyAlignment="1">
      <alignment horizontal="centerContinuous" vertical="center"/>
    </xf>
    <xf numFmtId="166" fontId="7" fillId="5" borderId="25" xfId="0" applyNumberFormat="1" applyFont="1" applyFill="1" applyBorder="1" applyAlignment="1">
      <alignment horizontal="centerContinuous" vertical="center"/>
    </xf>
    <xf numFmtId="166" fontId="8" fillId="5" borderId="0" xfId="0" applyNumberFormat="1" applyFont="1" applyFill="1" applyAlignment="1">
      <alignment vertical="center"/>
    </xf>
    <xf numFmtId="166" fontId="7" fillId="5" borderId="33" xfId="0" applyNumberFormat="1" applyFont="1" applyFill="1" applyBorder="1" applyAlignment="1">
      <alignment vertical="center"/>
    </xf>
    <xf numFmtId="0" fontId="8" fillId="0" borderId="0" xfId="0" applyFont="1" applyAlignment="1">
      <alignment horizontal="centerContinuous"/>
    </xf>
    <xf numFmtId="166" fontId="3" fillId="0" borderId="7" xfId="0" applyNumberFormat="1" applyFont="1" applyFill="1" applyBorder="1" applyAlignment="1">
      <alignment horizontal="right" vertical="center" indent="2"/>
    </xf>
    <xf numFmtId="166" fontId="3" fillId="0" borderId="0" xfId="0" applyNumberFormat="1" applyFont="1" applyFill="1" applyBorder="1" applyAlignment="1">
      <alignment horizontal="right" vertical="center" indent="2"/>
    </xf>
    <xf numFmtId="0" fontId="4" fillId="0" borderId="0" xfId="0" applyFont="1" applyAlignment="1"/>
    <xf numFmtId="0" fontId="188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0" fontId="27" fillId="0" borderId="0" xfId="0" applyFont="1" applyAlignment="1">
      <alignment vertical="center"/>
    </xf>
    <xf numFmtId="0" fontId="66" fillId="0" borderId="0" xfId="0" applyFont="1" applyAlignment="1">
      <alignment horizontal="centerContinuous"/>
    </xf>
    <xf numFmtId="0" fontId="64" fillId="0" borderId="0" xfId="0" applyFont="1" applyAlignment="1">
      <alignment horizontal="centerContinuous"/>
    </xf>
    <xf numFmtId="0" fontId="65" fillId="0" borderId="0" xfId="0" applyFont="1" applyAlignment="1">
      <alignment horizontal="left"/>
    </xf>
    <xf numFmtId="0" fontId="33" fillId="0" borderId="0" xfId="0" applyFont="1" applyAlignment="1">
      <alignment horizontal="centerContinuous"/>
    </xf>
    <xf numFmtId="0" fontId="64" fillId="0" borderId="0" xfId="0" applyFont="1" applyBorder="1" applyAlignment="1">
      <alignment horizontal="centerContinuous"/>
    </xf>
    <xf numFmtId="0" fontId="115" fillId="0" borderId="0" xfId="0" applyFont="1" applyAlignment="1"/>
    <xf numFmtId="0" fontId="4" fillId="0" borderId="1" xfId="0" applyFont="1" applyBorder="1" applyAlignment="1">
      <alignment horizontal="center"/>
    </xf>
    <xf numFmtId="0" fontId="4" fillId="0" borderId="0" xfId="0" applyFont="1" applyBorder="1" applyAlignment="1">
      <alignment horizontal="right"/>
    </xf>
    <xf numFmtId="0" fontId="4" fillId="2" borderId="2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42" xfId="0" applyFont="1" applyFill="1" applyBorder="1" applyAlignment="1">
      <alignment horizontal="right" vertical="center"/>
    </xf>
    <xf numFmtId="0" fontId="4" fillId="2" borderId="4" xfId="0" applyFont="1" applyFill="1" applyBorder="1"/>
    <xf numFmtId="0" fontId="65" fillId="2" borderId="26" xfId="0" applyFont="1" applyFill="1" applyBorder="1" applyAlignment="1">
      <alignment horizontal="center"/>
    </xf>
    <xf numFmtId="0" fontId="65" fillId="2" borderId="4" xfId="0" applyFont="1" applyFill="1" applyBorder="1" applyAlignment="1">
      <alignment horizontal="center"/>
    </xf>
    <xf numFmtId="0" fontId="65" fillId="2" borderId="27" xfId="0" applyFont="1" applyFill="1" applyBorder="1" applyAlignment="1">
      <alignment horizontal="center"/>
    </xf>
    <xf numFmtId="0" fontId="3" fillId="2" borderId="27" xfId="0" applyFont="1" applyFill="1" applyBorder="1"/>
    <xf numFmtId="0" fontId="65" fillId="2" borderId="7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65" fillId="2" borderId="17" xfId="0" applyFont="1" applyFill="1" applyBorder="1" applyAlignment="1">
      <alignment horizontal="right" vertical="center"/>
    </xf>
    <xf numFmtId="0" fontId="62" fillId="2" borderId="0" xfId="0" applyFont="1" applyFill="1" applyBorder="1"/>
    <xf numFmtId="0" fontId="65" fillId="2" borderId="16" xfId="0" applyFont="1" applyFill="1" applyBorder="1" applyAlignment="1">
      <alignment horizontal="center"/>
    </xf>
    <xf numFmtId="0" fontId="65" fillId="2" borderId="0" xfId="0" applyFont="1" applyFill="1" applyBorder="1" applyAlignment="1">
      <alignment horizontal="center"/>
    </xf>
    <xf numFmtId="0" fontId="65" fillId="2" borderId="25" xfId="0" applyFont="1" applyFill="1" applyBorder="1" applyAlignment="1">
      <alignment horizontal="center"/>
    </xf>
    <xf numFmtId="0" fontId="6" fillId="2" borderId="25" xfId="0" applyFont="1" applyFill="1" applyBorder="1"/>
    <xf numFmtId="0" fontId="3" fillId="2" borderId="105" xfId="0" applyFont="1" applyFill="1" applyBorder="1" applyAlignment="1">
      <alignment horizontal="centerContinuous"/>
    </xf>
    <xf numFmtId="0" fontId="3" fillId="2" borderId="9" xfId="0" applyFont="1" applyFill="1" applyBorder="1" applyAlignment="1">
      <alignment horizontal="centerContinuous"/>
    </xf>
    <xf numFmtId="0" fontId="3" fillId="2" borderId="37" xfId="0" applyFont="1" applyFill="1" applyBorder="1"/>
    <xf numFmtId="0" fontId="3" fillId="2" borderId="37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left"/>
    </xf>
    <xf numFmtId="0" fontId="3" fillId="2" borderId="37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Continuous"/>
    </xf>
    <xf numFmtId="0" fontId="3" fillId="2" borderId="0" xfId="0" applyFont="1" applyFill="1" applyBorder="1" applyAlignment="1">
      <alignment horizontal="centerContinuous"/>
    </xf>
    <xf numFmtId="0" fontId="3" fillId="2" borderId="11" xfId="0" applyFont="1" applyFill="1" applyBorder="1" applyAlignment="1">
      <alignment horizontal="center"/>
    </xf>
    <xf numFmtId="0" fontId="3" fillId="2" borderId="11" xfId="0" applyFont="1" applyFill="1" applyBorder="1"/>
    <xf numFmtId="0" fontId="3" fillId="2" borderId="11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62" fillId="2" borderId="0" xfId="0" applyFont="1" applyFill="1" applyBorder="1" applyAlignment="1"/>
    <xf numFmtId="0" fontId="6" fillId="2" borderId="25" xfId="0" applyFont="1" applyFill="1" applyBorder="1" applyAlignment="1">
      <alignment horizontal="centerContinuous"/>
    </xf>
    <xf numFmtId="0" fontId="62" fillId="2" borderId="25" xfId="0" applyFont="1" applyFill="1" applyBorder="1" applyAlignment="1"/>
    <xf numFmtId="0" fontId="3" fillId="2" borderId="18" xfId="0" applyFont="1" applyFill="1" applyBorder="1" applyAlignment="1">
      <alignment horizontal="centerContinuous" vertical="center"/>
    </xf>
    <xf numFmtId="0" fontId="3" fillId="2" borderId="19" xfId="0" applyFont="1" applyFill="1" applyBorder="1" applyAlignment="1">
      <alignment horizontal="centerContinuous" vertical="center"/>
    </xf>
    <xf numFmtId="0" fontId="3" fillId="2" borderId="19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62" fillId="2" borderId="14" xfId="0" applyFont="1" applyFill="1" applyBorder="1" applyAlignment="1">
      <alignment horizontal="center"/>
    </xf>
    <xf numFmtId="0" fontId="65" fillId="2" borderId="13" xfId="0" applyFont="1" applyFill="1" applyBorder="1" applyAlignment="1">
      <alignment horizontal="center"/>
    </xf>
    <xf numFmtId="0" fontId="65" fillId="2" borderId="14" xfId="0" applyFont="1" applyFill="1" applyBorder="1" applyAlignment="1">
      <alignment horizontal="center"/>
    </xf>
    <xf numFmtId="0" fontId="65" fillId="2" borderId="29" xfId="0" applyFont="1" applyFill="1" applyBorder="1" applyAlignment="1">
      <alignment horizontal="center"/>
    </xf>
    <xf numFmtId="0" fontId="6" fillId="2" borderId="33" xfId="0" applyFont="1" applyFill="1" applyBorder="1"/>
    <xf numFmtId="166" fontId="3" fillId="3" borderId="0" xfId="0" applyNumberFormat="1" applyFont="1" applyFill="1" applyAlignment="1">
      <alignment horizontal="center" vertical="center"/>
    </xf>
    <xf numFmtId="166" fontId="4" fillId="3" borderId="17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65" fillId="3" borderId="16" xfId="0" applyFont="1" applyFill="1" applyBorder="1" applyAlignment="1">
      <alignment horizontal="center" vertical="center"/>
    </xf>
    <xf numFmtId="0" fontId="65" fillId="3" borderId="0" xfId="0" applyFont="1" applyFill="1" applyBorder="1" applyAlignment="1">
      <alignment horizontal="center" vertical="center"/>
    </xf>
    <xf numFmtId="166" fontId="65" fillId="3" borderId="25" xfId="0" applyNumberFormat="1" applyFont="1" applyFill="1" applyBorder="1" applyAlignment="1">
      <alignment horizontal="center" vertical="center"/>
    </xf>
    <xf numFmtId="166" fontId="3" fillId="3" borderId="25" xfId="0" applyNumberFormat="1" applyFont="1" applyFill="1" applyBorder="1" applyAlignment="1">
      <alignment horizontal="right"/>
    </xf>
    <xf numFmtId="0" fontId="4" fillId="5" borderId="0" xfId="0" applyFont="1" applyFill="1" applyBorder="1" applyAlignment="1">
      <alignment horizontal="center" vertical="center"/>
    </xf>
    <xf numFmtId="0" fontId="65" fillId="5" borderId="16" xfId="0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horizontal="right"/>
    </xf>
    <xf numFmtId="166" fontId="3" fillId="5" borderId="25" xfId="0" applyNumberFormat="1" applyFont="1" applyFill="1" applyBorder="1" applyAlignment="1">
      <alignment horizontal="right"/>
    </xf>
    <xf numFmtId="0" fontId="4" fillId="5" borderId="1" xfId="0" applyFont="1" applyFill="1" applyBorder="1" applyAlignment="1">
      <alignment horizontal="center" vertical="center"/>
    </xf>
    <xf numFmtId="0" fontId="65" fillId="5" borderId="22" xfId="0" applyFont="1" applyFill="1" applyBorder="1" applyAlignment="1">
      <alignment horizontal="center" vertical="center"/>
    </xf>
    <xf numFmtId="0" fontId="65" fillId="5" borderId="1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vertical="center"/>
    </xf>
    <xf numFmtId="0" fontId="4" fillId="5" borderId="0" xfId="0" applyFont="1" applyFill="1" applyBorder="1" applyAlignment="1">
      <alignment vertical="center"/>
    </xf>
    <xf numFmtId="166" fontId="4" fillId="5" borderId="0" xfId="0" applyNumberFormat="1" applyFont="1" applyFill="1" applyAlignment="1">
      <alignment vertical="center"/>
    </xf>
    <xf numFmtId="166" fontId="4" fillId="5" borderId="21" xfId="0" applyNumberFormat="1" applyFont="1" applyFill="1" applyBorder="1" applyAlignment="1">
      <alignment horizontal="right"/>
    </xf>
    <xf numFmtId="166" fontId="65" fillId="5" borderId="21" xfId="0" applyNumberFormat="1" applyFont="1" applyFill="1" applyBorder="1" applyAlignment="1">
      <alignment horizontal="center"/>
    </xf>
    <xf numFmtId="166" fontId="65" fillId="5" borderId="1" xfId="0" applyNumberFormat="1" applyFont="1" applyFill="1" applyBorder="1" applyAlignment="1">
      <alignment horizontal="center"/>
    </xf>
    <xf numFmtId="166" fontId="65" fillId="5" borderId="33" xfId="0" applyNumberFormat="1" applyFont="1" applyFill="1" applyBorder="1" applyAlignment="1">
      <alignment horizontal="center"/>
    </xf>
    <xf numFmtId="166" fontId="3" fillId="5" borderId="33" xfId="0" applyNumberFormat="1" applyFont="1" applyFill="1" applyBorder="1"/>
    <xf numFmtId="0" fontId="65" fillId="0" borderId="0" xfId="0" applyFont="1" applyBorder="1" applyAlignment="1">
      <alignment horizontal="center"/>
    </xf>
    <xf numFmtId="0" fontId="65" fillId="0" borderId="0" xfId="0" applyFont="1" applyAlignment="1">
      <alignment horizontal="center"/>
    </xf>
    <xf numFmtId="0" fontId="4" fillId="0" borderId="0" xfId="0" applyFont="1" applyAlignment="1">
      <alignment horizontal="centerContinuous"/>
    </xf>
    <xf numFmtId="0" fontId="3" fillId="0" borderId="0" xfId="0" applyFont="1" applyAlignment="1">
      <alignment horizontal="centerContinuous"/>
    </xf>
    <xf numFmtId="0" fontId="4" fillId="0" borderId="0" xfId="0" applyFont="1" applyBorder="1" applyAlignment="1">
      <alignment horizontal="centerContinuous"/>
    </xf>
    <xf numFmtId="0" fontId="65" fillId="2" borderId="2" xfId="0" applyFont="1" applyFill="1" applyBorder="1" applyAlignment="1">
      <alignment horizontal="left" vertical="center"/>
    </xf>
    <xf numFmtId="0" fontId="65" fillId="2" borderId="4" xfId="0" applyFont="1" applyFill="1" applyBorder="1" applyAlignment="1">
      <alignment horizontal="right" vertical="center"/>
    </xf>
    <xf numFmtId="0" fontId="62" fillId="2" borderId="2" xfId="0" applyFont="1" applyFill="1" applyBorder="1" applyAlignment="1"/>
    <xf numFmtId="0" fontId="6" fillId="2" borderId="27" xfId="0" applyFont="1" applyFill="1" applyBorder="1"/>
    <xf numFmtId="0" fontId="3" fillId="2" borderId="11" xfId="0" applyFont="1" applyFill="1" applyBorder="1" applyAlignment="1">
      <alignment horizontal="left"/>
    </xf>
    <xf numFmtId="0" fontId="3" fillId="2" borderId="43" xfId="0" applyFont="1" applyFill="1" applyBorder="1" applyAlignment="1">
      <alignment horizontal="centerContinuous"/>
    </xf>
    <xf numFmtId="0" fontId="3" fillId="2" borderId="11" xfId="0" applyFont="1" applyFill="1" applyBorder="1" applyAlignment="1">
      <alignment horizontal="centerContinuous"/>
    </xf>
    <xf numFmtId="0" fontId="3" fillId="2" borderId="43" xfId="0" applyFont="1" applyFill="1" applyBorder="1" applyAlignment="1">
      <alignment horizontal="centerContinuous" vertical="center"/>
    </xf>
    <xf numFmtId="0" fontId="3" fillId="2" borderId="11" xfId="0" applyFont="1" applyFill="1" applyBorder="1" applyAlignment="1">
      <alignment horizontal="centerContinuous" vertical="center"/>
    </xf>
    <xf numFmtId="0" fontId="62" fillId="2" borderId="0" xfId="0" applyFont="1" applyFill="1" applyBorder="1" applyAlignment="1">
      <alignment horizontal="centerContinuous"/>
    </xf>
    <xf numFmtId="166" fontId="4" fillId="5" borderId="0" xfId="0" applyNumberFormat="1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horizontal="centerContinuous"/>
    </xf>
    <xf numFmtId="0" fontId="4" fillId="0" borderId="7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Continuous"/>
    </xf>
    <xf numFmtId="0" fontId="114" fillId="5" borderId="7" xfId="0" applyFont="1" applyFill="1" applyBorder="1" applyAlignment="1">
      <alignment horizontal="left" vertical="center"/>
    </xf>
    <xf numFmtId="0" fontId="114" fillId="0" borderId="7" xfId="0" applyFont="1" applyFill="1" applyBorder="1" applyAlignment="1">
      <alignment horizontal="left" vertical="center"/>
    </xf>
    <xf numFmtId="0" fontId="3" fillId="5" borderId="33" xfId="0" applyFont="1" applyFill="1" applyBorder="1" applyAlignment="1">
      <alignment horizontal="centerContinuous"/>
    </xf>
    <xf numFmtId="166" fontId="3" fillId="5" borderId="33" xfId="0" applyNumberFormat="1" applyFont="1" applyFill="1" applyBorder="1" applyAlignment="1">
      <alignment horizontal="centerContinuous"/>
    </xf>
    <xf numFmtId="166" fontId="33" fillId="0" borderId="0" xfId="0" applyNumberFormat="1" applyFont="1"/>
    <xf numFmtId="0" fontId="33" fillId="0" borderId="0" xfId="0" applyFont="1" applyBorder="1" applyAlignment="1">
      <alignment horizontal="right"/>
    </xf>
    <xf numFmtId="172" fontId="33" fillId="0" borderId="0" xfId="0" applyNumberFormat="1" applyFont="1" applyAlignment="1">
      <alignment horizontal="right" vertical="center" readingOrder="2"/>
    </xf>
    <xf numFmtId="166" fontId="3" fillId="0" borderId="0" xfId="0" applyNumberFormat="1" applyFont="1" applyAlignment="1">
      <alignment horizontal="right"/>
    </xf>
    <xf numFmtId="0" fontId="29" fillId="0" borderId="0" xfId="0" applyFont="1" applyAlignment="1">
      <alignment horizontal="centerContinuous"/>
    </xf>
    <xf numFmtId="0" fontId="8" fillId="2" borderId="0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vertical="center"/>
    </xf>
    <xf numFmtId="0" fontId="4" fillId="2" borderId="93" xfId="0" applyFont="1" applyFill="1" applyBorder="1" applyAlignment="1">
      <alignment vertical="center"/>
    </xf>
    <xf numFmtId="0" fontId="7" fillId="2" borderId="0" xfId="0" applyFont="1" applyFill="1" applyAlignment="1">
      <alignment horizontal="left" vertical="center"/>
    </xf>
    <xf numFmtId="0" fontId="4" fillId="2" borderId="94" xfId="0" applyFont="1" applyFill="1" applyBorder="1" applyAlignment="1">
      <alignment vertical="center"/>
    </xf>
    <xf numFmtId="0" fontId="7" fillId="2" borderId="112" xfId="0" applyFont="1" applyFill="1" applyBorder="1" applyAlignment="1">
      <alignment horizontal="centerContinuous"/>
    </xf>
    <xf numFmtId="0" fontId="4" fillId="2" borderId="94" xfId="0" applyFont="1" applyFill="1" applyBorder="1"/>
    <xf numFmtId="0" fontId="7" fillId="2" borderId="30" xfId="0" applyFont="1" applyFill="1" applyBorder="1" applyAlignment="1">
      <alignment horizontal="centerContinuous"/>
    </xf>
    <xf numFmtId="0" fontId="7" fillId="2" borderId="55" xfId="0" applyFont="1" applyFill="1" applyBorder="1" applyAlignment="1">
      <alignment horizontal="centerContinuous"/>
    </xf>
    <xf numFmtId="0" fontId="4" fillId="2" borderId="94" xfId="0" applyFont="1" applyFill="1" applyBorder="1" applyAlignment="1">
      <alignment horizontal="center"/>
    </xf>
    <xf numFmtId="0" fontId="7" fillId="2" borderId="55" xfId="0" applyFont="1" applyFill="1" applyBorder="1" applyAlignment="1">
      <alignment horizontal="centerContinuous" vertical="center"/>
    </xf>
    <xf numFmtId="0" fontId="7" fillId="2" borderId="56" xfId="0" applyFont="1" applyFill="1" applyBorder="1" applyAlignment="1">
      <alignment horizontal="centerContinuous" vertical="center"/>
    </xf>
    <xf numFmtId="0" fontId="7" fillId="2" borderId="91" xfId="0" applyFont="1" applyFill="1" applyBorder="1" applyAlignment="1">
      <alignment horizontal="center"/>
    </xf>
    <xf numFmtId="0" fontId="4" fillId="2" borderId="113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Continuous" vertical="center"/>
    </xf>
    <xf numFmtId="0" fontId="8" fillId="4" borderId="0" xfId="0" applyFont="1" applyFill="1" applyBorder="1" applyAlignment="1">
      <alignment horizontal="centerContinuous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/>
    </xf>
    <xf numFmtId="0" fontId="7" fillId="4" borderId="47" xfId="0" applyFont="1" applyFill="1" applyBorder="1" applyAlignment="1"/>
    <xf numFmtId="0" fontId="3" fillId="4" borderId="27" xfId="0" applyFont="1" applyFill="1" applyBorder="1"/>
    <xf numFmtId="0" fontId="7" fillId="4" borderId="47" xfId="0" applyFont="1" applyFill="1" applyBorder="1" applyAlignment="1">
      <alignment horizontal="center" vertical="center"/>
    </xf>
    <xf numFmtId="0" fontId="3" fillId="4" borderId="25" xfId="0" applyFont="1" applyFill="1" applyBorder="1" applyAlignment="1">
      <alignment horizontal="centerContinuous"/>
    </xf>
    <xf numFmtId="166" fontId="3" fillId="4" borderId="25" xfId="0" applyNumberFormat="1" applyFont="1" applyFill="1" applyBorder="1" applyAlignment="1">
      <alignment horizontal="centerContinuous"/>
    </xf>
    <xf numFmtId="166" fontId="3" fillId="5" borderId="25" xfId="0" applyNumberFormat="1" applyFont="1" applyFill="1" applyBorder="1" applyAlignment="1">
      <alignment horizontal="centerContinuous"/>
    </xf>
    <xf numFmtId="0" fontId="8" fillId="5" borderId="21" xfId="0" applyFont="1" applyFill="1" applyBorder="1" applyAlignment="1">
      <alignment horizontal="centerContinuous"/>
    </xf>
    <xf numFmtId="0" fontId="7" fillId="5" borderId="113" xfId="0" applyFont="1" applyFill="1" applyBorder="1" applyAlignment="1">
      <alignment horizontal="center"/>
    </xf>
    <xf numFmtId="166" fontId="7" fillId="0" borderId="0" xfId="0" applyNumberFormat="1" applyFont="1" applyAlignment="1">
      <alignment vertical="center"/>
    </xf>
    <xf numFmtId="166" fontId="7" fillId="0" borderId="0" xfId="0" applyNumberFormat="1" applyFont="1" applyBorder="1" applyAlignment="1">
      <alignment vertical="center"/>
    </xf>
    <xf numFmtId="0" fontId="8" fillId="5" borderId="4" xfId="0" applyFont="1" applyFill="1" applyBorder="1" applyAlignment="1">
      <alignment vertical="center"/>
    </xf>
    <xf numFmtId="0" fontId="7" fillId="2" borderId="105" xfId="0" applyFont="1" applyFill="1" applyBorder="1" applyAlignment="1">
      <alignment horizontal="centerContinuous"/>
    </xf>
    <xf numFmtId="0" fontId="4" fillId="2" borderId="0" xfId="0" applyFont="1" applyFill="1" applyBorder="1"/>
    <xf numFmtId="0" fontId="8" fillId="5" borderId="0" xfId="0" applyFont="1" applyFill="1" applyBorder="1" applyAlignment="1"/>
    <xf numFmtId="0" fontId="4" fillId="2" borderId="0" xfId="0" applyFont="1" applyFill="1" applyBorder="1" applyAlignment="1"/>
    <xf numFmtId="0" fontId="8" fillId="5" borderId="1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Continuous" vertical="center"/>
    </xf>
    <xf numFmtId="0" fontId="3" fillId="5" borderId="25" xfId="0" applyFont="1" applyFill="1" applyBorder="1" applyAlignment="1">
      <alignment horizontal="centerContinuous" vertical="center"/>
    </xf>
    <xf numFmtId="0" fontId="3" fillId="7" borderId="0" xfId="0" applyFont="1" applyFill="1" applyBorder="1" applyAlignment="1">
      <alignment vertical="center"/>
    </xf>
    <xf numFmtId="166" fontId="7" fillId="0" borderId="7" xfId="0" applyNumberFormat="1" applyFont="1" applyFill="1" applyBorder="1" applyAlignment="1">
      <alignment horizontal="centerContinuous" vertical="center"/>
    </xf>
    <xf numFmtId="166" fontId="7" fillId="0" borderId="0" xfId="0" applyNumberFormat="1" applyFont="1" applyFill="1" applyBorder="1" applyAlignment="1">
      <alignment horizontal="centerContinuous" vertical="center"/>
    </xf>
    <xf numFmtId="0" fontId="3" fillId="0" borderId="25" xfId="0" applyFont="1" applyFill="1" applyBorder="1" applyAlignment="1">
      <alignment horizontal="centerContinuous" vertical="center"/>
    </xf>
    <xf numFmtId="0" fontId="3" fillId="7" borderId="0" xfId="0" applyFont="1" applyFill="1" applyAlignment="1">
      <alignment vertical="center"/>
    </xf>
    <xf numFmtId="0" fontId="3" fillId="5" borderId="33" xfId="0" applyFont="1" applyFill="1" applyBorder="1" applyAlignment="1">
      <alignment horizontal="centerContinuous" vertical="center"/>
    </xf>
    <xf numFmtId="0" fontId="45" fillId="5" borderId="47" xfId="0" applyFont="1" applyFill="1" applyBorder="1" applyAlignment="1">
      <alignment horizontal="center" vertical="center"/>
    </xf>
    <xf numFmtId="0" fontId="27" fillId="0" borderId="0" xfId="0" applyNumberFormat="1" applyFont="1" applyAlignment="1">
      <alignment vertical="center"/>
    </xf>
    <xf numFmtId="0" fontId="24" fillId="0" borderId="0" xfId="0" applyNumberFormat="1" applyFont="1" applyAlignment="1">
      <alignment horizontal="centerContinuous" vertical="center"/>
    </xf>
    <xf numFmtId="0" fontId="40" fillId="0" borderId="0" xfId="0" applyNumberFormat="1" applyFont="1" applyAlignment="1">
      <alignment horizontal="centerContinuous" vertical="center"/>
    </xf>
    <xf numFmtId="0" fontId="35" fillId="0" borderId="0" xfId="0" applyNumberFormat="1" applyFont="1" applyAlignment="1">
      <alignment horizontal="centerContinuous" vertical="center"/>
    </xf>
    <xf numFmtId="0" fontId="40" fillId="0" borderId="0" xfId="0" applyFont="1" applyAlignment="1">
      <alignment horizontal="centerContinuous"/>
    </xf>
    <xf numFmtId="0" fontId="24" fillId="0" borderId="0" xfId="0" applyFont="1" applyAlignment="1">
      <alignment horizontal="centerContinuous"/>
    </xf>
    <xf numFmtId="0" fontId="7" fillId="4" borderId="7" xfId="0" applyFont="1" applyFill="1" applyBorder="1" applyAlignment="1">
      <alignment horizontal="center" vertical="center"/>
    </xf>
    <xf numFmtId="166" fontId="7" fillId="4" borderId="0" xfId="0" applyNumberFormat="1" applyFont="1" applyFill="1" applyAlignment="1">
      <alignment horizontal="center"/>
    </xf>
    <xf numFmtId="0" fontId="7" fillId="0" borderId="7" xfId="0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/>
    </xf>
    <xf numFmtId="166" fontId="7" fillId="0" borderId="0" xfId="0" applyNumberFormat="1" applyFont="1" applyFill="1" applyAlignment="1">
      <alignment horizontal="center"/>
    </xf>
    <xf numFmtId="0" fontId="7" fillId="4" borderId="7" xfId="0" applyFont="1" applyFill="1" applyBorder="1" applyAlignment="1">
      <alignment horizontal="left" vertical="center"/>
    </xf>
    <xf numFmtId="0" fontId="8" fillId="0" borderId="16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/>
    </xf>
    <xf numFmtId="166" fontId="20" fillId="0" borderId="0" xfId="0" applyNumberFormat="1" applyFont="1" applyBorder="1" applyAlignment="1">
      <alignment horizontal="right" vertical="center"/>
    </xf>
    <xf numFmtId="166" fontId="19" fillId="0" borderId="0" xfId="0" applyNumberFormat="1" applyFont="1" applyBorder="1" applyAlignment="1">
      <alignment horizontal="right"/>
    </xf>
    <xf numFmtId="166" fontId="20" fillId="0" borderId="0" xfId="0" applyNumberFormat="1" applyFont="1" applyBorder="1" applyAlignment="1">
      <alignment horizontal="right"/>
    </xf>
    <xf numFmtId="0" fontId="47" fillId="0" borderId="0" xfId="0" applyFont="1" applyAlignment="1"/>
    <xf numFmtId="0" fontId="48" fillId="0" borderId="0" xfId="0" applyFont="1"/>
    <xf numFmtId="0" fontId="86" fillId="0" borderId="0" xfId="0" applyFont="1" applyFill="1" applyAlignment="1">
      <alignment horizontal="centerContinuous"/>
    </xf>
    <xf numFmtId="0" fontId="64" fillId="0" borderId="0" xfId="0" applyFont="1"/>
    <xf numFmtId="0" fontId="64" fillId="0" borderId="0" xfId="0" applyFont="1" applyBorder="1"/>
    <xf numFmtId="0" fontId="4" fillId="0" borderId="1" xfId="0" applyFont="1" applyBorder="1"/>
    <xf numFmtId="0" fontId="119" fillId="2" borderId="2" xfId="0" applyFont="1" applyFill="1" applyBorder="1" applyAlignment="1">
      <alignment horizontal="center"/>
    </xf>
    <xf numFmtId="0" fontId="119" fillId="2" borderId="4" xfId="0" applyFont="1" applyFill="1" applyBorder="1" applyAlignment="1">
      <alignment horizontal="center"/>
    </xf>
    <xf numFmtId="0" fontId="119" fillId="2" borderId="5" xfId="0" applyFont="1" applyFill="1" applyBorder="1" applyAlignment="1">
      <alignment horizontal="center"/>
    </xf>
    <xf numFmtId="0" fontId="120" fillId="2" borderId="5" xfId="0" applyFont="1" applyFill="1" applyBorder="1" applyAlignment="1">
      <alignment horizontal="center"/>
    </xf>
    <xf numFmtId="0" fontId="120" fillId="2" borderId="5" xfId="0" applyFont="1" applyFill="1" applyBorder="1"/>
    <xf numFmtId="0" fontId="120" fillId="2" borderId="4" xfId="0" applyFont="1" applyFill="1" applyBorder="1"/>
    <xf numFmtId="0" fontId="82" fillId="2" borderId="4" xfId="0" applyFont="1" applyFill="1" applyBorder="1"/>
    <xf numFmtId="0" fontId="82" fillId="2" borderId="5" xfId="0" applyFont="1" applyFill="1" applyBorder="1"/>
    <xf numFmtId="0" fontId="82" fillId="2" borderId="5" xfId="0" applyFont="1" applyFill="1" applyBorder="1" applyAlignment="1">
      <alignment horizontal="left"/>
    </xf>
    <xf numFmtId="0" fontId="82" fillId="2" borderId="0" xfId="0" applyFont="1" applyFill="1" applyBorder="1"/>
    <xf numFmtId="0" fontId="82" fillId="2" borderId="27" xfId="0" applyFont="1" applyFill="1" applyBorder="1" applyAlignment="1">
      <alignment horizontal="center"/>
    </xf>
    <xf numFmtId="0" fontId="119" fillId="2" borderId="7" xfId="0" applyFont="1" applyFill="1" applyBorder="1"/>
    <xf numFmtId="0" fontId="119" fillId="2" borderId="0" xfId="0" applyFont="1" applyFill="1" applyBorder="1" applyAlignment="1">
      <alignment vertical="center"/>
    </xf>
    <xf numFmtId="0" fontId="120" fillId="2" borderId="11" xfId="0" applyFont="1" applyFill="1" applyBorder="1" applyAlignment="1">
      <alignment horizontal="center" vertical="center"/>
    </xf>
    <xf numFmtId="0" fontId="119" fillId="2" borderId="11" xfId="0" applyFont="1" applyFill="1" applyBorder="1" applyAlignment="1">
      <alignment horizontal="centerContinuous" vertical="center"/>
    </xf>
    <xf numFmtId="0" fontId="120" fillId="2" borderId="11" xfId="0" applyFont="1" applyFill="1" applyBorder="1" applyAlignment="1">
      <alignment vertical="center"/>
    </xf>
    <xf numFmtId="0" fontId="120" fillId="2" borderId="0" xfId="0" applyFont="1" applyFill="1" applyBorder="1" applyAlignment="1">
      <alignment vertical="center"/>
    </xf>
    <xf numFmtId="0" fontId="82" fillId="2" borderId="11" xfId="0" applyFont="1" applyFill="1" applyBorder="1" applyAlignment="1">
      <alignment horizontal="center" vertical="center"/>
    </xf>
    <xf numFmtId="0" fontId="81" fillId="2" borderId="11" xfId="0" applyFont="1" applyFill="1" applyBorder="1" applyAlignment="1">
      <alignment horizontal="center" vertical="center"/>
    </xf>
    <xf numFmtId="0" fontId="82" fillId="2" borderId="11" xfId="0" applyFont="1" applyFill="1" applyBorder="1" applyAlignment="1">
      <alignment vertical="center"/>
    </xf>
    <xf numFmtId="0" fontId="81" fillId="2" borderId="25" xfId="0" applyFont="1" applyFill="1" applyBorder="1" applyAlignment="1">
      <alignment vertical="center"/>
    </xf>
    <xf numFmtId="0" fontId="119" fillId="2" borderId="11" xfId="0" applyFont="1" applyFill="1" applyBorder="1" applyAlignment="1">
      <alignment horizontal="center" vertical="center"/>
    </xf>
    <xf numFmtId="0" fontId="119" fillId="2" borderId="0" xfId="0" applyFont="1" applyFill="1" applyBorder="1" applyAlignment="1">
      <alignment horizontal="center" vertical="center"/>
    </xf>
    <xf numFmtId="0" fontId="81" fillId="2" borderId="11" xfId="0" applyFont="1" applyFill="1" applyBorder="1" applyAlignment="1">
      <alignment vertical="center"/>
    </xf>
    <xf numFmtId="0" fontId="120" fillId="2" borderId="11" xfId="0" applyFont="1" applyFill="1" applyBorder="1" applyAlignment="1">
      <alignment horizontal="centerContinuous" vertical="center"/>
    </xf>
    <xf numFmtId="0" fontId="119" fillId="2" borderId="7" xfId="0" applyFont="1" applyFill="1" applyBorder="1" applyAlignment="1">
      <alignment horizontal="center"/>
    </xf>
    <xf numFmtId="0" fontId="119" fillId="2" borderId="17" xfId="0" applyFont="1" applyFill="1" applyBorder="1" applyAlignment="1">
      <alignment horizontal="center" vertical="center"/>
    </xf>
    <xf numFmtId="0" fontId="81" fillId="2" borderId="17" xfId="0" applyFont="1" applyFill="1" applyBorder="1" applyAlignment="1">
      <alignment horizontal="center" vertical="center"/>
    </xf>
    <xf numFmtId="0" fontId="119" fillId="2" borderId="11" xfId="0" applyFont="1" applyFill="1" applyBorder="1" applyAlignment="1">
      <alignment vertical="center"/>
    </xf>
    <xf numFmtId="0" fontId="119" fillId="2" borderId="38" xfId="0" applyFont="1" applyFill="1" applyBorder="1"/>
    <xf numFmtId="0" fontId="119" fillId="2" borderId="15" xfId="0" applyFont="1" applyFill="1" applyBorder="1" applyAlignment="1">
      <alignment vertical="center"/>
    </xf>
    <xf numFmtId="0" fontId="120" fillId="2" borderId="19" xfId="0" applyFont="1" applyFill="1" applyBorder="1" applyAlignment="1">
      <alignment horizontal="center" vertical="center"/>
    </xf>
    <xf numFmtId="0" fontId="119" fillId="2" borderId="19" xfId="0" applyFont="1" applyFill="1" applyBorder="1" applyAlignment="1">
      <alignment horizontal="center" vertical="center"/>
    </xf>
    <xf numFmtId="0" fontId="119" fillId="2" borderId="13" xfId="0" applyFont="1" applyFill="1" applyBorder="1" applyAlignment="1">
      <alignment horizontal="center" vertical="center"/>
    </xf>
    <xf numFmtId="0" fontId="81" fillId="2" borderId="14" xfId="0" applyFont="1" applyFill="1" applyBorder="1" applyAlignment="1">
      <alignment horizontal="center" vertical="center"/>
    </xf>
    <xf numFmtId="0" fontId="81" fillId="2" borderId="19" xfId="0" applyFont="1" applyFill="1" applyBorder="1" applyAlignment="1">
      <alignment horizontal="center" vertical="center"/>
    </xf>
    <xf numFmtId="0" fontId="81" fillId="2" borderId="29" xfId="0" applyFont="1" applyFill="1" applyBorder="1" applyAlignment="1">
      <alignment vertical="center"/>
    </xf>
    <xf numFmtId="166" fontId="123" fillId="4" borderId="0" xfId="0" applyNumberFormat="1" applyFont="1" applyFill="1" applyAlignment="1">
      <alignment horizontal="center" vertical="center"/>
    </xf>
    <xf numFmtId="166" fontId="125" fillId="4" borderId="0" xfId="0" applyNumberFormat="1" applyFont="1" applyFill="1" applyAlignment="1">
      <alignment horizontal="center" vertical="center"/>
    </xf>
    <xf numFmtId="166" fontId="125" fillId="4" borderId="17" xfId="0" applyNumberFormat="1" applyFont="1" applyFill="1" applyBorder="1" applyAlignment="1">
      <alignment horizontal="center" vertical="center"/>
    </xf>
    <xf numFmtId="166" fontId="123" fillId="5" borderId="0" xfId="0" applyNumberFormat="1" applyFont="1" applyFill="1" applyAlignment="1">
      <alignment horizontal="center" vertical="center"/>
    </xf>
    <xf numFmtId="166" fontId="125" fillId="5" borderId="0" xfId="0" applyNumberFormat="1" applyFont="1" applyFill="1" applyAlignment="1">
      <alignment horizontal="center" vertical="center"/>
    </xf>
    <xf numFmtId="166" fontId="124" fillId="0" borderId="16" xfId="0" applyNumberFormat="1" applyFont="1" applyFill="1" applyBorder="1" applyAlignment="1">
      <alignment horizontal="center" vertical="center"/>
    </xf>
    <xf numFmtId="166" fontId="123" fillId="0" borderId="0" xfId="0" applyNumberFormat="1" applyFont="1" applyFill="1" applyBorder="1" applyAlignment="1">
      <alignment horizontal="center" vertical="center"/>
    </xf>
    <xf numFmtId="166" fontId="123" fillId="0" borderId="0" xfId="0" applyNumberFormat="1" applyFont="1" applyFill="1" applyAlignment="1">
      <alignment horizontal="center" vertical="center"/>
    </xf>
    <xf numFmtId="166" fontId="125" fillId="0" borderId="0" xfId="0" applyNumberFormat="1" applyFont="1" applyFill="1" applyBorder="1" applyAlignment="1">
      <alignment horizontal="center" vertical="center"/>
    </xf>
    <xf numFmtId="166" fontId="125" fillId="0" borderId="0" xfId="0" applyNumberFormat="1" applyFont="1" applyFill="1" applyAlignment="1">
      <alignment horizontal="center" vertical="center"/>
    </xf>
    <xf numFmtId="166" fontId="125" fillId="0" borderId="17" xfId="0" applyNumberFormat="1" applyFont="1" applyFill="1" applyBorder="1" applyAlignment="1">
      <alignment horizontal="center" vertical="center"/>
    </xf>
    <xf numFmtId="166" fontId="21" fillId="0" borderId="0" xfId="0" applyNumberFormat="1" applyFont="1" applyBorder="1" applyAlignment="1">
      <alignment horizontal="right"/>
    </xf>
    <xf numFmtId="0" fontId="21" fillId="0" borderId="0" xfId="0" applyFont="1" applyBorder="1" applyAlignment="1">
      <alignment horizontal="left"/>
    </xf>
    <xf numFmtId="166" fontId="7" fillId="0" borderId="0" xfId="0" applyNumberFormat="1" applyFont="1" applyBorder="1" applyAlignment="1">
      <alignment horizontal="right" vertical="center"/>
    </xf>
    <xf numFmtId="0" fontId="57" fillId="0" borderId="0" xfId="0" applyFont="1" applyFill="1"/>
    <xf numFmtId="166" fontId="33" fillId="0" borderId="0" xfId="0" applyNumberFormat="1" applyFont="1" applyBorder="1" applyAlignment="1">
      <alignment horizontal="right"/>
    </xf>
    <xf numFmtId="0" fontId="19" fillId="0" borderId="0" xfId="0" applyFont="1" applyAlignment="1">
      <alignment readingOrder="2"/>
    </xf>
    <xf numFmtId="0" fontId="57" fillId="0" borderId="0" xfId="0" applyFont="1" applyAlignment="1">
      <alignment readingOrder="2"/>
    </xf>
    <xf numFmtId="0" fontId="21" fillId="0" borderId="0" xfId="0" applyFont="1" applyAlignment="1">
      <alignment readingOrder="2"/>
    </xf>
    <xf numFmtId="0" fontId="7" fillId="0" borderId="0" xfId="0" applyFont="1" applyAlignment="1">
      <alignment horizontal="right" vertical="center" readingOrder="2"/>
    </xf>
    <xf numFmtId="0" fontId="62" fillId="0" borderId="0" xfId="0" applyFont="1" applyAlignment="1">
      <alignment vertical="center" readingOrder="2"/>
    </xf>
    <xf numFmtId="0" fontId="8" fillId="2" borderId="4" xfId="0" applyFont="1" applyFill="1" applyBorder="1" applyAlignment="1">
      <alignment horizontal="center"/>
    </xf>
    <xf numFmtId="0" fontId="112" fillId="2" borderId="0" xfId="0" applyFont="1" applyFill="1" applyBorder="1" applyAlignment="1">
      <alignment horizontal="center"/>
    </xf>
    <xf numFmtId="0" fontId="112" fillId="2" borderId="11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/>
    </xf>
    <xf numFmtId="0" fontId="35" fillId="2" borderId="37" xfId="0" applyFont="1" applyFill="1" applyBorder="1" applyAlignment="1">
      <alignment horizontal="center"/>
    </xf>
    <xf numFmtId="166" fontId="127" fillId="0" borderId="0" xfId="0" applyNumberFormat="1" applyFont="1" applyFill="1" applyAlignment="1">
      <alignment horizontal="center"/>
    </xf>
    <xf numFmtId="0" fontId="35" fillId="2" borderId="16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vertical="center"/>
    </xf>
    <xf numFmtId="0" fontId="35" fillId="2" borderId="11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2" borderId="14" xfId="0" applyFont="1" applyFill="1" applyBorder="1" applyAlignment="1">
      <alignment horizontal="center" vertical="center"/>
    </xf>
    <xf numFmtId="166" fontId="2" fillId="5" borderId="16" xfId="0" applyNumberFormat="1" applyFont="1" applyFill="1" applyBorder="1" applyAlignment="1">
      <alignment horizontal="center" vertical="center"/>
    </xf>
    <xf numFmtId="166" fontId="112" fillId="5" borderId="0" xfId="0" applyNumberFormat="1" applyFont="1" applyFill="1" applyBorder="1" applyAlignment="1">
      <alignment horizontal="center" vertical="center"/>
    </xf>
    <xf numFmtId="166" fontId="125" fillId="5" borderId="10" xfId="0" applyNumberFormat="1" applyFont="1" applyFill="1" applyBorder="1" applyAlignment="1">
      <alignment horizontal="center" vertical="center"/>
    </xf>
    <xf numFmtId="166" fontId="2" fillId="4" borderId="16" xfId="0" applyNumberFormat="1" applyFont="1" applyFill="1" applyBorder="1" applyAlignment="1">
      <alignment horizontal="center" vertical="center"/>
    </xf>
    <xf numFmtId="166" fontId="112" fillId="3" borderId="0" xfId="0" applyNumberFormat="1" applyFont="1" applyFill="1" applyBorder="1" applyAlignment="1">
      <alignment horizontal="center" vertical="center"/>
    </xf>
    <xf numFmtId="166" fontId="112" fillId="4" borderId="0" xfId="0" applyNumberFormat="1" applyFont="1" applyFill="1" applyAlignment="1">
      <alignment horizontal="center" vertical="center"/>
    </xf>
    <xf numFmtId="166" fontId="125" fillId="4" borderId="0" xfId="0" applyNumberFormat="1" applyFont="1" applyFill="1" applyBorder="1" applyAlignment="1">
      <alignment horizontal="center" vertical="center"/>
    </xf>
    <xf numFmtId="166" fontId="127" fillId="0" borderId="0" xfId="0" applyNumberFormat="1" applyFont="1" applyFill="1" applyBorder="1" applyAlignment="1">
      <alignment horizontal="center"/>
    </xf>
    <xf numFmtId="166" fontId="2" fillId="0" borderId="16" xfId="0" applyNumberFormat="1" applyFont="1" applyFill="1" applyBorder="1" applyAlignment="1">
      <alignment horizontal="center" vertical="center"/>
    </xf>
    <xf numFmtId="166" fontId="112" fillId="0" borderId="0" xfId="0" applyNumberFormat="1" applyFont="1" applyFill="1" applyBorder="1" applyAlignment="1">
      <alignment horizontal="center" vertical="center"/>
    </xf>
    <xf numFmtId="166" fontId="112" fillId="0" borderId="0" xfId="0" applyNumberFormat="1" applyFont="1" applyFill="1" applyAlignment="1">
      <alignment horizontal="center" vertical="center"/>
    </xf>
    <xf numFmtId="166" fontId="2" fillId="5" borderId="22" xfId="0" applyNumberFormat="1" applyFont="1" applyFill="1" applyBorder="1" applyAlignment="1">
      <alignment horizontal="center" vertical="center"/>
    </xf>
    <xf numFmtId="166" fontId="112" fillId="5" borderId="1" xfId="0" applyNumberFormat="1" applyFont="1" applyFill="1" applyBorder="1" applyAlignment="1">
      <alignment horizontal="center" vertical="center"/>
    </xf>
    <xf numFmtId="166" fontId="7" fillId="0" borderId="0" xfId="0" applyNumberFormat="1" applyFont="1" applyBorder="1" applyAlignment="1">
      <alignment horizontal="right"/>
    </xf>
    <xf numFmtId="0" fontId="35" fillId="0" borderId="0" xfId="0" applyFont="1" applyBorder="1" applyAlignment="1">
      <alignment horizontal="left"/>
    </xf>
    <xf numFmtId="166" fontId="35" fillId="0" borderId="0" xfId="0" applyNumberFormat="1" applyFont="1" applyBorder="1" applyAlignment="1">
      <alignment horizontal="right"/>
    </xf>
    <xf numFmtId="0" fontId="35" fillId="0" borderId="0" xfId="0" applyFont="1" applyBorder="1" applyAlignment="1">
      <alignment vertical="center"/>
    </xf>
    <xf numFmtId="0" fontId="35" fillId="0" borderId="0" xfId="0" quotePrefix="1" applyFont="1" applyAlignment="1">
      <alignment horizontal="right" vertical="center" readingOrder="2"/>
    </xf>
    <xf numFmtId="0" fontId="45" fillId="0" borderId="0" xfId="0" applyFont="1" applyAlignment="1">
      <alignment horizontal="left" vertical="center"/>
    </xf>
    <xf numFmtId="166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right" vertical="center" readingOrder="2"/>
    </xf>
    <xf numFmtId="166" fontId="3" fillId="0" borderId="0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 readingOrder="2"/>
    </xf>
    <xf numFmtId="0" fontId="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21" fillId="0" borderId="0" xfId="0" applyNumberFormat="1" applyFont="1" applyAlignment="1">
      <alignment horizontal="right" vertical="center" readingOrder="2"/>
    </xf>
    <xf numFmtId="0" fontId="21" fillId="0" borderId="0" xfId="0" quotePrefix="1" applyFont="1" applyAlignment="1">
      <alignment vertical="center" readingOrder="2"/>
    </xf>
    <xf numFmtId="0" fontId="21" fillId="0" borderId="0" xfId="0" applyFont="1" applyAlignment="1">
      <alignment horizontal="right" readingOrder="2"/>
    </xf>
    <xf numFmtId="0" fontId="14" fillId="2" borderId="11" xfId="0" applyFont="1" applyFill="1" applyBorder="1" applyAlignment="1">
      <alignment vertical="center" wrapText="1"/>
    </xf>
    <xf numFmtId="0" fontId="7" fillId="2" borderId="11" xfId="0" applyFont="1" applyFill="1" applyBorder="1" applyAlignment="1">
      <alignment vertical="center" wrapText="1"/>
    </xf>
    <xf numFmtId="0" fontId="35" fillId="2" borderId="11" xfId="0" applyFont="1" applyFill="1" applyBorder="1" applyAlignment="1">
      <alignment vertical="center" wrapText="1"/>
    </xf>
    <xf numFmtId="0" fontId="35" fillId="2" borderId="17" xfId="0" applyFont="1" applyFill="1" applyBorder="1" applyAlignment="1">
      <alignment vertical="center" wrapText="1"/>
    </xf>
    <xf numFmtId="0" fontId="14" fillId="2" borderId="11" xfId="0" applyFont="1" applyFill="1" applyBorder="1" applyAlignment="1">
      <alignment vertical="center"/>
    </xf>
    <xf numFmtId="0" fontId="112" fillId="2" borderId="11" xfId="0" applyFont="1" applyFill="1" applyBorder="1" applyAlignment="1">
      <alignment vertical="center" wrapText="1"/>
    </xf>
    <xf numFmtId="0" fontId="35" fillId="2" borderId="16" xfId="0" applyFont="1" applyFill="1" applyBorder="1" applyAlignment="1">
      <alignment vertical="center"/>
    </xf>
    <xf numFmtId="166" fontId="2" fillId="5" borderId="0" xfId="0" applyNumberFormat="1" applyFont="1" applyFill="1" applyBorder="1" applyAlignment="1">
      <alignment horizontal="center" vertical="center"/>
    </xf>
    <xf numFmtId="166" fontId="2" fillId="4" borderId="0" xfId="0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horizontal="center" vertical="center"/>
    </xf>
    <xf numFmtId="166" fontId="2" fillId="5" borderId="1" xfId="0" applyNumberFormat="1" applyFont="1" applyFill="1" applyBorder="1" applyAlignment="1">
      <alignment horizontal="center" vertical="center"/>
    </xf>
    <xf numFmtId="0" fontId="35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right" readingOrder="2"/>
    </xf>
    <xf numFmtId="0" fontId="8" fillId="2" borderId="42" xfId="0" applyFont="1" applyFill="1" applyBorder="1"/>
    <xf numFmtId="0" fontId="8" fillId="2" borderId="103" xfId="0" applyFont="1" applyFill="1" applyBorder="1"/>
    <xf numFmtId="0" fontId="8" fillId="2" borderId="7" xfId="0" applyFont="1" applyFill="1" applyBorder="1" applyAlignment="1">
      <alignment horizontal="left"/>
    </xf>
    <xf numFmtId="0" fontId="8" fillId="2" borderId="17" xfId="0" applyFont="1" applyFill="1" applyBorder="1" applyAlignment="1">
      <alignment horizontal="right"/>
    </xf>
    <xf numFmtId="0" fontId="14" fillId="2" borderId="7" xfId="0" applyFont="1" applyFill="1" applyBorder="1" applyAlignment="1">
      <alignment horizontal="center"/>
    </xf>
    <xf numFmtId="0" fontId="15" fillId="2" borderId="17" xfId="0" applyFont="1" applyFill="1" applyBorder="1" applyAlignment="1">
      <alignment horizontal="center"/>
    </xf>
    <xf numFmtId="0" fontId="14" fillId="2" borderId="0" xfId="0" applyFont="1" applyFill="1" applyBorder="1"/>
    <xf numFmtId="0" fontId="14" fillId="2" borderId="0" xfId="0" applyFont="1" applyFill="1" applyAlignment="1">
      <alignment horizontal="right"/>
    </xf>
    <xf numFmtId="0" fontId="14" fillId="2" borderId="25" xfId="0" applyFont="1" applyFill="1" applyBorder="1"/>
    <xf numFmtId="0" fontId="14" fillId="2" borderId="38" xfId="0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14" fillId="2" borderId="19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14" fillId="2" borderId="14" xfId="0" applyFont="1" applyFill="1" applyBorder="1"/>
    <xf numFmtId="0" fontId="14" fillId="2" borderId="14" xfId="0" applyFont="1" applyFill="1" applyBorder="1" applyAlignment="1">
      <alignment horizontal="right"/>
    </xf>
    <xf numFmtId="0" fontId="14" fillId="2" borderId="29" xfId="0" applyFont="1" applyFill="1" applyBorder="1"/>
    <xf numFmtId="1" fontId="7" fillId="0" borderId="0" xfId="0" applyNumberFormat="1" applyFont="1" applyBorder="1" applyAlignment="1">
      <alignment horizontal="center" vertical="center"/>
    </xf>
    <xf numFmtId="0" fontId="7" fillId="0" borderId="25" xfId="0" applyFont="1" applyBorder="1"/>
    <xf numFmtId="166" fontId="19" fillId="0" borderId="0" xfId="0" applyNumberFormat="1" applyFont="1" applyBorder="1" applyAlignment="1">
      <alignment horizontal="left"/>
    </xf>
    <xf numFmtId="166" fontId="19" fillId="0" borderId="0" xfId="0" applyNumberFormat="1" applyFont="1" applyBorder="1" applyAlignment="1">
      <alignment horizontal="center"/>
    </xf>
    <xf numFmtId="166" fontId="47" fillId="0" borderId="0" xfId="0" applyNumberFormat="1" applyFont="1" applyBorder="1" applyAlignment="1">
      <alignment horizontal="center"/>
    </xf>
    <xf numFmtId="1" fontId="19" fillId="0" borderId="0" xfId="0" applyNumberFormat="1" applyFont="1" applyBorder="1" applyAlignment="1">
      <alignment horizontal="right"/>
    </xf>
    <xf numFmtId="166" fontId="20" fillId="0" borderId="0" xfId="0" applyNumberFormat="1" applyFont="1" applyBorder="1" applyAlignment="1">
      <alignment horizontal="left" vertical="center"/>
    </xf>
    <xf numFmtId="1" fontId="20" fillId="0" borderId="0" xfId="0" applyNumberFormat="1" applyFont="1" applyBorder="1" applyAlignment="1">
      <alignment horizontal="right" vertical="center"/>
    </xf>
    <xf numFmtId="0" fontId="8" fillId="2" borderId="16" xfId="0" applyFont="1" applyFill="1" applyBorder="1" applyAlignment="1">
      <alignment horizontal="centerContinuous" vertical="center"/>
    </xf>
    <xf numFmtId="166" fontId="7" fillId="3" borderId="105" xfId="0" applyNumberFormat="1" applyFont="1" applyFill="1" applyBorder="1" applyAlignment="1">
      <alignment horizontal="centerContinuous" vertical="center"/>
    </xf>
    <xf numFmtId="166" fontId="7" fillId="3" borderId="9" xfId="0" applyNumberFormat="1" applyFont="1" applyFill="1" applyBorder="1" applyAlignment="1">
      <alignment horizontal="centerContinuous" vertical="center"/>
    </xf>
    <xf numFmtId="166" fontId="8" fillId="3" borderId="9" xfId="0" applyNumberFormat="1" applyFont="1" applyFill="1" applyBorder="1" applyAlignment="1">
      <alignment horizontal="center" vertical="center"/>
    </xf>
    <xf numFmtId="166" fontId="7" fillId="0" borderId="1" xfId="0" applyNumberFormat="1" applyFont="1" applyFill="1" applyBorder="1" applyAlignment="1">
      <alignment horizontal="left" vertical="center"/>
    </xf>
    <xf numFmtId="166" fontId="8" fillId="0" borderId="1" xfId="0" applyNumberFormat="1" applyFont="1" applyFill="1" applyBorder="1" applyAlignment="1">
      <alignment horizontal="center" vertical="center"/>
    </xf>
    <xf numFmtId="166" fontId="20" fillId="0" borderId="0" xfId="0" applyNumberFormat="1" applyFont="1" applyBorder="1" applyAlignment="1">
      <alignment horizontal="right" vertical="center" readingOrder="2"/>
    </xf>
    <xf numFmtId="0" fontId="62" fillId="0" borderId="0" xfId="0" applyFont="1" applyFill="1" applyBorder="1" applyAlignment="1">
      <alignment horizontal="centerContinuous" vertical="center"/>
    </xf>
    <xf numFmtId="0" fontId="62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Continuous"/>
    </xf>
    <xf numFmtId="0" fontId="66" fillId="0" borderId="25" xfId="0" applyFont="1" applyFill="1" applyBorder="1"/>
    <xf numFmtId="0" fontId="40" fillId="0" borderId="0" xfId="0" applyFont="1" applyBorder="1" applyAlignment="1">
      <alignment horizontal="centerContinuous" vertical="center"/>
    </xf>
    <xf numFmtId="0" fontId="113" fillId="0" borderId="0" xfId="0" applyFont="1"/>
    <xf numFmtId="0" fontId="113" fillId="0" borderId="0" xfId="0" applyFont="1" applyBorder="1"/>
    <xf numFmtId="0" fontId="8" fillId="2" borderId="2" xfId="0" applyFont="1" applyFill="1" applyBorder="1"/>
    <xf numFmtId="0" fontId="8" fillId="2" borderId="4" xfId="0" applyFont="1" applyFill="1" applyBorder="1" applyAlignment="1"/>
    <xf numFmtId="0" fontId="8" fillId="2" borderId="42" xfId="0" applyFont="1" applyFill="1" applyBorder="1" applyAlignment="1"/>
    <xf numFmtId="0" fontId="8" fillId="2" borderId="26" xfId="0" applyFont="1" applyFill="1" applyBorder="1" applyAlignment="1">
      <alignment horizontal="right"/>
    </xf>
    <xf numFmtId="0" fontId="8" fillId="2" borderId="42" xfId="0" applyFont="1" applyFill="1" applyBorder="1" applyAlignment="1">
      <alignment horizontal="right"/>
    </xf>
    <xf numFmtId="0" fontId="8" fillId="2" borderId="7" xfId="0" applyFont="1" applyFill="1" applyBorder="1" applyAlignment="1"/>
    <xf numFmtId="0" fontId="8" fillId="2" borderId="0" xfId="0" applyFont="1" applyFill="1" applyBorder="1" applyAlignment="1"/>
    <xf numFmtId="0" fontId="8" fillId="2" borderId="17" xfId="0" applyFont="1" applyFill="1" applyBorder="1"/>
    <xf numFmtId="0" fontId="8" fillId="2" borderId="17" xfId="0" applyFont="1" applyFill="1" applyBorder="1" applyAlignment="1">
      <alignment horizontal="centerContinuous"/>
    </xf>
    <xf numFmtId="0" fontId="8" fillId="2" borderId="14" xfId="0" applyFont="1" applyFill="1" applyBorder="1" applyAlignment="1"/>
    <xf numFmtId="0" fontId="8" fillId="2" borderId="15" xfId="0" applyFont="1" applyFill="1" applyBorder="1"/>
    <xf numFmtId="0" fontId="4" fillId="0" borderId="25" xfId="0" applyFont="1" applyFill="1" applyBorder="1"/>
    <xf numFmtId="0" fontId="7" fillId="2" borderId="105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 vertical="top"/>
    </xf>
    <xf numFmtId="0" fontId="7" fillId="2" borderId="19" xfId="0" applyFont="1" applyFill="1" applyBorder="1" applyAlignment="1">
      <alignment horizontal="center" vertical="top"/>
    </xf>
    <xf numFmtId="166" fontId="7" fillId="3" borderId="0" xfId="0" applyNumberFormat="1" applyFont="1" applyFill="1" applyBorder="1" applyAlignment="1">
      <alignment horizontal="center" vertical="top"/>
    </xf>
    <xf numFmtId="0" fontId="3" fillId="3" borderId="25" xfId="0" applyFont="1" applyFill="1" applyBorder="1"/>
    <xf numFmtId="0" fontId="21" fillId="0" borderId="0" xfId="0" applyFont="1" applyFill="1" applyAlignment="1">
      <alignment horizontal="center"/>
    </xf>
    <xf numFmtId="0" fontId="48" fillId="0" borderId="0" xfId="0" applyFont="1" applyFill="1" applyBorder="1"/>
    <xf numFmtId="0" fontId="21" fillId="0" borderId="25" xfId="0" applyFont="1" applyFill="1" applyBorder="1"/>
    <xf numFmtId="0" fontId="20" fillId="0" borderId="0" xfId="0" quotePrefix="1" applyFont="1" applyBorder="1" applyAlignment="1">
      <alignment horizontal="right"/>
    </xf>
    <xf numFmtId="0" fontId="4" fillId="0" borderId="0" xfId="0" applyFont="1" applyBorder="1" applyAlignment="1"/>
    <xf numFmtId="0" fontId="4" fillId="8" borderId="0" xfId="0" applyFont="1" applyFill="1" applyBorder="1" applyAlignment="1">
      <alignment horizontal="centerContinuous" vertical="center"/>
    </xf>
    <xf numFmtId="0" fontId="3" fillId="0" borderId="0" xfId="0" applyFont="1" applyBorder="1" applyAlignment="1">
      <alignment horizontal="centerContinuous" vertical="center"/>
    </xf>
    <xf numFmtId="0" fontId="4" fillId="8" borderId="0" xfId="0" applyFont="1" applyFill="1" applyBorder="1" applyAlignment="1"/>
    <xf numFmtId="0" fontId="3" fillId="0" borderId="0" xfId="0" applyFont="1" applyBorder="1" applyAlignment="1">
      <alignment horizontal="center" vertical="top"/>
    </xf>
    <xf numFmtId="166" fontId="3" fillId="8" borderId="0" xfId="0" applyNumberFormat="1" applyFont="1" applyFill="1" applyBorder="1" applyAlignment="1">
      <alignment horizontal="center" vertical="center"/>
    </xf>
    <xf numFmtId="168" fontId="3" fillId="4" borderId="0" xfId="0" applyNumberFormat="1" applyFont="1" applyFill="1" applyBorder="1" applyAlignment="1">
      <alignment horizontal="center" vertical="center"/>
    </xf>
    <xf numFmtId="168" fontId="3" fillId="8" borderId="0" xfId="0" applyNumberFormat="1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right"/>
    </xf>
    <xf numFmtId="0" fontId="37" fillId="0" borderId="0" xfId="0" applyFont="1" applyAlignment="1"/>
    <xf numFmtId="0" fontId="37" fillId="0" borderId="0" xfId="0" applyFont="1" applyFill="1" applyBorder="1"/>
    <xf numFmtId="0" fontId="37" fillId="0" borderId="0" xfId="0" applyFont="1" applyAlignment="1">
      <alignment horizontal="centerContinuous" vertical="center"/>
    </xf>
    <xf numFmtId="0" fontId="26" fillId="0" borderId="0" xfId="0" quotePrefix="1" applyFont="1" applyBorder="1" applyAlignment="1">
      <alignment horizontal="centerContinuous" vertical="center"/>
    </xf>
    <xf numFmtId="0" fontId="128" fillId="0" borderId="0" xfId="0" applyFont="1" applyFill="1" applyBorder="1"/>
    <xf numFmtId="0" fontId="128" fillId="0" borderId="0" xfId="0" applyFont="1" applyFill="1" applyAlignment="1">
      <alignment vertical="center"/>
    </xf>
    <xf numFmtId="0" fontId="173" fillId="0" borderId="0" xfId="0" applyFont="1" applyBorder="1" applyAlignment="1">
      <alignment horizontal="center" vertical="center"/>
    </xf>
    <xf numFmtId="0" fontId="128" fillId="0" borderId="0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173" fillId="0" borderId="0" xfId="0" applyFont="1" applyFill="1" applyBorder="1" applyAlignment="1">
      <alignment horizontal="center" vertical="center"/>
    </xf>
    <xf numFmtId="0" fontId="37" fillId="0" borderId="0" xfId="0" applyFont="1" applyFill="1" applyAlignment="1">
      <alignment vertical="center"/>
    </xf>
    <xf numFmtId="0" fontId="172" fillId="0" borderId="0" xfId="0" applyFont="1" applyBorder="1" applyAlignment="1">
      <alignment horizontal="centerContinuous" vertical="center"/>
    </xf>
    <xf numFmtId="0" fontId="37" fillId="0" borderId="0" xfId="0" applyFont="1" applyBorder="1" applyAlignment="1">
      <alignment horizontal="centerContinuous" vertical="center"/>
    </xf>
    <xf numFmtId="0" fontId="26" fillId="0" borderId="0" xfId="0" applyFont="1" applyAlignment="1">
      <alignment horizontal="centerContinuous" vertical="center"/>
    </xf>
    <xf numFmtId="0" fontId="70" fillId="0" borderId="0" xfId="0" applyFont="1" applyFill="1" applyAlignment="1">
      <alignment vertical="center"/>
    </xf>
    <xf numFmtId="0" fontId="70" fillId="0" borderId="0" xfId="0" applyFont="1" applyAlignment="1">
      <alignment horizontal="right" vertical="center"/>
    </xf>
    <xf numFmtId="0" fontId="37" fillId="0" borderId="0" xfId="0" applyFont="1" applyFill="1" applyBorder="1" applyAlignment="1">
      <alignment horizontal="left"/>
    </xf>
    <xf numFmtId="0" fontId="70" fillId="0" borderId="0" xfId="0" applyFont="1" applyAlignment="1">
      <alignment horizontal="left" vertical="center"/>
    </xf>
    <xf numFmtId="0" fontId="70" fillId="0" borderId="0" xfId="0" applyFont="1"/>
    <xf numFmtId="0" fontId="70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right" vertical="center" readingOrder="2"/>
    </xf>
    <xf numFmtId="166" fontId="37" fillId="0" borderId="0" xfId="0" applyNumberFormat="1" applyFont="1" applyFill="1" applyBorder="1" applyAlignment="1">
      <alignment horizontal="right" vertical="center" readingOrder="1"/>
    </xf>
    <xf numFmtId="0" fontId="70" fillId="0" borderId="0" xfId="0" applyFont="1" applyFill="1" applyBorder="1" applyAlignment="1">
      <alignment horizontal="left"/>
    </xf>
    <xf numFmtId="0" fontId="70" fillId="0" borderId="0" xfId="0" applyFont="1" applyFill="1" applyBorder="1" applyAlignment="1">
      <alignment horizontal="right" vertical="center" readingOrder="2"/>
    </xf>
    <xf numFmtId="0" fontId="37" fillId="10" borderId="151" xfId="0" applyFont="1" applyFill="1" applyBorder="1" applyAlignment="1">
      <alignment vertical="center"/>
    </xf>
    <xf numFmtId="0" fontId="37" fillId="10" borderId="149" xfId="0" applyFont="1" applyFill="1" applyBorder="1" applyAlignment="1"/>
    <xf numFmtId="0" fontId="37" fillId="7" borderId="147" xfId="0" applyFont="1" applyFill="1" applyBorder="1" applyAlignment="1">
      <alignment vertical="center"/>
    </xf>
    <xf numFmtId="0" fontId="70" fillId="10" borderId="30" xfId="0" applyFont="1" applyFill="1" applyBorder="1" applyAlignment="1">
      <alignment horizontal="center" vertical="center"/>
    </xf>
    <xf numFmtId="167" fontId="26" fillId="10" borderId="78" xfId="0" applyNumberFormat="1" applyFont="1" applyFill="1" applyBorder="1" applyAlignment="1">
      <alignment horizontal="center" vertical="center"/>
    </xf>
    <xf numFmtId="0" fontId="45" fillId="7" borderId="31" xfId="0" applyFont="1" applyFill="1" applyBorder="1" applyAlignment="1">
      <alignment vertical="center"/>
    </xf>
    <xf numFmtId="0" fontId="95" fillId="10" borderId="31" xfId="0" applyFont="1" applyFill="1" applyBorder="1" applyAlignment="1">
      <alignment horizontal="centerContinuous" vertical="center"/>
    </xf>
    <xf numFmtId="0" fontId="70" fillId="10" borderId="30" xfId="0" applyFont="1" applyFill="1" applyBorder="1" applyAlignment="1">
      <alignment horizontal="center"/>
    </xf>
    <xf numFmtId="0" fontId="45" fillId="7" borderId="31" xfId="0" applyFont="1" applyFill="1" applyBorder="1" applyAlignment="1"/>
    <xf numFmtId="0" fontId="70" fillId="10" borderId="146" xfId="0" applyFont="1" applyFill="1" applyBorder="1" applyAlignment="1"/>
    <xf numFmtId="0" fontId="26" fillId="10" borderId="97" xfId="0" applyFont="1" applyFill="1" applyBorder="1" applyAlignment="1">
      <alignment horizontal="right" vertical="center"/>
    </xf>
    <xf numFmtId="0" fontId="45" fillId="7" borderId="145" xfId="0" applyFont="1" applyFill="1" applyBorder="1" applyAlignment="1"/>
    <xf numFmtId="0" fontId="70" fillId="10" borderId="144" xfId="0" applyFont="1" applyFill="1" applyBorder="1" applyAlignment="1"/>
    <xf numFmtId="0" fontId="45" fillId="10" borderId="100" xfId="0" applyFont="1" applyFill="1" applyBorder="1" applyAlignment="1"/>
    <xf numFmtId="0" fontId="70" fillId="10" borderId="74" xfId="0" applyFont="1" applyFill="1" applyBorder="1" applyAlignment="1">
      <alignment horizontal="right" vertical="center"/>
    </xf>
    <xf numFmtId="0" fontId="70" fillId="10" borderId="75" xfId="0" applyFont="1" applyFill="1" applyBorder="1" applyAlignment="1">
      <alignment horizontal="right" vertical="center"/>
    </xf>
    <xf numFmtId="0" fontId="26" fillId="10" borderId="0" xfId="0" applyFont="1" applyFill="1" applyBorder="1" applyAlignment="1">
      <alignment horizontal="right" vertical="center"/>
    </xf>
    <xf numFmtId="0" fontId="45" fillId="10" borderId="74" xfId="0" applyFont="1" applyFill="1" applyBorder="1" applyAlignment="1"/>
    <xf numFmtId="0" fontId="45" fillId="7" borderId="123" xfId="0" applyFont="1" applyFill="1" applyBorder="1" applyAlignment="1"/>
    <xf numFmtId="166" fontId="107" fillId="0" borderId="0" xfId="0" applyNumberFormat="1" applyFont="1"/>
    <xf numFmtId="0" fontId="91" fillId="4" borderId="30" xfId="0" applyFont="1" applyFill="1" applyBorder="1" applyAlignment="1">
      <alignment horizontal="center" vertical="center"/>
    </xf>
    <xf numFmtId="0" fontId="166" fillId="4" borderId="0" xfId="0" applyFont="1" applyFill="1" applyBorder="1" applyAlignment="1">
      <alignment horizontal="left" vertical="center"/>
    </xf>
    <xf numFmtId="166" fontId="26" fillId="4" borderId="79" xfId="0" applyNumberFormat="1" applyFont="1" applyFill="1" applyBorder="1" applyAlignment="1">
      <alignment horizontal="center" vertical="center"/>
    </xf>
    <xf numFmtId="166" fontId="26" fillId="4" borderId="80" xfId="0" applyNumberFormat="1" applyFont="1" applyFill="1" applyBorder="1" applyAlignment="1">
      <alignment horizontal="center" vertical="center"/>
    </xf>
    <xf numFmtId="167" fontId="26" fillId="4" borderId="0" xfId="0" applyNumberFormat="1" applyFont="1" applyFill="1" applyBorder="1" applyAlignment="1">
      <alignment horizontal="center" vertical="center"/>
    </xf>
    <xf numFmtId="0" fontId="166" fillId="4" borderId="79" xfId="0" applyFont="1" applyFill="1" applyBorder="1" applyAlignment="1">
      <alignment horizontal="right" vertical="center"/>
    </xf>
    <xf numFmtId="0" fontId="166" fillId="4" borderId="0" xfId="0" applyFont="1" applyFill="1" applyBorder="1" applyAlignment="1">
      <alignment horizontal="right" vertical="center"/>
    </xf>
    <xf numFmtId="166" fontId="166" fillId="11" borderId="0" xfId="0" applyNumberFormat="1" applyFont="1" applyFill="1" applyBorder="1" applyAlignment="1">
      <alignment horizontal="right" vertical="center" readingOrder="1"/>
    </xf>
    <xf numFmtId="0" fontId="91" fillId="4" borderId="25" xfId="0" applyFont="1" applyFill="1" applyBorder="1" applyAlignment="1">
      <alignment vertical="center"/>
    </xf>
    <xf numFmtId="0" fontId="91" fillId="7" borderId="30" xfId="0" applyFont="1" applyFill="1" applyBorder="1" applyAlignment="1">
      <alignment horizontal="center" vertical="center"/>
    </xf>
    <xf numFmtId="166" fontId="91" fillId="10" borderId="0" xfId="0" applyNumberFormat="1" applyFont="1" applyFill="1" applyBorder="1" applyAlignment="1">
      <alignment horizontal="left" vertical="center"/>
    </xf>
    <xf numFmtId="166" fontId="37" fillId="7" borderId="79" xfId="0" applyNumberFormat="1" applyFont="1" applyFill="1" applyBorder="1" applyAlignment="1">
      <alignment horizontal="center" vertical="center"/>
    </xf>
    <xf numFmtId="166" fontId="37" fillId="7" borderId="80" xfId="0" applyNumberFormat="1" applyFont="1" applyFill="1" applyBorder="1" applyAlignment="1">
      <alignment horizontal="center" vertical="center"/>
    </xf>
    <xf numFmtId="167" fontId="37" fillId="7" borderId="0" xfId="0" applyNumberFormat="1" applyFont="1" applyFill="1" applyBorder="1" applyAlignment="1">
      <alignment horizontal="center" vertical="center"/>
    </xf>
    <xf numFmtId="0" fontId="91" fillId="7" borderId="79" xfId="0" applyFont="1" applyFill="1" applyBorder="1" applyAlignment="1">
      <alignment horizontal="right" vertical="center"/>
    </xf>
    <xf numFmtId="166" fontId="91" fillId="10" borderId="0" xfId="0" applyNumberFormat="1" applyFont="1" applyFill="1" applyBorder="1" applyAlignment="1">
      <alignment horizontal="right" vertical="center" readingOrder="1"/>
    </xf>
    <xf numFmtId="0" fontId="91" fillId="7" borderId="25" xfId="0" applyFont="1" applyFill="1" applyBorder="1" applyAlignment="1">
      <alignment vertical="center"/>
    </xf>
    <xf numFmtId="166" fontId="37" fillId="8" borderId="0" xfId="0" applyNumberFormat="1" applyFont="1" applyFill="1" applyBorder="1" applyAlignment="1">
      <alignment horizontal="right" vertical="center" readingOrder="1"/>
    </xf>
    <xf numFmtId="0" fontId="91" fillId="8" borderId="30" xfId="0" applyFont="1" applyFill="1" applyBorder="1" applyAlignment="1">
      <alignment horizontal="center" vertical="center"/>
    </xf>
    <xf numFmtId="166" fontId="91" fillId="8" borderId="0" xfId="0" applyNumberFormat="1" applyFont="1" applyFill="1" applyBorder="1" applyAlignment="1">
      <alignment horizontal="left" vertical="center"/>
    </xf>
    <xf numFmtId="166" fontId="37" fillId="8" borderId="79" xfId="0" applyNumberFormat="1" applyFont="1" applyFill="1" applyBorder="1" applyAlignment="1">
      <alignment horizontal="center" vertical="center"/>
    </xf>
    <xf numFmtId="166" fontId="37" fillId="8" borderId="80" xfId="0" applyNumberFormat="1" applyFont="1" applyFill="1" applyBorder="1" applyAlignment="1">
      <alignment horizontal="center" vertical="center"/>
    </xf>
    <xf numFmtId="167" fontId="37" fillId="8" borderId="0" xfId="0" applyNumberFormat="1" applyFont="1" applyFill="1" applyBorder="1" applyAlignment="1">
      <alignment horizontal="center" vertical="center"/>
    </xf>
    <xf numFmtId="166" fontId="91" fillId="8" borderId="79" xfId="0" applyNumberFormat="1" applyFont="1" applyFill="1" applyBorder="1" applyAlignment="1">
      <alignment horizontal="right" vertical="center" readingOrder="1"/>
    </xf>
    <xf numFmtId="166" fontId="91" fillId="8" borderId="0" xfId="0" applyNumberFormat="1" applyFont="1" applyFill="1" applyBorder="1" applyAlignment="1">
      <alignment horizontal="right" vertical="center" readingOrder="1"/>
    </xf>
    <xf numFmtId="166" fontId="91" fillId="4" borderId="25" xfId="0" applyNumberFormat="1" applyFont="1" applyFill="1" applyBorder="1" applyAlignment="1">
      <alignment horizontal="center" vertical="center"/>
    </xf>
    <xf numFmtId="0" fontId="91" fillId="7" borderId="30" xfId="0" applyFont="1" applyFill="1" applyBorder="1" applyAlignment="1">
      <alignment vertical="center"/>
    </xf>
    <xf numFmtId="0" fontId="91" fillId="7" borderId="0" xfId="0" applyFont="1" applyFill="1" applyBorder="1" applyAlignment="1">
      <alignment horizontal="left" vertical="center"/>
    </xf>
    <xf numFmtId="0" fontId="91" fillId="7" borderId="0" xfId="0" applyFont="1" applyFill="1" applyBorder="1" applyAlignment="1">
      <alignment horizontal="right" vertical="center"/>
    </xf>
    <xf numFmtId="0" fontId="91" fillId="8" borderId="30" xfId="0" applyFont="1" applyFill="1" applyBorder="1" applyAlignment="1">
      <alignment vertical="center"/>
    </xf>
    <xf numFmtId="0" fontId="91" fillId="8" borderId="0" xfId="0" applyFont="1" applyFill="1" applyBorder="1" applyAlignment="1">
      <alignment horizontal="left" vertical="center"/>
    </xf>
    <xf numFmtId="0" fontId="91" fillId="8" borderId="79" xfId="0" applyFont="1" applyFill="1" applyBorder="1" applyAlignment="1">
      <alignment horizontal="right" vertical="center"/>
    </xf>
    <xf numFmtId="0" fontId="91" fillId="8" borderId="0" xfId="0" applyFont="1" applyFill="1" applyBorder="1" applyAlignment="1">
      <alignment horizontal="right" vertical="center"/>
    </xf>
    <xf numFmtId="0" fontId="166" fillId="7" borderId="0" xfId="0" applyFont="1" applyFill="1" applyBorder="1" applyAlignment="1">
      <alignment horizontal="left" vertical="center"/>
    </xf>
    <xf numFmtId="166" fontId="26" fillId="7" borderId="79" xfId="0" applyNumberFormat="1" applyFont="1" applyFill="1" applyBorder="1" applyAlignment="1">
      <alignment horizontal="center" vertical="center"/>
    </xf>
    <xf numFmtId="166" fontId="26" fillId="7" borderId="80" xfId="0" applyNumberFormat="1" applyFont="1" applyFill="1" applyBorder="1" applyAlignment="1">
      <alignment horizontal="center" vertical="center"/>
    </xf>
    <xf numFmtId="167" fontId="26" fillId="7" borderId="0" xfId="0" applyNumberFormat="1" applyFont="1" applyFill="1" applyBorder="1" applyAlignment="1">
      <alignment horizontal="center" vertical="center"/>
    </xf>
    <xf numFmtId="0" fontId="166" fillId="7" borderId="79" xfId="0" applyFont="1" applyFill="1" applyBorder="1" applyAlignment="1">
      <alignment horizontal="right" vertical="center"/>
    </xf>
    <xf numFmtId="0" fontId="166" fillId="7" borderId="0" xfId="0" applyFont="1" applyFill="1" applyBorder="1" applyAlignment="1">
      <alignment horizontal="right" vertical="center"/>
    </xf>
    <xf numFmtId="0" fontId="170" fillId="3" borderId="0" xfId="0" applyFont="1" applyFill="1"/>
    <xf numFmtId="0" fontId="91" fillId="8" borderId="79" xfId="0" applyFont="1" applyFill="1" applyBorder="1" applyAlignment="1">
      <alignment vertical="center"/>
    </xf>
    <xf numFmtId="0" fontId="91" fillId="7" borderId="79" xfId="0" applyFont="1" applyFill="1" applyBorder="1" applyAlignment="1">
      <alignment vertical="center"/>
    </xf>
    <xf numFmtId="166" fontId="169" fillId="0" borderId="0" xfId="0" applyNumberFormat="1" applyFont="1"/>
    <xf numFmtId="167" fontId="91" fillId="4" borderId="25" xfId="0" applyNumberFormat="1" applyFont="1" applyFill="1" applyBorder="1" applyAlignment="1">
      <alignment vertical="center"/>
    </xf>
    <xf numFmtId="0" fontId="91" fillId="7" borderId="30" xfId="0" applyFont="1" applyFill="1" applyBorder="1" applyAlignment="1">
      <alignment horizontal="left" vertical="center"/>
    </xf>
    <xf numFmtId="166" fontId="37" fillId="7" borderId="0" xfId="0" quotePrefix="1" applyNumberFormat="1" applyFont="1" applyFill="1" applyBorder="1" applyAlignment="1">
      <alignment horizontal="center" vertical="center"/>
    </xf>
    <xf numFmtId="166" fontId="37" fillId="7" borderId="80" xfId="0" quotePrefix="1" applyNumberFormat="1" applyFont="1" applyFill="1" applyBorder="1" applyAlignment="1">
      <alignment horizontal="center" vertical="center"/>
    </xf>
    <xf numFmtId="166" fontId="91" fillId="7" borderId="0" xfId="0" applyNumberFormat="1" applyFont="1" applyFill="1" applyBorder="1" applyAlignment="1">
      <alignment horizontal="right" vertical="center"/>
    </xf>
    <xf numFmtId="0" fontId="91" fillId="4" borderId="30" xfId="0" applyFont="1" applyFill="1" applyBorder="1" applyAlignment="1">
      <alignment horizontal="left" vertical="center"/>
    </xf>
    <xf numFmtId="166" fontId="37" fillId="4" borderId="79" xfId="0" applyNumberFormat="1" applyFont="1" applyFill="1" applyBorder="1" applyAlignment="1">
      <alignment horizontal="center" vertical="center"/>
    </xf>
    <xf numFmtId="166" fontId="37" fillId="8" borderId="0" xfId="0" quotePrefix="1" applyNumberFormat="1" applyFont="1" applyFill="1" applyBorder="1" applyAlignment="1">
      <alignment horizontal="center" vertical="center"/>
    </xf>
    <xf numFmtId="166" fontId="37" fillId="8" borderId="80" xfId="0" quotePrefix="1" applyNumberFormat="1" applyFont="1" applyFill="1" applyBorder="1" applyAlignment="1">
      <alignment horizontal="center" vertical="center"/>
    </xf>
    <xf numFmtId="167" fontId="37" fillId="8" borderId="0" xfId="0" quotePrefix="1" applyNumberFormat="1" applyFont="1" applyFill="1" applyBorder="1" applyAlignment="1">
      <alignment horizontal="center" vertical="center"/>
    </xf>
    <xf numFmtId="0" fontId="91" fillId="4" borderId="79" xfId="0" applyFont="1" applyFill="1" applyBorder="1" applyAlignment="1">
      <alignment vertical="center"/>
    </xf>
    <xf numFmtId="166" fontId="91" fillId="8" borderId="0" xfId="0" applyNumberFormat="1" applyFont="1" applyFill="1" applyBorder="1" applyAlignment="1">
      <alignment horizontal="right" vertical="center"/>
    </xf>
    <xf numFmtId="166" fontId="37" fillId="10" borderId="79" xfId="0" applyNumberFormat="1" applyFont="1" applyFill="1" applyBorder="1" applyAlignment="1">
      <alignment horizontal="center" vertical="center"/>
    </xf>
    <xf numFmtId="167" fontId="37" fillId="7" borderId="0" xfId="0" quotePrefix="1" applyNumberFormat="1" applyFont="1" applyFill="1" applyBorder="1" applyAlignment="1">
      <alignment horizontal="center" vertical="center"/>
    </xf>
    <xf numFmtId="0" fontId="91" fillId="10" borderId="79" xfId="0" applyFont="1" applyFill="1" applyBorder="1" applyAlignment="1">
      <alignment vertical="center"/>
    </xf>
    <xf numFmtId="166" fontId="91" fillId="10" borderId="0" xfId="0" applyNumberFormat="1" applyFont="1" applyFill="1" applyBorder="1" applyAlignment="1">
      <alignment horizontal="right" vertical="center"/>
    </xf>
    <xf numFmtId="0" fontId="37" fillId="0" borderId="0" xfId="0" applyFont="1"/>
    <xf numFmtId="166" fontId="91" fillId="4" borderId="0" xfId="0" applyNumberFormat="1" applyFont="1" applyFill="1" applyBorder="1" applyAlignment="1">
      <alignment horizontal="left" vertical="center"/>
    </xf>
    <xf numFmtId="166" fontId="37" fillId="4" borderId="0" xfId="0" applyNumberFormat="1" applyFont="1" applyFill="1" applyBorder="1" applyAlignment="1">
      <alignment horizontal="left" vertical="center" wrapText="1"/>
    </xf>
    <xf numFmtId="166" fontId="37" fillId="4" borderId="80" xfId="0" applyNumberFormat="1" applyFont="1" applyFill="1" applyBorder="1" applyAlignment="1">
      <alignment horizontal="center" vertical="center"/>
    </xf>
    <xf numFmtId="167" fontId="37" fillId="4" borderId="0" xfId="0" applyNumberFormat="1" applyFont="1" applyFill="1" applyBorder="1" applyAlignment="1">
      <alignment horizontal="center" vertical="center"/>
    </xf>
    <xf numFmtId="166" fontId="91" fillId="4" borderId="0" xfId="0" applyNumberFormat="1" applyFont="1" applyFill="1" applyBorder="1" applyAlignment="1">
      <alignment horizontal="right" vertical="center"/>
    </xf>
    <xf numFmtId="166" fontId="91" fillId="7" borderId="0" xfId="0" applyNumberFormat="1" applyFont="1" applyFill="1" applyBorder="1" applyAlignment="1">
      <alignment horizontal="left" vertical="center"/>
    </xf>
    <xf numFmtId="0" fontId="91" fillId="7" borderId="30" xfId="0" applyFont="1" applyFill="1" applyBorder="1" applyAlignment="1"/>
    <xf numFmtId="166" fontId="37" fillId="7" borderId="0" xfId="0" applyNumberFormat="1" applyFont="1" applyFill="1" applyBorder="1" applyAlignment="1">
      <alignment horizontal="left" vertical="center" wrapText="1"/>
    </xf>
    <xf numFmtId="0" fontId="91" fillId="8" borderId="30" xfId="0" applyFont="1" applyFill="1" applyBorder="1" applyAlignment="1"/>
    <xf numFmtId="166" fontId="37" fillId="8" borderId="0" xfId="0" applyNumberFormat="1" applyFont="1" applyFill="1" applyBorder="1" applyAlignment="1">
      <alignment horizontal="left" vertical="center"/>
    </xf>
    <xf numFmtId="166" fontId="134" fillId="7" borderId="0" xfId="0" applyNumberFormat="1" applyFont="1" applyFill="1" applyBorder="1" applyAlignment="1">
      <alignment horizontal="left" vertical="center" wrapText="1"/>
    </xf>
    <xf numFmtId="0" fontId="91" fillId="4" borderId="0" xfId="0" applyFont="1" applyFill="1" applyBorder="1" applyAlignment="1">
      <alignment horizontal="left" vertical="center"/>
    </xf>
    <xf numFmtId="0" fontId="91" fillId="10" borderId="30" xfId="0" applyFont="1" applyFill="1" applyBorder="1" applyAlignment="1">
      <alignment horizontal="center" vertical="center"/>
    </xf>
    <xf numFmtId="166" fontId="134" fillId="10" borderId="0" xfId="0" applyNumberFormat="1" applyFont="1" applyFill="1" applyBorder="1" applyAlignment="1">
      <alignment horizontal="left" vertical="center"/>
    </xf>
    <xf numFmtId="166" fontId="37" fillId="10" borderId="80" xfId="0" applyNumberFormat="1" applyFont="1" applyFill="1" applyBorder="1" applyAlignment="1">
      <alignment horizontal="center" vertical="center"/>
    </xf>
    <xf numFmtId="167" fontId="37" fillId="10" borderId="0" xfId="0" applyNumberFormat="1" applyFont="1" applyFill="1" applyBorder="1" applyAlignment="1">
      <alignment horizontal="center" vertical="center"/>
    </xf>
    <xf numFmtId="0" fontId="91" fillId="4" borderId="0" xfId="0" applyFont="1" applyFill="1" applyBorder="1" applyAlignment="1">
      <alignment horizontal="right" vertical="center"/>
    </xf>
    <xf numFmtId="0" fontId="91" fillId="10" borderId="30" xfId="0" applyFont="1" applyFill="1" applyBorder="1" applyAlignment="1">
      <alignment horizontal="left" vertical="center"/>
    </xf>
    <xf numFmtId="166" fontId="37" fillId="10" borderId="0" xfId="0" applyNumberFormat="1" applyFont="1" applyFill="1" applyBorder="1" applyAlignment="1">
      <alignment horizontal="left" vertical="center" wrapText="1"/>
    </xf>
    <xf numFmtId="0" fontId="91" fillId="10" borderId="0" xfId="0" applyFont="1" applyFill="1" applyBorder="1" applyAlignment="1">
      <alignment horizontal="right" vertical="center"/>
    </xf>
    <xf numFmtId="166" fontId="45" fillId="4" borderId="0" xfId="0" applyNumberFormat="1" applyFont="1" applyFill="1" applyBorder="1" applyAlignment="1">
      <alignment horizontal="left" vertical="center"/>
    </xf>
    <xf numFmtId="0" fontId="91" fillId="8" borderId="30" xfId="0" applyFont="1" applyFill="1" applyBorder="1" applyAlignment="1">
      <alignment horizontal="left" vertical="center"/>
    </xf>
    <xf numFmtId="0" fontId="91" fillId="10" borderId="30" xfId="0" applyFont="1" applyFill="1" applyBorder="1" applyAlignment="1"/>
    <xf numFmtId="0" fontId="91" fillId="10" borderId="0" xfId="0" applyFont="1" applyFill="1" applyBorder="1" applyAlignment="1">
      <alignment horizontal="left" vertical="center"/>
    </xf>
    <xf numFmtId="0" fontId="45" fillId="10" borderId="0" xfId="0" applyFont="1" applyFill="1" applyBorder="1" applyAlignment="1">
      <alignment horizontal="left" vertical="center"/>
    </xf>
    <xf numFmtId="0" fontId="166" fillId="8" borderId="0" xfId="0" applyFont="1" applyFill="1" applyBorder="1" applyAlignment="1">
      <alignment horizontal="left" vertical="center"/>
    </xf>
    <xf numFmtId="0" fontId="91" fillId="8" borderId="0" xfId="0" applyFont="1" applyFill="1" applyBorder="1" applyAlignment="1">
      <alignment vertical="center"/>
    </xf>
    <xf numFmtId="166" fontId="26" fillId="8" borderId="79" xfId="0" applyNumberFormat="1" applyFont="1" applyFill="1" applyBorder="1" applyAlignment="1">
      <alignment horizontal="center" vertical="center"/>
    </xf>
    <xf numFmtId="166" fontId="26" fillId="8" borderId="80" xfId="0" applyNumberFormat="1" applyFont="1" applyFill="1" applyBorder="1" applyAlignment="1">
      <alignment horizontal="center" vertical="center"/>
    </xf>
    <xf numFmtId="167" fontId="26" fillId="8" borderId="0" xfId="0" applyNumberFormat="1" applyFont="1" applyFill="1" applyBorder="1" applyAlignment="1">
      <alignment horizontal="center" vertical="center"/>
    </xf>
    <xf numFmtId="0" fontId="166" fillId="8" borderId="0" xfId="0" applyFont="1" applyFill="1" applyBorder="1" applyAlignment="1">
      <alignment horizontal="right" vertical="center"/>
    </xf>
    <xf numFmtId="0" fontId="167" fillId="0" borderId="0" xfId="0" applyFont="1"/>
    <xf numFmtId="166" fontId="167" fillId="0" borderId="0" xfId="0" applyNumberFormat="1" applyFont="1"/>
    <xf numFmtId="0" fontId="166" fillId="10" borderId="30" xfId="0" applyFont="1" applyFill="1" applyBorder="1" applyAlignment="1">
      <alignment horizontal="center" vertical="center"/>
    </xf>
    <xf numFmtId="0" fontId="168" fillId="10" borderId="25" xfId="0" applyFont="1" applyFill="1" applyBorder="1" applyAlignment="1">
      <alignment horizontal="left" vertical="center"/>
    </xf>
    <xf numFmtId="0" fontId="166" fillId="10" borderId="0" xfId="0" applyFont="1" applyFill="1" applyBorder="1" applyAlignment="1">
      <alignment horizontal="left" vertical="center"/>
    </xf>
    <xf numFmtId="166" fontId="26" fillId="10" borderId="79" xfId="0" applyNumberFormat="1" applyFont="1" applyFill="1" applyBorder="1" applyAlignment="1">
      <alignment horizontal="center" vertical="center"/>
    </xf>
    <xf numFmtId="166" fontId="26" fillId="10" borderId="80" xfId="0" applyNumberFormat="1" applyFont="1" applyFill="1" applyBorder="1" applyAlignment="1">
      <alignment horizontal="center" vertical="center"/>
    </xf>
    <xf numFmtId="167" fontId="26" fillId="10" borderId="0" xfId="0" applyNumberFormat="1" applyFont="1" applyFill="1" applyBorder="1" applyAlignment="1">
      <alignment horizontal="center" vertical="center"/>
    </xf>
    <xf numFmtId="0" fontId="166" fillId="10" borderId="79" xfId="0" applyFont="1" applyFill="1" applyBorder="1" applyAlignment="1">
      <alignment horizontal="right" vertical="center"/>
    </xf>
    <xf numFmtId="0" fontId="166" fillId="10" borderId="0" xfId="0" applyFont="1" applyFill="1" applyBorder="1" applyAlignment="1">
      <alignment horizontal="right" vertical="center"/>
    </xf>
    <xf numFmtId="0" fontId="166" fillId="10" borderId="0" xfId="0" applyFont="1" applyFill="1" applyBorder="1" applyAlignment="1">
      <alignment vertical="center"/>
    </xf>
    <xf numFmtId="0" fontId="166" fillId="7" borderId="33" xfId="0" applyFont="1" applyFill="1" applyBorder="1" applyAlignment="1">
      <alignment vertical="center"/>
    </xf>
    <xf numFmtId="0" fontId="166" fillId="0" borderId="110" xfId="0" applyFont="1" applyBorder="1" applyAlignment="1">
      <alignment horizontal="left" vertical="top"/>
    </xf>
    <xf numFmtId="166" fontId="91" fillId="0" borderId="4" xfId="0" applyNumberFormat="1" applyFont="1" applyFill="1" applyBorder="1" applyAlignment="1">
      <alignment horizontal="centerContinuous" vertical="center"/>
    </xf>
    <xf numFmtId="0" fontId="166" fillId="0" borderId="4" xfId="0" applyFont="1" applyFill="1" applyBorder="1" applyAlignment="1">
      <alignment horizontal="centerContinuous" vertical="center"/>
    </xf>
    <xf numFmtId="166" fontId="26" fillId="0" borderId="48" xfId="0" applyNumberFormat="1" applyFont="1" applyBorder="1" applyAlignment="1">
      <alignment horizontal="center" vertical="center"/>
    </xf>
    <xf numFmtId="166" fontId="26" fillId="0" borderId="85" xfId="0" applyNumberFormat="1" applyFont="1" applyBorder="1" applyAlignment="1">
      <alignment horizontal="center" vertical="center"/>
    </xf>
    <xf numFmtId="0" fontId="91" fillId="4" borderId="48" xfId="0" applyFont="1" applyFill="1" applyBorder="1" applyAlignment="1">
      <alignment vertical="center"/>
    </xf>
    <xf numFmtId="0" fontId="166" fillId="4" borderId="4" xfId="0" applyFont="1" applyFill="1" applyBorder="1" applyAlignment="1">
      <alignment horizontal="right" vertical="center"/>
    </xf>
    <xf numFmtId="0" fontId="91" fillId="4" borderId="4" xfId="0" applyFont="1" applyFill="1" applyBorder="1" applyAlignment="1">
      <alignment horizontal="right" vertical="center"/>
    </xf>
    <xf numFmtId="0" fontId="166" fillId="4" borderId="27" xfId="0" applyFont="1" applyFill="1" applyBorder="1" applyAlignment="1">
      <alignment horizontal="right" vertical="center"/>
    </xf>
    <xf numFmtId="0" fontId="166" fillId="10" borderId="143" xfId="0" applyFont="1" applyFill="1" applyBorder="1" applyAlignment="1">
      <alignment horizontal="left" vertical="center"/>
    </xf>
    <xf numFmtId="0" fontId="166" fillId="10" borderId="89" xfId="0" applyFont="1" applyFill="1" applyBorder="1" applyAlignment="1">
      <alignment horizontal="left" vertical="center"/>
    </xf>
    <xf numFmtId="0" fontId="166" fillId="10" borderId="89" xfId="0" applyFont="1" applyFill="1" applyBorder="1" applyAlignment="1">
      <alignment vertical="center"/>
    </xf>
    <xf numFmtId="166" fontId="26" fillId="10" borderId="142" xfId="0" applyNumberFormat="1" applyFont="1" applyFill="1" applyBorder="1" applyAlignment="1">
      <alignment horizontal="center" vertical="center"/>
    </xf>
    <xf numFmtId="0" fontId="91" fillId="10" borderId="141" xfId="0" applyFont="1" applyFill="1" applyBorder="1" applyAlignment="1">
      <alignment vertical="center"/>
    </xf>
    <xf numFmtId="0" fontId="166" fillId="10" borderId="89" xfId="0" applyFont="1" applyFill="1" applyBorder="1" applyAlignment="1">
      <alignment horizontal="right" vertical="center" readingOrder="2"/>
    </xf>
    <xf numFmtId="0" fontId="91" fillId="10" borderId="89" xfId="0" applyFont="1" applyFill="1" applyBorder="1" applyAlignment="1">
      <alignment horizontal="right" vertical="center"/>
    </xf>
    <xf numFmtId="0" fontId="166" fillId="10" borderId="114" xfId="0" applyFont="1" applyFill="1" applyBorder="1" applyAlignment="1">
      <alignment horizontal="right" vertical="center"/>
    </xf>
    <xf numFmtId="0" fontId="56" fillId="0" borderId="0" xfId="0" applyFont="1" applyAlignment="1">
      <alignment vertical="center"/>
    </xf>
    <xf numFmtId="0" fontId="45" fillId="0" borderId="0" xfId="0" applyFont="1" applyBorder="1" applyAlignment="1"/>
    <xf numFmtId="0" fontId="56" fillId="0" borderId="0" xfId="0" applyFont="1" applyBorder="1" applyAlignment="1">
      <alignment vertical="center"/>
    </xf>
    <xf numFmtId="0" fontId="56" fillId="0" borderId="0" xfId="0" applyFont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45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3" fontId="133" fillId="0" borderId="0" xfId="0" applyNumberFormat="1" applyFont="1" applyFill="1" applyBorder="1" applyAlignment="1">
      <alignment horizontal="center" vertical="center"/>
    </xf>
    <xf numFmtId="3" fontId="134" fillId="0" borderId="0" xfId="0" applyNumberFormat="1" applyFont="1" applyFill="1" applyBorder="1" applyAlignment="1">
      <alignment horizontal="center" vertical="center"/>
    </xf>
    <xf numFmtId="166" fontId="21" fillId="0" borderId="0" xfId="0" applyNumberFormat="1" applyFont="1" applyFill="1" applyAlignment="1">
      <alignment horizontal="center"/>
    </xf>
    <xf numFmtId="0" fontId="135" fillId="0" borderId="0" xfId="0" applyFont="1" applyFill="1" applyAlignment="1">
      <alignment vertical="center"/>
    </xf>
    <xf numFmtId="166" fontId="20" fillId="0" borderId="0" xfId="0" applyNumberFormat="1" applyFont="1" applyFill="1" applyAlignment="1">
      <alignment horizontal="center" vertical="center" readingOrder="2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right" vertical="center"/>
    </xf>
    <xf numFmtId="0" fontId="3" fillId="0" borderId="0" xfId="0" applyFont="1" applyFill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quotePrefix="1" applyFont="1" applyBorder="1" applyAlignment="1">
      <alignment vertical="center"/>
    </xf>
    <xf numFmtId="3" fontId="28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66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/>
    </xf>
    <xf numFmtId="168" fontId="8" fillId="3" borderId="25" xfId="0" applyNumberFormat="1" applyFont="1" applyFill="1" applyBorder="1" applyAlignment="1">
      <alignment horizontal="center" vertical="center"/>
    </xf>
    <xf numFmtId="0" fontId="117" fillId="5" borderId="25" xfId="0" applyFont="1" applyFill="1" applyBorder="1" applyAlignment="1">
      <alignment horizontal="right" vertical="center"/>
    </xf>
    <xf numFmtId="168" fontId="8" fillId="5" borderId="25" xfId="0" applyNumberFormat="1" applyFont="1" applyFill="1" applyBorder="1" applyAlignment="1">
      <alignment horizontal="center" vertical="center"/>
    </xf>
    <xf numFmtId="168" fontId="7" fillId="5" borderId="16" xfId="0" applyNumberFormat="1" applyFont="1" applyFill="1" applyBorder="1" applyAlignment="1">
      <alignment vertical="center"/>
    </xf>
    <xf numFmtId="168" fontId="7" fillId="5" borderId="25" xfId="0" applyNumberFormat="1" applyFont="1" applyFill="1" applyBorder="1" applyAlignment="1">
      <alignment vertical="center"/>
    </xf>
    <xf numFmtId="166" fontId="3" fillId="3" borderId="0" xfId="0" applyNumberFormat="1" applyFont="1" applyFill="1" applyBorder="1" applyAlignment="1">
      <alignment horizontal="center"/>
    </xf>
    <xf numFmtId="3" fontId="3" fillId="3" borderId="0" xfId="0" applyNumberFormat="1" applyFont="1" applyFill="1" applyBorder="1" applyAlignment="1">
      <alignment vertical="center"/>
    </xf>
    <xf numFmtId="168" fontId="8" fillId="5" borderId="23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Continuous" vertical="top"/>
    </xf>
    <xf numFmtId="0" fontId="21" fillId="0" borderId="0" xfId="0" applyFont="1" applyBorder="1" applyAlignment="1">
      <alignment vertical="center"/>
    </xf>
    <xf numFmtId="0" fontId="21" fillId="0" borderId="0" xfId="0" applyFont="1" applyAlignment="1">
      <alignment horizontal="centerContinuous" vertical="top"/>
    </xf>
    <xf numFmtId="0" fontId="48" fillId="0" borderId="0" xfId="0" applyFont="1" applyAlignment="1">
      <alignment horizontal="centerContinuous" vertical="top"/>
    </xf>
    <xf numFmtId="0" fontId="48" fillId="0" borderId="0" xfId="0" applyFont="1" applyBorder="1" applyAlignment="1">
      <alignment horizontal="centerContinuous" vertical="top"/>
    </xf>
    <xf numFmtId="0" fontId="4" fillId="0" borderId="0" xfId="0" quotePrefix="1" applyFont="1" applyFill="1" applyBorder="1" applyAlignment="1">
      <alignment horizontal="right" vertical="center" readingOrder="2"/>
    </xf>
    <xf numFmtId="0" fontId="4" fillId="0" borderId="0" xfId="0" quotePrefix="1" applyFont="1" applyFill="1" applyBorder="1" applyAlignment="1">
      <alignment horizontal="right"/>
    </xf>
    <xf numFmtId="0" fontId="62" fillId="0" borderId="0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left"/>
    </xf>
    <xf numFmtId="0" fontId="66" fillId="0" borderId="0" xfId="0" applyFont="1" applyFill="1" applyBorder="1" applyAlignment="1">
      <alignment horizontal="center"/>
    </xf>
    <xf numFmtId="166" fontId="27" fillId="0" borderId="0" xfId="0" applyNumberFormat="1" applyFont="1" applyFill="1" applyBorder="1" applyAlignment="1">
      <alignment horizontal="center"/>
    </xf>
    <xf numFmtId="166" fontId="66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3" fillId="0" borderId="0" xfId="0" applyFont="1" applyFill="1" applyAlignment="1">
      <alignment vertical="center" readingOrder="1"/>
    </xf>
    <xf numFmtId="0" fontId="21" fillId="0" borderId="0" xfId="0" applyFont="1" applyFill="1" applyAlignment="1">
      <alignment horizontal="left" vertical="center" readingOrder="1"/>
    </xf>
    <xf numFmtId="0" fontId="3" fillId="0" borderId="0" xfId="0" applyFont="1" applyFill="1" applyAlignment="1">
      <alignment horizontal="left" readingOrder="1"/>
    </xf>
    <xf numFmtId="166" fontId="6" fillId="0" borderId="0" xfId="0" applyNumberFormat="1" applyFont="1"/>
    <xf numFmtId="166" fontId="66" fillId="0" borderId="0" xfId="0" applyNumberFormat="1" applyFont="1"/>
    <xf numFmtId="0" fontId="112" fillId="2" borderId="4" xfId="0" applyFont="1" applyFill="1" applyBorder="1" applyAlignment="1">
      <alignment horizontal="centerContinuous"/>
    </xf>
    <xf numFmtId="0" fontId="112" fillId="2" borderId="5" xfId="0" applyFont="1" applyFill="1" applyBorder="1" applyAlignment="1">
      <alignment horizontal="centerContinuous"/>
    </xf>
    <xf numFmtId="0" fontId="112" fillId="2" borderId="51" xfId="0" applyFont="1" applyFill="1" applyBorder="1" applyAlignment="1">
      <alignment horizontal="centerContinuous"/>
    </xf>
    <xf numFmtId="0" fontId="112" fillId="2" borderId="27" xfId="0" applyFont="1" applyFill="1" applyBorder="1" applyAlignment="1">
      <alignment horizontal="center"/>
    </xf>
    <xf numFmtId="0" fontId="112" fillId="2" borderId="0" xfId="0" applyFont="1" applyFill="1" applyBorder="1" applyAlignment="1">
      <alignment horizontal="centerContinuous"/>
    </xf>
    <xf numFmtId="0" fontId="112" fillId="2" borderId="16" xfId="0" applyFont="1" applyFill="1" applyBorder="1" applyAlignment="1">
      <alignment horizontal="centerContinuous"/>
    </xf>
    <xf numFmtId="0" fontId="112" fillId="2" borderId="17" xfId="0" applyFont="1" applyFill="1" applyBorder="1" applyAlignment="1">
      <alignment horizontal="centerContinuous"/>
    </xf>
    <xf numFmtId="0" fontId="112" fillId="2" borderId="11" xfId="0" applyFont="1" applyFill="1" applyBorder="1" applyAlignment="1">
      <alignment horizontal="centerContinuous"/>
    </xf>
    <xf numFmtId="0" fontId="112" fillId="2" borderId="25" xfId="0" applyFont="1" applyFill="1" applyBorder="1" applyAlignment="1">
      <alignment horizontal="center"/>
    </xf>
    <xf numFmtId="0" fontId="112" fillId="2" borderId="13" xfId="0" applyFont="1" applyFill="1" applyBorder="1" applyAlignment="1">
      <alignment horizontal="centerContinuous"/>
    </xf>
    <xf numFmtId="0" fontId="112" fillId="2" borderId="15" xfId="0" applyFont="1" applyFill="1" applyBorder="1" applyAlignment="1">
      <alignment horizontal="centerContinuous"/>
    </xf>
    <xf numFmtId="0" fontId="112" fillId="2" borderId="29" xfId="0" applyFont="1" applyFill="1" applyBorder="1" applyAlignment="1">
      <alignment horizontal="center"/>
    </xf>
    <xf numFmtId="166" fontId="3" fillId="0" borderId="7" xfId="0" applyNumberFormat="1" applyFon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0" xfId="0" applyNumberFormat="1" applyFont="1" applyFill="1" applyBorder="1" applyAlignment="1">
      <alignment horizontal="center" vertical="center"/>
    </xf>
    <xf numFmtId="167" fontId="3" fillId="0" borderId="0" xfId="0" applyNumberFormat="1" applyFont="1" applyBorder="1" applyAlignment="1">
      <alignment horizontal="center" vertical="center"/>
    </xf>
    <xf numFmtId="167" fontId="3" fillId="0" borderId="0" xfId="0" applyNumberFormat="1" applyFont="1" applyFill="1" applyAlignment="1">
      <alignment horizontal="center" vertical="center"/>
    </xf>
    <xf numFmtId="166" fontId="4" fillId="0" borderId="7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/>
    </xf>
    <xf numFmtId="167" fontId="7" fillId="3" borderId="1" xfId="0" applyNumberFormat="1" applyFont="1" applyFill="1" applyBorder="1" applyAlignment="1">
      <alignment horizontal="center" vertical="center"/>
    </xf>
    <xf numFmtId="167" fontId="7" fillId="3" borderId="23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20" fillId="0" borderId="0" xfId="0" quotePrefix="1" applyFont="1" applyAlignment="1">
      <alignment horizontal="right" vertical="center" readingOrder="2"/>
    </xf>
    <xf numFmtId="167" fontId="3" fillId="3" borderId="0" xfId="0" applyNumberFormat="1" applyFont="1" applyFill="1" applyBorder="1" applyAlignment="1">
      <alignment horizontal="center" vertical="center"/>
    </xf>
    <xf numFmtId="0" fontId="112" fillId="2" borderId="46" xfId="0" applyFont="1" applyFill="1" applyBorder="1" applyAlignment="1">
      <alignment horizontal="centerContinuous"/>
    </xf>
    <xf numFmtId="0" fontId="112" fillId="2" borderId="26" xfId="0" applyFont="1" applyFill="1" applyBorder="1" applyAlignment="1">
      <alignment horizontal="centerContinuous"/>
    </xf>
    <xf numFmtId="0" fontId="112" fillId="2" borderId="42" xfId="0" applyFont="1" applyFill="1" applyBorder="1" applyAlignment="1">
      <alignment horizontal="centerContinuous"/>
    </xf>
    <xf numFmtId="0" fontId="112" fillId="2" borderId="43" xfId="0" applyFont="1" applyFill="1" applyBorder="1" applyAlignment="1">
      <alignment horizontal="centerContinuous"/>
    </xf>
    <xf numFmtId="0" fontId="10" fillId="0" borderId="0" xfId="0" applyFont="1" applyAlignment="1">
      <alignment horizontal="center" vertical="center"/>
    </xf>
    <xf numFmtId="166" fontId="191" fillId="0" borderId="7" xfId="0" applyNumberFormat="1" applyFont="1" applyBorder="1" applyAlignment="1">
      <alignment horizontal="center" vertical="center"/>
    </xf>
    <xf numFmtId="166" fontId="191" fillId="0" borderId="0" xfId="0" applyNumberFormat="1" applyFont="1" applyAlignment="1">
      <alignment horizontal="center" vertical="center"/>
    </xf>
    <xf numFmtId="167" fontId="75" fillId="5" borderId="43" xfId="0" applyNumberFormat="1" applyFont="1" applyFill="1" applyBorder="1" applyAlignment="1">
      <alignment horizontal="centerContinuous" vertical="center"/>
    </xf>
    <xf numFmtId="0" fontId="10" fillId="0" borderId="0" xfId="0" applyFont="1" applyFill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0" fontId="9" fillId="5" borderId="43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0" fontId="4" fillId="0" borderId="113" xfId="0" applyFont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169" fontId="4" fillId="0" borderId="0" xfId="0" applyNumberFormat="1" applyFont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9" fillId="0" borderId="0" xfId="0" quotePrefix="1" applyFont="1" applyBorder="1" applyAlignment="1">
      <alignment horizontal="right" vertical="center" readingOrder="2"/>
    </xf>
    <xf numFmtId="1" fontId="21" fillId="0" borderId="0" xfId="0" applyNumberFormat="1" applyFont="1"/>
    <xf numFmtId="169" fontId="48" fillId="0" borderId="0" xfId="0" applyNumberFormat="1" applyFont="1"/>
    <xf numFmtId="0" fontId="21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169" fontId="21" fillId="0" borderId="0" xfId="0" applyNumberFormat="1" applyFont="1"/>
    <xf numFmtId="169" fontId="3" fillId="0" borderId="0" xfId="0" applyNumberFormat="1" applyFont="1"/>
    <xf numFmtId="166" fontId="4" fillId="0" borderId="0" xfId="0" applyNumberFormat="1" applyFont="1" applyAlignment="1">
      <alignment vertical="center"/>
    </xf>
    <xf numFmtId="166" fontId="62" fillId="0" borderId="0" xfId="0" applyNumberFormat="1" applyFont="1" applyAlignment="1">
      <alignment vertical="center"/>
    </xf>
    <xf numFmtId="166" fontId="27" fillId="0" borderId="0" xfId="0" applyNumberFormat="1" applyFont="1" applyAlignment="1">
      <alignment vertical="center"/>
    </xf>
    <xf numFmtId="166" fontId="64" fillId="0" borderId="0" xfId="0" applyNumberFormat="1" applyFont="1" applyAlignment="1">
      <alignment vertical="center"/>
    </xf>
    <xf numFmtId="0" fontId="112" fillId="2" borderId="27" xfId="0" applyFont="1" applyFill="1" applyBorder="1" applyAlignment="1">
      <alignment horizontal="center" vertical="center"/>
    </xf>
    <xf numFmtId="166" fontId="4" fillId="0" borderId="0" xfId="0" applyNumberFormat="1" applyFont="1" applyBorder="1" applyAlignment="1">
      <alignment vertical="center"/>
    </xf>
    <xf numFmtId="0" fontId="112" fillId="2" borderId="25" xfId="0" applyFont="1" applyFill="1" applyBorder="1" applyAlignment="1">
      <alignment horizontal="center" vertical="center"/>
    </xf>
    <xf numFmtId="0" fontId="112" fillId="2" borderId="140" xfId="0" applyFont="1" applyFill="1" applyBorder="1" applyAlignment="1">
      <alignment horizontal="center" vertical="center"/>
    </xf>
    <xf numFmtId="0" fontId="2" fillId="2" borderId="160" xfId="0" applyFont="1" applyFill="1" applyBorder="1" applyAlignment="1">
      <alignment horizontal="center"/>
    </xf>
    <xf numFmtId="0" fontId="2" fillId="2" borderId="77" xfId="0" applyFont="1" applyFill="1" applyBorder="1" applyAlignment="1">
      <alignment horizontal="center"/>
    </xf>
    <xf numFmtId="166" fontId="3" fillId="0" borderId="0" xfId="0" applyNumberFormat="1" applyFont="1" applyBorder="1" applyAlignment="1">
      <alignment vertical="center"/>
    </xf>
    <xf numFmtId="0" fontId="2" fillId="2" borderId="77" xfId="0" applyFont="1" applyFill="1" applyBorder="1" applyAlignment="1">
      <alignment horizontal="center" vertical="center"/>
    </xf>
    <xf numFmtId="0" fontId="112" fillId="2" borderId="25" xfId="0" applyFont="1" applyFill="1" applyBorder="1" applyAlignment="1">
      <alignment horizontal="centerContinuous" vertical="center"/>
    </xf>
    <xf numFmtId="0" fontId="62" fillId="0" borderId="0" xfId="0" applyFont="1" applyAlignment="1">
      <alignment horizontal="centerContinuous" vertical="center"/>
    </xf>
    <xf numFmtId="0" fontId="2" fillId="2" borderId="81" xfId="0" applyFont="1" applyFill="1" applyBorder="1" applyAlignment="1">
      <alignment horizontal="center" vertical="center"/>
    </xf>
    <xf numFmtId="0" fontId="112" fillId="2" borderId="29" xfId="0" applyFont="1" applyFill="1" applyBorder="1" applyAlignment="1">
      <alignment horizontal="center" vertical="center"/>
    </xf>
    <xf numFmtId="166" fontId="8" fillId="5" borderId="121" xfId="0" applyNumberFormat="1" applyFont="1" applyFill="1" applyBorder="1" applyAlignment="1">
      <alignment horizontal="center" vertical="center"/>
    </xf>
    <xf numFmtId="166" fontId="8" fillId="3" borderId="80" xfId="0" applyNumberFormat="1" applyFont="1" applyFill="1" applyBorder="1" applyAlignment="1">
      <alignment horizontal="center" vertical="center"/>
    </xf>
    <xf numFmtId="166" fontId="8" fillId="5" borderId="80" xfId="0" applyNumberFormat="1" applyFont="1" applyFill="1" applyBorder="1" applyAlignment="1">
      <alignment horizontal="center" vertical="center"/>
    </xf>
    <xf numFmtId="2" fontId="86" fillId="0" borderId="0" xfId="0" applyNumberFormat="1" applyFont="1"/>
    <xf numFmtId="166" fontId="8" fillId="5" borderId="161" xfId="0" applyNumberFormat="1" applyFont="1" applyFill="1" applyBorder="1" applyAlignment="1">
      <alignment horizontal="center" vertical="center"/>
    </xf>
    <xf numFmtId="1" fontId="7" fillId="5" borderId="108" xfId="0" applyNumberFormat="1" applyFont="1" applyFill="1" applyBorder="1" applyAlignment="1">
      <alignment horizontal="center" vertical="center"/>
    </xf>
    <xf numFmtId="0" fontId="56" fillId="0" borderId="0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56" fillId="0" borderId="0" xfId="0" applyFont="1"/>
    <xf numFmtId="0" fontId="56" fillId="0" borderId="0" xfId="0" applyFont="1" applyBorder="1"/>
    <xf numFmtId="0" fontId="174" fillId="0" borderId="0" xfId="0" applyFont="1" applyAlignment="1">
      <alignment horizontal="centerContinuous" vertical="center"/>
    </xf>
    <xf numFmtId="0" fontId="128" fillId="0" borderId="0" xfId="0" applyFont="1"/>
    <xf numFmtId="0" fontId="173" fillId="0" borderId="0" xfId="0" applyFont="1" applyAlignment="1">
      <alignment horizontal="centerContinuous" vertical="center"/>
    </xf>
    <xf numFmtId="0" fontId="173" fillId="0" borderId="0" xfId="0" applyFont="1" applyBorder="1"/>
    <xf numFmtId="0" fontId="173" fillId="0" borderId="0" xfId="0" applyFont="1"/>
    <xf numFmtId="0" fontId="128" fillId="0" borderId="0" xfId="0" applyFont="1" applyAlignment="1">
      <alignment horizontal="centerContinuous"/>
    </xf>
    <xf numFmtId="0" fontId="175" fillId="0" borderId="0" xfId="0" applyFont="1"/>
    <xf numFmtId="0" fontId="95" fillId="0" borderId="0" xfId="0" applyFont="1" applyAlignment="1">
      <alignment horizontal="centerContinuous" vertical="center"/>
    </xf>
    <xf numFmtId="0" fontId="175" fillId="0" borderId="0" xfId="0" applyFont="1" applyBorder="1"/>
    <xf numFmtId="0" fontId="45" fillId="0" borderId="0" xfId="0" applyFont="1" applyBorder="1" applyAlignment="1">
      <alignment horizontal="centerContinuous"/>
    </xf>
    <xf numFmtId="0" fontId="45" fillId="0" borderId="0" xfId="0" applyFont="1" applyAlignment="1">
      <alignment horizontal="centerContinuous"/>
    </xf>
    <xf numFmtId="0" fontId="37" fillId="0" borderId="0" xfId="0" quotePrefix="1" applyFont="1" applyAlignment="1">
      <alignment vertical="center"/>
    </xf>
    <xf numFmtId="0" fontId="37" fillId="0" borderId="0" xfId="0" applyFont="1" applyBorder="1" applyAlignment="1">
      <alignment vertical="center"/>
    </xf>
    <xf numFmtId="0" fontId="45" fillId="0" borderId="80" xfId="0" applyFont="1" applyBorder="1"/>
    <xf numFmtId="0" fontId="45" fillId="0" borderId="0" xfId="0" applyFont="1" applyBorder="1"/>
    <xf numFmtId="0" fontId="56" fillId="0" borderId="80" xfId="0" applyFont="1" applyBorder="1"/>
    <xf numFmtId="171" fontId="25" fillId="7" borderId="78" xfId="0" applyNumberFormat="1" applyFont="1" applyFill="1" applyBorder="1" applyAlignment="1">
      <alignment horizontal="center" vertical="center"/>
    </xf>
    <xf numFmtId="0" fontId="107" fillId="0" borderId="80" xfId="0" applyFont="1" applyBorder="1"/>
    <xf numFmtId="166" fontId="167" fillId="0" borderId="80" xfId="0" applyNumberFormat="1" applyFont="1" applyBorder="1"/>
    <xf numFmtId="0" fontId="70" fillId="0" borderId="80" xfId="0" applyFont="1" applyFill="1" applyBorder="1" applyAlignment="1">
      <alignment horizontal="left" vertical="center"/>
    </xf>
    <xf numFmtId="166" fontId="70" fillId="0" borderId="0" xfId="0" applyNumberFormat="1" applyFont="1" applyFill="1" applyBorder="1" applyAlignment="1">
      <alignment horizontal="center" vertical="center"/>
    </xf>
    <xf numFmtId="1" fontId="25" fillId="0" borderId="0" xfId="0" applyNumberFormat="1" applyFont="1" applyFill="1"/>
    <xf numFmtId="175" fontId="25" fillId="0" borderId="0" xfId="0" applyNumberFormat="1" applyFont="1" applyFill="1"/>
    <xf numFmtId="0" fontId="25" fillId="0" borderId="0" xfId="0" applyFont="1" applyFill="1"/>
    <xf numFmtId="0" fontId="25" fillId="0" borderId="0" xfId="0" applyFont="1" applyFill="1" applyBorder="1"/>
    <xf numFmtId="166" fontId="107" fillId="0" borderId="80" xfId="0" applyNumberFormat="1" applyFont="1" applyBorder="1"/>
    <xf numFmtId="0" fontId="45" fillId="7" borderId="80" xfId="0" applyFont="1" applyFill="1" applyBorder="1" applyAlignment="1">
      <alignment vertical="center"/>
    </xf>
    <xf numFmtId="166" fontId="45" fillId="7" borderId="0" xfId="0" applyNumberFormat="1" applyFont="1" applyFill="1" applyAlignment="1">
      <alignment horizontal="center" vertical="center"/>
    </xf>
    <xf numFmtId="166" fontId="45" fillId="7" borderId="0" xfId="0" applyNumberFormat="1" applyFont="1" applyFill="1" applyBorder="1" applyAlignment="1">
      <alignment horizontal="center" vertical="center"/>
    </xf>
    <xf numFmtId="2" fontId="45" fillId="7" borderId="79" xfId="0" applyNumberFormat="1" applyFont="1" applyFill="1" applyBorder="1" applyAlignment="1">
      <alignment horizontal="center" vertical="center"/>
    </xf>
    <xf numFmtId="0" fontId="45" fillId="7" borderId="0" xfId="0" applyFont="1" applyFill="1" applyBorder="1" applyAlignment="1">
      <alignment horizontal="right" vertical="center"/>
    </xf>
    <xf numFmtId="171" fontId="56" fillId="0" borderId="0" xfId="0" applyNumberFormat="1" applyFont="1" applyFill="1"/>
    <xf numFmtId="171" fontId="25" fillId="0" borderId="0" xfId="0" applyNumberFormat="1" applyFont="1" applyFill="1"/>
    <xf numFmtId="0" fontId="56" fillId="0" borderId="0" xfId="0" applyFont="1" applyFill="1"/>
    <xf numFmtId="0" fontId="56" fillId="0" borderId="0" xfId="0" applyFont="1" applyFill="1" applyBorder="1"/>
    <xf numFmtId="0" fontId="45" fillId="4" borderId="80" xfId="0" applyFont="1" applyFill="1" applyBorder="1" applyAlignment="1">
      <alignment horizontal="left" vertical="center"/>
    </xf>
    <xf numFmtId="166" fontId="45" fillId="4" borderId="0" xfId="0" applyNumberFormat="1" applyFont="1" applyFill="1" applyAlignment="1">
      <alignment horizontal="center" vertical="center"/>
    </xf>
    <xf numFmtId="166" fontId="45" fillId="4" borderId="0" xfId="0" applyNumberFormat="1" applyFont="1" applyFill="1" applyBorder="1" applyAlignment="1">
      <alignment horizontal="center" vertical="center"/>
    </xf>
    <xf numFmtId="2" fontId="45" fillId="4" borderId="79" xfId="0" applyNumberFormat="1" applyFont="1" applyFill="1" applyBorder="1" applyAlignment="1">
      <alignment horizontal="center" vertical="center"/>
    </xf>
    <xf numFmtId="0" fontId="45" fillId="4" borderId="0" xfId="0" applyFont="1" applyFill="1" applyBorder="1" applyAlignment="1">
      <alignment horizontal="right" vertical="center"/>
    </xf>
    <xf numFmtId="0" fontId="45" fillId="7" borderId="80" xfId="0" applyFont="1" applyFill="1" applyBorder="1" applyAlignment="1">
      <alignment horizontal="left" vertical="center"/>
    </xf>
    <xf numFmtId="166" fontId="45" fillId="0" borderId="80" xfId="0" applyNumberFormat="1" applyFont="1" applyBorder="1"/>
    <xf numFmtId="2" fontId="45" fillId="4" borderId="79" xfId="0" quotePrefix="1" applyNumberFormat="1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vertical="center"/>
    </xf>
    <xf numFmtId="171" fontId="56" fillId="0" borderId="0" xfId="0" applyNumberFormat="1" applyFont="1"/>
    <xf numFmtId="0" fontId="70" fillId="7" borderId="80" xfId="0" applyFont="1" applyFill="1" applyBorder="1" applyAlignment="1">
      <alignment horizontal="left" vertical="center"/>
    </xf>
    <xf numFmtId="166" fontId="70" fillId="7" borderId="0" xfId="0" applyNumberFormat="1" applyFont="1" applyFill="1" applyAlignment="1">
      <alignment horizontal="center" vertical="center"/>
    </xf>
    <xf numFmtId="166" fontId="70" fillId="7" borderId="0" xfId="0" applyNumberFormat="1" applyFont="1" applyFill="1" applyBorder="1" applyAlignment="1">
      <alignment horizontal="center" vertical="center"/>
    </xf>
    <xf numFmtId="2" fontId="70" fillId="7" borderId="79" xfId="0" quotePrefix="1" applyNumberFormat="1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right" vertical="center"/>
    </xf>
    <xf numFmtId="2" fontId="45" fillId="7" borderId="79" xfId="0" quotePrefix="1" applyNumberFormat="1" applyFont="1" applyFill="1" applyBorder="1" applyAlignment="1">
      <alignment horizontal="center" vertical="center"/>
    </xf>
    <xf numFmtId="166" fontId="70" fillId="4" borderId="80" xfId="0" applyNumberFormat="1" applyFont="1" applyFill="1" applyBorder="1" applyAlignment="1">
      <alignment horizontal="left" vertical="center"/>
    </xf>
    <xf numFmtId="166" fontId="70" fillId="4" borderId="0" xfId="0" applyNumberFormat="1" applyFont="1" applyFill="1" applyAlignment="1">
      <alignment horizontal="center" vertical="center"/>
    </xf>
    <xf numFmtId="166" fontId="70" fillId="4" borderId="0" xfId="0" applyNumberFormat="1" applyFont="1" applyFill="1" applyBorder="1" applyAlignment="1">
      <alignment horizontal="center" vertical="center"/>
    </xf>
    <xf numFmtId="2" fontId="70" fillId="4" borderId="79" xfId="0" quotePrefix="1" applyNumberFormat="1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right" vertical="center"/>
    </xf>
    <xf numFmtId="171" fontId="25" fillId="0" borderId="0" xfId="0" applyNumberFormat="1" applyFont="1"/>
    <xf numFmtId="0" fontId="25" fillId="0" borderId="0" xfId="0" applyFont="1"/>
    <xf numFmtId="0" fontId="25" fillId="0" borderId="0" xfId="0" applyFont="1" applyBorder="1"/>
    <xf numFmtId="171" fontId="56" fillId="4" borderId="0" xfId="0" applyNumberFormat="1" applyFont="1" applyFill="1"/>
    <xf numFmtId="2" fontId="70" fillId="7" borderId="79" xfId="0" applyNumberFormat="1" applyFont="1" applyFill="1" applyBorder="1" applyAlignment="1">
      <alignment horizontal="center" vertical="center"/>
    </xf>
    <xf numFmtId="171" fontId="25" fillId="4" borderId="0" xfId="0" applyNumberFormat="1" applyFont="1" applyFill="1"/>
    <xf numFmtId="0" fontId="45" fillId="7" borderId="0" xfId="0" applyFont="1" applyFill="1" applyBorder="1" applyAlignment="1">
      <alignment vertical="center"/>
    </xf>
    <xf numFmtId="0" fontId="70" fillId="4" borderId="80" xfId="0" applyFont="1" applyFill="1" applyBorder="1" applyAlignment="1">
      <alignment horizontal="left" vertical="center"/>
    </xf>
    <xf numFmtId="2" fontId="70" fillId="4" borderId="79" xfId="0" applyNumberFormat="1" applyFont="1" applyFill="1" applyBorder="1" applyAlignment="1">
      <alignment horizontal="center" vertical="center"/>
    </xf>
    <xf numFmtId="0" fontId="45" fillId="4" borderId="79" xfId="0" applyFont="1" applyFill="1" applyBorder="1" applyAlignment="1">
      <alignment vertical="center"/>
    </xf>
    <xf numFmtId="0" fontId="45" fillId="7" borderId="79" xfId="0" applyFont="1" applyFill="1" applyBorder="1" applyAlignment="1">
      <alignment vertical="center"/>
    </xf>
    <xf numFmtId="0" fontId="70" fillId="4" borderId="152" xfId="0" applyFont="1" applyFill="1" applyBorder="1" applyAlignment="1">
      <alignment horizontal="left" vertical="center"/>
    </xf>
    <xf numFmtId="166" fontId="70" fillId="4" borderId="153" xfId="0" applyNumberFormat="1" applyFont="1" applyFill="1" applyBorder="1" applyAlignment="1">
      <alignment horizontal="center" vertical="center"/>
    </xf>
    <xf numFmtId="2" fontId="70" fillId="4" borderId="155" xfId="0" applyNumberFormat="1" applyFont="1" applyFill="1" applyBorder="1" applyAlignment="1">
      <alignment horizontal="center" vertical="center"/>
    </xf>
    <xf numFmtId="0" fontId="45" fillId="4" borderId="154" xfId="0" applyFont="1" applyFill="1" applyBorder="1" applyAlignment="1">
      <alignment vertical="center"/>
    </xf>
    <xf numFmtId="0" fontId="70" fillId="4" borderId="153" xfId="0" applyFont="1" applyFill="1" applyBorder="1" applyAlignment="1">
      <alignment horizontal="right" vertical="center"/>
    </xf>
    <xf numFmtId="0" fontId="45" fillId="0" borderId="0" xfId="0" applyFont="1" applyAlignment="1">
      <alignment horizontal="right" vertical="center"/>
    </xf>
    <xf numFmtId="0" fontId="45" fillId="0" borderId="0" xfId="0" applyFont="1" applyAlignment="1">
      <alignment horizontal="right"/>
    </xf>
    <xf numFmtId="171" fontId="25" fillId="0" borderId="0" xfId="0" applyNumberFormat="1" applyFont="1" applyBorder="1" applyAlignment="1">
      <alignment horizontal="left"/>
    </xf>
    <xf numFmtId="171" fontId="70" fillId="0" borderId="0" xfId="0" applyNumberFormat="1" applyFont="1" applyBorder="1" applyAlignment="1">
      <alignment horizontal="left"/>
    </xf>
    <xf numFmtId="0" fontId="45" fillId="0" borderId="0" xfId="0" applyFont="1" applyAlignment="1">
      <alignment horizontal="left"/>
    </xf>
    <xf numFmtId="0" fontId="20" fillId="0" borderId="0" xfId="0" applyFont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166" fontId="89" fillId="4" borderId="0" xfId="0" applyNumberFormat="1" applyFont="1" applyFill="1" applyBorder="1" applyAlignment="1">
      <alignment horizontal="center" vertical="center"/>
    </xf>
    <xf numFmtId="166" fontId="89" fillId="5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7" fillId="2" borderId="4" xfId="0" applyFont="1" applyFill="1" applyBorder="1" applyAlignment="1">
      <alignment horizontal="right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8" fillId="2" borderId="4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1" fontId="35" fillId="0" borderId="0" xfId="0" applyNumberFormat="1" applyFont="1" applyBorder="1" applyAlignment="1">
      <alignment horizontal="center" vertical="center"/>
    </xf>
    <xf numFmtId="0" fontId="7" fillId="6" borderId="16" xfId="0" applyFont="1" applyFill="1" applyBorder="1" applyAlignment="1">
      <alignment horizontal="center"/>
    </xf>
    <xf numFmtId="0" fontId="7" fillId="6" borderId="25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7" fillId="6" borderId="14" xfId="0" applyFont="1" applyFill="1" applyBorder="1" applyAlignment="1">
      <alignment horizontal="center" vertical="center"/>
    </xf>
    <xf numFmtId="1" fontId="7" fillId="5" borderId="25" xfId="0" applyNumberFormat="1" applyFont="1" applyFill="1" applyBorder="1" applyAlignment="1">
      <alignment horizontal="center" vertical="center"/>
    </xf>
    <xf numFmtId="1" fontId="7" fillId="3" borderId="25" xfId="0" applyNumberFormat="1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Border="1" applyAlignment="1">
      <alignment horizontal="right" vertical="center" readingOrder="2"/>
    </xf>
    <xf numFmtId="0" fontId="19" fillId="0" borderId="0" xfId="0" applyFont="1" applyBorder="1" applyAlignment="1">
      <alignment horizontal="right" vertical="center" readingOrder="2"/>
    </xf>
    <xf numFmtId="0" fontId="7" fillId="2" borderId="38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0" fontId="7" fillId="5" borderId="16" xfId="0" applyFont="1" applyFill="1" applyBorder="1" applyAlignment="1">
      <alignment horizontal="center" vertical="center"/>
    </xf>
    <xf numFmtId="0" fontId="7" fillId="5" borderId="2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6" fontId="7" fillId="2" borderId="4" xfId="0" applyNumberFormat="1" applyFont="1" applyFill="1" applyBorder="1" applyAlignment="1">
      <alignment horizontal="center" vertical="center"/>
    </xf>
    <xf numFmtId="166" fontId="7" fillId="2" borderId="14" xfId="0" applyNumberFormat="1" applyFont="1" applyFill="1" applyBorder="1" applyAlignment="1">
      <alignment horizontal="center" vertical="center"/>
    </xf>
    <xf numFmtId="166" fontId="7" fillId="2" borderId="15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66" fontId="7" fillId="3" borderId="0" xfId="0" applyNumberFormat="1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2" borderId="16" xfId="0" applyNumberFormat="1" applyFont="1" applyFill="1" applyBorder="1" applyAlignment="1">
      <alignment horizontal="center"/>
    </xf>
    <xf numFmtId="166" fontId="7" fillId="2" borderId="17" xfId="0" applyNumberFormat="1" applyFont="1" applyFill="1" applyBorder="1" applyAlignment="1">
      <alignment horizontal="center"/>
    </xf>
    <xf numFmtId="166" fontId="7" fillId="2" borderId="13" xfId="0" applyNumberFormat="1" applyFont="1" applyFill="1" applyBorder="1" applyAlignment="1">
      <alignment horizontal="center"/>
    </xf>
    <xf numFmtId="166" fontId="7" fillId="2" borderId="15" xfId="0" applyNumberFormat="1" applyFont="1" applyFill="1" applyBorder="1" applyAlignment="1">
      <alignment horizontal="center"/>
    </xf>
    <xf numFmtId="166" fontId="7" fillId="2" borderId="14" xfId="0" applyNumberFormat="1" applyFont="1" applyFill="1" applyBorder="1" applyAlignment="1">
      <alignment horizontal="center"/>
    </xf>
    <xf numFmtId="166" fontId="7" fillId="5" borderId="0" xfId="0" applyNumberFormat="1" applyFont="1" applyFill="1" applyAlignment="1">
      <alignment horizontal="center" vertical="center"/>
    </xf>
    <xf numFmtId="166" fontId="7" fillId="5" borderId="0" xfId="0" quotePrefix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166" fontId="7" fillId="2" borderId="0" xfId="0" applyNumberFormat="1" applyFont="1" applyFill="1" applyBorder="1" applyAlignment="1">
      <alignment horizontal="center" vertical="center"/>
    </xf>
    <xf numFmtId="166" fontId="7" fillId="2" borderId="0" xfId="0" applyNumberFormat="1" applyFont="1" applyFill="1" applyBorder="1" applyAlignment="1">
      <alignment horizontal="center"/>
    </xf>
    <xf numFmtId="166" fontId="7" fillId="5" borderId="1" xfId="0" applyNumberFormat="1" applyFont="1" applyFill="1" applyBorder="1" applyAlignment="1">
      <alignment horizontal="center" vertical="center"/>
    </xf>
    <xf numFmtId="0" fontId="7" fillId="4" borderId="25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right" vertical="center"/>
    </xf>
    <xf numFmtId="0" fontId="7" fillId="2" borderId="29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166" fontId="7" fillId="2" borderId="37" xfId="0" applyNumberFormat="1" applyFont="1" applyFill="1" applyBorder="1" applyAlignment="1">
      <alignment horizontal="center"/>
    </xf>
    <xf numFmtId="0" fontId="7" fillId="2" borderId="37" xfId="0" applyFont="1" applyFill="1" applyBorder="1" applyAlignment="1">
      <alignment horizontal="center"/>
    </xf>
    <xf numFmtId="166" fontId="7" fillId="2" borderId="11" xfId="0" applyNumberFormat="1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47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right" vertical="center" readingOrder="2"/>
    </xf>
    <xf numFmtId="0" fontId="8" fillId="2" borderId="25" xfId="0" applyFont="1" applyFill="1" applyBorder="1" applyAlignment="1">
      <alignment horizontal="center"/>
    </xf>
    <xf numFmtId="0" fontId="8" fillId="2" borderId="25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/>
    </xf>
    <xf numFmtId="0" fontId="7" fillId="2" borderId="91" xfId="0" applyFont="1" applyFill="1" applyBorder="1" applyAlignment="1">
      <alignment horizontal="center" vertical="center"/>
    </xf>
    <xf numFmtId="0" fontId="20" fillId="0" borderId="0" xfId="0" applyFont="1" applyAlignment="1">
      <alignment horizontal="right"/>
    </xf>
    <xf numFmtId="0" fontId="14" fillId="2" borderId="16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3" fillId="0" borderId="0" xfId="0" applyFont="1" applyBorder="1" applyAlignment="1">
      <alignment horizontal="left" vertical="center"/>
    </xf>
    <xf numFmtId="166" fontId="7" fillId="0" borderId="0" xfId="0" applyNumberFormat="1" applyFont="1" applyFill="1" applyBorder="1" applyAlignment="1">
      <alignment horizontal="center" vertical="center"/>
    </xf>
    <xf numFmtId="166" fontId="7" fillId="5" borderId="7" xfId="0" applyNumberFormat="1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166" fontId="7" fillId="4" borderId="7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Alignment="1">
      <alignment horizontal="center" vertical="center"/>
    </xf>
    <xf numFmtId="0" fontId="7" fillId="2" borderId="4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6" fontId="3" fillId="0" borderId="7" xfId="0" applyNumberFormat="1" applyFont="1" applyFill="1" applyBorder="1" applyAlignment="1">
      <alignment horizontal="center" vertical="center"/>
    </xf>
    <xf numFmtId="166" fontId="3" fillId="0" borderId="0" xfId="0" applyNumberFormat="1" applyFont="1" applyFill="1" applyBorder="1" applyAlignment="1">
      <alignment horizontal="center" vertical="center"/>
    </xf>
    <xf numFmtId="166" fontId="7" fillId="5" borderId="21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readingOrder="2"/>
    </xf>
    <xf numFmtId="0" fontId="3" fillId="0" borderId="0" xfId="0" applyFont="1" applyAlignment="1">
      <alignment horizontal="left" vertical="center"/>
    </xf>
    <xf numFmtId="0" fontId="112" fillId="2" borderId="11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/>
    </xf>
    <xf numFmtId="0" fontId="35" fillId="2" borderId="11" xfId="0" applyFont="1" applyFill="1" applyBorder="1" applyAlignment="1">
      <alignment horizontal="center" vertical="center"/>
    </xf>
    <xf numFmtId="0" fontId="24" fillId="2" borderId="11" xfId="0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Font="1" applyBorder="1" applyAlignment="1">
      <alignment horizontal="center"/>
    </xf>
    <xf numFmtId="166" fontId="7" fillId="3" borderId="21" xfId="0" applyNumberFormat="1" applyFont="1" applyFill="1" applyBorder="1" applyAlignment="1">
      <alignment horizontal="center" vertical="center"/>
    </xf>
    <xf numFmtId="166" fontId="7" fillId="3" borderId="7" xfId="0" applyNumberFormat="1" applyFont="1" applyFill="1" applyBorder="1" applyAlignment="1">
      <alignment horizontal="center" vertical="center"/>
    </xf>
    <xf numFmtId="166" fontId="24" fillId="0" borderId="0" xfId="0" applyNumberFormat="1" applyFont="1" applyBorder="1" applyAlignment="1">
      <alignment horizontal="center" vertical="center"/>
    </xf>
    <xf numFmtId="166" fontId="8" fillId="5" borderId="1" xfId="0" applyNumberFormat="1" applyFont="1" applyFill="1" applyBorder="1" applyAlignment="1">
      <alignment horizontal="center" vertical="center"/>
    </xf>
    <xf numFmtId="166" fontId="8" fillId="3" borderId="0" xfId="0" applyNumberFormat="1" applyFont="1" applyFill="1" applyBorder="1" applyAlignment="1">
      <alignment horizontal="center" vertical="center"/>
    </xf>
    <xf numFmtId="166" fontId="8" fillId="5" borderId="16" xfId="0" applyNumberFormat="1" applyFont="1" applyFill="1" applyBorder="1" applyAlignment="1">
      <alignment horizontal="center" vertical="center"/>
    </xf>
    <xf numFmtId="166" fontId="8" fillId="5" borderId="0" xfId="0" applyNumberFormat="1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112" fillId="2" borderId="16" xfId="0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35" fillId="2" borderId="19" xfId="0" applyFont="1" applyFill="1" applyBorder="1" applyAlignment="1">
      <alignment horizontal="center" vertical="center"/>
    </xf>
    <xf numFmtId="0" fontId="173" fillId="0" borderId="0" xfId="0" applyFont="1" applyAlignment="1">
      <alignment horizontal="center" vertical="center"/>
    </xf>
    <xf numFmtId="168" fontId="7" fillId="5" borderId="16" xfId="0" applyNumberFormat="1" applyFont="1" applyFill="1" applyBorder="1" applyAlignment="1">
      <alignment horizontal="center" vertical="center"/>
    </xf>
    <xf numFmtId="0" fontId="88" fillId="4" borderId="0" xfId="0" applyFont="1" applyFill="1" applyBorder="1" applyAlignment="1">
      <alignment horizontal="left" vertical="center"/>
    </xf>
    <xf numFmtId="166" fontId="137" fillId="0" borderId="0" xfId="0" applyNumberFormat="1" applyFont="1" applyFill="1" applyBorder="1" applyAlignment="1">
      <alignment horizontal="center" vertical="center" readingOrder="1"/>
    </xf>
    <xf numFmtId="1" fontId="7" fillId="5" borderId="33" xfId="0" applyNumberFormat="1" applyFont="1" applyFill="1" applyBorder="1" applyAlignment="1">
      <alignment horizontal="center" vertical="center"/>
    </xf>
    <xf numFmtId="168" fontId="8" fillId="4" borderId="16" xfId="0" applyNumberFormat="1" applyFont="1" applyFill="1" applyBorder="1" applyAlignment="1">
      <alignment horizontal="center" vertical="center"/>
    </xf>
    <xf numFmtId="168" fontId="8" fillId="5" borderId="16" xfId="0" applyNumberFormat="1" applyFont="1" applyFill="1" applyBorder="1" applyAlignment="1">
      <alignment horizontal="center" vertical="center"/>
    </xf>
    <xf numFmtId="168" fontId="7" fillId="4" borderId="16" xfId="0" applyNumberFormat="1" applyFont="1" applyFill="1" applyBorder="1" applyAlignment="1">
      <alignment horizontal="center" vertical="center"/>
    </xf>
    <xf numFmtId="168" fontId="7" fillId="5" borderId="22" xfId="0" applyNumberFormat="1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left" vertical="center"/>
    </xf>
    <xf numFmtId="166" fontId="7" fillId="5" borderId="16" xfId="0" applyNumberFormat="1" applyFont="1" applyFill="1" applyBorder="1" applyAlignment="1">
      <alignment horizontal="left" vertical="center"/>
    </xf>
    <xf numFmtId="166" fontId="7" fillId="4" borderId="16" xfId="0" applyNumberFormat="1" applyFont="1" applyFill="1" applyBorder="1" applyAlignment="1">
      <alignment horizontal="left" vertical="center"/>
    </xf>
    <xf numFmtId="166" fontId="8" fillId="4" borderId="26" xfId="0" applyNumberFormat="1" applyFont="1" applyFill="1" applyBorder="1" applyAlignment="1">
      <alignment horizontal="left" vertical="center"/>
    </xf>
    <xf numFmtId="166" fontId="8" fillId="4" borderId="16" xfId="0" applyNumberFormat="1" applyFont="1" applyFill="1" applyBorder="1" applyAlignment="1">
      <alignment horizontal="left" vertical="center"/>
    </xf>
    <xf numFmtId="166" fontId="8" fillId="5" borderId="22" xfId="0" applyNumberFormat="1" applyFont="1" applyFill="1" applyBorder="1" applyAlignment="1">
      <alignment horizontal="left" vertical="center"/>
    </xf>
    <xf numFmtId="166" fontId="137" fillId="0" borderId="7" xfId="0" applyNumberFormat="1" applyFont="1" applyFill="1" applyBorder="1" applyAlignment="1">
      <alignment horizontal="center" vertical="center" readingOrder="1"/>
    </xf>
    <xf numFmtId="1" fontId="136" fillId="0" borderId="25" xfId="0" applyNumberFormat="1" applyFont="1" applyFill="1" applyBorder="1" applyAlignment="1">
      <alignment horizontal="center" vertical="center" readingOrder="1"/>
    </xf>
    <xf numFmtId="0" fontId="136" fillId="2" borderId="4" xfId="0" applyFont="1" applyFill="1" applyBorder="1" applyAlignment="1">
      <alignment horizontal="center" vertical="center" readingOrder="1"/>
    </xf>
    <xf numFmtId="0" fontId="136" fillId="2" borderId="0" xfId="0" applyFont="1" applyFill="1" applyBorder="1" applyAlignment="1">
      <alignment horizontal="center" vertical="center" readingOrder="1"/>
    </xf>
    <xf numFmtId="0" fontId="136" fillId="2" borderId="83" xfId="0" applyFont="1" applyFill="1" applyBorder="1" applyAlignment="1">
      <alignment horizontal="center" vertical="center" readingOrder="1"/>
    </xf>
    <xf numFmtId="166" fontId="8" fillId="3" borderId="1" xfId="0" applyNumberFormat="1" applyFont="1" applyFill="1" applyBorder="1" applyAlignment="1">
      <alignment horizontal="center" vertical="center"/>
    </xf>
    <xf numFmtId="0" fontId="7" fillId="3" borderId="21" xfId="0" applyFont="1" applyFill="1" applyBorder="1" applyAlignment="1">
      <alignment horizontal="center"/>
    </xf>
    <xf numFmtId="0" fontId="7" fillId="3" borderId="22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0" fontId="7" fillId="3" borderId="21" xfId="0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7" fillId="3" borderId="107" xfId="0" applyFont="1" applyFill="1" applyBorder="1" applyAlignment="1">
      <alignment horizontal="center" vertical="center"/>
    </xf>
    <xf numFmtId="166" fontId="8" fillId="3" borderId="21" xfId="0" applyNumberFormat="1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horizontal="centerContinuous" vertical="center"/>
    </xf>
    <xf numFmtId="166" fontId="8" fillId="3" borderId="1" xfId="0" applyNumberFormat="1" applyFont="1" applyFill="1" applyBorder="1" applyAlignment="1">
      <alignment horizontal="centerContinuous" vertical="center"/>
    </xf>
    <xf numFmtId="166" fontId="7" fillId="4" borderId="21" xfId="0" applyNumberFormat="1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vertical="center"/>
    </xf>
    <xf numFmtId="166" fontId="8" fillId="3" borderId="21" xfId="0" applyNumberFormat="1" applyFont="1" applyFill="1" applyBorder="1" applyAlignment="1">
      <alignment horizontal="centerContinuous" vertical="center"/>
    </xf>
    <xf numFmtId="166" fontId="3" fillId="0" borderId="0" xfId="0" applyNumberFormat="1" applyFont="1" applyAlignment="1">
      <alignment horizontal="centerContinuous"/>
    </xf>
    <xf numFmtId="0" fontId="62" fillId="0" borderId="0" xfId="0" applyFont="1" applyBorder="1" applyAlignment="1">
      <alignment horizontal="centerContinuous"/>
    </xf>
    <xf numFmtId="166" fontId="7" fillId="2" borderId="5" xfId="0" applyNumberFormat="1" applyFont="1" applyFill="1" applyBorder="1" applyAlignment="1">
      <alignment horizontal="centerContinuous"/>
    </xf>
    <xf numFmtId="166" fontId="8" fillId="4" borderId="2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1" fontId="7" fillId="5" borderId="17" xfId="0" applyNumberFormat="1" applyFont="1" applyFill="1" applyBorder="1" applyAlignment="1">
      <alignment horizontal="center" vertical="center"/>
    </xf>
    <xf numFmtId="0" fontId="8" fillId="0" borderId="0" xfId="0" quotePrefix="1" applyFont="1" applyFill="1" applyBorder="1" applyAlignment="1">
      <alignment horizontal="right" vertical="center"/>
    </xf>
    <xf numFmtId="0" fontId="8" fillId="5" borderId="0" xfId="0" quotePrefix="1" applyFont="1" applyFill="1" applyBorder="1" applyAlignment="1">
      <alignment horizontal="right" vertical="center"/>
    </xf>
    <xf numFmtId="0" fontId="8" fillId="5" borderId="39" xfId="0" quotePrefix="1" applyFont="1" applyFill="1" applyBorder="1" applyAlignment="1">
      <alignment horizontal="right" vertical="center"/>
    </xf>
    <xf numFmtId="0" fontId="8" fillId="3" borderId="21" xfId="0" applyFont="1" applyFill="1" applyBorder="1" applyAlignment="1">
      <alignment horizontal="center" vertical="center"/>
    </xf>
    <xf numFmtId="166" fontId="7" fillId="3" borderId="22" xfId="0" applyNumberFormat="1" applyFont="1" applyFill="1" applyBorder="1" applyAlignment="1">
      <alignment horizontal="center" vertical="center"/>
    </xf>
    <xf numFmtId="0" fontId="7" fillId="3" borderId="33" xfId="0" applyFont="1" applyFill="1" applyBorder="1" applyAlignment="1">
      <alignment vertical="center"/>
    </xf>
    <xf numFmtId="1" fontId="7" fillId="3" borderId="1" xfId="0" applyNumberFormat="1" applyFont="1" applyFill="1" applyBorder="1" applyAlignment="1">
      <alignment horizontal="right" vertical="center"/>
    </xf>
    <xf numFmtId="166" fontId="7" fillId="4" borderId="22" xfId="0" applyNumberFormat="1" applyFont="1" applyFill="1" applyBorder="1" applyAlignment="1">
      <alignment horizontal="center" vertical="center"/>
    </xf>
    <xf numFmtId="166" fontId="8" fillId="4" borderId="32" xfId="0" applyNumberFormat="1" applyFont="1" applyFill="1" applyBorder="1" applyAlignment="1">
      <alignment horizontal="center" vertical="center"/>
    </xf>
    <xf numFmtId="1" fontId="8" fillId="4" borderId="1" xfId="0" applyNumberFormat="1" applyFont="1" applyFill="1" applyBorder="1" applyAlignment="1">
      <alignment horizontal="centerContinuous" vertical="center"/>
    </xf>
    <xf numFmtId="1" fontId="7" fillId="4" borderId="1" xfId="0" applyNumberFormat="1" applyFont="1" applyFill="1" applyBorder="1" applyAlignment="1">
      <alignment horizontal="centerContinuous" vertical="center"/>
    </xf>
    <xf numFmtId="0" fontId="7" fillId="4" borderId="33" xfId="0" applyFont="1" applyFill="1" applyBorder="1"/>
    <xf numFmtId="166" fontId="8" fillId="4" borderId="23" xfId="0" applyNumberFormat="1" applyFont="1" applyFill="1" applyBorder="1" applyAlignment="1">
      <alignment horizontal="center" vertical="center"/>
    </xf>
    <xf numFmtId="1" fontId="7" fillId="4" borderId="33" xfId="0" applyNumberFormat="1" applyFont="1" applyFill="1" applyBorder="1" applyAlignment="1">
      <alignment horizontal="center" vertical="center"/>
    </xf>
    <xf numFmtId="2" fontId="7" fillId="3" borderId="21" xfId="0" applyNumberFormat="1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 vertical="center"/>
    </xf>
    <xf numFmtId="2" fontId="7" fillId="3" borderId="23" xfId="0" applyNumberFormat="1" applyFont="1" applyFill="1" applyBorder="1" applyAlignment="1">
      <alignment horizontal="center" vertical="center"/>
    </xf>
    <xf numFmtId="0" fontId="7" fillId="3" borderId="162" xfId="0" applyFont="1" applyFill="1" applyBorder="1" applyAlignment="1">
      <alignment horizontal="center" vertical="center"/>
    </xf>
    <xf numFmtId="171" fontId="70" fillId="7" borderId="149" xfId="0" applyNumberFormat="1" applyFont="1" applyFill="1" applyBorder="1"/>
    <xf numFmtId="0" fontId="56" fillId="0" borderId="31" xfId="0" applyFont="1" applyBorder="1"/>
    <xf numFmtId="171" fontId="25" fillId="7" borderId="163" xfId="0" applyNumberFormat="1" applyFont="1" applyFill="1" applyBorder="1" applyAlignment="1">
      <alignment horizontal="center" vertical="center"/>
    </xf>
    <xf numFmtId="0" fontId="70" fillId="0" borderId="30" xfId="0" applyFont="1" applyFill="1" applyBorder="1" applyAlignment="1">
      <alignment horizontal="left" vertical="center"/>
    </xf>
    <xf numFmtId="0" fontId="70" fillId="0" borderId="0" xfId="0" applyFont="1" applyFill="1" applyBorder="1" applyAlignment="1">
      <alignment horizontal="left" vertical="center"/>
    </xf>
    <xf numFmtId="2" fontId="70" fillId="0" borderId="79" xfId="0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right" vertical="center"/>
    </xf>
    <xf numFmtId="0" fontId="70" fillId="0" borderId="25" xfId="0" applyFont="1" applyFill="1" applyBorder="1" applyAlignment="1">
      <alignment vertical="center"/>
    </xf>
    <xf numFmtId="0" fontId="45" fillId="7" borderId="30" xfId="0" applyFont="1" applyFill="1" applyBorder="1" applyAlignment="1">
      <alignment horizontal="left" vertical="center"/>
    </xf>
    <xf numFmtId="0" fontId="45" fillId="7" borderId="25" xfId="0" applyFont="1" applyFill="1" applyBorder="1" applyAlignment="1">
      <alignment vertical="center"/>
    </xf>
    <xf numFmtId="0" fontId="45" fillId="0" borderId="30" xfId="0" applyFont="1" applyFill="1" applyBorder="1" applyAlignment="1">
      <alignment vertical="center"/>
    </xf>
    <xf numFmtId="0" fontId="45" fillId="4" borderId="0" xfId="0" applyFont="1" applyFill="1" applyBorder="1" applyAlignment="1">
      <alignment horizontal="left" vertical="center"/>
    </xf>
    <xf numFmtId="0" fontId="45" fillId="4" borderId="25" xfId="0" applyFont="1" applyFill="1" applyBorder="1" applyAlignment="1">
      <alignment vertical="center"/>
    </xf>
    <xf numFmtId="0" fontId="45" fillId="7" borderId="0" xfId="0" applyFont="1" applyFill="1" applyBorder="1" applyAlignment="1">
      <alignment horizontal="left" vertical="center"/>
    </xf>
    <xf numFmtId="0" fontId="70" fillId="4" borderId="30" xfId="0" applyFont="1" applyFill="1" applyBorder="1" applyAlignment="1">
      <alignment horizontal="left" vertical="center"/>
    </xf>
    <xf numFmtId="0" fontId="70" fillId="7" borderId="30" xfId="0" applyFont="1" applyFill="1" applyBorder="1" applyAlignment="1">
      <alignment horizontal="left" vertical="center"/>
    </xf>
    <xf numFmtId="0" fontId="70" fillId="7" borderId="0" xfId="0" applyFont="1" applyFill="1" applyBorder="1" applyAlignment="1">
      <alignment horizontal="left" vertical="center"/>
    </xf>
    <xf numFmtId="0" fontId="70" fillId="7" borderId="25" xfId="0" applyFont="1" applyFill="1" applyBorder="1" applyAlignment="1">
      <alignment vertical="center"/>
    </xf>
    <xf numFmtId="0" fontId="45" fillId="4" borderId="30" xfId="0" applyFont="1" applyFill="1" applyBorder="1" applyAlignment="1">
      <alignment horizontal="left" vertical="center"/>
    </xf>
    <xf numFmtId="166" fontId="70" fillId="4" borderId="0" xfId="0" applyNumberFormat="1" applyFont="1" applyFill="1" applyBorder="1" applyAlignment="1">
      <alignment horizontal="left" vertical="center"/>
    </xf>
    <xf numFmtId="0" fontId="70" fillId="4" borderId="25" xfId="0" applyFont="1" applyFill="1" applyBorder="1" applyAlignment="1">
      <alignment vertical="center"/>
    </xf>
    <xf numFmtId="0" fontId="70" fillId="4" borderId="0" xfId="0" applyFont="1" applyFill="1" applyBorder="1" applyAlignment="1">
      <alignment horizontal="left" vertical="center"/>
    </xf>
    <xf numFmtId="0" fontId="45" fillId="7" borderId="30" xfId="0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0" fontId="70" fillId="4" borderId="164" xfId="0" applyFont="1" applyFill="1" applyBorder="1" applyAlignment="1">
      <alignment horizontal="left" vertical="center"/>
    </xf>
    <xf numFmtId="0" fontId="70" fillId="4" borderId="153" xfId="0" applyFont="1" applyFill="1" applyBorder="1" applyAlignment="1">
      <alignment horizontal="left" vertical="center"/>
    </xf>
    <xf numFmtId="0" fontId="45" fillId="0" borderId="153" xfId="0" applyFont="1" applyFill="1" applyBorder="1" applyAlignment="1">
      <alignment vertical="center"/>
    </xf>
    <xf numFmtId="0" fontId="45" fillId="4" borderId="165" xfId="0" applyFont="1" applyFill="1" applyBorder="1" applyAlignment="1">
      <alignment vertical="center"/>
    </xf>
    <xf numFmtId="166" fontId="7" fillId="3" borderId="21" xfId="9" applyNumberFormat="1" applyFont="1" applyFill="1" applyBorder="1" applyAlignment="1">
      <alignment horizontal="center" vertical="center" wrapText="1"/>
    </xf>
    <xf numFmtId="166" fontId="7" fillId="3" borderId="1" xfId="9" applyNumberFormat="1" applyFont="1" applyFill="1" applyBorder="1" applyAlignment="1">
      <alignment horizontal="center" vertical="center" wrapText="1"/>
    </xf>
    <xf numFmtId="166" fontId="7" fillId="3" borderId="23" xfId="9" applyNumberFormat="1" applyFont="1" applyFill="1" applyBorder="1" applyAlignment="1">
      <alignment horizontal="center" vertical="center" wrapText="1"/>
    </xf>
    <xf numFmtId="0" fontId="7" fillId="3" borderId="33" xfId="9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right" vertical="center"/>
    </xf>
    <xf numFmtId="0" fontId="8" fillId="2" borderId="4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0" fontId="20" fillId="0" borderId="0" xfId="0" applyFont="1" applyAlignment="1">
      <alignment horizontal="left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0" fontId="7" fillId="5" borderId="0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166" fontId="7" fillId="3" borderId="0" xfId="0" applyNumberFormat="1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5" borderId="0" xfId="0" applyNumberFormat="1" applyFont="1" applyFill="1" applyAlignment="1">
      <alignment horizontal="center" vertical="center"/>
    </xf>
    <xf numFmtId="0" fontId="7" fillId="2" borderId="11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center"/>
    </xf>
    <xf numFmtId="0" fontId="8" fillId="2" borderId="17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5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/>
    </xf>
    <xf numFmtId="0" fontId="8" fillId="2" borderId="25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20" fillId="0" borderId="0" xfId="0" applyFont="1" applyAlignment="1">
      <alignment horizontal="right"/>
    </xf>
    <xf numFmtId="0" fontId="3" fillId="0" borderId="0" xfId="0" applyFont="1" applyBorder="1" applyAlignment="1">
      <alignment horizontal="left" vertical="center"/>
    </xf>
    <xf numFmtId="166" fontId="7" fillId="0" borderId="0" xfId="0" applyNumberFormat="1" applyFont="1" applyFill="1" applyBorder="1" applyAlignment="1">
      <alignment horizontal="center" vertical="center"/>
    </xf>
    <xf numFmtId="166" fontId="7" fillId="5" borderId="7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Alignment="1">
      <alignment horizontal="center" vertical="center"/>
    </xf>
    <xf numFmtId="166" fontId="7" fillId="5" borderId="1" xfId="0" applyNumberFormat="1" applyFont="1" applyFill="1" applyBorder="1" applyAlignment="1">
      <alignment horizontal="center" vertical="center"/>
    </xf>
    <xf numFmtId="166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81" fillId="2" borderId="25" xfId="0" applyFont="1" applyFill="1" applyBorder="1" applyAlignment="1">
      <alignment horizontal="center" vertical="center"/>
    </xf>
    <xf numFmtId="0" fontId="81" fillId="2" borderId="0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166" fontId="7" fillId="3" borderId="7" xfId="0" applyNumberFormat="1" applyFont="1" applyFill="1" applyBorder="1" applyAlignment="1">
      <alignment horizontal="center" vertical="center"/>
    </xf>
    <xf numFmtId="0" fontId="173" fillId="0" borderId="0" xfId="0" applyFont="1" applyAlignment="1">
      <alignment horizontal="center" vertical="center" readingOrder="2"/>
    </xf>
    <xf numFmtId="166" fontId="8" fillId="3" borderId="16" xfId="0" applyNumberFormat="1" applyFont="1" applyFill="1" applyBorder="1" applyAlignment="1">
      <alignment horizontal="center" vertical="center"/>
    </xf>
    <xf numFmtId="166" fontId="8" fillId="3" borderId="0" xfId="0" applyNumberFormat="1" applyFont="1" applyFill="1" applyBorder="1" applyAlignment="1">
      <alignment horizontal="center" vertical="center"/>
    </xf>
    <xf numFmtId="166" fontId="8" fillId="5" borderId="22" xfId="0" applyNumberFormat="1" applyFont="1" applyFill="1" applyBorder="1" applyAlignment="1">
      <alignment horizontal="center" vertical="center"/>
    </xf>
    <xf numFmtId="166" fontId="8" fillId="5" borderId="1" xfId="0" applyNumberFormat="1" applyFont="1" applyFill="1" applyBorder="1" applyAlignment="1">
      <alignment horizontal="center" vertical="center"/>
    </xf>
    <xf numFmtId="166" fontId="8" fillId="5" borderId="16" xfId="0" applyNumberFormat="1" applyFont="1" applyFill="1" applyBorder="1" applyAlignment="1">
      <alignment horizontal="center" vertical="center"/>
    </xf>
    <xf numFmtId="166" fontId="8" fillId="5" borderId="0" xfId="0" applyNumberFormat="1" applyFont="1" applyFill="1" applyBorder="1" applyAlignment="1">
      <alignment horizontal="center" vertical="center"/>
    </xf>
    <xf numFmtId="0" fontId="157" fillId="0" borderId="136" xfId="11" applyNumberFormat="1" applyFont="1" applyFill="1" applyBorder="1" applyAlignment="1" applyProtection="1">
      <alignment vertical="center" readingOrder="1"/>
    </xf>
    <xf numFmtId="0" fontId="157" fillId="0" borderId="0" xfId="11" applyFont="1" applyBorder="1" applyAlignment="1" applyProtection="1">
      <alignment vertical="center"/>
    </xf>
    <xf numFmtId="0" fontId="7" fillId="2" borderId="21" xfId="0" applyFont="1" applyFill="1" applyBorder="1"/>
    <xf numFmtId="0" fontId="7" fillId="2" borderId="1" xfId="0" applyFont="1" applyFill="1" applyBorder="1"/>
    <xf numFmtId="0" fontId="8" fillId="2" borderId="32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7" fillId="2" borderId="33" xfId="0" applyFont="1" applyFill="1" applyBorder="1"/>
    <xf numFmtId="0" fontId="7" fillId="3" borderId="1" xfId="0" applyFont="1" applyFill="1" applyBorder="1" applyAlignment="1">
      <alignment horizontal="left" vertical="center"/>
    </xf>
    <xf numFmtId="166" fontId="7" fillId="3" borderId="1" xfId="0" applyNumberFormat="1" applyFont="1" applyFill="1" applyBorder="1" applyAlignment="1">
      <alignment horizontal="center"/>
    </xf>
    <xf numFmtId="166" fontId="124" fillId="3" borderId="22" xfId="0" applyNumberFormat="1" applyFont="1" applyFill="1" applyBorder="1" applyAlignment="1">
      <alignment horizontal="center" vertical="center"/>
    </xf>
    <xf numFmtId="166" fontId="123" fillId="3" borderId="1" xfId="0" applyNumberFormat="1" applyFont="1" applyFill="1" applyBorder="1" applyAlignment="1">
      <alignment horizontal="center" vertical="center"/>
    </xf>
    <xf numFmtId="0" fontId="70" fillId="10" borderId="0" xfId="0" applyFont="1" applyFill="1" applyBorder="1" applyAlignment="1">
      <alignment horizontal="right" vertical="center"/>
    </xf>
    <xf numFmtId="166" fontId="88" fillId="3" borderId="21" xfId="0" applyNumberFormat="1" applyFont="1" applyFill="1" applyBorder="1" applyAlignment="1">
      <alignment horizontal="center"/>
    </xf>
    <xf numFmtId="166" fontId="88" fillId="3" borderId="1" xfId="0" applyNumberFormat="1" applyFont="1" applyFill="1" applyBorder="1" applyAlignment="1">
      <alignment horizontal="center"/>
    </xf>
    <xf numFmtId="166" fontId="89" fillId="3" borderId="1" xfId="0" applyNumberFormat="1" applyFont="1" applyFill="1" applyBorder="1" applyAlignment="1">
      <alignment horizontal="center"/>
    </xf>
    <xf numFmtId="166" fontId="7" fillId="3" borderId="0" xfId="0" applyNumberFormat="1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5" borderId="0" xfId="0" applyNumberFormat="1" applyFont="1" applyFill="1" applyAlignment="1">
      <alignment horizontal="center" vertical="center"/>
    </xf>
    <xf numFmtId="166" fontId="7" fillId="5" borderId="7" xfId="0" applyNumberFormat="1" applyFont="1" applyFill="1" applyBorder="1" applyAlignment="1">
      <alignment horizontal="center" vertical="center"/>
    </xf>
    <xf numFmtId="166" fontId="7" fillId="3" borderId="7" xfId="0" applyNumberFormat="1" applyFont="1" applyFill="1" applyBorder="1" applyAlignment="1">
      <alignment horizontal="center" vertical="center"/>
    </xf>
    <xf numFmtId="166" fontId="8" fillId="5" borderId="0" xfId="0" applyNumberFormat="1" applyFont="1" applyFill="1" applyBorder="1" applyAlignment="1">
      <alignment horizontal="center" vertical="center"/>
    </xf>
    <xf numFmtId="166" fontId="8" fillId="3" borderId="0" xfId="0" applyNumberFormat="1" applyFont="1" applyFill="1" applyBorder="1" applyAlignment="1">
      <alignment horizontal="center" vertical="center"/>
    </xf>
    <xf numFmtId="2" fontId="56" fillId="0" borderId="7" xfId="0" applyNumberFormat="1" applyFont="1" applyFill="1" applyBorder="1" applyAlignment="1">
      <alignment horizontal="right" vertical="top" wrapText="1" indent="9"/>
    </xf>
    <xf numFmtId="2" fontId="56" fillId="12" borderId="7" xfId="0" applyNumberFormat="1" applyFont="1" applyFill="1" applyBorder="1" applyAlignment="1">
      <alignment horizontal="right" vertical="top" wrapText="1" indent="9"/>
    </xf>
    <xf numFmtId="2" fontId="25" fillId="12" borderId="94" xfId="0" applyNumberFormat="1" applyFont="1" applyFill="1" applyBorder="1" applyAlignment="1">
      <alignment horizontal="right" vertical="top" wrapText="1" indent="7"/>
    </xf>
    <xf numFmtId="2" fontId="56" fillId="0" borderId="94" xfId="0" applyNumberFormat="1" applyFont="1" applyFill="1" applyBorder="1" applyAlignment="1">
      <alignment horizontal="right" vertical="top" wrapText="1"/>
    </xf>
    <xf numFmtId="2" fontId="25" fillId="0" borderId="33" xfId="0" applyNumberFormat="1" applyFont="1" applyFill="1" applyBorder="1" applyAlignment="1">
      <alignment horizontal="right" vertical="top" wrapText="1"/>
    </xf>
    <xf numFmtId="2" fontId="25" fillId="12" borderId="94" xfId="0" applyNumberFormat="1" applyFont="1" applyFill="1" applyBorder="1" applyAlignment="1">
      <alignment horizontal="left" vertical="top" wrapText="1" indent="7"/>
    </xf>
    <xf numFmtId="2" fontId="56" fillId="0" borderId="94" xfId="0" applyNumberFormat="1" applyFont="1" applyFill="1" applyBorder="1" applyAlignment="1">
      <alignment horizontal="left" vertical="top" wrapText="1"/>
    </xf>
    <xf numFmtId="2" fontId="25" fillId="0" borderId="21" xfId="0" applyNumberFormat="1" applyFont="1" applyFill="1" applyBorder="1" applyAlignment="1">
      <alignment horizontal="left" vertical="top" wrapText="1"/>
    </xf>
    <xf numFmtId="166" fontId="20" fillId="3" borderId="0" xfId="0" applyNumberFormat="1" applyFont="1" applyFill="1" applyBorder="1" applyAlignment="1">
      <alignment horizontal="center" vertical="center"/>
    </xf>
    <xf numFmtId="166" fontId="20" fillId="3" borderId="25" xfId="0" applyNumberFormat="1" applyFont="1" applyFill="1" applyBorder="1" applyAlignment="1">
      <alignment horizontal="center" vertical="center"/>
    </xf>
    <xf numFmtId="166" fontId="28" fillId="0" borderId="21" xfId="0" applyNumberFormat="1" applyFont="1" applyFill="1" applyBorder="1" applyAlignment="1">
      <alignment horizontal="center" vertical="center"/>
    </xf>
    <xf numFmtId="1" fontId="7" fillId="5" borderId="25" xfId="0" applyNumberFormat="1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 vertical="center"/>
    </xf>
    <xf numFmtId="166" fontId="3" fillId="5" borderId="0" xfId="0" applyNumberFormat="1" applyFont="1" applyFill="1" applyBorder="1" applyAlignment="1">
      <alignment horizontal="center" vertical="center"/>
    </xf>
    <xf numFmtId="166" fontId="3" fillId="0" borderId="0" xfId="0" applyNumberFormat="1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6" fontId="7" fillId="5" borderId="0" xfId="6" applyNumberFormat="1" applyFont="1" applyFill="1" applyBorder="1" applyAlignment="1">
      <alignment horizontal="center" vertical="center"/>
    </xf>
    <xf numFmtId="0" fontId="7" fillId="5" borderId="25" xfId="0" applyFont="1" applyFill="1" applyBorder="1" applyAlignment="1">
      <alignment horizontal="center" vertical="center"/>
    </xf>
    <xf numFmtId="1" fontId="7" fillId="5" borderId="25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horizontal="left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3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right"/>
    </xf>
    <xf numFmtId="0" fontId="20" fillId="0" borderId="0" xfId="0" applyFont="1" applyAlignment="1">
      <alignment horizontal="right"/>
    </xf>
    <xf numFmtId="0" fontId="20" fillId="0" borderId="0" xfId="0" applyFont="1" applyBorder="1" applyAlignment="1">
      <alignment horizontal="right" vertical="top"/>
    </xf>
    <xf numFmtId="166" fontId="7" fillId="5" borderId="7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 vertical="center"/>
    </xf>
    <xf numFmtId="166" fontId="7" fillId="5" borderId="0" xfId="6" applyNumberFormat="1" applyFont="1" applyFill="1" applyBorder="1" applyAlignment="1">
      <alignment horizontal="center" vertical="center"/>
    </xf>
    <xf numFmtId="166" fontId="7" fillId="3" borderId="7" xfId="0" applyNumberFormat="1" applyFont="1" applyFill="1" applyBorder="1" applyAlignment="1">
      <alignment horizontal="center" vertical="center"/>
    </xf>
    <xf numFmtId="0" fontId="45" fillId="5" borderId="0" xfId="0" applyFont="1" applyFill="1" applyBorder="1" applyAlignment="1">
      <alignment horizontal="center" vertical="center"/>
    </xf>
    <xf numFmtId="166" fontId="8" fillId="5" borderId="0" xfId="0" applyNumberFormat="1" applyFont="1" applyFill="1" applyBorder="1" applyAlignment="1">
      <alignment horizontal="center" vertical="center"/>
    </xf>
    <xf numFmtId="166" fontId="8" fillId="3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Continuous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 vertical="center"/>
    </xf>
    <xf numFmtId="166" fontId="3" fillId="0" borderId="0" xfId="0" applyNumberFormat="1" applyFont="1" applyFill="1" applyBorder="1" applyAlignment="1">
      <alignment horizontal="center" vertical="center"/>
    </xf>
    <xf numFmtId="166" fontId="3" fillId="5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" fontId="7" fillId="5" borderId="25" xfId="0" applyNumberFormat="1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3" borderId="0" xfId="0" applyNumberFormat="1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33" xfId="0" applyFont="1" applyFill="1" applyBorder="1" applyAlignment="1">
      <alignment horizontal="center" vertical="center"/>
    </xf>
    <xf numFmtId="166" fontId="7" fillId="5" borderId="21" xfId="0" applyNumberFormat="1" applyFont="1" applyFill="1" applyBorder="1" applyAlignment="1">
      <alignment horizontal="center" vertical="center"/>
    </xf>
    <xf numFmtId="166" fontId="7" fillId="5" borderId="1" xfId="0" applyNumberFormat="1" applyFont="1" applyFill="1" applyBorder="1" applyAlignment="1">
      <alignment horizontal="center" vertical="center"/>
    </xf>
    <xf numFmtId="166" fontId="7" fillId="5" borderId="7" xfId="0" applyNumberFormat="1" applyFont="1" applyFill="1" applyBorder="1" applyAlignment="1">
      <alignment horizontal="center" vertical="center"/>
    </xf>
    <xf numFmtId="166" fontId="3" fillId="5" borderId="0" xfId="0" applyNumberFormat="1" applyFont="1" applyFill="1" applyBorder="1" applyAlignment="1">
      <alignment horizontal="center" vertical="center"/>
    </xf>
    <xf numFmtId="166" fontId="7" fillId="5" borderId="0" xfId="6" applyNumberFormat="1" applyFont="1" applyFill="1" applyBorder="1" applyAlignment="1">
      <alignment horizontal="center" vertical="center"/>
    </xf>
    <xf numFmtId="166" fontId="7" fillId="3" borderId="7" xfId="0" applyNumberFormat="1" applyFont="1" applyFill="1" applyBorder="1" applyAlignment="1">
      <alignment horizontal="center" vertical="center"/>
    </xf>
    <xf numFmtId="166" fontId="7" fillId="3" borderId="21" xfId="0" applyNumberFormat="1" applyFont="1" applyFill="1" applyBorder="1" applyAlignment="1">
      <alignment horizontal="center" vertical="center"/>
    </xf>
    <xf numFmtId="0" fontId="45" fillId="5" borderId="0" xfId="0" applyFont="1" applyFill="1" applyBorder="1" applyAlignment="1">
      <alignment horizontal="center" vertical="center"/>
    </xf>
    <xf numFmtId="0" fontId="173" fillId="0" borderId="0" xfId="0" applyFont="1" applyAlignment="1">
      <alignment horizontal="center" vertical="center" readingOrder="2"/>
    </xf>
    <xf numFmtId="166" fontId="8" fillId="5" borderId="0" xfId="0" applyNumberFormat="1" applyFont="1" applyFill="1" applyBorder="1" applyAlignment="1">
      <alignment horizontal="center" vertical="center"/>
    </xf>
    <xf numFmtId="166" fontId="8" fillId="3" borderId="16" xfId="0" applyNumberFormat="1" applyFont="1" applyFill="1" applyBorder="1" applyAlignment="1">
      <alignment horizontal="center" vertical="center"/>
    </xf>
    <xf numFmtId="0" fontId="173" fillId="0" borderId="0" xfId="0" applyFont="1" applyAlignment="1">
      <alignment horizontal="center" vertical="center"/>
    </xf>
    <xf numFmtId="3" fontId="7" fillId="3" borderId="1" xfId="0" applyNumberFormat="1" applyFont="1" applyFill="1" applyBorder="1" applyAlignment="1">
      <alignment horizontal="center" vertical="center"/>
    </xf>
    <xf numFmtId="3" fontId="8" fillId="3" borderId="1" xfId="0" applyNumberFormat="1" applyFont="1" applyFill="1" applyBorder="1" applyAlignment="1">
      <alignment horizontal="center" vertical="center"/>
    </xf>
    <xf numFmtId="1" fontId="45" fillId="3" borderId="1" xfId="0" applyNumberFormat="1" applyFont="1" applyFill="1" applyBorder="1" applyAlignment="1">
      <alignment horizontal="center" vertical="center"/>
    </xf>
    <xf numFmtId="3" fontId="7" fillId="3" borderId="21" xfId="0" applyNumberFormat="1" applyFont="1" applyFill="1" applyBorder="1" applyAlignment="1">
      <alignment horizontal="center" vertical="center"/>
    </xf>
    <xf numFmtId="1" fontId="7" fillId="3" borderId="33" xfId="0" applyNumberFormat="1" applyFont="1" applyFill="1" applyBorder="1" applyAlignment="1">
      <alignment horizontal="right"/>
    </xf>
    <xf numFmtId="1" fontId="7" fillId="3" borderId="23" xfId="0" applyNumberFormat="1" applyFont="1" applyFill="1" applyBorder="1" applyAlignment="1">
      <alignment horizontal="center"/>
    </xf>
    <xf numFmtId="1" fontId="45" fillId="3" borderId="1" xfId="0" applyNumberFormat="1" applyFont="1" applyFill="1" applyBorder="1" applyAlignment="1">
      <alignment horizontal="center"/>
    </xf>
    <xf numFmtId="1" fontId="7" fillId="3" borderId="33" xfId="0" applyNumberFormat="1" applyFont="1" applyFill="1" applyBorder="1" applyAlignment="1">
      <alignment horizontal="center"/>
    </xf>
    <xf numFmtId="3" fontId="7" fillId="3" borderId="21" xfId="8" applyNumberFormat="1" applyFont="1" applyFill="1" applyBorder="1" applyAlignment="1">
      <alignment horizontal="center" vertical="center"/>
    </xf>
    <xf numFmtId="3" fontId="8" fillId="3" borderId="23" xfId="0" applyNumberFormat="1" applyFont="1" applyFill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1" fontId="45" fillId="3" borderId="107" xfId="0" applyNumberFormat="1" applyFont="1" applyFill="1" applyBorder="1" applyAlignment="1">
      <alignment horizontal="center" vertical="center"/>
    </xf>
    <xf numFmtId="3" fontId="7" fillId="0" borderId="21" xfId="0" applyNumberFormat="1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/>
    </xf>
    <xf numFmtId="3" fontId="8" fillId="0" borderId="23" xfId="0" applyNumberFormat="1" applyFont="1" applyFill="1" applyBorder="1" applyAlignment="1">
      <alignment horizontal="center" vertical="center"/>
    </xf>
    <xf numFmtId="1" fontId="8" fillId="0" borderId="22" xfId="0" applyNumberFormat="1" applyFont="1" applyFill="1" applyBorder="1" applyAlignment="1">
      <alignment horizontal="center"/>
    </xf>
    <xf numFmtId="1" fontId="45" fillId="0" borderId="33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vertical="center"/>
    </xf>
    <xf numFmtId="3" fontId="7" fillId="0" borderId="33" xfId="0" applyNumberFormat="1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1" fontId="45" fillId="0" borderId="1" xfId="0" applyNumberFormat="1" applyFont="1" applyFill="1" applyBorder="1" applyAlignment="1">
      <alignment horizontal="center" vertical="center"/>
    </xf>
    <xf numFmtId="1" fontId="7" fillId="0" borderId="33" xfId="0" applyNumberFormat="1" applyFont="1" applyFill="1" applyBorder="1" applyAlignment="1">
      <alignment horizontal="right" vertical="center"/>
    </xf>
    <xf numFmtId="1" fontId="7" fillId="0" borderId="33" xfId="0" applyNumberFormat="1" applyFont="1" applyFill="1" applyBorder="1" applyAlignment="1">
      <alignment horizontal="center"/>
    </xf>
    <xf numFmtId="166" fontId="8" fillId="0" borderId="23" xfId="0" applyNumberFormat="1" applyFont="1" applyFill="1" applyBorder="1" applyAlignment="1">
      <alignment horizontal="center" vertical="center"/>
    </xf>
    <xf numFmtId="0" fontId="60" fillId="0" borderId="1" xfId="0" applyFont="1" applyFill="1" applyBorder="1" applyAlignment="1">
      <alignment horizontal="right" vertical="center"/>
    </xf>
    <xf numFmtId="0" fontId="7" fillId="0" borderId="33" xfId="0" applyFont="1" applyFill="1" applyBorder="1" applyAlignment="1">
      <alignment horizontal="centerContinuous" vertical="center"/>
    </xf>
    <xf numFmtId="0" fontId="7" fillId="0" borderId="1" xfId="0" applyFont="1" applyFill="1" applyBorder="1" applyAlignment="1">
      <alignment horizontal="right" vertical="center"/>
    </xf>
    <xf numFmtId="166" fontId="3" fillId="0" borderId="1" xfId="0" applyNumberFormat="1" applyFont="1" applyFill="1" applyBorder="1" applyAlignment="1">
      <alignment horizontal="center" vertical="center"/>
    </xf>
    <xf numFmtId="166" fontId="4" fillId="0" borderId="23" xfId="0" applyNumberFormat="1" applyFont="1" applyFill="1" applyBorder="1" applyAlignment="1">
      <alignment horizontal="center" vertical="center"/>
    </xf>
    <xf numFmtId="0" fontId="114" fillId="0" borderId="1" xfId="0" applyFont="1" applyFill="1" applyBorder="1" applyAlignment="1">
      <alignment horizontal="left" vertical="center"/>
    </xf>
    <xf numFmtId="0" fontId="116" fillId="0" borderId="22" xfId="0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center" vertical="center"/>
    </xf>
    <xf numFmtId="0" fontId="65" fillId="0" borderId="33" xfId="0" applyFont="1" applyFill="1" applyBorder="1" applyAlignment="1">
      <alignment horizontal="center" vertical="center"/>
    </xf>
    <xf numFmtId="0" fontId="117" fillId="0" borderId="1" xfId="0" applyFont="1" applyFill="1" applyBorder="1" applyAlignment="1">
      <alignment horizontal="left" vertical="center"/>
    </xf>
    <xf numFmtId="0" fontId="45" fillId="0" borderId="107" xfId="0" applyFont="1" applyFill="1" applyBorder="1" applyAlignment="1">
      <alignment horizontal="center" vertical="center"/>
    </xf>
    <xf numFmtId="166" fontId="8" fillId="5" borderId="79" xfId="0" applyNumberFormat="1" applyFont="1" applyFill="1" applyBorder="1" applyAlignment="1">
      <alignment horizontal="center" vertical="center"/>
    </xf>
    <xf numFmtId="166" fontId="8" fillId="3" borderId="79" xfId="0" applyNumberFormat="1" applyFont="1" applyFill="1" applyBorder="1" applyAlignment="1">
      <alignment horizontal="center" vertical="center"/>
    </xf>
    <xf numFmtId="166" fontId="8" fillId="3" borderId="102" xfId="0" applyNumberFormat="1" applyFont="1" applyFill="1" applyBorder="1" applyAlignment="1">
      <alignment horizontal="center" vertical="center"/>
    </xf>
    <xf numFmtId="166" fontId="7" fillId="5" borderId="80" xfId="0" applyNumberFormat="1" applyFont="1" applyFill="1" applyBorder="1" applyAlignment="1">
      <alignment horizontal="center" vertical="center"/>
    </xf>
    <xf numFmtId="166" fontId="7" fillId="3" borderId="80" xfId="0" applyNumberFormat="1" applyFont="1" applyFill="1" applyBorder="1" applyAlignment="1">
      <alignment horizontal="center" vertical="center"/>
    </xf>
    <xf numFmtId="166" fontId="7" fillId="3" borderId="161" xfId="0" applyNumberFormat="1" applyFont="1" applyFill="1" applyBorder="1" applyAlignment="1">
      <alignment horizontal="center" vertical="center"/>
    </xf>
    <xf numFmtId="166" fontId="125" fillId="3" borderId="1" xfId="0" applyNumberFormat="1" applyFont="1" applyFill="1" applyBorder="1" applyAlignment="1">
      <alignment horizontal="center" vertical="center"/>
    </xf>
    <xf numFmtId="166" fontId="125" fillId="3" borderId="23" xfId="0" applyNumberFormat="1" applyFont="1" applyFill="1" applyBorder="1" applyAlignment="1">
      <alignment horizontal="center" vertical="center"/>
    </xf>
    <xf numFmtId="0" fontId="45" fillId="0" borderId="78" xfId="0" applyFont="1" applyBorder="1" applyAlignment="1"/>
    <xf numFmtId="0" fontId="37" fillId="0" borderId="78" xfId="0" applyFont="1" applyBorder="1" applyAlignment="1">
      <alignment vertical="center"/>
    </xf>
    <xf numFmtId="3" fontId="8" fillId="3" borderId="21" xfId="0" applyNumberFormat="1" applyFont="1" applyFill="1" applyBorder="1" applyAlignment="1">
      <alignment horizontal="center" vertical="center"/>
    </xf>
    <xf numFmtId="168" fontId="8" fillId="3" borderId="21" xfId="0" applyNumberFormat="1" applyFont="1" applyFill="1" applyBorder="1" applyAlignment="1">
      <alignment horizontal="center" vertical="center"/>
    </xf>
    <xf numFmtId="168" fontId="7" fillId="3" borderId="1" xfId="0" applyNumberFormat="1" applyFont="1" applyFill="1" applyBorder="1" applyAlignment="1">
      <alignment horizontal="center" vertical="center"/>
    </xf>
    <xf numFmtId="168" fontId="8" fillId="3" borderId="1" xfId="0" applyNumberFormat="1" applyFont="1" applyFill="1" applyBorder="1" applyAlignment="1">
      <alignment horizontal="center" vertical="center"/>
    </xf>
    <xf numFmtId="166" fontId="137" fillId="0" borderId="21" xfId="0" applyNumberFormat="1" applyFont="1" applyFill="1" applyBorder="1" applyAlignment="1">
      <alignment horizontal="center" vertical="center" readingOrder="1"/>
    </xf>
    <xf numFmtId="166" fontId="137" fillId="0" borderId="1" xfId="0" applyNumberFormat="1" applyFont="1" applyFill="1" applyBorder="1" applyAlignment="1">
      <alignment horizontal="center" vertical="center" readingOrder="1"/>
    </xf>
    <xf numFmtId="1" fontId="136" fillId="0" borderId="33" xfId="0" applyNumberFormat="1" applyFont="1" applyFill="1" applyBorder="1" applyAlignment="1">
      <alignment horizontal="center" vertical="center" readingOrder="1"/>
    </xf>
    <xf numFmtId="166" fontId="70" fillId="0" borderId="148" xfId="0" applyNumberFormat="1" applyFont="1" applyFill="1" applyBorder="1" applyAlignment="1">
      <alignment horizontal="center" vertical="center"/>
    </xf>
    <xf numFmtId="166" fontId="45" fillId="7" borderId="79" xfId="0" applyNumberFormat="1" applyFont="1" applyFill="1" applyBorder="1" applyAlignment="1">
      <alignment horizontal="center" vertical="center"/>
    </xf>
    <xf numFmtId="166" fontId="45" fillId="4" borderId="79" xfId="0" applyNumberFormat="1" applyFont="1" applyFill="1" applyBorder="1" applyAlignment="1">
      <alignment horizontal="center" vertical="center"/>
    </xf>
    <xf numFmtId="166" fontId="70" fillId="4" borderId="79" xfId="0" applyNumberFormat="1" applyFont="1" applyFill="1" applyBorder="1" applyAlignment="1">
      <alignment horizontal="center" vertical="center"/>
    </xf>
    <xf numFmtId="166" fontId="70" fillId="4" borderId="154" xfId="0" applyNumberFormat="1" applyFont="1" applyFill="1" applyBorder="1" applyAlignment="1">
      <alignment horizontal="center" vertical="center"/>
    </xf>
    <xf numFmtId="0" fontId="157" fillId="0" borderId="0" xfId="11" applyFont="1" applyAlignment="1" applyProtection="1"/>
    <xf numFmtId="0" fontId="151" fillId="0" borderId="1" xfId="10" applyFont="1" applyFill="1" applyBorder="1" applyAlignment="1">
      <alignment horizontal="center" vertical="center"/>
    </xf>
    <xf numFmtId="0" fontId="155" fillId="0" borderId="1" xfId="10" applyFont="1" applyFill="1" applyBorder="1" applyAlignment="1">
      <alignment horizontal="right" vertical="center" readingOrder="2"/>
    </xf>
    <xf numFmtId="0" fontId="161" fillId="0" borderId="0" xfId="0" applyFont="1"/>
    <xf numFmtId="0" fontId="157" fillId="0" borderId="0" xfId="11" applyFont="1" applyAlignment="1" applyProtection="1">
      <alignment horizontal="right" vertical="center"/>
    </xf>
    <xf numFmtId="0" fontId="35" fillId="0" borderId="0" xfId="10" applyFont="1" applyFill="1" applyBorder="1" applyAlignment="1">
      <alignment horizontal="right" vertical="center" readingOrder="2"/>
    </xf>
    <xf numFmtId="0" fontId="159" fillId="0" borderId="133" xfId="10" applyNumberFormat="1" applyFont="1" applyFill="1" applyBorder="1" applyAlignment="1">
      <alignment horizontal="center" vertical="center"/>
    </xf>
    <xf numFmtId="0" fontId="159" fillId="0" borderId="134" xfId="10" applyNumberFormat="1" applyFont="1" applyFill="1" applyBorder="1" applyAlignment="1">
      <alignment horizontal="center" vertical="center"/>
    </xf>
    <xf numFmtId="0" fontId="159" fillId="0" borderId="1" xfId="1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2" borderId="4" xfId="0" applyFont="1" applyFill="1" applyBorder="1" applyAlignment="1">
      <alignment horizontal="right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8" fillId="2" borderId="46" xfId="0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/>
    </xf>
    <xf numFmtId="0" fontId="7" fillId="2" borderId="35" xfId="0" applyFont="1" applyFill="1" applyBorder="1" applyAlignment="1">
      <alignment horizontal="left" vertical="center"/>
    </xf>
    <xf numFmtId="0" fontId="7" fillId="2" borderId="35" xfId="0" applyFont="1" applyFill="1" applyBorder="1" applyAlignment="1">
      <alignment horizontal="right" vertical="center"/>
    </xf>
    <xf numFmtId="0" fontId="7" fillId="2" borderId="36" xfId="0" applyFont="1" applyFill="1" applyBorder="1" applyAlignment="1">
      <alignment horizontal="right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top"/>
    </xf>
    <xf numFmtId="0" fontId="9" fillId="2" borderId="17" xfId="0" applyFont="1" applyFill="1" applyBorder="1" applyAlignment="1">
      <alignment horizontal="center" vertical="top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top"/>
    </xf>
    <xf numFmtId="0" fontId="7" fillId="2" borderId="15" xfId="0" applyFont="1" applyFill="1" applyBorder="1" applyAlignment="1">
      <alignment horizontal="center" vertical="top"/>
    </xf>
    <xf numFmtId="0" fontId="20" fillId="0" borderId="0" xfId="0" applyFont="1" applyAlignment="1">
      <alignment horizontal="left" vertical="center"/>
    </xf>
    <xf numFmtId="0" fontId="20" fillId="0" borderId="0" xfId="0" applyFont="1" applyBorder="1" applyAlignment="1">
      <alignment horizontal="right" vertical="center" readingOrder="2"/>
    </xf>
    <xf numFmtId="1" fontId="7" fillId="5" borderId="16" xfId="0" applyNumberFormat="1" applyFont="1" applyFill="1" applyBorder="1" applyAlignment="1">
      <alignment horizontal="center" vertical="center"/>
    </xf>
    <xf numFmtId="1" fontId="7" fillId="5" borderId="25" xfId="0" applyNumberFormat="1" applyFont="1" applyFill="1" applyBorder="1" applyAlignment="1">
      <alignment horizontal="center" vertical="center"/>
    </xf>
    <xf numFmtId="1" fontId="7" fillId="3" borderId="16" xfId="0" applyNumberFormat="1" applyFont="1" applyFill="1" applyBorder="1" applyAlignment="1">
      <alignment horizontal="center" vertical="center"/>
    </xf>
    <xf numFmtId="1" fontId="7" fillId="3" borderId="25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0" fontId="19" fillId="0" borderId="0" xfId="0" applyFont="1" applyBorder="1" applyAlignment="1">
      <alignment horizontal="right" vertical="center" readingOrder="2"/>
    </xf>
    <xf numFmtId="1" fontId="35" fillId="5" borderId="0" xfId="0" applyNumberFormat="1" applyFont="1" applyFill="1" applyBorder="1" applyAlignment="1">
      <alignment horizontal="center" vertical="center"/>
    </xf>
    <xf numFmtId="1" fontId="35" fillId="5" borderId="25" xfId="0" applyNumberFormat="1" applyFont="1" applyFill="1" applyBorder="1" applyAlignment="1">
      <alignment horizontal="center" vertical="center"/>
    </xf>
    <xf numFmtId="1" fontId="35" fillId="0" borderId="1" xfId="0" applyNumberFormat="1" applyFont="1" applyBorder="1" applyAlignment="1">
      <alignment horizontal="center" vertical="center"/>
    </xf>
    <xf numFmtId="1" fontId="35" fillId="0" borderId="33" xfId="0" applyNumberFormat="1" applyFont="1" applyBorder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6" fontId="24" fillId="0" borderId="0" xfId="0" applyNumberFormat="1" applyFont="1" applyAlignment="1">
      <alignment horizontal="center" vertical="center"/>
    </xf>
    <xf numFmtId="166" fontId="7" fillId="6" borderId="4" xfId="0" applyNumberFormat="1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/>
    </xf>
    <xf numFmtId="0" fontId="7" fillId="6" borderId="10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7" fillId="6" borderId="14" xfId="0" applyFont="1" applyFill="1" applyBorder="1" applyAlignment="1">
      <alignment horizontal="center" vertical="center"/>
    </xf>
    <xf numFmtId="0" fontId="7" fillId="6" borderId="15" xfId="0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center"/>
    </xf>
    <xf numFmtId="0" fontId="7" fillId="6" borderId="25" xfId="0" applyFont="1" applyFill="1" applyBorder="1" applyAlignment="1">
      <alignment horizontal="center"/>
    </xf>
    <xf numFmtId="0" fontId="7" fillId="6" borderId="16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1" fontId="35" fillId="0" borderId="0" xfId="0" applyNumberFormat="1" applyFont="1" applyBorder="1" applyAlignment="1">
      <alignment horizontal="center" vertical="center"/>
    </xf>
    <xf numFmtId="1" fontId="35" fillId="0" borderId="25" xfId="0" applyNumberFormat="1" applyFont="1" applyBorder="1" applyAlignment="1">
      <alignment horizontal="center" vertical="center"/>
    </xf>
    <xf numFmtId="0" fontId="32" fillId="0" borderId="0" xfId="0" applyFont="1" applyBorder="1" applyAlignment="1">
      <alignment horizontal="right" vertical="center"/>
    </xf>
    <xf numFmtId="1" fontId="35" fillId="0" borderId="16" xfId="0" applyNumberFormat="1" applyFont="1" applyBorder="1" applyAlignment="1">
      <alignment horizontal="center" vertical="center"/>
    </xf>
    <xf numFmtId="1" fontId="35" fillId="0" borderId="31" xfId="0" applyNumberFormat="1" applyFont="1" applyBorder="1" applyAlignment="1">
      <alignment horizontal="center" vertical="center"/>
    </xf>
    <xf numFmtId="1" fontId="7" fillId="3" borderId="22" xfId="0" applyNumberFormat="1" applyFont="1" applyFill="1" applyBorder="1" applyAlignment="1">
      <alignment horizontal="center" vertical="center"/>
    </xf>
    <xf numFmtId="1" fontId="7" fillId="3" borderId="33" xfId="0" applyNumberFormat="1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/>
    </xf>
    <xf numFmtId="0" fontId="20" fillId="0" borderId="0" xfId="0" applyFont="1" applyBorder="1" applyAlignment="1">
      <alignment horizontal="left" vertical="center"/>
    </xf>
    <xf numFmtId="0" fontId="20" fillId="0" borderId="0" xfId="0" applyFont="1" applyFill="1" applyBorder="1" applyAlignment="1">
      <alignment horizontal="right" vertical="center"/>
    </xf>
    <xf numFmtId="0" fontId="7" fillId="5" borderId="0" xfId="0" quotePrefix="1" applyFont="1" applyFill="1" applyBorder="1" applyAlignment="1">
      <alignment horizontal="center" vertical="center"/>
    </xf>
    <xf numFmtId="0" fontId="7" fillId="5" borderId="25" xfId="0" quotePrefix="1" applyFont="1" applyFill="1" applyBorder="1" applyAlignment="1">
      <alignment horizontal="center" vertical="center"/>
    </xf>
    <xf numFmtId="0" fontId="7" fillId="3" borderId="0" xfId="0" quotePrefix="1" applyFont="1" applyFill="1" applyBorder="1" applyAlignment="1">
      <alignment horizontal="center" vertical="center"/>
    </xf>
    <xf numFmtId="0" fontId="7" fillId="3" borderId="25" xfId="0" quotePrefix="1" applyFont="1" applyFill="1" applyBorder="1" applyAlignment="1">
      <alignment horizontal="center" vertical="center"/>
    </xf>
    <xf numFmtId="0" fontId="7" fillId="3" borderId="16" xfId="0" quotePrefix="1" applyFont="1" applyFill="1" applyBorder="1" applyAlignment="1">
      <alignment horizontal="center" vertical="center"/>
    </xf>
    <xf numFmtId="0" fontId="7" fillId="3" borderId="31" xfId="0" quotePrefix="1" applyFont="1" applyFill="1" applyBorder="1" applyAlignment="1">
      <alignment horizontal="center" vertical="center"/>
    </xf>
    <xf numFmtId="0" fontId="7" fillId="5" borderId="16" xfId="0" quotePrefix="1" applyFont="1" applyFill="1" applyBorder="1" applyAlignment="1">
      <alignment horizontal="center" vertical="center"/>
    </xf>
    <xf numFmtId="0" fontId="7" fillId="5" borderId="31" xfId="0" quotePrefix="1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24" fillId="0" borderId="0" xfId="0" applyNumberFormat="1" applyFont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3" borderId="1" xfId="0" quotePrefix="1" applyFont="1" applyFill="1" applyBorder="1" applyAlignment="1">
      <alignment horizontal="center" vertical="center"/>
    </xf>
    <xf numFmtId="0" fontId="7" fillId="3" borderId="33" xfId="0" quotePrefix="1" applyFont="1" applyFill="1" applyBorder="1" applyAlignment="1">
      <alignment horizontal="center" vertical="center"/>
    </xf>
    <xf numFmtId="0" fontId="54" fillId="0" borderId="0" xfId="0" applyFont="1" applyBorder="1" applyAlignment="1">
      <alignment horizontal="right" readingOrder="2"/>
    </xf>
    <xf numFmtId="0" fontId="59" fillId="3" borderId="0" xfId="0" quotePrefix="1" applyFont="1" applyFill="1" applyBorder="1" applyAlignment="1">
      <alignment horizontal="center" vertical="center"/>
    </xf>
    <xf numFmtId="0" fontId="60" fillId="3" borderId="0" xfId="0" quotePrefix="1" applyFont="1" applyFill="1" applyBorder="1" applyAlignment="1">
      <alignment horizontal="center" vertical="center"/>
    </xf>
    <xf numFmtId="0" fontId="60" fillId="3" borderId="25" xfId="0" quotePrefix="1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167" fontId="7" fillId="2" borderId="17" xfId="0" applyNumberFormat="1" applyFont="1" applyFill="1" applyBorder="1" applyAlignment="1">
      <alignment horizontal="center" vertical="center"/>
    </xf>
    <xf numFmtId="167" fontId="7" fillId="2" borderId="11" xfId="0" applyNumberFormat="1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33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5" borderId="16" xfId="0" applyFont="1" applyFill="1" applyBorder="1" applyAlignment="1">
      <alignment horizontal="center" vertical="center"/>
    </xf>
    <xf numFmtId="0" fontId="7" fillId="5" borderId="25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166" fontId="7" fillId="2" borderId="26" xfId="0" applyNumberFormat="1" applyFont="1" applyFill="1" applyBorder="1" applyAlignment="1">
      <alignment horizontal="center" vertical="center"/>
    </xf>
    <xf numFmtId="166" fontId="7" fillId="2" borderId="4" xfId="0" applyNumberFormat="1" applyFont="1" applyFill="1" applyBorder="1" applyAlignment="1">
      <alignment horizontal="center" vertical="center"/>
    </xf>
    <xf numFmtId="166" fontId="7" fillId="2" borderId="42" xfId="0" applyNumberFormat="1" applyFont="1" applyFill="1" applyBorder="1" applyAlignment="1">
      <alignment horizontal="center" vertical="center"/>
    </xf>
    <xf numFmtId="166" fontId="7" fillId="2" borderId="13" xfId="0" applyNumberFormat="1" applyFont="1" applyFill="1" applyBorder="1" applyAlignment="1">
      <alignment horizontal="center" vertical="center"/>
    </xf>
    <xf numFmtId="166" fontId="7" fillId="2" borderId="14" xfId="0" applyNumberFormat="1" applyFont="1" applyFill="1" applyBorder="1" applyAlignment="1">
      <alignment horizontal="center" vertical="center"/>
    </xf>
    <xf numFmtId="166" fontId="7" fillId="2" borderId="15" xfId="0" applyNumberFormat="1" applyFont="1" applyFill="1" applyBorder="1" applyAlignment="1">
      <alignment horizontal="center" vertical="center"/>
    </xf>
    <xf numFmtId="0" fontId="7" fillId="3" borderId="22" xfId="0" quotePrefix="1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1" fontId="7" fillId="5" borderId="16" xfId="0" quotePrefix="1" applyNumberFormat="1" applyFont="1" applyFill="1" applyBorder="1" applyAlignment="1">
      <alignment horizontal="center" vertical="center"/>
    </xf>
    <xf numFmtId="1" fontId="7" fillId="5" borderId="0" xfId="0" quotePrefix="1" applyNumberFormat="1" applyFont="1" applyFill="1" applyBorder="1" applyAlignment="1">
      <alignment horizontal="center" vertical="center"/>
    </xf>
    <xf numFmtId="1" fontId="7" fillId="5" borderId="25" xfId="0" quotePrefix="1" applyNumberFormat="1" applyFont="1" applyFill="1" applyBorder="1" applyAlignment="1">
      <alignment horizontal="center" vertical="center"/>
    </xf>
    <xf numFmtId="1" fontId="7" fillId="3" borderId="16" xfId="0" quotePrefix="1" applyNumberFormat="1" applyFont="1" applyFill="1" applyBorder="1" applyAlignment="1">
      <alignment horizontal="center" vertical="center"/>
    </xf>
    <xf numFmtId="1" fontId="7" fillId="3" borderId="0" xfId="0" quotePrefix="1" applyNumberFormat="1" applyFont="1" applyFill="1" applyBorder="1" applyAlignment="1">
      <alignment horizontal="center" vertical="center"/>
    </xf>
    <xf numFmtId="1" fontId="7" fillId="3" borderId="25" xfId="0" quotePrefix="1" applyNumberFormat="1" applyFont="1" applyFill="1" applyBorder="1" applyAlignment="1">
      <alignment horizontal="center" vertical="center"/>
    </xf>
    <xf numFmtId="1" fontId="7" fillId="5" borderId="22" xfId="0" quotePrefix="1" applyNumberFormat="1" applyFont="1" applyFill="1" applyBorder="1" applyAlignment="1">
      <alignment horizontal="center" vertical="center"/>
    </xf>
    <xf numFmtId="1" fontId="7" fillId="5" borderId="1" xfId="0" quotePrefix="1" applyNumberFormat="1" applyFont="1" applyFill="1" applyBorder="1" applyAlignment="1">
      <alignment horizontal="center" vertical="center"/>
    </xf>
    <xf numFmtId="1" fontId="7" fillId="5" borderId="33" xfId="0" quotePrefix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166" fontId="7" fillId="2" borderId="16" xfId="0" applyNumberFormat="1" applyFont="1" applyFill="1" applyBorder="1" applyAlignment="1">
      <alignment horizontal="center" vertical="center"/>
    </xf>
    <xf numFmtId="166" fontId="7" fillId="2" borderId="0" xfId="0" applyNumberFormat="1" applyFont="1" applyFill="1" applyBorder="1" applyAlignment="1">
      <alignment horizontal="center" vertical="center"/>
    </xf>
    <xf numFmtId="166" fontId="7" fillId="2" borderId="25" xfId="0" applyNumberFormat="1" applyFont="1" applyFill="1" applyBorder="1" applyAlignment="1">
      <alignment horizontal="center" vertical="center"/>
    </xf>
    <xf numFmtId="166" fontId="7" fillId="2" borderId="16" xfId="0" applyNumberFormat="1" applyFont="1" applyFill="1" applyBorder="1" applyAlignment="1">
      <alignment horizontal="center"/>
    </xf>
    <xf numFmtId="166" fontId="7" fillId="2" borderId="0" xfId="0" applyNumberFormat="1" applyFont="1" applyFill="1" applyBorder="1" applyAlignment="1">
      <alignment horizontal="center"/>
    </xf>
    <xf numFmtId="166" fontId="7" fillId="2" borderId="25" xfId="0" applyNumberFormat="1" applyFont="1" applyFill="1" applyBorder="1" applyAlignment="1">
      <alignment horizontal="center"/>
    </xf>
    <xf numFmtId="166" fontId="7" fillId="2" borderId="13" xfId="0" applyNumberFormat="1" applyFont="1" applyFill="1" applyBorder="1" applyAlignment="1">
      <alignment horizontal="center"/>
    </xf>
    <xf numFmtId="166" fontId="7" fillId="2" borderId="14" xfId="0" applyNumberFormat="1" applyFont="1" applyFill="1" applyBorder="1" applyAlignment="1">
      <alignment horizontal="center"/>
    </xf>
    <xf numFmtId="166" fontId="7" fillId="2" borderId="29" xfId="0" applyNumberFormat="1" applyFont="1" applyFill="1" applyBorder="1" applyAlignment="1">
      <alignment horizontal="center"/>
    </xf>
    <xf numFmtId="166" fontId="7" fillId="2" borderId="17" xfId="0" applyNumberFormat="1" applyFont="1" applyFill="1" applyBorder="1" applyAlignment="1">
      <alignment horizontal="center"/>
    </xf>
    <xf numFmtId="166" fontId="7" fillId="2" borderId="15" xfId="0" applyNumberFormat="1" applyFont="1" applyFill="1" applyBorder="1" applyAlignment="1">
      <alignment horizont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3" borderId="0" xfId="0" applyNumberFormat="1" applyFont="1" applyFill="1" applyBorder="1" applyAlignment="1">
      <alignment horizontal="center" vertical="center"/>
    </xf>
    <xf numFmtId="166" fontId="19" fillId="3" borderId="0" xfId="0" quotePrefix="1" applyNumberFormat="1" applyFont="1" applyFill="1" applyBorder="1" applyAlignment="1">
      <alignment horizontal="center" vertical="center"/>
    </xf>
    <xf numFmtId="166" fontId="7" fillId="3" borderId="0" xfId="0" quotePrefix="1" applyNumberFormat="1" applyFont="1" applyFill="1" applyBorder="1" applyAlignment="1">
      <alignment horizontal="center" vertical="center"/>
    </xf>
    <xf numFmtId="166" fontId="7" fillId="3" borderId="25" xfId="0" quotePrefix="1" applyNumberFormat="1" applyFont="1" applyFill="1" applyBorder="1" applyAlignment="1">
      <alignment horizontal="center" vertical="center"/>
    </xf>
    <xf numFmtId="166" fontId="7" fillId="5" borderId="0" xfId="0" applyNumberFormat="1" applyFont="1" applyFill="1" applyAlignment="1">
      <alignment horizontal="center" vertical="center"/>
    </xf>
    <xf numFmtId="166" fontId="7" fillId="5" borderId="0" xfId="0" quotePrefix="1" applyNumberFormat="1" applyFont="1" applyFill="1" applyBorder="1" applyAlignment="1">
      <alignment horizontal="center" vertical="center"/>
    </xf>
    <xf numFmtId="166" fontId="7" fillId="5" borderId="25" xfId="0" quotePrefix="1" applyNumberFormat="1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horizontal="center" vertical="center"/>
    </xf>
    <xf numFmtId="1" fontId="7" fillId="3" borderId="1" xfId="0" quotePrefix="1" applyNumberFormat="1" applyFont="1" applyFill="1" applyBorder="1" applyAlignment="1">
      <alignment horizontal="center" vertical="center"/>
    </xf>
    <xf numFmtId="1" fontId="7" fillId="3" borderId="33" xfId="0" quotePrefix="1" applyNumberFormat="1" applyFont="1" applyFill="1" applyBorder="1" applyAlignment="1">
      <alignment horizontal="center" vertical="center"/>
    </xf>
    <xf numFmtId="0" fontId="7" fillId="2" borderId="48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0" fontId="7" fillId="2" borderId="49" xfId="0" applyFont="1" applyFill="1" applyBorder="1" applyAlignment="1">
      <alignment horizontal="left" vertical="center"/>
    </xf>
    <xf numFmtId="0" fontId="7" fillId="2" borderId="14" xfId="0" applyFont="1" applyFill="1" applyBorder="1" applyAlignment="1">
      <alignment horizontal="left" vertical="center"/>
    </xf>
    <xf numFmtId="0" fontId="7" fillId="2" borderId="42" xfId="0" applyFont="1" applyFill="1" applyBorder="1" applyAlignment="1">
      <alignment horizontal="right" vertical="center"/>
    </xf>
    <xf numFmtId="0" fontId="7" fillId="2" borderId="14" xfId="0" applyFont="1" applyFill="1" applyBorder="1" applyAlignment="1">
      <alignment horizontal="right" vertical="center"/>
    </xf>
    <xf numFmtId="0" fontId="7" fillId="2" borderId="15" xfId="0" applyFont="1" applyFill="1" applyBorder="1" applyAlignment="1">
      <alignment horizontal="right" vertical="center"/>
    </xf>
    <xf numFmtId="0" fontId="7" fillId="2" borderId="26" xfId="0" applyFont="1" applyFill="1" applyBorder="1" applyAlignment="1">
      <alignment horizontal="left" vertical="center"/>
    </xf>
    <xf numFmtId="0" fontId="7" fillId="2" borderId="13" xfId="0" applyFont="1" applyFill="1" applyBorder="1" applyAlignment="1">
      <alignment horizontal="left" vertical="center"/>
    </xf>
    <xf numFmtId="0" fontId="7" fillId="2" borderId="11" xfId="0" applyFont="1" applyFill="1" applyBorder="1" applyAlignment="1">
      <alignment horizontal="center"/>
    </xf>
    <xf numFmtId="0" fontId="7" fillId="2" borderId="47" xfId="0" applyFont="1" applyFill="1" applyBorder="1" applyAlignment="1">
      <alignment horizontal="center"/>
    </xf>
    <xf numFmtId="0" fontId="7" fillId="2" borderId="47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 vertical="center"/>
    </xf>
    <xf numFmtId="0" fontId="60" fillId="5" borderId="16" xfId="0" applyFont="1" applyFill="1" applyBorder="1" applyAlignment="1">
      <alignment horizontal="center" vertical="center"/>
    </xf>
    <xf numFmtId="0" fontId="60" fillId="5" borderId="0" xfId="0" applyFont="1" applyFill="1" applyBorder="1" applyAlignment="1">
      <alignment horizontal="center" vertical="center"/>
    </xf>
    <xf numFmtId="0" fontId="60" fillId="5" borderId="25" xfId="0" applyFont="1" applyFill="1" applyBorder="1" applyAlignment="1">
      <alignment horizontal="center" vertical="center"/>
    </xf>
    <xf numFmtId="0" fontId="7" fillId="4" borderId="22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33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16" xfId="0" applyFont="1" applyFill="1" applyBorder="1" applyAlignment="1">
      <alignment horizontal="center"/>
    </xf>
    <xf numFmtId="0" fontId="8" fillId="2" borderId="17" xfId="0" applyFont="1" applyFill="1" applyBorder="1" applyAlignment="1">
      <alignment horizontal="center"/>
    </xf>
    <xf numFmtId="168" fontId="8" fillId="2" borderId="52" xfId="0" applyNumberFormat="1" applyFont="1" applyFill="1" applyBorder="1" applyAlignment="1">
      <alignment horizontal="center" vertical="center"/>
    </xf>
    <xf numFmtId="168" fontId="8" fillId="2" borderId="53" xfId="0" applyNumberFormat="1" applyFont="1" applyFill="1" applyBorder="1" applyAlignment="1">
      <alignment horizontal="center" vertical="center"/>
    </xf>
    <xf numFmtId="168" fontId="8" fillId="2" borderId="40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5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7" fillId="2" borderId="59" xfId="0" applyFont="1" applyFill="1" applyBorder="1" applyAlignment="1">
      <alignment horizontal="center" vertical="center"/>
    </xf>
    <xf numFmtId="0" fontId="7" fillId="2" borderId="60" xfId="0" applyFont="1" applyFill="1" applyBorder="1" applyAlignment="1">
      <alignment horizontal="center" vertical="center"/>
    </xf>
    <xf numFmtId="0" fontId="7" fillId="2" borderId="57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4" borderId="25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7" fillId="2" borderId="17" xfId="0" applyFont="1" applyFill="1" applyBorder="1" applyAlignment="1">
      <alignment horizontal="center" vertical="top"/>
    </xf>
    <xf numFmtId="0" fontId="7" fillId="2" borderId="38" xfId="0" applyFont="1" applyFill="1" applyBorder="1" applyAlignment="1">
      <alignment horizontal="center" vertical="top"/>
    </xf>
    <xf numFmtId="0" fontId="7" fillId="2" borderId="16" xfId="0" applyFont="1" applyFill="1" applyBorder="1" applyAlignment="1">
      <alignment horizontal="center" vertical="top"/>
    </xf>
    <xf numFmtId="0" fontId="7" fillId="2" borderId="25" xfId="0" applyFont="1" applyFill="1" applyBorder="1" applyAlignment="1">
      <alignment horizontal="center" vertical="top"/>
    </xf>
    <xf numFmtId="0" fontId="7" fillId="2" borderId="13" xfId="0" applyFont="1" applyFill="1" applyBorder="1" applyAlignment="1">
      <alignment horizontal="center" vertical="top"/>
    </xf>
    <xf numFmtId="0" fontId="7" fillId="2" borderId="29" xfId="0" applyFont="1" applyFill="1" applyBorder="1" applyAlignment="1">
      <alignment horizontal="center" vertical="top"/>
    </xf>
    <xf numFmtId="0" fontId="7" fillId="5" borderId="7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71" xfId="0" applyFont="1" applyFill="1" applyBorder="1" applyAlignment="1">
      <alignment horizontal="center" vertical="center"/>
    </xf>
    <xf numFmtId="0" fontId="8" fillId="0" borderId="71" xfId="0" applyFont="1" applyBorder="1" applyAlignment="1">
      <alignment vertical="center"/>
    </xf>
    <xf numFmtId="0" fontId="8" fillId="0" borderId="34" xfId="0" applyFont="1" applyBorder="1" applyAlignment="1">
      <alignment vertical="center"/>
    </xf>
    <xf numFmtId="0" fontId="8" fillId="2" borderId="36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center"/>
    </xf>
    <xf numFmtId="0" fontId="8" fillId="2" borderId="42" xfId="0" applyFont="1" applyFill="1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166" fontId="7" fillId="2" borderId="37" xfId="0" applyNumberFormat="1" applyFont="1" applyFill="1" applyBorder="1" applyAlignment="1">
      <alignment horizontal="center"/>
    </xf>
    <xf numFmtId="0" fontId="7" fillId="2" borderId="37" xfId="0" applyFont="1" applyFill="1" applyBorder="1" applyAlignment="1">
      <alignment horizontal="center"/>
    </xf>
    <xf numFmtId="166" fontId="7" fillId="2" borderId="11" xfId="0" applyNumberFormat="1" applyFont="1" applyFill="1" applyBorder="1" applyAlignment="1">
      <alignment horizontal="center"/>
    </xf>
    <xf numFmtId="0" fontId="74" fillId="0" borderId="0" xfId="0" applyFont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75" fillId="0" borderId="0" xfId="0" applyFont="1" applyAlignment="1">
      <alignment horizontal="center" vertical="center" wrapText="1"/>
    </xf>
    <xf numFmtId="0" fontId="75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166" fontId="7" fillId="5" borderId="9" xfId="0" applyNumberFormat="1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/>
    </xf>
    <xf numFmtId="0" fontId="75" fillId="3" borderId="0" xfId="0" applyFont="1" applyFill="1" applyBorder="1" applyAlignment="1">
      <alignment horizontal="center" vertical="center"/>
    </xf>
    <xf numFmtId="166" fontId="8" fillId="2" borderId="7" xfId="0" applyNumberFormat="1" applyFont="1" applyFill="1" applyBorder="1" applyAlignment="1">
      <alignment horizontal="center" vertical="center"/>
    </xf>
    <xf numFmtId="166" fontId="8" fillId="2" borderId="0" xfId="0" applyNumberFormat="1" applyFont="1" applyFill="1" applyBorder="1" applyAlignment="1">
      <alignment horizontal="center" vertical="center"/>
    </xf>
    <xf numFmtId="166" fontId="8" fillId="2" borderId="17" xfId="0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166" fontId="20" fillId="0" borderId="0" xfId="0" applyNumberFormat="1" applyFont="1" applyFill="1" applyBorder="1" applyAlignment="1">
      <alignment horizontal="right" vertical="center" readingOrder="2"/>
    </xf>
    <xf numFmtId="166" fontId="8" fillId="2" borderId="2" xfId="0" applyNumberFormat="1" applyFont="1" applyFill="1" applyBorder="1" applyAlignment="1">
      <alignment horizontal="center" vertical="center"/>
    </xf>
    <xf numFmtId="166" fontId="8" fillId="2" borderId="4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6" fontId="77" fillId="0" borderId="0" xfId="0" applyNumberFormat="1" applyFont="1" applyFill="1" applyBorder="1" applyAlignment="1">
      <alignment horizontal="right" vertical="center" readingOrder="2"/>
    </xf>
    <xf numFmtId="0" fontId="164" fillId="2" borderId="5" xfId="0" applyFont="1" applyFill="1" applyBorder="1" applyAlignment="1">
      <alignment horizontal="center" vertical="center"/>
    </xf>
    <xf numFmtId="0" fontId="83" fillId="2" borderId="11" xfId="0" applyFont="1" applyFill="1" applyBorder="1" applyAlignment="1">
      <alignment horizontal="center" vertical="center"/>
    </xf>
    <xf numFmtId="0" fontId="83" fillId="2" borderId="19" xfId="0" applyFont="1" applyFill="1" applyBorder="1" applyAlignment="1">
      <alignment horizontal="center" vertical="center"/>
    </xf>
    <xf numFmtId="0" fontId="83" fillId="2" borderId="5" xfId="0" applyFont="1" applyFill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1" fillId="2" borderId="2" xfId="0" applyFont="1" applyFill="1" applyBorder="1" applyAlignment="1">
      <alignment horizontal="center"/>
    </xf>
    <xf numFmtId="0" fontId="81" fillId="2" borderId="7" xfId="0" applyFont="1" applyFill="1" applyBorder="1" applyAlignment="1">
      <alignment horizontal="center"/>
    </xf>
    <xf numFmtId="0" fontId="81" fillId="2" borderId="38" xfId="0" applyFont="1" applyFill="1" applyBorder="1" applyAlignment="1">
      <alignment horizontal="center"/>
    </xf>
    <xf numFmtId="166" fontId="89" fillId="5" borderId="0" xfId="0" applyNumberFormat="1" applyFont="1" applyFill="1" applyBorder="1" applyAlignment="1">
      <alignment horizontal="center" vertical="center"/>
    </xf>
    <xf numFmtId="166" fontId="89" fillId="5" borderId="17" xfId="0" applyNumberFormat="1" applyFont="1" applyFill="1" applyBorder="1" applyAlignment="1">
      <alignment horizontal="center" vertical="center"/>
    </xf>
    <xf numFmtId="0" fontId="88" fillId="5" borderId="0" xfId="0" applyFont="1" applyFill="1" applyBorder="1" applyAlignment="1">
      <alignment horizontal="center"/>
    </xf>
    <xf numFmtId="0" fontId="88" fillId="5" borderId="25" xfId="0" applyFont="1" applyFill="1" applyBorder="1" applyAlignment="1">
      <alignment horizontal="center"/>
    </xf>
    <xf numFmtId="0" fontId="2" fillId="0" borderId="0" xfId="0" applyFont="1" applyAlignment="1">
      <alignment horizontal="center" vertical="center" readingOrder="2"/>
    </xf>
    <xf numFmtId="0" fontId="8" fillId="2" borderId="25" xfId="0" applyFont="1" applyFill="1" applyBorder="1" applyAlignment="1">
      <alignment horizontal="center"/>
    </xf>
    <xf numFmtId="0" fontId="8" fillId="2" borderId="25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8" fillId="2" borderId="57" xfId="0" applyFont="1" applyFill="1" applyBorder="1" applyAlignment="1">
      <alignment horizontal="center" vertical="center"/>
    </xf>
    <xf numFmtId="166" fontId="89" fillId="4" borderId="0" xfId="0" applyNumberFormat="1" applyFont="1" applyFill="1" applyBorder="1" applyAlignment="1">
      <alignment horizontal="center" vertical="center"/>
    </xf>
    <xf numFmtId="166" fontId="89" fillId="4" borderId="17" xfId="0" applyNumberFormat="1" applyFont="1" applyFill="1" applyBorder="1" applyAlignment="1">
      <alignment horizontal="center" vertical="center"/>
    </xf>
    <xf numFmtId="0" fontId="88" fillId="3" borderId="0" xfId="0" applyFont="1" applyFill="1" applyBorder="1" applyAlignment="1">
      <alignment horizontal="center"/>
    </xf>
    <xf numFmtId="0" fontId="88" fillId="3" borderId="25" xfId="0" applyFont="1" applyFill="1" applyBorder="1" applyAlignment="1">
      <alignment horizontal="center"/>
    </xf>
    <xf numFmtId="166" fontId="89" fillId="4" borderId="9" xfId="0" applyNumberFormat="1" applyFont="1" applyFill="1" applyBorder="1" applyAlignment="1">
      <alignment horizontal="center" vertical="center"/>
    </xf>
    <xf numFmtId="166" fontId="89" fillId="4" borderId="1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right"/>
    </xf>
    <xf numFmtId="0" fontId="21" fillId="0" borderId="0" xfId="0" applyFont="1" applyBorder="1" applyAlignment="1">
      <alignment horizontal="right" vertical="center" readingOrder="2"/>
    </xf>
    <xf numFmtId="0" fontId="88" fillId="3" borderId="22" xfId="0" applyFont="1" applyFill="1" applyBorder="1" applyAlignment="1">
      <alignment horizontal="center"/>
    </xf>
    <xf numFmtId="0" fontId="88" fillId="3" borderId="1" xfId="0" applyFont="1" applyFill="1" applyBorder="1" applyAlignment="1">
      <alignment horizontal="center"/>
    </xf>
    <xf numFmtId="0" fontId="88" fillId="3" borderId="33" xfId="0" applyFont="1" applyFill="1" applyBorder="1" applyAlignment="1">
      <alignment horizontal="center"/>
    </xf>
    <xf numFmtId="166" fontId="89" fillId="4" borderId="1" xfId="0" applyNumberFormat="1" applyFont="1" applyFill="1" applyBorder="1" applyAlignment="1">
      <alignment horizontal="center" vertical="center"/>
    </xf>
    <xf numFmtId="166" fontId="89" fillId="4" borderId="23" xfId="0" applyNumberFormat="1" applyFont="1" applyFill="1" applyBorder="1" applyAlignment="1">
      <alignment horizontal="center" vertical="center"/>
    </xf>
    <xf numFmtId="0" fontId="88" fillId="2" borderId="5" xfId="0" applyFont="1" applyFill="1" applyBorder="1" applyAlignment="1">
      <alignment horizontal="center" vertical="center"/>
    </xf>
    <xf numFmtId="0" fontId="88" fillId="2" borderId="11" xfId="0" applyFont="1" applyFill="1" applyBorder="1" applyAlignment="1">
      <alignment horizontal="center" vertical="center"/>
    </xf>
    <xf numFmtId="0" fontId="88" fillId="2" borderId="19" xfId="0" applyFont="1" applyFill="1" applyBorder="1" applyAlignment="1">
      <alignment horizontal="center" vertical="center"/>
    </xf>
    <xf numFmtId="0" fontId="88" fillId="2" borderId="42" xfId="0" applyFont="1" applyFill="1" applyBorder="1" applyAlignment="1">
      <alignment horizontal="center" vertical="center"/>
    </xf>
    <xf numFmtId="0" fontId="88" fillId="2" borderId="17" xfId="0" applyFont="1" applyFill="1" applyBorder="1" applyAlignment="1">
      <alignment horizontal="center" vertical="center"/>
    </xf>
    <xf numFmtId="0" fontId="88" fillId="2" borderId="15" xfId="0" applyFont="1" applyFill="1" applyBorder="1" applyAlignment="1">
      <alignment horizontal="center" vertical="center"/>
    </xf>
    <xf numFmtId="0" fontId="89" fillId="2" borderId="2" xfId="0" applyFont="1" applyFill="1" applyBorder="1" applyAlignment="1">
      <alignment horizontal="center" vertical="center"/>
    </xf>
    <xf numFmtId="0" fontId="89" fillId="2" borderId="4" xfId="0" applyFont="1" applyFill="1" applyBorder="1" applyAlignment="1">
      <alignment horizontal="center" vertical="center"/>
    </xf>
    <xf numFmtId="0" fontId="89" fillId="2" borderId="27" xfId="0" applyFont="1" applyFill="1" applyBorder="1" applyAlignment="1">
      <alignment horizontal="center" vertical="center"/>
    </xf>
    <xf numFmtId="0" fontId="89" fillId="2" borderId="7" xfId="0" applyFont="1" applyFill="1" applyBorder="1" applyAlignment="1">
      <alignment horizontal="center" vertical="center"/>
    </xf>
    <xf numFmtId="0" fontId="89" fillId="2" borderId="0" xfId="0" applyFont="1" applyFill="1" applyBorder="1" applyAlignment="1">
      <alignment horizontal="center" vertical="center"/>
    </xf>
    <xf numFmtId="0" fontId="89" fillId="2" borderId="25" xfId="0" applyFont="1" applyFill="1" applyBorder="1" applyAlignment="1">
      <alignment horizontal="center" vertical="center"/>
    </xf>
    <xf numFmtId="0" fontId="89" fillId="2" borderId="38" xfId="0" applyFont="1" applyFill="1" applyBorder="1" applyAlignment="1">
      <alignment horizontal="center" vertical="center"/>
    </xf>
    <xf numFmtId="0" fontId="89" fillId="2" borderId="14" xfId="0" applyFont="1" applyFill="1" applyBorder="1" applyAlignment="1">
      <alignment horizontal="center" vertical="center"/>
    </xf>
    <xf numFmtId="0" fontId="89" fillId="2" borderId="29" xfId="0" applyFont="1" applyFill="1" applyBorder="1" applyAlignment="1">
      <alignment horizontal="center" vertical="center"/>
    </xf>
    <xf numFmtId="0" fontId="88" fillId="2" borderId="26" xfId="0" applyFont="1" applyFill="1" applyBorder="1" applyAlignment="1">
      <alignment horizontal="center" vertical="center"/>
    </xf>
    <xf numFmtId="0" fontId="88" fillId="2" borderId="16" xfId="0" applyFont="1" applyFill="1" applyBorder="1" applyAlignment="1">
      <alignment horizontal="center" vertical="center"/>
    </xf>
    <xf numFmtId="0" fontId="88" fillId="2" borderId="13" xfId="0" applyFont="1" applyFill="1" applyBorder="1" applyAlignment="1">
      <alignment horizontal="center" vertical="center"/>
    </xf>
    <xf numFmtId="0" fontId="89" fillId="2" borderId="26" xfId="0" applyFont="1" applyFill="1" applyBorder="1" applyAlignment="1">
      <alignment horizontal="center" vertical="center"/>
    </xf>
    <xf numFmtId="0" fontId="89" fillId="2" borderId="16" xfId="0" applyFont="1" applyFill="1" applyBorder="1" applyAlignment="1">
      <alignment horizontal="center" vertical="center"/>
    </xf>
    <xf numFmtId="0" fontId="89" fillId="2" borderId="13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readingOrder="2"/>
    </xf>
    <xf numFmtId="1" fontId="32" fillId="2" borderId="5" xfId="0" applyNumberFormat="1" applyFont="1" applyFill="1" applyBorder="1" applyAlignment="1">
      <alignment horizontal="center" vertical="center"/>
    </xf>
    <xf numFmtId="1" fontId="32" fillId="2" borderId="11" xfId="0" applyNumberFormat="1" applyFont="1" applyFill="1" applyBorder="1" applyAlignment="1">
      <alignment horizontal="center" vertical="center"/>
    </xf>
    <xf numFmtId="1" fontId="32" fillId="2" borderId="19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91" xfId="0" applyFont="1" applyFill="1" applyBorder="1" applyAlignment="1">
      <alignment horizontal="center" vertical="center"/>
    </xf>
    <xf numFmtId="0" fontId="7" fillId="2" borderId="46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118" fillId="0" borderId="0" xfId="0" applyFont="1" applyAlignment="1">
      <alignment horizontal="center" vertical="center" readingOrder="2"/>
    </xf>
    <xf numFmtId="0" fontId="70" fillId="0" borderId="0" xfId="0" applyFont="1" applyAlignment="1">
      <alignment horizontal="center" vertical="center"/>
    </xf>
    <xf numFmtId="0" fontId="4" fillId="7" borderId="93" xfId="0" applyFont="1" applyFill="1" applyBorder="1" applyAlignment="1">
      <alignment horizontal="center" vertical="center"/>
    </xf>
    <xf numFmtId="0" fontId="4" fillId="7" borderId="94" xfId="0" applyFont="1" applyFill="1" applyBorder="1" applyAlignment="1">
      <alignment horizontal="center" vertical="center"/>
    </xf>
    <xf numFmtId="0" fontId="4" fillId="7" borderId="113" xfId="0" applyFont="1" applyFill="1" applyBorder="1" applyAlignment="1">
      <alignment horizontal="center" vertical="center"/>
    </xf>
    <xf numFmtId="0" fontId="7" fillId="2" borderId="86" xfId="4" applyFont="1" applyFill="1" applyBorder="1" applyAlignment="1">
      <alignment horizontal="center" vertical="center"/>
    </xf>
    <xf numFmtId="0" fontId="7" fillId="2" borderId="78" xfId="4" applyFont="1" applyFill="1" applyBorder="1" applyAlignment="1">
      <alignment horizontal="center" vertical="center"/>
    </xf>
    <xf numFmtId="0" fontId="7" fillId="2" borderId="97" xfId="4" applyFont="1" applyFill="1" applyBorder="1" applyAlignment="1">
      <alignment horizontal="center" vertical="center"/>
    </xf>
    <xf numFmtId="0" fontId="2" fillId="0" borderId="0" xfId="4" applyFont="1" applyAlignment="1">
      <alignment horizontal="center" vertical="center"/>
    </xf>
    <xf numFmtId="0" fontId="24" fillId="0" borderId="0" xfId="4" applyFont="1" applyAlignment="1">
      <alignment horizontal="center" vertical="center"/>
    </xf>
    <xf numFmtId="0" fontId="7" fillId="2" borderId="48" xfId="4" applyFont="1" applyFill="1" applyBorder="1" applyAlignment="1">
      <alignment horizontal="center" vertical="center"/>
    </xf>
    <xf numFmtId="0" fontId="7" fillId="2" borderId="79" xfId="4" applyFont="1" applyFill="1" applyBorder="1" applyAlignment="1">
      <alignment horizontal="center" vertical="center"/>
    </xf>
    <xf numFmtId="0" fontId="7" fillId="2" borderId="98" xfId="4" applyFont="1" applyFill="1" applyBorder="1" applyAlignment="1">
      <alignment horizontal="center" vertical="center"/>
    </xf>
    <xf numFmtId="0" fontId="7" fillId="2" borderId="85" xfId="4" applyFont="1" applyFill="1" applyBorder="1" applyAlignment="1">
      <alignment horizontal="center" vertical="center"/>
    </xf>
    <xf numFmtId="0" fontId="7" fillId="2" borderId="80" xfId="4" applyFont="1" applyFill="1" applyBorder="1" applyAlignment="1">
      <alignment horizontal="center" vertical="center"/>
    </xf>
    <xf numFmtId="0" fontId="7" fillId="2" borderId="99" xfId="4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20" fillId="0" borderId="0" xfId="0" applyFont="1" applyAlignment="1">
      <alignment horizontal="right"/>
    </xf>
    <xf numFmtId="0" fontId="45" fillId="2" borderId="5" xfId="0" applyFont="1" applyFill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readingOrder="2"/>
    </xf>
    <xf numFmtId="0" fontId="2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readingOrder="2"/>
    </xf>
    <xf numFmtId="0" fontId="14" fillId="2" borderId="16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20" fillId="0" borderId="0" xfId="0" applyFont="1" applyAlignment="1">
      <alignment horizontal="right" readingOrder="2"/>
    </xf>
    <xf numFmtId="0" fontId="20" fillId="0" borderId="0" xfId="0" quotePrefix="1" applyFont="1" applyAlignment="1">
      <alignment horizontal="right" readingOrder="2"/>
    </xf>
    <xf numFmtId="0" fontId="3" fillId="0" borderId="0" xfId="0" applyFont="1" applyBorder="1" applyAlignment="1">
      <alignment horizontal="left" vertical="center"/>
    </xf>
    <xf numFmtId="0" fontId="65" fillId="0" borderId="0" xfId="0" applyFont="1" applyBorder="1" applyAlignment="1">
      <alignment horizontal="right" vertical="top"/>
    </xf>
    <xf numFmtId="0" fontId="7" fillId="2" borderId="12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63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horizontal="right" vertical="top"/>
    </xf>
    <xf numFmtId="0" fontId="24" fillId="0" borderId="0" xfId="0" applyFont="1" applyBorder="1" applyAlignment="1">
      <alignment horizontal="center" vertical="center"/>
    </xf>
    <xf numFmtId="166" fontId="7" fillId="5" borderId="7" xfId="0" applyNumberFormat="1" applyFont="1" applyFill="1" applyBorder="1" applyAlignment="1">
      <alignment horizontal="center" vertical="center"/>
    </xf>
    <xf numFmtId="166" fontId="7" fillId="0" borderId="7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 vertical="center"/>
    </xf>
    <xf numFmtId="166" fontId="7" fillId="4" borderId="7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Alignment="1">
      <alignment horizontal="center" vertical="center"/>
    </xf>
    <xf numFmtId="166" fontId="7" fillId="0" borderId="21" xfId="0" applyNumberFormat="1" applyFont="1" applyFill="1" applyBorder="1" applyAlignment="1">
      <alignment horizontal="center" vertical="center"/>
    </xf>
    <xf numFmtId="166" fontId="7" fillId="0" borderId="1" xfId="0" applyNumberFormat="1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horizontal="center" vertical="center"/>
    </xf>
    <xf numFmtId="166" fontId="3" fillId="0" borderId="21" xfId="0" applyNumberFormat="1" applyFont="1" applyFill="1" applyBorder="1" applyAlignment="1">
      <alignment horizontal="center" vertical="center"/>
    </xf>
    <xf numFmtId="166" fontId="3" fillId="0" borderId="1" xfId="0" applyNumberFormat="1" applyFont="1" applyFill="1" applyBorder="1" applyAlignment="1">
      <alignment horizontal="center" vertical="center"/>
    </xf>
    <xf numFmtId="166" fontId="3" fillId="5" borderId="7" xfId="0" applyNumberFormat="1" applyFont="1" applyFill="1" applyBorder="1" applyAlignment="1">
      <alignment horizontal="center" vertical="center"/>
    </xf>
    <xf numFmtId="166" fontId="3" fillId="5" borderId="0" xfId="0" applyNumberFormat="1" applyFont="1" applyFill="1" applyBorder="1" applyAlignment="1">
      <alignment horizontal="center" vertical="center"/>
    </xf>
    <xf numFmtId="166" fontId="3" fillId="0" borderId="7" xfId="0" applyNumberFormat="1" applyFont="1" applyFill="1" applyBorder="1" applyAlignment="1">
      <alignment horizontal="center" vertical="center"/>
    </xf>
    <xf numFmtId="166" fontId="3" fillId="0" borderId="0" xfId="0" applyNumberFormat="1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166" fontId="3" fillId="3" borderId="7" xfId="6" applyNumberFormat="1" applyFont="1" applyFill="1" applyBorder="1" applyAlignment="1">
      <alignment horizontal="center" vertical="center"/>
    </xf>
    <xf numFmtId="166" fontId="3" fillId="3" borderId="0" xfId="6" applyNumberFormat="1" applyFont="1" applyFill="1" applyBorder="1" applyAlignment="1">
      <alignment horizontal="center" vertical="center"/>
    </xf>
    <xf numFmtId="0" fontId="65" fillId="2" borderId="16" xfId="0" applyFont="1" applyFill="1" applyBorder="1" applyAlignment="1">
      <alignment horizontal="center"/>
    </xf>
    <xf numFmtId="0" fontId="65" fillId="2" borderId="0" xfId="0" applyFont="1" applyFill="1" applyBorder="1" applyAlignment="1">
      <alignment horizontal="center"/>
    </xf>
    <xf numFmtId="0" fontId="65" fillId="2" borderId="25" xfId="0" applyFont="1" applyFill="1" applyBorder="1" applyAlignment="1">
      <alignment horizontal="center"/>
    </xf>
    <xf numFmtId="166" fontId="3" fillId="3" borderId="105" xfId="6" applyNumberFormat="1" applyFont="1" applyFill="1" applyBorder="1" applyAlignment="1">
      <alignment horizontal="center" vertical="center"/>
    </xf>
    <xf numFmtId="166" fontId="3" fillId="3" borderId="9" xfId="6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 readingOrder="2"/>
    </xf>
    <xf numFmtId="0" fontId="27" fillId="0" borderId="0" xfId="0" applyFont="1" applyAlignment="1">
      <alignment horizontal="center" vertical="center"/>
    </xf>
    <xf numFmtId="0" fontId="3" fillId="2" borderId="43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166" fontId="3" fillId="5" borderId="21" xfId="6" applyNumberFormat="1" applyFont="1" applyFill="1" applyBorder="1" applyAlignment="1">
      <alignment horizontal="center" vertical="center"/>
    </xf>
    <xf numFmtId="166" fontId="3" fillId="5" borderId="1" xfId="6" applyNumberFormat="1" applyFont="1" applyFill="1" applyBorder="1" applyAlignment="1">
      <alignment horizontal="center" vertical="center"/>
    </xf>
    <xf numFmtId="166" fontId="3" fillId="5" borderId="105" xfId="0" applyNumberFormat="1" applyFont="1" applyFill="1" applyBorder="1" applyAlignment="1">
      <alignment horizontal="center" vertical="center"/>
    </xf>
    <xf numFmtId="166" fontId="3" fillId="5" borderId="9" xfId="0" applyNumberFormat="1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6" fontId="7" fillId="5" borderId="7" xfId="6" applyNumberFormat="1" applyFont="1" applyFill="1" applyBorder="1" applyAlignment="1">
      <alignment horizontal="center" vertical="center"/>
    </xf>
    <xf numFmtId="166" fontId="7" fillId="5" borderId="0" xfId="6" applyNumberFormat="1" applyFont="1" applyFill="1" applyBorder="1" applyAlignment="1">
      <alignment horizontal="center" vertical="center"/>
    </xf>
    <xf numFmtId="166" fontId="7" fillId="5" borderId="21" xfId="0" applyNumberFormat="1" applyFont="1" applyFill="1" applyBorder="1" applyAlignment="1">
      <alignment horizontal="center" vertical="center"/>
    </xf>
    <xf numFmtId="166" fontId="7" fillId="5" borderId="1" xfId="0" applyNumberFormat="1" applyFont="1" applyFill="1" applyBorder="1" applyAlignment="1">
      <alignment horizontal="center" vertical="center"/>
    </xf>
    <xf numFmtId="4" fontId="20" fillId="0" borderId="0" xfId="6" applyFont="1" applyBorder="1" applyAlignment="1">
      <alignment horizontal="right" vertical="center" readingOrder="2"/>
    </xf>
    <xf numFmtId="0" fontId="2" fillId="0" borderId="0" xfId="1" applyFont="1" applyAlignment="1">
      <alignment horizontal="center" vertical="center" readingOrder="2"/>
    </xf>
    <xf numFmtId="0" fontId="24" fillId="0" borderId="0" xfId="1" applyFont="1" applyBorder="1" applyAlignment="1">
      <alignment horizontal="center" vertical="center"/>
    </xf>
    <xf numFmtId="0" fontId="7" fillId="0" borderId="0" xfId="1" applyFont="1" applyBorder="1" applyAlignment="1">
      <alignment horizontal="left" vertical="center"/>
    </xf>
    <xf numFmtId="0" fontId="7" fillId="0" borderId="0" xfId="1" applyFont="1" applyBorder="1" applyAlignment="1">
      <alignment horizontal="right"/>
    </xf>
    <xf numFmtId="0" fontId="7" fillId="2" borderId="7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7" fillId="2" borderId="16" xfId="1" applyFont="1" applyFill="1" applyBorder="1" applyAlignment="1">
      <alignment horizontal="center" vertical="center"/>
    </xf>
    <xf numFmtId="0" fontId="7" fillId="2" borderId="17" xfId="1" applyFont="1" applyFill="1" applyBorder="1" applyAlignment="1">
      <alignment horizontal="center" vertical="center"/>
    </xf>
    <xf numFmtId="166" fontId="8" fillId="2" borderId="0" xfId="1" applyNumberFormat="1" applyFont="1" applyFill="1" applyBorder="1" applyAlignment="1">
      <alignment horizontal="center" vertical="center"/>
    </xf>
    <xf numFmtId="166" fontId="8" fillId="2" borderId="17" xfId="1" applyNumberFormat="1" applyFont="1" applyFill="1" applyBorder="1" applyAlignment="1">
      <alignment horizontal="center" vertical="center"/>
    </xf>
    <xf numFmtId="0" fontId="7" fillId="2" borderId="13" xfId="1" applyFont="1" applyFill="1" applyBorder="1" applyAlignment="1">
      <alignment horizontal="center" vertical="center"/>
    </xf>
    <xf numFmtId="0" fontId="7" fillId="2" borderId="14" xfId="1" applyFont="1" applyFill="1" applyBorder="1" applyAlignment="1">
      <alignment horizontal="center" vertical="center"/>
    </xf>
    <xf numFmtId="0" fontId="7" fillId="2" borderId="15" xfId="1" applyFont="1" applyFill="1" applyBorder="1" applyAlignment="1">
      <alignment horizontal="center" vertical="center"/>
    </xf>
    <xf numFmtId="166" fontId="7" fillId="2" borderId="16" xfId="1" applyNumberFormat="1" applyFont="1" applyFill="1" applyBorder="1" applyAlignment="1">
      <alignment horizontal="center" vertical="center"/>
    </xf>
    <xf numFmtId="166" fontId="7" fillId="2" borderId="17" xfId="1" applyNumberFormat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8" fillId="2" borderId="17" xfId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readingOrder="2"/>
    </xf>
    <xf numFmtId="0" fontId="24" fillId="0" borderId="0" xfId="5" applyNumberFormat="1" applyFont="1" applyAlignment="1">
      <alignment horizontal="center" vertical="center"/>
    </xf>
    <xf numFmtId="0" fontId="8" fillId="0" borderId="0" xfId="5" applyNumberFormat="1" applyFont="1" applyAlignment="1">
      <alignment horizontal="center" vertical="center"/>
    </xf>
    <xf numFmtId="0" fontId="7" fillId="5" borderId="79" xfId="0" applyFont="1" applyFill="1" applyBorder="1" applyAlignment="1">
      <alignment horizontal="center" vertical="center"/>
    </xf>
    <xf numFmtId="0" fontId="190" fillId="5" borderId="79" xfId="0" applyFont="1" applyFill="1" applyBorder="1" applyAlignment="1">
      <alignment horizontal="center" vertical="center"/>
    </xf>
    <xf numFmtId="0" fontId="190" fillId="5" borderId="25" xfId="0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/>
    </xf>
    <xf numFmtId="0" fontId="7" fillId="5" borderId="80" xfId="0" applyFont="1" applyFill="1" applyBorder="1" applyAlignment="1">
      <alignment horizontal="center" vertical="center"/>
    </xf>
    <xf numFmtId="0" fontId="7" fillId="3" borderId="143" xfId="0" applyFont="1" applyFill="1" applyBorder="1" applyAlignment="1">
      <alignment horizontal="center" vertical="center"/>
    </xf>
    <xf numFmtId="0" fontId="7" fillId="3" borderId="142" xfId="0" applyFont="1" applyFill="1" applyBorder="1" applyAlignment="1">
      <alignment horizontal="center" vertical="center"/>
    </xf>
    <xf numFmtId="0" fontId="7" fillId="3" borderId="80" xfId="0" applyFont="1" applyFill="1" applyBorder="1" applyAlignment="1">
      <alignment horizontal="center" vertical="center"/>
    </xf>
    <xf numFmtId="0" fontId="123" fillId="4" borderId="7" xfId="0" applyFont="1" applyFill="1" applyBorder="1" applyAlignment="1">
      <alignment horizontal="center" vertical="center"/>
    </xf>
    <xf numFmtId="0" fontId="123" fillId="4" borderId="17" xfId="0" applyFont="1" applyFill="1" applyBorder="1" applyAlignment="1">
      <alignment horizontal="center" vertical="center"/>
    </xf>
    <xf numFmtId="0" fontId="125" fillId="4" borderId="16" xfId="0" applyFont="1" applyFill="1" applyBorder="1" applyAlignment="1">
      <alignment horizontal="center" vertical="center"/>
    </xf>
    <xf numFmtId="0" fontId="125" fillId="4" borderId="25" xfId="0" applyFont="1" applyFill="1" applyBorder="1" applyAlignment="1">
      <alignment horizontal="center" vertical="center"/>
    </xf>
    <xf numFmtId="0" fontId="123" fillId="5" borderId="7" xfId="0" applyFont="1" applyFill="1" applyBorder="1" applyAlignment="1">
      <alignment horizontal="center" vertical="center"/>
    </xf>
    <xf numFmtId="0" fontId="123" fillId="5" borderId="17" xfId="0" applyFont="1" applyFill="1" applyBorder="1" applyAlignment="1">
      <alignment horizontal="center" vertical="center"/>
    </xf>
    <xf numFmtId="0" fontId="125" fillId="5" borderId="16" xfId="0" applyFont="1" applyFill="1" applyBorder="1" applyAlignment="1">
      <alignment horizontal="center" vertical="center"/>
    </xf>
    <xf numFmtId="0" fontId="125" fillId="5" borderId="25" xfId="0" applyFont="1" applyFill="1" applyBorder="1" applyAlignment="1">
      <alignment horizontal="center" vertical="center"/>
    </xf>
    <xf numFmtId="0" fontId="118" fillId="0" borderId="0" xfId="0" applyNumberFormat="1" applyFont="1" applyAlignment="1">
      <alignment horizontal="center" vertical="center"/>
    </xf>
    <xf numFmtId="0" fontId="82" fillId="0" borderId="0" xfId="0" applyNumberFormat="1" applyFont="1" applyAlignment="1">
      <alignment horizontal="center" vertical="center"/>
    </xf>
    <xf numFmtId="0" fontId="62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81" fillId="2" borderId="16" xfId="0" applyFont="1" applyFill="1" applyBorder="1" applyAlignment="1">
      <alignment horizontal="center" vertical="center"/>
    </xf>
    <xf numFmtId="0" fontId="81" fillId="2" borderId="25" xfId="0" applyFont="1" applyFill="1" applyBorder="1" applyAlignment="1">
      <alignment horizontal="center" vertical="center"/>
    </xf>
    <xf numFmtId="0" fontId="81" fillId="2" borderId="0" xfId="0" applyFont="1" applyFill="1" applyBorder="1" applyAlignment="1">
      <alignment horizontal="center" vertical="center"/>
    </xf>
    <xf numFmtId="0" fontId="123" fillId="5" borderId="21" xfId="0" applyFont="1" applyFill="1" applyBorder="1" applyAlignment="1">
      <alignment horizontal="center" vertical="center"/>
    </xf>
    <xf numFmtId="0" fontId="123" fillId="5" borderId="23" xfId="0" applyFont="1" applyFill="1" applyBorder="1" applyAlignment="1">
      <alignment horizontal="center" vertical="center"/>
    </xf>
    <xf numFmtId="0" fontId="125" fillId="5" borderId="22" xfId="0" applyFont="1" applyFill="1" applyBorder="1" applyAlignment="1">
      <alignment horizontal="center" vertical="center"/>
    </xf>
    <xf numFmtId="0" fontId="125" fillId="5" borderId="33" xfId="0" applyFont="1" applyFill="1" applyBorder="1" applyAlignment="1">
      <alignment horizontal="center" vertical="center"/>
    </xf>
    <xf numFmtId="0" fontId="123" fillId="5" borderId="0" xfId="0" applyFont="1" applyFill="1" applyBorder="1" applyAlignment="1">
      <alignment horizontal="center" vertical="center"/>
    </xf>
    <xf numFmtId="0" fontId="123" fillId="4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 readingOrder="2"/>
    </xf>
    <xf numFmtId="0" fontId="123" fillId="4" borderId="21" xfId="0" applyFont="1" applyFill="1" applyBorder="1" applyAlignment="1">
      <alignment horizontal="center" vertical="center"/>
    </xf>
    <xf numFmtId="0" fontId="123" fillId="4" borderId="1" xfId="0" applyFont="1" applyFill="1" applyBorder="1" applyAlignment="1">
      <alignment horizontal="center" vertical="center"/>
    </xf>
    <xf numFmtId="0" fontId="125" fillId="4" borderId="22" xfId="0" applyFont="1" applyFill="1" applyBorder="1" applyAlignment="1">
      <alignment horizontal="center" vertical="center"/>
    </xf>
    <xf numFmtId="0" fontId="125" fillId="4" borderId="33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/>
    </xf>
    <xf numFmtId="0" fontId="8" fillId="2" borderId="27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8" fillId="2" borderId="29" xfId="0" applyFont="1" applyFill="1" applyBorder="1" applyAlignment="1">
      <alignment horizontal="center"/>
    </xf>
    <xf numFmtId="0" fontId="112" fillId="2" borderId="7" xfId="0" applyFont="1" applyFill="1" applyBorder="1" applyAlignment="1">
      <alignment horizontal="center"/>
    </xf>
    <xf numFmtId="0" fontId="112" fillId="2" borderId="17" xfId="0" applyFont="1" applyFill="1" applyBorder="1" applyAlignment="1">
      <alignment horizontal="center"/>
    </xf>
    <xf numFmtId="0" fontId="112" fillId="2" borderId="38" xfId="0" applyFont="1" applyFill="1" applyBorder="1" applyAlignment="1">
      <alignment horizontal="center"/>
    </xf>
    <xf numFmtId="0" fontId="112" fillId="2" borderId="15" xfId="0" applyFont="1" applyFill="1" applyBorder="1" applyAlignment="1">
      <alignment horizontal="center"/>
    </xf>
    <xf numFmtId="0" fontId="35" fillId="2" borderId="13" xfId="0" applyFont="1" applyFill="1" applyBorder="1" applyAlignment="1">
      <alignment horizontal="center" vertical="center"/>
    </xf>
    <xf numFmtId="0" fontId="35" fillId="2" borderId="14" xfId="0" applyFont="1" applyFill="1" applyBorder="1" applyAlignment="1">
      <alignment horizontal="center" vertical="center"/>
    </xf>
    <xf numFmtId="0" fontId="35" fillId="2" borderId="15" xfId="0" applyFont="1" applyFill="1" applyBorder="1" applyAlignment="1">
      <alignment horizontal="center" vertical="center"/>
    </xf>
    <xf numFmtId="0" fontId="125" fillId="5" borderId="7" xfId="0" applyFont="1" applyFill="1" applyBorder="1" applyAlignment="1">
      <alignment horizontal="center" vertical="center"/>
    </xf>
    <xf numFmtId="0" fontId="125" fillId="5" borderId="0" xfId="0" applyFont="1" applyFill="1" applyBorder="1" applyAlignment="1">
      <alignment horizontal="center" vertical="center"/>
    </xf>
    <xf numFmtId="0" fontId="35" fillId="2" borderId="26" xfId="0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center" vertical="center"/>
    </xf>
    <xf numFmtId="0" fontId="35" fillId="2" borderId="42" xfId="0" applyFont="1" applyFill="1" applyBorder="1" applyAlignment="1">
      <alignment horizontal="center" vertical="center"/>
    </xf>
    <xf numFmtId="0" fontId="35" fillId="2" borderId="16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35" fillId="2" borderId="17" xfId="0" applyFont="1" applyFill="1" applyBorder="1" applyAlignment="1">
      <alignment horizontal="center" vertical="center"/>
    </xf>
    <xf numFmtId="0" fontId="125" fillId="4" borderId="7" xfId="0" applyFont="1" applyFill="1" applyBorder="1" applyAlignment="1">
      <alignment horizontal="center" vertical="center"/>
    </xf>
    <xf numFmtId="0" fontId="125" fillId="4" borderId="0" xfId="0" applyFont="1" applyFill="1" applyBorder="1" applyAlignment="1">
      <alignment horizontal="center" vertical="center"/>
    </xf>
    <xf numFmtId="0" fontId="125" fillId="0" borderId="7" xfId="0" applyFont="1" applyFill="1" applyBorder="1" applyAlignment="1">
      <alignment horizontal="center" vertical="center"/>
    </xf>
    <xf numFmtId="0" fontId="125" fillId="0" borderId="0" xfId="0" applyFont="1" applyFill="1" applyBorder="1" applyAlignment="1">
      <alignment horizontal="center" vertical="center"/>
    </xf>
    <xf numFmtId="0" fontId="125" fillId="5" borderId="21" xfId="0" applyFont="1" applyFill="1" applyBorder="1" applyAlignment="1">
      <alignment horizontal="center" vertical="center"/>
    </xf>
    <xf numFmtId="0" fontId="125" fillId="5" borderId="1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0" xfId="0" applyFont="1" applyBorder="1" applyAlignment="1">
      <alignment horizontal="center"/>
    </xf>
    <xf numFmtId="0" fontId="35" fillId="2" borderId="11" xfId="0" applyFont="1" applyFill="1" applyBorder="1" applyAlignment="1">
      <alignment horizontal="center" vertical="center"/>
    </xf>
    <xf numFmtId="0" fontId="112" fillId="2" borderId="11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horizontal="center" vertical="center" wrapText="1"/>
    </xf>
    <xf numFmtId="0" fontId="112" fillId="2" borderId="11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 wrapText="1"/>
    </xf>
    <xf numFmtId="0" fontId="35" fillId="2" borderId="17" xfId="0" applyFont="1" applyFill="1" applyBorder="1" applyAlignment="1">
      <alignment horizontal="center" vertical="center" wrapText="1"/>
    </xf>
    <xf numFmtId="0" fontId="128" fillId="4" borderId="16" xfId="0" applyFont="1" applyFill="1" applyBorder="1" applyAlignment="1">
      <alignment horizontal="center" vertical="center"/>
    </xf>
    <xf numFmtId="0" fontId="128" fillId="4" borderId="25" xfId="0" applyFont="1" applyFill="1" applyBorder="1" applyAlignment="1">
      <alignment horizontal="center" vertical="center"/>
    </xf>
    <xf numFmtId="0" fontId="128" fillId="5" borderId="16" xfId="0" applyFont="1" applyFill="1" applyBorder="1" applyAlignment="1">
      <alignment horizontal="center" vertical="center"/>
    </xf>
    <xf numFmtId="0" fontId="128" fillId="5" borderId="25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horizontal="center" vertical="center" wrapText="1"/>
    </xf>
    <xf numFmtId="0" fontId="35" fillId="2" borderId="1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/>
    </xf>
    <xf numFmtId="0" fontId="35" fillId="0" borderId="0" xfId="0" quotePrefix="1" applyFont="1" applyAlignment="1">
      <alignment horizontal="right" vertical="center" readingOrder="2"/>
    </xf>
    <xf numFmtId="0" fontId="128" fillId="5" borderId="22" xfId="0" applyFont="1" applyFill="1" applyBorder="1" applyAlignment="1">
      <alignment horizontal="center" vertical="center"/>
    </xf>
    <xf numFmtId="0" fontId="128" fillId="5" borderId="33" xfId="0" applyFont="1" applyFill="1" applyBorder="1" applyAlignment="1">
      <alignment horizontal="center" vertical="center"/>
    </xf>
    <xf numFmtId="166" fontId="35" fillId="0" borderId="4" xfId="0" applyNumberFormat="1" applyFont="1" applyBorder="1" applyAlignment="1">
      <alignment horizontal="right" vertical="center"/>
    </xf>
    <xf numFmtId="166" fontId="2" fillId="0" borderId="0" xfId="0" applyNumberFormat="1" applyFont="1" applyBorder="1" applyAlignment="1">
      <alignment horizontal="center" vertical="center" readingOrder="2"/>
    </xf>
    <xf numFmtId="166" fontId="24" fillId="0" borderId="0" xfId="0" applyNumberFormat="1" applyFont="1" applyBorder="1" applyAlignment="1">
      <alignment horizontal="center" vertical="center"/>
    </xf>
    <xf numFmtId="166" fontId="7" fillId="3" borderId="7" xfId="0" applyNumberFormat="1" applyFont="1" applyFill="1" applyBorder="1" applyAlignment="1">
      <alignment horizontal="center" vertical="center"/>
    </xf>
    <xf numFmtId="166" fontId="7" fillId="3" borderId="21" xfId="0" applyNumberFormat="1" applyFont="1" applyFill="1" applyBorder="1" applyAlignment="1">
      <alignment horizontal="center" vertical="center"/>
    </xf>
    <xf numFmtId="0" fontId="45" fillId="0" borderId="2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/>
    </xf>
    <xf numFmtId="0" fontId="45" fillId="5" borderId="16" xfId="0" applyFont="1" applyFill="1" applyBorder="1" applyAlignment="1">
      <alignment horizontal="center" vertical="center"/>
    </xf>
    <xf numFmtId="0" fontId="45" fillId="3" borderId="16" xfId="0" applyFont="1" applyFill="1" applyBorder="1" applyAlignment="1">
      <alignment horizontal="center" vertical="center"/>
    </xf>
    <xf numFmtId="0" fontId="45" fillId="3" borderId="0" xfId="0" applyFont="1" applyFill="1" applyBorder="1" applyAlignment="1">
      <alignment horizontal="center" vertical="center"/>
    </xf>
    <xf numFmtId="0" fontId="45" fillId="3" borderId="25" xfId="0" applyFont="1" applyFill="1" applyBorder="1" applyAlignment="1">
      <alignment horizontal="center" vertical="center"/>
    </xf>
    <xf numFmtId="0" fontId="45" fillId="5" borderId="1" xfId="0" applyFont="1" applyFill="1" applyBorder="1" applyAlignment="1">
      <alignment horizontal="center" vertical="center"/>
    </xf>
    <xf numFmtId="0" fontId="7" fillId="2" borderId="108" xfId="0" applyFont="1" applyFill="1" applyBorder="1" applyAlignment="1">
      <alignment horizontal="center"/>
    </xf>
    <xf numFmtId="0" fontId="45" fillId="5" borderId="0" xfId="0" applyFont="1" applyFill="1" applyBorder="1" applyAlignment="1">
      <alignment horizontal="center" vertical="center"/>
    </xf>
    <xf numFmtId="0" fontId="7" fillId="2" borderId="7" xfId="1" applyFont="1" applyFill="1" applyBorder="1" applyAlignment="1">
      <alignment horizontal="center"/>
    </xf>
    <xf numFmtId="0" fontId="7" fillId="2" borderId="17" xfId="1" applyFont="1" applyFill="1" applyBorder="1" applyAlignment="1">
      <alignment horizontal="center"/>
    </xf>
    <xf numFmtId="0" fontId="7" fillId="2" borderId="16" xfId="1" applyFont="1" applyFill="1" applyBorder="1" applyAlignment="1">
      <alignment horizontal="center"/>
    </xf>
    <xf numFmtId="0" fontId="7" fillId="2" borderId="0" xfId="1" applyFont="1" applyFill="1" applyBorder="1" applyAlignment="1">
      <alignment horizontal="center"/>
    </xf>
    <xf numFmtId="0" fontId="7" fillId="2" borderId="25" xfId="1" applyFont="1" applyFill="1" applyBorder="1" applyAlignment="1">
      <alignment horizontal="center"/>
    </xf>
    <xf numFmtId="0" fontId="2" fillId="0" borderId="0" xfId="1" applyFont="1" applyAlignment="1">
      <alignment horizontal="center" vertical="center"/>
    </xf>
    <xf numFmtId="0" fontId="24" fillId="0" borderId="0" xfId="1" applyFont="1" applyAlignment="1">
      <alignment horizontal="center" vertical="center"/>
    </xf>
    <xf numFmtId="166" fontId="7" fillId="2" borderId="4" xfId="1" applyNumberFormat="1" applyFont="1" applyFill="1" applyBorder="1" applyAlignment="1">
      <alignment horizontal="left" vertical="center"/>
    </xf>
    <xf numFmtId="166" fontId="7" fillId="2" borderId="0" xfId="1" applyNumberFormat="1" applyFont="1" applyFill="1" applyBorder="1" applyAlignment="1">
      <alignment horizontal="left" vertical="center"/>
    </xf>
    <xf numFmtId="166" fontId="7" fillId="2" borderId="4" xfId="1" applyNumberFormat="1" applyFont="1" applyFill="1" applyBorder="1" applyAlignment="1">
      <alignment horizontal="right" vertical="center"/>
    </xf>
    <xf numFmtId="166" fontId="7" fillId="2" borderId="0" xfId="1" applyNumberFormat="1" applyFont="1" applyFill="1" applyBorder="1" applyAlignment="1">
      <alignment horizontal="right" vertical="center"/>
    </xf>
    <xf numFmtId="166" fontId="7" fillId="2" borderId="5" xfId="1" applyNumberFormat="1" applyFont="1" applyFill="1" applyBorder="1" applyAlignment="1">
      <alignment horizontal="left" vertical="center"/>
    </xf>
    <xf numFmtId="166" fontId="7" fillId="2" borderId="26" xfId="1" applyNumberFormat="1" applyFont="1" applyFill="1" applyBorder="1" applyAlignment="1">
      <alignment horizontal="left" vertical="center"/>
    </xf>
    <xf numFmtId="166" fontId="7" fillId="2" borderId="11" xfId="1" applyNumberFormat="1" applyFont="1" applyFill="1" applyBorder="1" applyAlignment="1">
      <alignment horizontal="left" vertical="center"/>
    </xf>
    <xf numFmtId="166" fontId="7" fillId="2" borderId="16" xfId="1" applyNumberFormat="1" applyFont="1" applyFill="1" applyBorder="1" applyAlignment="1">
      <alignment horizontal="left" vertical="center"/>
    </xf>
    <xf numFmtId="0" fontId="7" fillId="2" borderId="4" xfId="1" applyFont="1" applyFill="1" applyBorder="1" applyAlignment="1">
      <alignment horizontal="right" vertical="center"/>
    </xf>
    <xf numFmtId="0" fontId="7" fillId="2" borderId="0" xfId="1" applyFont="1" applyFill="1" applyBorder="1" applyAlignment="1">
      <alignment horizontal="right" vertical="center"/>
    </xf>
    <xf numFmtId="166" fontId="7" fillId="2" borderId="37" xfId="1" applyNumberFormat="1" applyFont="1" applyFill="1" applyBorder="1" applyAlignment="1">
      <alignment horizontal="center" vertical="center"/>
    </xf>
    <xf numFmtId="166" fontId="7" fillId="2" borderId="19" xfId="1" applyNumberFormat="1" applyFont="1" applyFill="1" applyBorder="1" applyAlignment="1">
      <alignment horizontal="center" vertical="center"/>
    </xf>
    <xf numFmtId="166" fontId="7" fillId="2" borderId="37" xfId="1" quotePrefix="1" applyNumberFormat="1" applyFont="1" applyFill="1" applyBorder="1" applyAlignment="1">
      <alignment horizontal="center" vertical="center"/>
    </xf>
    <xf numFmtId="166" fontId="7" fillId="2" borderId="19" xfId="1" quotePrefix="1" applyNumberFormat="1" applyFont="1" applyFill="1" applyBorder="1" applyAlignment="1">
      <alignment horizontal="center" vertical="center"/>
    </xf>
    <xf numFmtId="0" fontId="7" fillId="2" borderId="105" xfId="1" applyFont="1" applyFill="1" applyBorder="1" applyAlignment="1">
      <alignment horizontal="center" vertical="center" wrapText="1"/>
    </xf>
    <xf numFmtId="0" fontId="7" fillId="2" borderId="10" xfId="1" applyFont="1" applyFill="1" applyBorder="1" applyAlignment="1">
      <alignment horizontal="center" vertical="center"/>
    </xf>
    <xf numFmtId="0" fontId="7" fillId="2" borderId="38" xfId="1" applyFont="1" applyFill="1" applyBorder="1" applyAlignment="1">
      <alignment horizontal="center" vertical="center"/>
    </xf>
    <xf numFmtId="0" fontId="7" fillId="2" borderId="80" xfId="1" applyFont="1" applyFill="1" applyBorder="1" applyAlignment="1">
      <alignment horizontal="center"/>
    </xf>
    <xf numFmtId="0" fontId="15" fillId="2" borderId="37" xfId="1" applyFont="1" applyFill="1" applyBorder="1" applyAlignment="1">
      <alignment horizontal="center"/>
    </xf>
    <xf numFmtId="0" fontId="15" fillId="2" borderId="19" xfId="1" applyFont="1" applyFill="1" applyBorder="1" applyAlignment="1">
      <alignment horizontal="center"/>
    </xf>
    <xf numFmtId="0" fontId="7" fillId="2" borderId="8" xfId="1" applyFont="1" applyFill="1" applyBorder="1" applyAlignment="1">
      <alignment horizontal="center"/>
    </xf>
    <xf numFmtId="0" fontId="7" fillId="2" borderId="9" xfId="1" applyFont="1" applyFill="1" applyBorder="1" applyAlignment="1">
      <alignment horizontal="center"/>
    </xf>
    <xf numFmtId="0" fontId="7" fillId="2" borderId="108" xfId="1" applyFont="1" applyFill="1" applyBorder="1" applyAlignment="1">
      <alignment horizontal="center"/>
    </xf>
    <xf numFmtId="0" fontId="7" fillId="2" borderId="13" xfId="1" applyFont="1" applyFill="1" applyBorder="1" applyAlignment="1">
      <alignment horizontal="center"/>
    </xf>
    <xf numFmtId="0" fontId="7" fillId="2" borderId="14" xfId="1" applyFont="1" applyFill="1" applyBorder="1" applyAlignment="1">
      <alignment horizontal="center"/>
    </xf>
    <xf numFmtId="0" fontId="7" fillId="2" borderId="29" xfId="1" applyFont="1" applyFill="1" applyBorder="1" applyAlignment="1">
      <alignment horizontal="center"/>
    </xf>
    <xf numFmtId="166" fontId="7" fillId="2" borderId="13" xfId="1" applyNumberFormat="1" applyFont="1" applyFill="1" applyBorder="1" applyAlignment="1">
      <alignment horizontal="left" vertical="center"/>
    </xf>
    <xf numFmtId="166" fontId="7" fillId="2" borderId="14" xfId="1" applyNumberFormat="1" applyFont="1" applyFill="1" applyBorder="1" applyAlignment="1">
      <alignment horizontal="left" vertical="center"/>
    </xf>
    <xf numFmtId="166" fontId="7" fillId="2" borderId="8" xfId="1" quotePrefix="1" applyNumberFormat="1" applyFont="1" applyFill="1" applyBorder="1" applyAlignment="1">
      <alignment horizontal="center" vertical="center"/>
    </xf>
    <xf numFmtId="166" fontId="7" fillId="2" borderId="13" xfId="1" quotePrefix="1" applyNumberFormat="1" applyFont="1" applyFill="1" applyBorder="1" applyAlignment="1">
      <alignment horizontal="center" vertical="center"/>
    </xf>
    <xf numFmtId="166" fontId="7" fillId="2" borderId="10" xfId="1" quotePrefix="1" applyNumberFormat="1" applyFont="1" applyFill="1" applyBorder="1" applyAlignment="1">
      <alignment horizontal="center" vertical="center"/>
    </xf>
    <xf numFmtId="166" fontId="7" fillId="2" borderId="15" xfId="1" quotePrefix="1" applyNumberFormat="1" applyFont="1" applyFill="1" applyBorder="1" applyAlignment="1">
      <alignment horizontal="center" vertical="center"/>
    </xf>
    <xf numFmtId="166" fontId="7" fillId="2" borderId="8" xfId="1" applyNumberFormat="1" applyFont="1" applyFill="1" applyBorder="1" applyAlignment="1">
      <alignment horizontal="center" vertical="center"/>
    </xf>
    <xf numFmtId="166" fontId="7" fillId="2" borderId="13" xfId="1" applyNumberFormat="1" applyFont="1" applyFill="1" applyBorder="1" applyAlignment="1">
      <alignment horizontal="center" vertical="center"/>
    </xf>
    <xf numFmtId="0" fontId="7" fillId="2" borderId="116" xfId="1" applyFont="1" applyFill="1" applyBorder="1" applyAlignment="1">
      <alignment horizontal="center" vertical="center" wrapText="1"/>
    </xf>
    <xf numFmtId="0" fontId="7" fillId="2" borderId="101" xfId="1" applyFont="1" applyFill="1" applyBorder="1" applyAlignment="1">
      <alignment horizontal="center" vertical="center"/>
    </xf>
    <xf numFmtId="0" fontId="7" fillId="0" borderId="8" xfId="1" applyFont="1" applyBorder="1" applyAlignment="1">
      <alignment horizontal="center"/>
    </xf>
    <xf numFmtId="0" fontId="7" fillId="0" borderId="9" xfId="1" applyFont="1" applyBorder="1" applyAlignment="1">
      <alignment horizontal="center"/>
    </xf>
    <xf numFmtId="0" fontId="7" fillId="0" borderId="108" xfId="1" applyFont="1" applyBorder="1" applyAlignment="1">
      <alignment horizontal="center"/>
    </xf>
    <xf numFmtId="0" fontId="7" fillId="5" borderId="16" xfId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0" fontId="7" fillId="5" borderId="25" xfId="1" applyFont="1" applyFill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0" fontId="7" fillId="0" borderId="25" xfId="1" applyFont="1" applyBorder="1" applyAlignment="1">
      <alignment horizontal="center" vertical="center"/>
    </xf>
    <xf numFmtId="166" fontId="8" fillId="2" borderId="37" xfId="1" applyNumberFormat="1" applyFont="1" applyFill="1" applyBorder="1" applyAlignment="1">
      <alignment horizontal="center" vertical="center"/>
    </xf>
    <xf numFmtId="166" fontId="8" fillId="2" borderId="19" xfId="1" applyNumberFormat="1" applyFont="1" applyFill="1" applyBorder="1" applyAlignment="1">
      <alignment horizontal="center" vertical="center"/>
    </xf>
    <xf numFmtId="167" fontId="4" fillId="0" borderId="0" xfId="1" applyNumberFormat="1" applyFont="1" applyFill="1" applyBorder="1" applyAlignment="1">
      <alignment horizontal="center" vertical="center"/>
    </xf>
    <xf numFmtId="166" fontId="4" fillId="0" borderId="0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center"/>
    </xf>
    <xf numFmtId="0" fontId="4" fillId="0" borderId="0" xfId="1" applyFont="1" applyFill="1" applyBorder="1" applyAlignment="1">
      <alignment horizontal="center" vertical="center"/>
    </xf>
    <xf numFmtId="0" fontId="27" fillId="0" borderId="0" xfId="1" applyFont="1" applyFill="1" applyBorder="1" applyAlignment="1">
      <alignment horizontal="center" vertical="center"/>
    </xf>
    <xf numFmtId="167" fontId="4" fillId="0" borderId="0" xfId="1" quotePrefix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left" vertical="center"/>
    </xf>
    <xf numFmtId="0" fontId="7" fillId="5" borderId="25" xfId="1" applyFont="1" applyFill="1" applyBorder="1" applyAlignment="1">
      <alignment horizontal="left" vertical="center"/>
    </xf>
    <xf numFmtId="0" fontId="7" fillId="0" borderId="1" xfId="1" applyFont="1" applyBorder="1" applyAlignment="1">
      <alignment horizontal="right" vertical="center"/>
    </xf>
    <xf numFmtId="0" fontId="35" fillId="9" borderId="46" xfId="1" applyFont="1" applyFill="1" applyBorder="1" applyAlignment="1">
      <alignment horizontal="center" vertical="center"/>
    </xf>
    <xf numFmtId="0" fontId="35" fillId="9" borderId="5" xfId="1" applyFont="1" applyFill="1" applyBorder="1" applyAlignment="1">
      <alignment horizontal="center" vertical="center"/>
    </xf>
    <xf numFmtId="0" fontId="35" fillId="9" borderId="43" xfId="1" applyFont="1" applyFill="1" applyBorder="1" applyAlignment="1">
      <alignment horizontal="center" vertical="center"/>
    </xf>
    <xf numFmtId="0" fontId="35" fillId="9" borderId="11" xfId="1" applyFont="1" applyFill="1" applyBorder="1" applyAlignment="1">
      <alignment horizontal="center" vertical="center"/>
    </xf>
    <xf numFmtId="0" fontId="35" fillId="9" borderId="18" xfId="1" applyFont="1" applyFill="1" applyBorder="1" applyAlignment="1">
      <alignment horizontal="center" vertical="center"/>
    </xf>
    <xf numFmtId="0" fontId="35" fillId="9" borderId="19" xfId="1" applyFont="1" applyFill="1" applyBorder="1" applyAlignment="1">
      <alignment horizontal="center" vertical="center"/>
    </xf>
    <xf numFmtId="0" fontId="7" fillId="9" borderId="5" xfId="1" applyFont="1" applyFill="1" applyBorder="1" applyAlignment="1">
      <alignment horizontal="center" vertical="center"/>
    </xf>
    <xf numFmtId="0" fontId="7" fillId="9" borderId="11" xfId="1" applyFont="1" applyFill="1" applyBorder="1" applyAlignment="1">
      <alignment horizontal="center" vertical="center"/>
    </xf>
    <xf numFmtId="0" fontId="7" fillId="9" borderId="19" xfId="1" applyFont="1" applyFill="1" applyBorder="1" applyAlignment="1">
      <alignment horizontal="center" vertical="center"/>
    </xf>
    <xf numFmtId="0" fontId="7" fillId="9" borderId="3" xfId="1" applyFont="1" applyFill="1" applyBorder="1" applyAlignment="1">
      <alignment horizontal="center" vertical="center"/>
    </xf>
    <xf numFmtId="0" fontId="7" fillId="9" borderId="47" xfId="1" applyFont="1" applyFill="1" applyBorder="1" applyAlignment="1">
      <alignment horizontal="center" vertical="center"/>
    </xf>
    <xf numFmtId="0" fontId="7" fillId="9" borderId="91" xfId="1" applyFont="1" applyFill="1" applyBorder="1" applyAlignment="1">
      <alignment horizontal="center" vertical="center"/>
    </xf>
    <xf numFmtId="0" fontId="8" fillId="8" borderId="7" xfId="1" applyFont="1" applyFill="1" applyBorder="1" applyAlignment="1">
      <alignment horizontal="center" vertical="center"/>
    </xf>
    <xf numFmtId="0" fontId="8" fillId="8" borderId="0" xfId="1" applyFont="1" applyFill="1" applyBorder="1" applyAlignment="1">
      <alignment horizontal="center" vertical="center"/>
    </xf>
    <xf numFmtId="0" fontId="8" fillId="8" borderId="0" xfId="1" applyFont="1" applyFill="1" applyBorder="1" applyAlignment="1">
      <alignment horizontal="left" vertical="center"/>
    </xf>
    <xf numFmtId="0" fontId="8" fillId="8" borderId="25" xfId="1" applyFont="1" applyFill="1" applyBorder="1" applyAlignment="1">
      <alignment horizontal="left" vertical="center"/>
    </xf>
    <xf numFmtId="0" fontId="8" fillId="5" borderId="7" xfId="1" applyFont="1" applyFill="1" applyBorder="1" applyAlignment="1">
      <alignment horizontal="center" vertical="center"/>
    </xf>
    <xf numFmtId="0" fontId="8" fillId="5" borderId="0" xfId="1" applyFont="1" applyFill="1" applyBorder="1" applyAlignment="1">
      <alignment horizontal="center" vertical="center"/>
    </xf>
    <xf numFmtId="0" fontId="8" fillId="5" borderId="0" xfId="1" applyFont="1" applyFill="1" applyBorder="1" applyAlignment="1">
      <alignment horizontal="left" vertical="center"/>
    </xf>
    <xf numFmtId="0" fontId="8" fillId="5" borderId="25" xfId="1" applyFont="1" applyFill="1" applyBorder="1" applyAlignment="1">
      <alignment horizontal="left" vertical="center"/>
    </xf>
    <xf numFmtId="166" fontId="7" fillId="8" borderId="0" xfId="1" applyNumberFormat="1" applyFont="1" applyFill="1" applyBorder="1" applyAlignment="1">
      <alignment horizontal="left" vertical="center"/>
    </xf>
    <xf numFmtId="166" fontId="7" fillId="8" borderId="25" xfId="1" applyNumberFormat="1" applyFont="1" applyFill="1" applyBorder="1" applyAlignment="1">
      <alignment horizontal="left" vertical="center"/>
    </xf>
    <xf numFmtId="0" fontId="8" fillId="5" borderId="105" xfId="1" applyFont="1" applyFill="1" applyBorder="1" applyAlignment="1">
      <alignment horizontal="center" vertical="center"/>
    </xf>
    <xf numFmtId="0" fontId="8" fillId="5" borderId="9" xfId="1" applyFont="1" applyFill="1" applyBorder="1" applyAlignment="1">
      <alignment horizontal="center" vertical="center"/>
    </xf>
    <xf numFmtId="0" fontId="8" fillId="5" borderId="21" xfId="1" applyFont="1" applyFill="1" applyBorder="1" applyAlignment="1">
      <alignment horizontal="center" vertical="center"/>
    </xf>
    <xf numFmtId="0" fontId="8" fillId="5" borderId="1" xfId="1" applyFont="1" applyFill="1" applyBorder="1" applyAlignment="1">
      <alignment horizontal="center" vertical="center"/>
    </xf>
    <xf numFmtId="166" fontId="8" fillId="5" borderId="37" xfId="1" applyNumberFormat="1" applyFont="1" applyFill="1" applyBorder="1" applyAlignment="1">
      <alignment horizontal="center" vertical="center"/>
    </xf>
    <xf numFmtId="166" fontId="8" fillId="5" borderId="32" xfId="1" applyNumberFormat="1" applyFont="1" applyFill="1" applyBorder="1" applyAlignment="1">
      <alignment horizontal="center" vertical="center"/>
    </xf>
    <xf numFmtId="166" fontId="8" fillId="5" borderId="9" xfId="1" applyNumberFormat="1" applyFont="1" applyFill="1" applyBorder="1" applyAlignment="1">
      <alignment horizontal="center" vertical="center"/>
    </xf>
    <xf numFmtId="166" fontId="8" fillId="5" borderId="1" xfId="1" applyNumberFormat="1" applyFont="1" applyFill="1" applyBorder="1" applyAlignment="1">
      <alignment horizontal="center" vertical="center"/>
    </xf>
    <xf numFmtId="166" fontId="8" fillId="5" borderId="10" xfId="1" applyNumberFormat="1" applyFont="1" applyFill="1" applyBorder="1" applyAlignment="1">
      <alignment horizontal="center" vertical="center"/>
    </xf>
    <xf numFmtId="166" fontId="8" fillId="5" borderId="23" xfId="1" applyNumberFormat="1" applyFont="1" applyFill="1" applyBorder="1" applyAlignment="1">
      <alignment horizontal="center" vertical="center"/>
    </xf>
    <xf numFmtId="0" fontId="8" fillId="5" borderId="117" xfId="1" applyFont="1" applyFill="1" applyBorder="1" applyAlignment="1">
      <alignment horizontal="center" vertical="center"/>
    </xf>
    <xf numFmtId="0" fontId="8" fillId="5" borderId="118" xfId="1" applyFont="1" applyFill="1" applyBorder="1" applyAlignment="1">
      <alignment horizontal="center" vertical="center"/>
    </xf>
    <xf numFmtId="166" fontId="8" fillId="8" borderId="13" xfId="1" applyNumberFormat="1" applyFont="1" applyFill="1" applyBorder="1" applyAlignment="1">
      <alignment horizontal="left" vertical="center"/>
    </xf>
    <xf numFmtId="166" fontId="8" fillId="8" borderId="14" xfId="1" applyNumberFormat="1" applyFont="1" applyFill="1" applyBorder="1" applyAlignment="1">
      <alignment horizontal="left" vertical="center"/>
    </xf>
    <xf numFmtId="166" fontId="8" fillId="8" borderId="29" xfId="1" applyNumberFormat="1" applyFont="1" applyFill="1" applyBorder="1" applyAlignment="1">
      <alignment horizontal="left" vertical="center"/>
    </xf>
    <xf numFmtId="0" fontId="7" fillId="2" borderId="2" xfId="4" applyFont="1" applyFill="1" applyBorder="1" applyAlignment="1">
      <alignment horizontal="center" vertical="center" readingOrder="1"/>
    </xf>
    <xf numFmtId="0" fontId="7" fillId="2" borderId="7" xfId="4" applyFont="1" applyFill="1" applyBorder="1" applyAlignment="1">
      <alignment horizontal="center" vertical="center" readingOrder="1"/>
    </xf>
    <xf numFmtId="0" fontId="7" fillId="2" borderId="38" xfId="4" applyFont="1" applyFill="1" applyBorder="1" applyAlignment="1">
      <alignment horizontal="center" vertical="center" readingOrder="1"/>
    </xf>
    <xf numFmtId="0" fontId="7" fillId="2" borderId="5" xfId="4" applyFont="1" applyFill="1" applyBorder="1" applyAlignment="1">
      <alignment horizontal="center" vertical="center" readingOrder="1"/>
    </xf>
    <xf numFmtId="0" fontId="7" fillId="2" borderId="11" xfId="4" applyFont="1" applyFill="1" applyBorder="1" applyAlignment="1">
      <alignment horizontal="center" vertical="center" readingOrder="1"/>
    </xf>
    <xf numFmtId="0" fontId="7" fillId="2" borderId="19" xfId="4" applyFont="1" applyFill="1" applyBorder="1" applyAlignment="1">
      <alignment horizontal="center" vertical="center" readingOrder="1"/>
    </xf>
    <xf numFmtId="0" fontId="45" fillId="2" borderId="5" xfId="0" applyFont="1" applyFill="1" applyBorder="1" applyAlignment="1">
      <alignment horizontal="center" vertical="center" readingOrder="1"/>
    </xf>
    <xf numFmtId="0" fontId="7" fillId="2" borderId="11" xfId="0" applyFont="1" applyFill="1" applyBorder="1" applyAlignment="1">
      <alignment horizontal="center" vertical="center" readingOrder="1"/>
    </xf>
    <xf numFmtId="0" fontId="7" fillId="2" borderId="19" xfId="0" applyFont="1" applyFill="1" applyBorder="1" applyAlignment="1">
      <alignment horizontal="center" vertical="center" readingOrder="1"/>
    </xf>
    <xf numFmtId="0" fontId="2" fillId="0" borderId="0" xfId="4" applyFont="1" applyFill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7" fillId="0" borderId="0" xfId="4" applyFont="1" applyFill="1" applyBorder="1" applyAlignment="1">
      <alignment horizontal="right" readingOrder="1"/>
    </xf>
    <xf numFmtId="0" fontId="8" fillId="5" borderId="2" xfId="4" applyFont="1" applyFill="1" applyBorder="1" applyAlignment="1">
      <alignment horizontal="center" vertical="center" readingOrder="1"/>
    </xf>
    <xf numFmtId="0" fontId="8" fillId="5" borderId="21" xfId="4" applyFont="1" applyFill="1" applyBorder="1" applyAlignment="1">
      <alignment horizontal="center" vertical="center" readingOrder="1"/>
    </xf>
    <xf numFmtId="166" fontId="8" fillId="5" borderId="26" xfId="4" applyNumberFormat="1" applyFont="1" applyFill="1" applyBorder="1" applyAlignment="1">
      <alignment horizontal="center" vertical="center" readingOrder="1"/>
    </xf>
    <xf numFmtId="166" fontId="8" fillId="5" borderId="22" xfId="4" applyNumberFormat="1" applyFont="1" applyFill="1" applyBorder="1" applyAlignment="1">
      <alignment horizontal="center" vertical="center" readingOrder="1"/>
    </xf>
    <xf numFmtId="166" fontId="8" fillId="5" borderId="4" xfId="4" applyNumberFormat="1" applyFont="1" applyFill="1" applyBorder="1" applyAlignment="1">
      <alignment horizontal="center" vertical="center" readingOrder="1"/>
    </xf>
    <xf numFmtId="166" fontId="8" fillId="5" borderId="1" xfId="4" applyNumberFormat="1" applyFont="1" applyFill="1" applyBorder="1" applyAlignment="1">
      <alignment horizontal="center" vertical="center" readingOrder="1"/>
    </xf>
    <xf numFmtId="166" fontId="8" fillId="5" borderId="5" xfId="4" applyNumberFormat="1" applyFont="1" applyFill="1" applyBorder="1" applyAlignment="1">
      <alignment horizontal="center" vertical="center" readingOrder="1"/>
    </xf>
    <xf numFmtId="166" fontId="8" fillId="5" borderId="119" xfId="4" applyNumberFormat="1" applyFont="1" applyFill="1" applyBorder="1" applyAlignment="1">
      <alignment horizontal="center" vertical="center" readingOrder="1"/>
    </xf>
    <xf numFmtId="0" fontId="8" fillId="5" borderId="4" xfId="4" applyFont="1" applyFill="1" applyBorder="1" applyAlignment="1">
      <alignment horizontal="center" vertical="center" readingOrder="1"/>
    </xf>
    <xf numFmtId="0" fontId="8" fillId="5" borderId="27" xfId="4" applyFont="1" applyFill="1" applyBorder="1" applyAlignment="1">
      <alignment horizontal="center" vertical="center" readingOrder="1"/>
    </xf>
    <xf numFmtId="0" fontId="8" fillId="5" borderId="1" xfId="4" applyFont="1" applyFill="1" applyBorder="1" applyAlignment="1">
      <alignment horizontal="center" vertical="center" readingOrder="1"/>
    </xf>
    <xf numFmtId="0" fontId="8" fillId="5" borderId="33" xfId="4" applyFont="1" applyFill="1" applyBorder="1" applyAlignment="1">
      <alignment horizontal="center" vertical="center" readingOrder="1"/>
    </xf>
    <xf numFmtId="0" fontId="7" fillId="2" borderId="3" xfId="4" applyFont="1" applyFill="1" applyBorder="1" applyAlignment="1">
      <alignment horizontal="center" vertical="center" readingOrder="1"/>
    </xf>
    <xf numFmtId="0" fontId="7" fillId="2" borderId="47" xfId="4" applyFont="1" applyFill="1" applyBorder="1" applyAlignment="1">
      <alignment horizontal="center" vertical="center" readingOrder="1"/>
    </xf>
    <xf numFmtId="0" fontId="7" fillId="2" borderId="91" xfId="4" applyFont="1" applyFill="1" applyBorder="1" applyAlignment="1">
      <alignment horizontal="center" vertical="center" readingOrder="1"/>
    </xf>
    <xf numFmtId="0" fontId="7" fillId="2" borderId="42" xfId="4" applyFont="1" applyFill="1" applyBorder="1" applyAlignment="1">
      <alignment horizontal="center" vertical="center" readingOrder="1"/>
    </xf>
    <xf numFmtId="0" fontId="7" fillId="2" borderId="17" xfId="4" applyFont="1" applyFill="1" applyBorder="1" applyAlignment="1">
      <alignment horizontal="center" vertical="center" readingOrder="1"/>
    </xf>
    <xf numFmtId="0" fontId="7" fillId="2" borderId="15" xfId="4" applyFont="1" applyFill="1" applyBorder="1" applyAlignment="1">
      <alignment horizontal="center" vertical="center" readingOrder="1"/>
    </xf>
    <xf numFmtId="0" fontId="26" fillId="10" borderId="149" xfId="0" applyFont="1" applyFill="1" applyBorder="1" applyAlignment="1">
      <alignment horizontal="center" vertical="center"/>
    </xf>
    <xf numFmtId="0" fontId="26" fillId="10" borderId="78" xfId="0" applyFont="1" applyFill="1" applyBorder="1" applyAlignment="1">
      <alignment horizontal="center" vertical="center"/>
    </xf>
    <xf numFmtId="0" fontId="26" fillId="10" borderId="97" xfId="0" applyFont="1" applyFill="1" applyBorder="1" applyAlignment="1">
      <alignment horizontal="center" vertical="center"/>
    </xf>
    <xf numFmtId="1" fontId="26" fillId="10" borderId="149" xfId="0" applyNumberFormat="1" applyFont="1" applyFill="1" applyBorder="1" applyAlignment="1">
      <alignment horizontal="center" vertical="center"/>
    </xf>
    <xf numFmtId="1" fontId="26" fillId="10" borderId="78" xfId="0" applyNumberFormat="1" applyFont="1" applyFill="1" applyBorder="1" applyAlignment="1">
      <alignment horizontal="center" vertical="center"/>
    </xf>
    <xf numFmtId="1" fontId="26" fillId="10" borderId="97" xfId="0" applyNumberFormat="1" applyFont="1" applyFill="1" applyBorder="1" applyAlignment="1">
      <alignment horizontal="center" vertical="center"/>
    </xf>
    <xf numFmtId="0" fontId="95" fillId="10" borderId="150" xfId="0" applyFont="1" applyFill="1" applyBorder="1" applyAlignment="1">
      <alignment horizontal="center" vertical="center"/>
    </xf>
    <xf numFmtId="0" fontId="0" fillId="0" borderId="149" xfId="0" applyBorder="1"/>
    <xf numFmtId="0" fontId="0" fillId="0" borderId="80" xfId="0" applyBorder="1"/>
    <xf numFmtId="0" fontId="0" fillId="0" borderId="78" xfId="0" applyBorder="1"/>
    <xf numFmtId="0" fontId="0" fillId="0" borderId="99" xfId="0" applyBorder="1"/>
    <xf numFmtId="0" fontId="0" fillId="0" borderId="97" xfId="0" applyBorder="1"/>
    <xf numFmtId="0" fontId="173" fillId="0" borderId="0" xfId="0" applyFont="1" applyAlignment="1">
      <alignment horizontal="center" vertical="center" readingOrder="2"/>
    </xf>
    <xf numFmtId="0" fontId="95" fillId="0" borderId="0" xfId="0" applyFont="1" applyAlignment="1">
      <alignment horizontal="center" vertical="center"/>
    </xf>
    <xf numFmtId="0" fontId="171" fillId="10" borderId="149" xfId="0" applyFont="1" applyFill="1" applyBorder="1" applyAlignment="1">
      <alignment horizontal="center" vertical="center"/>
    </xf>
    <xf numFmtId="0" fontId="171" fillId="10" borderId="148" xfId="0" applyFont="1" applyFill="1" applyBorder="1" applyAlignment="1">
      <alignment horizontal="center" vertical="center"/>
    </xf>
    <xf numFmtId="0" fontId="171" fillId="10" borderId="78" xfId="0" applyFont="1" applyFill="1" applyBorder="1" applyAlignment="1">
      <alignment horizontal="center" vertical="center"/>
    </xf>
    <xf numFmtId="0" fontId="171" fillId="10" borderId="79" xfId="0" applyFont="1" applyFill="1" applyBorder="1" applyAlignment="1">
      <alignment horizontal="center" vertical="center"/>
    </xf>
    <xf numFmtId="0" fontId="171" fillId="10" borderId="97" xfId="0" applyFont="1" applyFill="1" applyBorder="1" applyAlignment="1">
      <alignment horizontal="center" vertical="center"/>
    </xf>
    <xf numFmtId="0" fontId="171" fillId="10" borderId="98" xfId="0" applyFont="1" applyFill="1" applyBorder="1" applyAlignment="1">
      <alignment horizontal="center" vertical="center"/>
    </xf>
    <xf numFmtId="1" fontId="26" fillId="10" borderId="150" xfId="0" applyNumberFormat="1" applyFont="1" applyFill="1" applyBorder="1" applyAlignment="1">
      <alignment horizontal="center" vertical="center"/>
    </xf>
    <xf numFmtId="1" fontId="26" fillId="10" borderId="80" xfId="0" applyNumberFormat="1" applyFont="1" applyFill="1" applyBorder="1" applyAlignment="1">
      <alignment horizontal="center" vertical="center"/>
    </xf>
    <xf numFmtId="1" fontId="26" fillId="10" borderId="99" xfId="0" applyNumberFormat="1" applyFont="1" applyFill="1" applyBorder="1" applyAlignment="1">
      <alignment horizontal="center" vertical="center"/>
    </xf>
    <xf numFmtId="1" fontId="26" fillId="10" borderId="148" xfId="0" applyNumberFormat="1" applyFont="1" applyFill="1" applyBorder="1" applyAlignment="1">
      <alignment horizontal="center" vertical="center"/>
    </xf>
    <xf numFmtId="1" fontId="26" fillId="10" borderId="79" xfId="0" applyNumberFormat="1" applyFont="1" applyFill="1" applyBorder="1" applyAlignment="1">
      <alignment horizontal="center" vertical="center"/>
    </xf>
    <xf numFmtId="1" fontId="26" fillId="10" borderId="98" xfId="0" applyNumberFormat="1" applyFont="1" applyFill="1" applyBorder="1" applyAlignment="1">
      <alignment horizontal="center" vertical="center"/>
    </xf>
    <xf numFmtId="0" fontId="57" fillId="0" borderId="0" xfId="0" applyFont="1" applyAlignment="1">
      <alignment horizontal="right" vertical="center"/>
    </xf>
    <xf numFmtId="0" fontId="57" fillId="0" borderId="0" xfId="0" applyFont="1" applyAlignment="1">
      <alignment horizontal="center" vertical="center"/>
    </xf>
    <xf numFmtId="168" fontId="7" fillId="5" borderId="96" xfId="0" applyNumberFormat="1" applyFont="1" applyFill="1" applyBorder="1" applyAlignment="1">
      <alignment horizontal="center" vertical="center"/>
    </xf>
    <xf numFmtId="168" fontId="7" fillId="5" borderId="89" xfId="0" applyNumberFormat="1" applyFont="1" applyFill="1" applyBorder="1" applyAlignment="1">
      <alignment horizontal="center" vertical="center"/>
    </xf>
    <xf numFmtId="168" fontId="7" fillId="5" borderId="114" xfId="0" applyNumberFormat="1" applyFont="1" applyFill="1" applyBorder="1" applyAlignment="1">
      <alignment horizontal="center" vertical="center"/>
    </xf>
    <xf numFmtId="0" fontId="33" fillId="0" borderId="0" xfId="0" applyFont="1" applyFill="1" applyAlignment="1">
      <alignment horizontal="right" indent="1" readingOrder="2"/>
    </xf>
    <xf numFmtId="0" fontId="131" fillId="0" borderId="0" xfId="0" applyFont="1" applyFill="1" applyAlignment="1">
      <alignment horizontal="center" vertical="center"/>
    </xf>
    <xf numFmtId="0" fontId="132" fillId="0" borderId="0" xfId="0" applyFont="1" applyFill="1" applyBorder="1" applyAlignment="1">
      <alignment horizontal="center" vertical="center" readingOrder="1"/>
    </xf>
    <xf numFmtId="0" fontId="33" fillId="0" borderId="0" xfId="0" applyFont="1" applyFill="1" applyAlignment="1">
      <alignment horizontal="right" readingOrder="1"/>
    </xf>
    <xf numFmtId="167" fontId="75" fillId="5" borderId="9" xfId="0" applyNumberFormat="1" applyFont="1" applyFill="1" applyBorder="1" applyAlignment="1">
      <alignment horizontal="center" vertical="center"/>
    </xf>
    <xf numFmtId="167" fontId="75" fillId="5" borderId="10" xfId="0" applyNumberFormat="1" applyFont="1" applyFill="1" applyBorder="1" applyAlignment="1">
      <alignment horizontal="center" vertical="center"/>
    </xf>
    <xf numFmtId="167" fontId="75" fillId="5" borderId="0" xfId="0" applyNumberFormat="1" applyFont="1" applyFill="1" applyBorder="1" applyAlignment="1">
      <alignment horizontal="center" vertical="center"/>
    </xf>
    <xf numFmtId="167" fontId="75" fillId="5" borderId="17" xfId="0" applyNumberFormat="1" applyFont="1" applyFill="1" applyBorder="1" applyAlignment="1">
      <alignment horizontal="center" vertical="center"/>
    </xf>
    <xf numFmtId="167" fontId="8" fillId="5" borderId="9" xfId="0" applyNumberFormat="1" applyFont="1" applyFill="1" applyBorder="1" applyAlignment="1">
      <alignment horizontal="center" vertical="center"/>
    </xf>
    <xf numFmtId="167" fontId="8" fillId="5" borderId="108" xfId="0" applyNumberFormat="1" applyFont="1" applyFill="1" applyBorder="1" applyAlignment="1">
      <alignment horizontal="center" vertical="center"/>
    </xf>
    <xf numFmtId="166" fontId="8" fillId="5" borderId="16" xfId="0" applyNumberFormat="1" applyFont="1" applyFill="1" applyBorder="1" applyAlignment="1">
      <alignment horizontal="center" vertical="center"/>
    </xf>
    <xf numFmtId="166" fontId="8" fillId="5" borderId="0" xfId="0" applyNumberFormat="1" applyFont="1" applyFill="1" applyBorder="1" applyAlignment="1">
      <alignment horizontal="center" vertical="center"/>
    </xf>
    <xf numFmtId="166" fontId="8" fillId="3" borderId="16" xfId="0" applyNumberFormat="1" applyFont="1" applyFill="1" applyBorder="1" applyAlignment="1">
      <alignment horizontal="center" vertical="center"/>
    </xf>
    <xf numFmtId="166" fontId="8" fillId="3" borderId="0" xfId="0" applyNumberFormat="1" applyFont="1" applyFill="1" applyBorder="1" applyAlignment="1">
      <alignment horizontal="center" vertical="center"/>
    </xf>
    <xf numFmtId="166" fontId="8" fillId="5" borderId="8" xfId="0" applyNumberFormat="1" applyFont="1" applyFill="1" applyBorder="1" applyAlignment="1">
      <alignment horizontal="center" vertical="center"/>
    </xf>
    <xf numFmtId="166" fontId="8" fillId="5" borderId="9" xfId="0" applyNumberFormat="1" applyFont="1" applyFill="1" applyBorder="1" applyAlignment="1">
      <alignment horizontal="center" vertical="center"/>
    </xf>
    <xf numFmtId="166" fontId="8" fillId="3" borderId="13" xfId="0" applyNumberFormat="1" applyFont="1" applyFill="1" applyBorder="1" applyAlignment="1">
      <alignment horizontal="center" vertical="center"/>
    </xf>
    <xf numFmtId="166" fontId="8" fillId="3" borderId="14" xfId="0" applyNumberFormat="1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12" fillId="2" borderId="16" xfId="0" applyFont="1" applyFill="1" applyBorder="1" applyAlignment="1">
      <alignment horizontal="center" vertical="center"/>
    </xf>
    <xf numFmtId="0" fontId="112" fillId="2" borderId="17" xfId="0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112" fillId="2" borderId="13" xfId="0" applyFont="1" applyFill="1" applyBorder="1" applyAlignment="1">
      <alignment horizontal="center" vertical="center"/>
    </xf>
    <xf numFmtId="0" fontId="112" fillId="2" borderId="15" xfId="0" applyFont="1" applyFill="1" applyBorder="1" applyAlignment="1">
      <alignment horizontal="center" vertical="center"/>
    </xf>
    <xf numFmtId="166" fontId="8" fillId="5" borderId="22" xfId="0" applyNumberFormat="1" applyFont="1" applyFill="1" applyBorder="1" applyAlignment="1">
      <alignment horizontal="center" vertical="center"/>
    </xf>
    <xf numFmtId="166" fontId="8" fillId="5" borderId="1" xfId="0" applyNumberFormat="1" applyFont="1" applyFill="1" applyBorder="1" applyAlignment="1">
      <alignment horizontal="center" vertical="center"/>
    </xf>
    <xf numFmtId="0" fontId="62" fillId="0" borderId="0" xfId="1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65" fillId="2" borderId="16" xfId="1" applyFont="1" applyFill="1" applyBorder="1" applyAlignment="1">
      <alignment horizontal="center"/>
    </xf>
    <xf numFmtId="0" fontId="65" fillId="2" borderId="0" xfId="1" applyFont="1" applyFill="1" applyBorder="1" applyAlignment="1">
      <alignment horizontal="center"/>
    </xf>
    <xf numFmtId="0" fontId="65" fillId="2" borderId="25" xfId="1" applyFont="1" applyFill="1" applyBorder="1" applyAlignment="1">
      <alignment horizontal="center"/>
    </xf>
    <xf numFmtId="166" fontId="3" fillId="2" borderId="73" xfId="1" applyNumberFormat="1" applyFont="1" applyFill="1" applyBorder="1" applyAlignment="1">
      <alignment horizontal="center" vertical="center"/>
    </xf>
    <xf numFmtId="0" fontId="1" fillId="0" borderId="97" xfId="1" applyFont="1" applyBorder="1"/>
    <xf numFmtId="0" fontId="14" fillId="2" borderId="105" xfId="1" applyFont="1" applyFill="1" applyBorder="1" applyAlignment="1">
      <alignment horizontal="center" vertical="center" wrapText="1"/>
    </xf>
    <xf numFmtId="0" fontId="14" fillId="2" borderId="9" xfId="1" applyFont="1" applyFill="1" applyBorder="1" applyAlignment="1">
      <alignment horizontal="center" vertical="center"/>
    </xf>
    <xf numFmtId="0" fontId="14" fillId="2" borderId="121" xfId="1" applyFont="1" applyFill="1" applyBorder="1" applyAlignment="1">
      <alignment horizontal="center" vertical="center"/>
    </xf>
    <xf numFmtId="0" fontId="14" fillId="2" borderId="95" xfId="1" applyFont="1" applyFill="1" applyBorder="1" applyAlignment="1">
      <alignment horizontal="center" vertical="center"/>
    </xf>
    <xf numFmtId="0" fontId="14" fillId="2" borderId="59" xfId="1" applyFont="1" applyFill="1" applyBorder="1" applyAlignment="1">
      <alignment horizontal="center" vertical="center"/>
    </xf>
    <xf numFmtId="0" fontId="14" fillId="2" borderId="99" xfId="1" applyFont="1" applyFill="1" applyBorder="1" applyAlignment="1">
      <alignment horizontal="center" vertical="center"/>
    </xf>
    <xf numFmtId="166" fontId="7" fillId="2" borderId="73" xfId="1" applyNumberFormat="1" applyFont="1" applyFill="1" applyBorder="1" applyAlignment="1">
      <alignment horizontal="center" vertical="center"/>
    </xf>
    <xf numFmtId="0" fontId="104" fillId="0" borderId="97" xfId="1" applyFont="1" applyBorder="1"/>
    <xf numFmtId="0" fontId="7" fillId="5" borderId="7" xfId="1" applyFont="1" applyFill="1" applyBorder="1" applyAlignment="1">
      <alignment horizontal="center" vertical="center"/>
    </xf>
    <xf numFmtId="0" fontId="7" fillId="5" borderId="17" xfId="1" applyFont="1" applyFill="1" applyBorder="1" applyAlignment="1">
      <alignment horizontal="center" vertical="center"/>
    </xf>
    <xf numFmtId="0" fontId="4" fillId="5" borderId="0" xfId="1" applyFont="1" applyFill="1" applyBorder="1" applyAlignment="1">
      <alignment horizontal="center" vertical="center"/>
    </xf>
    <xf numFmtId="0" fontId="65" fillId="5" borderId="16" xfId="1" applyFont="1" applyFill="1" applyBorder="1" applyAlignment="1">
      <alignment horizontal="center" vertical="center"/>
    </xf>
    <xf numFmtId="0" fontId="65" fillId="5" borderId="0" xfId="1" applyFont="1" applyFill="1" applyBorder="1" applyAlignment="1">
      <alignment horizontal="center" vertical="center"/>
    </xf>
    <xf numFmtId="0" fontId="65" fillId="5" borderId="25" xfId="1" applyFont="1" applyFill="1" applyBorder="1" applyAlignment="1">
      <alignment horizontal="center" vertical="center"/>
    </xf>
    <xf numFmtId="0" fontId="7" fillId="0" borderId="116" xfId="1" applyFont="1" applyBorder="1" applyAlignment="1">
      <alignment horizontal="center" vertical="center"/>
    </xf>
    <xf numFmtId="0" fontId="7" fillId="0" borderId="100" xfId="1" applyFont="1" applyBorder="1" applyAlignment="1">
      <alignment horizontal="center" vertical="center"/>
    </xf>
    <xf numFmtId="0" fontId="7" fillId="0" borderId="101" xfId="1" applyFont="1" applyBorder="1" applyAlignment="1">
      <alignment horizontal="center" vertical="center"/>
    </xf>
    <xf numFmtId="166" fontId="4" fillId="0" borderId="100" xfId="1" applyNumberFormat="1" applyFont="1" applyBorder="1" applyAlignment="1">
      <alignment horizontal="center" vertical="center"/>
    </xf>
    <xf numFmtId="0" fontId="65" fillId="0" borderId="122" xfId="1" applyFont="1" applyBorder="1" applyAlignment="1">
      <alignment horizontal="center" vertical="center"/>
    </xf>
    <xf numFmtId="0" fontId="65" fillId="0" borderId="100" xfId="1" applyFont="1" applyBorder="1" applyAlignment="1">
      <alignment horizontal="center" vertical="center"/>
    </xf>
    <xf numFmtId="0" fontId="65" fillId="0" borderId="123" xfId="1" applyFont="1" applyBorder="1" applyAlignment="1">
      <alignment horizontal="center" vertical="center"/>
    </xf>
    <xf numFmtId="166" fontId="62" fillId="2" borderId="74" xfId="1" applyNumberFormat="1" applyFont="1" applyFill="1" applyBorder="1" applyAlignment="1">
      <alignment horizontal="center" vertical="center"/>
    </xf>
    <xf numFmtId="0" fontId="140" fillId="0" borderId="100" xfId="1" applyFont="1" applyBorder="1"/>
    <xf numFmtId="0" fontId="140" fillId="0" borderId="98" xfId="1" applyFont="1" applyBorder="1"/>
    <xf numFmtId="0" fontId="140" fillId="0" borderId="59" xfId="1" applyFont="1" applyBorder="1"/>
    <xf numFmtId="0" fontId="65" fillId="2" borderId="8" xfId="1" applyFont="1" applyFill="1" applyBorder="1" applyAlignment="1">
      <alignment horizontal="center"/>
    </xf>
    <xf numFmtId="0" fontId="65" fillId="2" borderId="9" xfId="1" applyFont="1" applyFill="1" applyBorder="1" applyAlignment="1">
      <alignment horizontal="center"/>
    </xf>
    <xf numFmtId="0" fontId="65" fillId="2" borderId="108" xfId="1" applyFont="1" applyFill="1" applyBorder="1" applyAlignment="1">
      <alignment horizontal="center"/>
    </xf>
    <xf numFmtId="166" fontId="7" fillId="2" borderId="74" xfId="1" applyNumberFormat="1" applyFont="1" applyFill="1" applyBorder="1" applyAlignment="1">
      <alignment horizontal="center" vertical="center"/>
    </xf>
    <xf numFmtId="0" fontId="104" fillId="0" borderId="75" xfId="1" applyFont="1" applyBorder="1"/>
    <xf numFmtId="0" fontId="104" fillId="0" borderId="98" xfId="1" applyFont="1" applyBorder="1"/>
    <xf numFmtId="0" fontId="104" fillId="0" borderId="99" xfId="1" applyFont="1" applyBorder="1"/>
    <xf numFmtId="166" fontId="3" fillId="2" borderId="75" xfId="1" applyNumberFormat="1" applyFont="1" applyFill="1" applyBorder="1" applyAlignment="1">
      <alignment horizontal="center" vertical="center"/>
    </xf>
    <xf numFmtId="0" fontId="1" fillId="0" borderId="99" xfId="1" applyFont="1" applyBorder="1"/>
    <xf numFmtId="0" fontId="65" fillId="5" borderId="22" xfId="1" applyFont="1" applyFill="1" applyBorder="1" applyAlignment="1">
      <alignment horizontal="center"/>
    </xf>
    <xf numFmtId="0" fontId="65" fillId="5" borderId="1" xfId="1" applyFont="1" applyFill="1" applyBorder="1" applyAlignment="1">
      <alignment horizontal="center"/>
    </xf>
    <xf numFmtId="0" fontId="65" fillId="5" borderId="33" xfId="1" applyFont="1" applyFill="1" applyBorder="1" applyAlignment="1">
      <alignment horizontal="center"/>
    </xf>
    <xf numFmtId="166" fontId="65" fillId="2" borderId="37" xfId="1" applyNumberFormat="1" applyFont="1" applyFill="1" applyBorder="1" applyAlignment="1">
      <alignment horizontal="center" vertical="center"/>
    </xf>
    <xf numFmtId="166" fontId="65" fillId="2" borderId="19" xfId="1" applyNumberFormat="1" applyFont="1" applyFill="1" applyBorder="1" applyAlignment="1">
      <alignment horizontal="center" vertical="center"/>
    </xf>
    <xf numFmtId="166" fontId="131" fillId="2" borderId="37" xfId="1" applyNumberFormat="1" applyFont="1" applyFill="1" applyBorder="1" applyAlignment="1">
      <alignment horizontal="center" vertical="center"/>
    </xf>
    <xf numFmtId="166" fontId="131" fillId="2" borderId="19" xfId="1" applyNumberFormat="1" applyFont="1" applyFill="1" applyBorder="1" applyAlignment="1">
      <alignment horizontal="center" vertical="center"/>
    </xf>
    <xf numFmtId="166" fontId="65" fillId="2" borderId="37" xfId="1" quotePrefix="1" applyNumberFormat="1" applyFont="1" applyFill="1" applyBorder="1" applyAlignment="1">
      <alignment horizontal="center" vertical="center"/>
    </xf>
    <xf numFmtId="166" fontId="65" fillId="2" borderId="19" xfId="1" quotePrefix="1" applyNumberFormat="1" applyFont="1" applyFill="1" applyBorder="1" applyAlignment="1">
      <alignment horizontal="center" vertical="center"/>
    </xf>
    <xf numFmtId="166" fontId="65" fillId="2" borderId="10" xfId="1" applyNumberFormat="1" applyFont="1" applyFill="1" applyBorder="1" applyAlignment="1">
      <alignment horizontal="center" vertical="center"/>
    </xf>
    <xf numFmtId="166" fontId="65" fillId="2" borderId="15" xfId="1" applyNumberFormat="1" applyFont="1" applyFill="1" applyBorder="1" applyAlignment="1">
      <alignment horizontal="center" vertical="center"/>
    </xf>
    <xf numFmtId="0" fontId="65" fillId="5" borderId="0" xfId="1" applyFont="1" applyFill="1" applyBorder="1" applyAlignment="1">
      <alignment horizontal="center" vertical="center" readingOrder="1"/>
    </xf>
    <xf numFmtId="0" fontId="65" fillId="5" borderId="25" xfId="1" applyFont="1" applyFill="1" applyBorder="1" applyAlignment="1">
      <alignment horizontal="center" vertical="center" readingOrder="1"/>
    </xf>
    <xf numFmtId="0" fontId="7" fillId="0" borderId="7" xfId="1" applyFont="1" applyBorder="1" applyAlignment="1">
      <alignment horizontal="center" vertical="center"/>
    </xf>
    <xf numFmtId="0" fontId="65" fillId="0" borderId="0" xfId="1" applyFont="1" applyFill="1" applyBorder="1" applyAlignment="1">
      <alignment horizontal="center" vertical="center" readingOrder="1"/>
    </xf>
    <xf numFmtId="0" fontId="65" fillId="0" borderId="25" xfId="1" applyFont="1" applyFill="1" applyBorder="1" applyAlignment="1">
      <alignment horizontal="center" vertical="center" readingOrder="1"/>
    </xf>
    <xf numFmtId="0" fontId="7" fillId="5" borderId="21" xfId="1" applyFont="1" applyFill="1" applyBorder="1" applyAlignment="1">
      <alignment horizontal="center" vertical="center"/>
    </xf>
    <xf numFmtId="0" fontId="7" fillId="5" borderId="1" xfId="1" applyFont="1" applyFill="1" applyBorder="1" applyAlignment="1">
      <alignment horizontal="center" vertical="center"/>
    </xf>
    <xf numFmtId="0" fontId="65" fillId="5" borderId="1" xfId="1" applyFont="1" applyFill="1" applyBorder="1" applyAlignment="1">
      <alignment horizontal="center" vertical="center" readingOrder="1"/>
    </xf>
    <xf numFmtId="0" fontId="65" fillId="5" borderId="33" xfId="1" applyFont="1" applyFill="1" applyBorder="1" applyAlignment="1">
      <alignment horizontal="center" vertical="center" readingOrder="1"/>
    </xf>
    <xf numFmtId="0" fontId="35" fillId="2" borderId="5" xfId="0" applyFont="1" applyFill="1" applyBorder="1" applyAlignment="1">
      <alignment horizontal="center" vertical="center"/>
    </xf>
    <xf numFmtId="0" fontId="35" fillId="2" borderId="19" xfId="0" applyFont="1" applyFill="1" applyBorder="1" applyAlignment="1">
      <alignment horizontal="center" vertical="center"/>
    </xf>
    <xf numFmtId="0" fontId="35" fillId="2" borderId="5" xfId="1" applyFont="1" applyFill="1" applyBorder="1" applyAlignment="1">
      <alignment horizontal="center" vertical="center"/>
    </xf>
    <xf numFmtId="0" fontId="35" fillId="2" borderId="11" xfId="1" applyFont="1" applyFill="1" applyBorder="1" applyAlignment="1">
      <alignment horizontal="center" vertical="center"/>
    </xf>
    <xf numFmtId="0" fontId="35" fillId="2" borderId="19" xfId="1" applyFont="1" applyFill="1" applyBorder="1" applyAlignment="1">
      <alignment horizontal="center" vertical="center"/>
    </xf>
    <xf numFmtId="0" fontId="7" fillId="2" borderId="2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7" fillId="2" borderId="42" xfId="1" applyFont="1" applyFill="1" applyBorder="1" applyAlignment="1">
      <alignment horizontal="center" vertical="center"/>
    </xf>
    <xf numFmtId="0" fontId="35" fillId="2" borderId="4" xfId="1" applyFont="1" applyFill="1" applyBorder="1" applyAlignment="1">
      <alignment horizontal="center" vertical="center"/>
    </xf>
    <xf numFmtId="0" fontId="35" fillId="2" borderId="0" xfId="1" applyFont="1" applyFill="1" applyBorder="1" applyAlignment="1">
      <alignment horizontal="center" vertical="center"/>
    </xf>
    <xf numFmtId="0" fontId="35" fillId="2" borderId="14" xfId="1" applyFont="1" applyFill="1" applyBorder="1" applyAlignment="1">
      <alignment horizontal="center" vertical="center"/>
    </xf>
    <xf numFmtId="0" fontId="35" fillId="2" borderId="26" xfId="1" applyFont="1" applyFill="1" applyBorder="1" applyAlignment="1">
      <alignment horizontal="center" vertical="center"/>
    </xf>
    <xf numFmtId="0" fontId="35" fillId="2" borderId="16" xfId="1" applyFont="1" applyFill="1" applyBorder="1" applyAlignment="1">
      <alignment horizontal="center" vertical="center"/>
    </xf>
    <xf numFmtId="0" fontId="35" fillId="2" borderId="13" xfId="1" applyFont="1" applyFill="1" applyBorder="1" applyAlignment="1">
      <alignment horizontal="center" vertical="center"/>
    </xf>
    <xf numFmtId="0" fontId="35" fillId="2" borderId="42" xfId="1" applyFont="1" applyFill="1" applyBorder="1" applyAlignment="1">
      <alignment horizontal="center" vertical="center"/>
    </xf>
    <xf numFmtId="0" fontId="35" fillId="2" borderId="17" xfId="1" applyFont="1" applyFill="1" applyBorder="1" applyAlignment="1">
      <alignment horizontal="center" vertical="center"/>
    </xf>
    <xf numFmtId="0" fontId="35" fillId="2" borderId="15" xfId="1" applyFont="1" applyFill="1" applyBorder="1" applyAlignment="1">
      <alignment horizontal="center" vertical="center"/>
    </xf>
    <xf numFmtId="0" fontId="35" fillId="2" borderId="3" xfId="1" applyFont="1" applyFill="1" applyBorder="1" applyAlignment="1">
      <alignment horizontal="center" vertical="center"/>
    </xf>
    <xf numFmtId="0" fontId="35" fillId="2" borderId="47" xfId="1" applyFont="1" applyFill="1" applyBorder="1" applyAlignment="1">
      <alignment horizontal="center" vertical="center"/>
    </xf>
    <xf numFmtId="0" fontId="35" fillId="2" borderId="91" xfId="1" applyFont="1" applyFill="1" applyBorder="1" applyAlignment="1">
      <alignment horizontal="center" vertical="center"/>
    </xf>
    <xf numFmtId="0" fontId="70" fillId="7" borderId="149" xfId="0" applyFont="1" applyFill="1" applyBorder="1" applyAlignment="1">
      <alignment horizontal="center" vertical="center"/>
    </xf>
    <xf numFmtId="0" fontId="70" fillId="7" borderId="78" xfId="0" applyFont="1" applyFill="1" applyBorder="1" applyAlignment="1">
      <alignment horizontal="center" vertical="center"/>
    </xf>
    <xf numFmtId="0" fontId="70" fillId="7" borderId="163" xfId="0" applyFont="1" applyFill="1" applyBorder="1" applyAlignment="1">
      <alignment horizontal="center" vertical="center"/>
    </xf>
    <xf numFmtId="0" fontId="173" fillId="0" borderId="0" xfId="0" applyFont="1" applyAlignment="1">
      <alignment horizontal="center" vertical="center"/>
    </xf>
    <xf numFmtId="0" fontId="37" fillId="0" borderId="0" xfId="0" applyFont="1" applyBorder="1" applyAlignment="1">
      <alignment horizontal="right" vertical="center" readingOrder="2"/>
    </xf>
    <xf numFmtId="0" fontId="70" fillId="7" borderId="151" xfId="0" applyFont="1" applyFill="1" applyBorder="1" applyAlignment="1">
      <alignment horizontal="center" vertical="center"/>
    </xf>
    <xf numFmtId="0" fontId="70" fillId="7" borderId="52" xfId="0" applyFont="1" applyFill="1" applyBorder="1" applyAlignment="1">
      <alignment horizontal="center" vertical="center"/>
    </xf>
    <xf numFmtId="0" fontId="70" fillId="7" borderId="150" xfId="0" applyFont="1" applyFill="1" applyBorder="1" applyAlignment="1">
      <alignment horizontal="center" vertical="center"/>
    </xf>
    <xf numFmtId="0" fontId="70" fillId="7" borderId="30" xfId="0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center" vertical="center"/>
    </xf>
    <xf numFmtId="0" fontId="70" fillId="7" borderId="80" xfId="0" applyFont="1" applyFill="1" applyBorder="1" applyAlignment="1">
      <alignment horizontal="center" vertical="center"/>
    </xf>
    <xf numFmtId="0" fontId="70" fillId="7" borderId="143" xfId="0" applyFont="1" applyFill="1" applyBorder="1" applyAlignment="1">
      <alignment horizontal="center" vertical="center"/>
    </xf>
    <xf numFmtId="0" fontId="70" fillId="7" borderId="89" xfId="0" applyFont="1" applyFill="1" applyBorder="1" applyAlignment="1">
      <alignment horizontal="center" vertical="center"/>
    </xf>
    <xf numFmtId="0" fontId="70" fillId="7" borderId="142" xfId="0" applyFont="1" applyFill="1" applyBorder="1" applyAlignment="1">
      <alignment horizontal="center" vertical="center"/>
    </xf>
    <xf numFmtId="0" fontId="70" fillId="7" borderId="48" xfId="0" applyFont="1" applyFill="1" applyBorder="1" applyAlignment="1">
      <alignment horizontal="center" vertical="center"/>
    </xf>
    <xf numFmtId="0" fontId="70" fillId="7" borderId="4" xfId="0" applyFont="1" applyFill="1" applyBorder="1" applyAlignment="1">
      <alignment horizontal="center" vertical="center"/>
    </xf>
    <xf numFmtId="0" fontId="70" fillId="7" borderId="27" xfId="0" applyFont="1" applyFill="1" applyBorder="1" applyAlignment="1">
      <alignment horizontal="center" vertical="center"/>
    </xf>
    <xf numFmtId="0" fontId="70" fillId="7" borderId="79" xfId="0" applyFont="1" applyFill="1" applyBorder="1" applyAlignment="1">
      <alignment horizontal="center" vertical="center"/>
    </xf>
    <xf numFmtId="0" fontId="70" fillId="7" borderId="25" xfId="0" applyFont="1" applyFill="1" applyBorder="1" applyAlignment="1">
      <alignment horizontal="center" vertical="center"/>
    </xf>
    <xf numFmtId="0" fontId="70" fillId="7" borderId="141" xfId="0" applyFont="1" applyFill="1" applyBorder="1" applyAlignment="1">
      <alignment horizontal="center" vertical="center"/>
    </xf>
    <xf numFmtId="0" fontId="70" fillId="7" borderId="114" xfId="0" applyFont="1" applyFill="1" applyBorder="1" applyAlignment="1">
      <alignment horizontal="center" vertical="center"/>
    </xf>
    <xf numFmtId="0" fontId="2" fillId="0" borderId="0" xfId="9" applyFont="1" applyAlignment="1">
      <alignment horizontal="center" vertical="center"/>
    </xf>
    <xf numFmtId="0" fontId="24" fillId="0" borderId="0" xfId="9" applyFont="1" applyAlignment="1">
      <alignment horizontal="center" vertical="center"/>
    </xf>
    <xf numFmtId="0" fontId="20" fillId="0" borderId="0" xfId="0" applyFont="1" applyBorder="1" applyAlignment="1">
      <alignment horizontal="right" readingOrder="1"/>
    </xf>
    <xf numFmtId="0" fontId="20" fillId="0" borderId="0" xfId="0" applyFont="1" applyBorder="1" applyAlignment="1">
      <alignment readingOrder="1"/>
    </xf>
    <xf numFmtId="0" fontId="7" fillId="0" borderId="0" xfId="0" applyFont="1" applyAlignment="1">
      <alignment horizontal="right" vertical="center" readingOrder="1"/>
    </xf>
  </cellXfs>
  <cellStyles count="16">
    <cellStyle name="Comma 2" xfId="6"/>
    <cellStyle name="Comma 3" xfId="8"/>
    <cellStyle name="Comma 4" xfId="14"/>
    <cellStyle name="Currency" xfId="15" builtinId="4"/>
    <cellStyle name="Currency 2" xfId="7"/>
    <cellStyle name="Hyperlink" xfId="11" builtinId="8"/>
    <cellStyle name="Normal" xfId="0" builtinId="0"/>
    <cellStyle name="Normal 2" xfId="1"/>
    <cellStyle name="Normal 2 2" xfId="9"/>
    <cellStyle name="Normal 3" xfId="2"/>
    <cellStyle name="Normal 4" xfId="3"/>
    <cellStyle name="Normal 5" xfId="4"/>
    <cellStyle name="Normal 6" xfId="5"/>
    <cellStyle name="Normal 7" xfId="10"/>
    <cellStyle name="Normal 8" xfId="12"/>
    <cellStyle name="Percent 2" xfId="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English!A1"/><Relationship Id="rId1" Type="http://schemas.openxmlformats.org/officeDocument/2006/relationships/hyperlink" Target="#Arabic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595778</xdr:colOff>
      <xdr:row>3</xdr:row>
      <xdr:rowOff>266700</xdr:rowOff>
    </xdr:to>
    <xdr:pic>
      <xdr:nvPicPr>
        <xdr:cNvPr id="2" name="Picture 1" descr="Central_Bank_of_Jordan_logo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0" y="0"/>
          <a:ext cx="1367303" cy="1409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335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335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152939</xdr:rowOff>
    </xdr:from>
    <xdr:ext cx="13462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462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08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208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081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081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0</xdr:colOff>
      <xdr:row>93</xdr:row>
      <xdr:rowOff>0</xdr:rowOff>
    </xdr:from>
    <xdr:to>
      <xdr:col>39</xdr:col>
      <xdr:colOff>0</xdr:colOff>
      <xdr:row>93</xdr:row>
      <xdr:rowOff>0</xdr:rowOff>
    </xdr:to>
    <xdr:sp macro="" textlink="">
      <xdr:nvSpPr>
        <xdr:cNvPr id="2" name="Rectangle 13"/>
        <xdr:cNvSpPr>
          <a:spLocks noChangeArrowheads="1"/>
        </xdr:cNvSpPr>
      </xdr:nvSpPr>
      <xdr:spPr bwMode="auto">
        <a:xfrm>
          <a:off x="24584025" y="361188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0</xdr:col>
      <xdr:colOff>0</xdr:colOff>
      <xdr:row>0</xdr:row>
      <xdr:rowOff>0</xdr:rowOff>
    </xdr:from>
    <xdr:ext cx="1358900" cy="483722"/>
    <xdr:sp macro="" textlink="">
      <xdr:nvSpPr>
        <xdr:cNvPr id="3" name="Rectangle 2">
          <a:hlinkClick xmlns:r="http://schemas.openxmlformats.org/officeDocument/2006/relationships" r:id="rId1"/>
        </xdr:cNvPr>
        <xdr:cNvSpPr/>
      </xdr:nvSpPr>
      <xdr:spPr>
        <a:xfrm>
          <a:off x="0" y="0"/>
          <a:ext cx="13589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71600" cy="483722"/>
    <xdr:sp macro="" textlink="">
      <xdr:nvSpPr>
        <xdr:cNvPr id="4" name="Rectangle 3">
          <a:hlinkClick xmlns:r="http://schemas.openxmlformats.org/officeDocument/2006/relationships" r:id="rId2"/>
        </xdr:cNvPr>
        <xdr:cNvSpPr/>
      </xdr:nvSpPr>
      <xdr:spPr>
        <a:xfrm>
          <a:off x="0" y="533939"/>
          <a:ext cx="13716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67</xdr:row>
      <xdr:rowOff>0</xdr:rowOff>
    </xdr:from>
    <xdr:to>
      <xdr:col>7</xdr:col>
      <xdr:colOff>523875</xdr:colOff>
      <xdr:row>67</xdr:row>
      <xdr:rowOff>0</xdr:rowOff>
    </xdr:to>
    <xdr:sp macro="" textlink="">
      <xdr:nvSpPr>
        <xdr:cNvPr id="2" name="Oval 2"/>
        <xdr:cNvSpPr>
          <a:spLocks noChangeArrowheads="1"/>
        </xdr:cNvSpPr>
      </xdr:nvSpPr>
      <xdr:spPr bwMode="auto">
        <a:xfrm>
          <a:off x="3924300" y="258413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0</xdr:col>
      <xdr:colOff>0</xdr:colOff>
      <xdr:row>0</xdr:row>
      <xdr:rowOff>0</xdr:rowOff>
    </xdr:from>
    <xdr:ext cx="1409700" cy="483722"/>
    <xdr:sp macro="" textlink="">
      <xdr:nvSpPr>
        <xdr:cNvPr id="3" name="Rectangle 2">
          <a:hlinkClick xmlns:r="http://schemas.openxmlformats.org/officeDocument/2006/relationships" r:id="rId1"/>
        </xdr:cNvPr>
        <xdr:cNvSpPr/>
      </xdr:nvSpPr>
      <xdr:spPr>
        <a:xfrm>
          <a:off x="0" y="0"/>
          <a:ext cx="14097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97000" cy="483722"/>
    <xdr:sp macro="" textlink="">
      <xdr:nvSpPr>
        <xdr:cNvPr id="4" name="Rectangle 3">
          <a:hlinkClick xmlns:r="http://schemas.openxmlformats.org/officeDocument/2006/relationships" r:id="rId2"/>
        </xdr:cNvPr>
        <xdr:cNvSpPr/>
      </xdr:nvSpPr>
      <xdr:spPr>
        <a:xfrm>
          <a:off x="0" y="533939"/>
          <a:ext cx="1397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  <xdr:twoCellAnchor>
    <xdr:from>
      <xdr:col>5</xdr:col>
      <xdr:colOff>552450</xdr:colOff>
      <xdr:row>67</xdr:row>
      <xdr:rowOff>0</xdr:rowOff>
    </xdr:from>
    <xdr:to>
      <xdr:col>5</xdr:col>
      <xdr:colOff>523875</xdr:colOff>
      <xdr:row>67</xdr:row>
      <xdr:rowOff>0</xdr:rowOff>
    </xdr:to>
    <xdr:sp macro="" textlink="">
      <xdr:nvSpPr>
        <xdr:cNvPr id="5" name="Oval 2"/>
        <xdr:cNvSpPr>
          <a:spLocks noChangeArrowheads="1"/>
        </xdr:cNvSpPr>
      </xdr:nvSpPr>
      <xdr:spPr bwMode="auto">
        <a:xfrm>
          <a:off x="3924300" y="258413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552450</xdr:colOff>
      <xdr:row>67</xdr:row>
      <xdr:rowOff>0</xdr:rowOff>
    </xdr:from>
    <xdr:to>
      <xdr:col>4</xdr:col>
      <xdr:colOff>523875</xdr:colOff>
      <xdr:row>67</xdr:row>
      <xdr:rowOff>0</xdr:rowOff>
    </xdr:to>
    <xdr:sp macro="" textlink="">
      <xdr:nvSpPr>
        <xdr:cNvPr id="6" name="Oval 2"/>
        <xdr:cNvSpPr>
          <a:spLocks noChangeArrowheads="1"/>
        </xdr:cNvSpPr>
      </xdr:nvSpPr>
      <xdr:spPr bwMode="auto">
        <a:xfrm>
          <a:off x="3924300" y="258413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970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97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4224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4224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539</xdr:rowOff>
    </xdr:from>
    <xdr:ext cx="13843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08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208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51339</xdr:rowOff>
    </xdr:from>
    <xdr:ext cx="12954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2954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76739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335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335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335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335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3695700</xdr:colOff>
      <xdr:row>0</xdr:row>
      <xdr:rowOff>0</xdr:rowOff>
    </xdr:from>
    <xdr:to>
      <xdr:col>3</xdr:col>
      <xdr:colOff>5063003</xdr:colOff>
      <xdr:row>3</xdr:row>
      <xdr:rowOff>266700</xdr:rowOff>
    </xdr:to>
    <xdr:pic>
      <xdr:nvPicPr>
        <xdr:cNvPr id="2" name="Picture 1" descr="Central_Bank_of_Jordan_logo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62625" y="0"/>
          <a:ext cx="1367303" cy="14097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94324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94324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4937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404937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297655</xdr:rowOff>
    </xdr:from>
    <xdr:ext cx="1416844" cy="392907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59593"/>
          <a:ext cx="1416844" cy="392907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95288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140970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3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140970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462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462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462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462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4" name="Rectangle 3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165100</xdr:rowOff>
    </xdr:from>
    <xdr:ext cx="1386000" cy="699622"/>
    <xdr:sp macro="" textlink="">
      <xdr:nvSpPr>
        <xdr:cNvPr id="5" name="Rectangle 4">
          <a:hlinkClick xmlns:r="http://schemas.openxmlformats.org/officeDocument/2006/relationships" r:id="rId2"/>
        </xdr:cNvPr>
        <xdr:cNvSpPr/>
      </xdr:nvSpPr>
      <xdr:spPr>
        <a:xfrm>
          <a:off x="0" y="546100"/>
          <a:ext cx="1386000" cy="6996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970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97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43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182247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12700</xdr:colOff>
      <xdr:row>2</xdr:row>
      <xdr:rowOff>152939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1"/>
        </xdr:cNvPr>
        <xdr:cNvSpPr/>
      </xdr:nvSpPr>
      <xdr:spPr>
        <a:xfrm>
          <a:off x="1270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8" name="Rectangle 7">
          <a:hlinkClick xmlns:r="http://schemas.openxmlformats.org/officeDocument/2006/relationships" r:id="rId2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335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335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98510</xdr:rowOff>
    </xdr:from>
    <xdr:ext cx="13335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335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1131302030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1131301860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0</xdr:row>
      <xdr:rowOff>0</xdr:rowOff>
    </xdr:from>
    <xdr:ext cx="1506682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1" y="0"/>
          <a:ext cx="1506682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1</xdr:colOff>
      <xdr:row>3</xdr:row>
      <xdr:rowOff>225136</xdr:rowOff>
    </xdr:from>
    <xdr:ext cx="1506682" cy="55418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1" y="588818"/>
          <a:ext cx="1506682" cy="55418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241839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152400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1</xdr:col>
      <xdr:colOff>0</xdr:colOff>
      <xdr:row>2</xdr:row>
      <xdr:rowOff>102139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1524000" y="4577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76739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180153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335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335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3</xdr:row>
      <xdr:rowOff>139701</xdr:rowOff>
    </xdr:from>
    <xdr:ext cx="1333500" cy="482600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20701"/>
          <a:ext cx="1333500" cy="482600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351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4351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177800</xdr:rowOff>
    </xdr:from>
    <xdr:ext cx="1397000" cy="482600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400"/>
          <a:ext cx="1397000" cy="482600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25939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08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208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25939</xdr:rowOff>
    </xdr:from>
    <xdr:ext cx="13589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589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589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589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178339</xdr:rowOff>
    </xdr:from>
    <xdr:ext cx="13589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59339"/>
          <a:ext cx="13589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3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4:R263"/>
  <sheetViews>
    <sheetView showGridLines="0" topLeftCell="DW5" zoomScale="50" zoomScaleNormal="50" workbookViewId="0">
      <selection activeCell="X22" sqref="X22"/>
    </sheetView>
  </sheetViews>
  <sheetFormatPr defaultRowHeight="30" customHeight="1"/>
  <cols>
    <col min="1" max="1" width="9" style="1051"/>
    <col min="2" max="2" width="18.42578125" style="1047" bestFit="1" customWidth="1"/>
    <col min="3" max="3" width="11.85546875" style="1048" bestFit="1" customWidth="1"/>
    <col min="4" max="8" width="9" style="1049"/>
    <col min="9" max="9" width="15.42578125" style="1049" customWidth="1"/>
    <col min="10" max="10" width="2.7109375" style="1049" customWidth="1"/>
    <col min="11" max="11" width="5.28515625" style="1049" customWidth="1"/>
    <col min="12" max="12" width="16.7109375" style="1049" customWidth="1"/>
    <col min="13" max="13" width="3" style="1049" customWidth="1"/>
    <col min="14" max="14" width="2.42578125" style="1049" customWidth="1"/>
    <col min="15" max="15" width="8.85546875" style="1050" customWidth="1"/>
    <col min="16" max="257" width="9" style="1051"/>
    <col min="258" max="258" width="18.42578125" style="1051" bestFit="1" customWidth="1"/>
    <col min="259" max="259" width="11.85546875" style="1051" bestFit="1" customWidth="1"/>
    <col min="260" max="264" width="9" style="1051"/>
    <col min="265" max="265" width="15.42578125" style="1051" customWidth="1"/>
    <col min="266" max="266" width="2.7109375" style="1051" customWidth="1"/>
    <col min="267" max="267" width="5.28515625" style="1051" customWidth="1"/>
    <col min="268" max="268" width="16.7109375" style="1051" customWidth="1"/>
    <col min="269" max="269" width="3" style="1051" customWidth="1"/>
    <col min="270" max="270" width="2.42578125" style="1051" customWidth="1"/>
    <col min="271" max="271" width="8.85546875" style="1051" customWidth="1"/>
    <col min="272" max="513" width="9" style="1051"/>
    <col min="514" max="514" width="18.42578125" style="1051" bestFit="1" customWidth="1"/>
    <col min="515" max="515" width="11.85546875" style="1051" bestFit="1" customWidth="1"/>
    <col min="516" max="520" width="9" style="1051"/>
    <col min="521" max="521" width="15.42578125" style="1051" customWidth="1"/>
    <col min="522" max="522" width="2.7109375" style="1051" customWidth="1"/>
    <col min="523" max="523" width="5.28515625" style="1051" customWidth="1"/>
    <col min="524" max="524" width="16.7109375" style="1051" customWidth="1"/>
    <col min="525" max="525" width="3" style="1051" customWidth="1"/>
    <col min="526" max="526" width="2.42578125" style="1051" customWidth="1"/>
    <col min="527" max="527" width="8.85546875" style="1051" customWidth="1"/>
    <col min="528" max="769" width="9" style="1051"/>
    <col min="770" max="770" width="18.42578125" style="1051" bestFit="1" customWidth="1"/>
    <col min="771" max="771" width="11.85546875" style="1051" bestFit="1" customWidth="1"/>
    <col min="772" max="776" width="9" style="1051"/>
    <col min="777" max="777" width="15.42578125" style="1051" customWidth="1"/>
    <col min="778" max="778" width="2.7109375" style="1051" customWidth="1"/>
    <col min="779" max="779" width="5.28515625" style="1051" customWidth="1"/>
    <col min="780" max="780" width="16.7109375" style="1051" customWidth="1"/>
    <col min="781" max="781" width="3" style="1051" customWidth="1"/>
    <col min="782" max="782" width="2.42578125" style="1051" customWidth="1"/>
    <col min="783" max="783" width="8.85546875" style="1051" customWidth="1"/>
    <col min="784" max="1025" width="9" style="1051"/>
    <col min="1026" max="1026" width="18.42578125" style="1051" bestFit="1" customWidth="1"/>
    <col min="1027" max="1027" width="11.85546875" style="1051" bestFit="1" customWidth="1"/>
    <col min="1028" max="1032" width="9" style="1051"/>
    <col min="1033" max="1033" width="15.42578125" style="1051" customWidth="1"/>
    <col min="1034" max="1034" width="2.7109375" style="1051" customWidth="1"/>
    <col min="1035" max="1035" width="5.28515625" style="1051" customWidth="1"/>
    <col min="1036" max="1036" width="16.7109375" style="1051" customWidth="1"/>
    <col min="1037" max="1037" width="3" style="1051" customWidth="1"/>
    <col min="1038" max="1038" width="2.42578125" style="1051" customWidth="1"/>
    <col min="1039" max="1039" width="8.85546875" style="1051" customWidth="1"/>
    <col min="1040" max="1281" width="9" style="1051"/>
    <col min="1282" max="1282" width="18.42578125" style="1051" bestFit="1" customWidth="1"/>
    <col min="1283" max="1283" width="11.85546875" style="1051" bestFit="1" customWidth="1"/>
    <col min="1284" max="1288" width="9" style="1051"/>
    <col min="1289" max="1289" width="15.42578125" style="1051" customWidth="1"/>
    <col min="1290" max="1290" width="2.7109375" style="1051" customWidth="1"/>
    <col min="1291" max="1291" width="5.28515625" style="1051" customWidth="1"/>
    <col min="1292" max="1292" width="16.7109375" style="1051" customWidth="1"/>
    <col min="1293" max="1293" width="3" style="1051" customWidth="1"/>
    <col min="1294" max="1294" width="2.42578125" style="1051" customWidth="1"/>
    <col min="1295" max="1295" width="8.85546875" style="1051" customWidth="1"/>
    <col min="1296" max="1537" width="9" style="1051"/>
    <col min="1538" max="1538" width="18.42578125" style="1051" bestFit="1" customWidth="1"/>
    <col min="1539" max="1539" width="11.85546875" style="1051" bestFit="1" customWidth="1"/>
    <col min="1540" max="1544" width="9" style="1051"/>
    <col min="1545" max="1545" width="15.42578125" style="1051" customWidth="1"/>
    <col min="1546" max="1546" width="2.7109375" style="1051" customWidth="1"/>
    <col min="1547" max="1547" width="5.28515625" style="1051" customWidth="1"/>
    <col min="1548" max="1548" width="16.7109375" style="1051" customWidth="1"/>
    <col min="1549" max="1549" width="3" style="1051" customWidth="1"/>
    <col min="1550" max="1550" width="2.42578125" style="1051" customWidth="1"/>
    <col min="1551" max="1551" width="8.85546875" style="1051" customWidth="1"/>
    <col min="1552" max="1793" width="9" style="1051"/>
    <col min="1794" max="1794" width="18.42578125" style="1051" bestFit="1" customWidth="1"/>
    <col min="1795" max="1795" width="11.85546875" style="1051" bestFit="1" customWidth="1"/>
    <col min="1796" max="1800" width="9" style="1051"/>
    <col min="1801" max="1801" width="15.42578125" style="1051" customWidth="1"/>
    <col min="1802" max="1802" width="2.7109375" style="1051" customWidth="1"/>
    <col min="1803" max="1803" width="5.28515625" style="1051" customWidth="1"/>
    <col min="1804" max="1804" width="16.7109375" style="1051" customWidth="1"/>
    <col min="1805" max="1805" width="3" style="1051" customWidth="1"/>
    <col min="1806" max="1806" width="2.42578125" style="1051" customWidth="1"/>
    <col min="1807" max="1807" width="8.85546875" style="1051" customWidth="1"/>
    <col min="1808" max="2049" width="9" style="1051"/>
    <col min="2050" max="2050" width="18.42578125" style="1051" bestFit="1" customWidth="1"/>
    <col min="2051" max="2051" width="11.85546875" style="1051" bestFit="1" customWidth="1"/>
    <col min="2052" max="2056" width="9" style="1051"/>
    <col min="2057" max="2057" width="15.42578125" style="1051" customWidth="1"/>
    <col min="2058" max="2058" width="2.7109375" style="1051" customWidth="1"/>
    <col min="2059" max="2059" width="5.28515625" style="1051" customWidth="1"/>
    <col min="2060" max="2060" width="16.7109375" style="1051" customWidth="1"/>
    <col min="2061" max="2061" width="3" style="1051" customWidth="1"/>
    <col min="2062" max="2062" width="2.42578125" style="1051" customWidth="1"/>
    <col min="2063" max="2063" width="8.85546875" style="1051" customWidth="1"/>
    <col min="2064" max="2305" width="9" style="1051"/>
    <col min="2306" max="2306" width="18.42578125" style="1051" bestFit="1" customWidth="1"/>
    <col min="2307" max="2307" width="11.85546875" style="1051" bestFit="1" customWidth="1"/>
    <col min="2308" max="2312" width="9" style="1051"/>
    <col min="2313" max="2313" width="15.42578125" style="1051" customWidth="1"/>
    <col min="2314" max="2314" width="2.7109375" style="1051" customWidth="1"/>
    <col min="2315" max="2315" width="5.28515625" style="1051" customWidth="1"/>
    <col min="2316" max="2316" width="16.7109375" style="1051" customWidth="1"/>
    <col min="2317" max="2317" width="3" style="1051" customWidth="1"/>
    <col min="2318" max="2318" width="2.42578125" style="1051" customWidth="1"/>
    <col min="2319" max="2319" width="8.85546875" style="1051" customWidth="1"/>
    <col min="2320" max="2561" width="9" style="1051"/>
    <col min="2562" max="2562" width="18.42578125" style="1051" bestFit="1" customWidth="1"/>
    <col min="2563" max="2563" width="11.85546875" style="1051" bestFit="1" customWidth="1"/>
    <col min="2564" max="2568" width="9" style="1051"/>
    <col min="2569" max="2569" width="15.42578125" style="1051" customWidth="1"/>
    <col min="2570" max="2570" width="2.7109375" style="1051" customWidth="1"/>
    <col min="2571" max="2571" width="5.28515625" style="1051" customWidth="1"/>
    <col min="2572" max="2572" width="16.7109375" style="1051" customWidth="1"/>
    <col min="2573" max="2573" width="3" style="1051" customWidth="1"/>
    <col min="2574" max="2574" width="2.42578125" style="1051" customWidth="1"/>
    <col min="2575" max="2575" width="8.85546875" style="1051" customWidth="1"/>
    <col min="2576" max="2817" width="9" style="1051"/>
    <col min="2818" max="2818" width="18.42578125" style="1051" bestFit="1" customWidth="1"/>
    <col min="2819" max="2819" width="11.85546875" style="1051" bestFit="1" customWidth="1"/>
    <col min="2820" max="2824" width="9" style="1051"/>
    <col min="2825" max="2825" width="15.42578125" style="1051" customWidth="1"/>
    <col min="2826" max="2826" width="2.7109375" style="1051" customWidth="1"/>
    <col min="2827" max="2827" width="5.28515625" style="1051" customWidth="1"/>
    <col min="2828" max="2828" width="16.7109375" style="1051" customWidth="1"/>
    <col min="2829" max="2829" width="3" style="1051" customWidth="1"/>
    <col min="2830" max="2830" width="2.42578125" style="1051" customWidth="1"/>
    <col min="2831" max="2831" width="8.85546875" style="1051" customWidth="1"/>
    <col min="2832" max="3073" width="9" style="1051"/>
    <col min="3074" max="3074" width="18.42578125" style="1051" bestFit="1" customWidth="1"/>
    <col min="3075" max="3075" width="11.85546875" style="1051" bestFit="1" customWidth="1"/>
    <col min="3076" max="3080" width="9" style="1051"/>
    <col min="3081" max="3081" width="15.42578125" style="1051" customWidth="1"/>
    <col min="3082" max="3082" width="2.7109375" style="1051" customWidth="1"/>
    <col min="3083" max="3083" width="5.28515625" style="1051" customWidth="1"/>
    <col min="3084" max="3084" width="16.7109375" style="1051" customWidth="1"/>
    <col min="3085" max="3085" width="3" style="1051" customWidth="1"/>
    <col min="3086" max="3086" width="2.42578125" style="1051" customWidth="1"/>
    <col min="3087" max="3087" width="8.85546875" style="1051" customWidth="1"/>
    <col min="3088" max="3329" width="9" style="1051"/>
    <col min="3330" max="3330" width="18.42578125" style="1051" bestFit="1" customWidth="1"/>
    <col min="3331" max="3331" width="11.85546875" style="1051" bestFit="1" customWidth="1"/>
    <col min="3332" max="3336" width="9" style="1051"/>
    <col min="3337" max="3337" width="15.42578125" style="1051" customWidth="1"/>
    <col min="3338" max="3338" width="2.7109375" style="1051" customWidth="1"/>
    <col min="3339" max="3339" width="5.28515625" style="1051" customWidth="1"/>
    <col min="3340" max="3340" width="16.7109375" style="1051" customWidth="1"/>
    <col min="3341" max="3341" width="3" style="1051" customWidth="1"/>
    <col min="3342" max="3342" width="2.42578125" style="1051" customWidth="1"/>
    <col min="3343" max="3343" width="8.85546875" style="1051" customWidth="1"/>
    <col min="3344" max="3585" width="9" style="1051"/>
    <col min="3586" max="3586" width="18.42578125" style="1051" bestFit="1" customWidth="1"/>
    <col min="3587" max="3587" width="11.85546875" style="1051" bestFit="1" customWidth="1"/>
    <col min="3588" max="3592" width="9" style="1051"/>
    <col min="3593" max="3593" width="15.42578125" style="1051" customWidth="1"/>
    <col min="3594" max="3594" width="2.7109375" style="1051" customWidth="1"/>
    <col min="3595" max="3595" width="5.28515625" style="1051" customWidth="1"/>
    <col min="3596" max="3596" width="16.7109375" style="1051" customWidth="1"/>
    <col min="3597" max="3597" width="3" style="1051" customWidth="1"/>
    <col min="3598" max="3598" width="2.42578125" style="1051" customWidth="1"/>
    <col min="3599" max="3599" width="8.85546875" style="1051" customWidth="1"/>
    <col min="3600" max="3841" width="9" style="1051"/>
    <col min="3842" max="3842" width="18.42578125" style="1051" bestFit="1" customWidth="1"/>
    <col min="3843" max="3843" width="11.85546875" style="1051" bestFit="1" customWidth="1"/>
    <col min="3844" max="3848" width="9" style="1051"/>
    <col min="3849" max="3849" width="15.42578125" style="1051" customWidth="1"/>
    <col min="3850" max="3850" width="2.7109375" style="1051" customWidth="1"/>
    <col min="3851" max="3851" width="5.28515625" style="1051" customWidth="1"/>
    <col min="3852" max="3852" width="16.7109375" style="1051" customWidth="1"/>
    <col min="3853" max="3853" width="3" style="1051" customWidth="1"/>
    <col min="3854" max="3854" width="2.42578125" style="1051" customWidth="1"/>
    <col min="3855" max="3855" width="8.85546875" style="1051" customWidth="1"/>
    <col min="3856" max="4097" width="9" style="1051"/>
    <col min="4098" max="4098" width="18.42578125" style="1051" bestFit="1" customWidth="1"/>
    <col min="4099" max="4099" width="11.85546875" style="1051" bestFit="1" customWidth="1"/>
    <col min="4100" max="4104" width="9" style="1051"/>
    <col min="4105" max="4105" width="15.42578125" style="1051" customWidth="1"/>
    <col min="4106" max="4106" width="2.7109375" style="1051" customWidth="1"/>
    <col min="4107" max="4107" width="5.28515625" style="1051" customWidth="1"/>
    <col min="4108" max="4108" width="16.7109375" style="1051" customWidth="1"/>
    <col min="4109" max="4109" width="3" style="1051" customWidth="1"/>
    <col min="4110" max="4110" width="2.42578125" style="1051" customWidth="1"/>
    <col min="4111" max="4111" width="8.85546875" style="1051" customWidth="1"/>
    <col min="4112" max="4353" width="9" style="1051"/>
    <col min="4354" max="4354" width="18.42578125" style="1051" bestFit="1" customWidth="1"/>
    <col min="4355" max="4355" width="11.85546875" style="1051" bestFit="1" customWidth="1"/>
    <col min="4356" max="4360" width="9" style="1051"/>
    <col min="4361" max="4361" width="15.42578125" style="1051" customWidth="1"/>
    <col min="4362" max="4362" width="2.7109375" style="1051" customWidth="1"/>
    <col min="4363" max="4363" width="5.28515625" style="1051" customWidth="1"/>
    <col min="4364" max="4364" width="16.7109375" style="1051" customWidth="1"/>
    <col min="4365" max="4365" width="3" style="1051" customWidth="1"/>
    <col min="4366" max="4366" width="2.42578125" style="1051" customWidth="1"/>
    <col min="4367" max="4367" width="8.85546875" style="1051" customWidth="1"/>
    <col min="4368" max="4609" width="9" style="1051"/>
    <col min="4610" max="4610" width="18.42578125" style="1051" bestFit="1" customWidth="1"/>
    <col min="4611" max="4611" width="11.85546875" style="1051" bestFit="1" customWidth="1"/>
    <col min="4612" max="4616" width="9" style="1051"/>
    <col min="4617" max="4617" width="15.42578125" style="1051" customWidth="1"/>
    <col min="4618" max="4618" width="2.7109375" style="1051" customWidth="1"/>
    <col min="4619" max="4619" width="5.28515625" style="1051" customWidth="1"/>
    <col min="4620" max="4620" width="16.7109375" style="1051" customWidth="1"/>
    <col min="4621" max="4621" width="3" style="1051" customWidth="1"/>
    <col min="4622" max="4622" width="2.42578125" style="1051" customWidth="1"/>
    <col min="4623" max="4623" width="8.85546875" style="1051" customWidth="1"/>
    <col min="4624" max="4865" width="9" style="1051"/>
    <col min="4866" max="4866" width="18.42578125" style="1051" bestFit="1" customWidth="1"/>
    <col min="4867" max="4867" width="11.85546875" style="1051" bestFit="1" customWidth="1"/>
    <col min="4868" max="4872" width="9" style="1051"/>
    <col min="4873" max="4873" width="15.42578125" style="1051" customWidth="1"/>
    <col min="4874" max="4874" width="2.7109375" style="1051" customWidth="1"/>
    <col min="4875" max="4875" width="5.28515625" style="1051" customWidth="1"/>
    <col min="4876" max="4876" width="16.7109375" style="1051" customWidth="1"/>
    <col min="4877" max="4877" width="3" style="1051" customWidth="1"/>
    <col min="4878" max="4878" width="2.42578125" style="1051" customWidth="1"/>
    <col min="4879" max="4879" width="8.85546875" style="1051" customWidth="1"/>
    <col min="4880" max="5121" width="9" style="1051"/>
    <col min="5122" max="5122" width="18.42578125" style="1051" bestFit="1" customWidth="1"/>
    <col min="5123" max="5123" width="11.85546875" style="1051" bestFit="1" customWidth="1"/>
    <col min="5124" max="5128" width="9" style="1051"/>
    <col min="5129" max="5129" width="15.42578125" style="1051" customWidth="1"/>
    <col min="5130" max="5130" width="2.7109375" style="1051" customWidth="1"/>
    <col min="5131" max="5131" width="5.28515625" style="1051" customWidth="1"/>
    <col min="5132" max="5132" width="16.7109375" style="1051" customWidth="1"/>
    <col min="5133" max="5133" width="3" style="1051" customWidth="1"/>
    <col min="5134" max="5134" width="2.42578125" style="1051" customWidth="1"/>
    <col min="5135" max="5135" width="8.85546875" style="1051" customWidth="1"/>
    <col min="5136" max="5377" width="9" style="1051"/>
    <col min="5378" max="5378" width="18.42578125" style="1051" bestFit="1" customWidth="1"/>
    <col min="5379" max="5379" width="11.85546875" style="1051" bestFit="1" customWidth="1"/>
    <col min="5380" max="5384" width="9" style="1051"/>
    <col min="5385" max="5385" width="15.42578125" style="1051" customWidth="1"/>
    <col min="5386" max="5386" width="2.7109375" style="1051" customWidth="1"/>
    <col min="5387" max="5387" width="5.28515625" style="1051" customWidth="1"/>
    <col min="5388" max="5388" width="16.7109375" style="1051" customWidth="1"/>
    <col min="5389" max="5389" width="3" style="1051" customWidth="1"/>
    <col min="5390" max="5390" width="2.42578125" style="1051" customWidth="1"/>
    <col min="5391" max="5391" width="8.85546875" style="1051" customWidth="1"/>
    <col min="5392" max="5633" width="9" style="1051"/>
    <col min="5634" max="5634" width="18.42578125" style="1051" bestFit="1" customWidth="1"/>
    <col min="5635" max="5635" width="11.85546875" style="1051" bestFit="1" customWidth="1"/>
    <col min="5636" max="5640" width="9" style="1051"/>
    <col min="5641" max="5641" width="15.42578125" style="1051" customWidth="1"/>
    <col min="5642" max="5642" width="2.7109375" style="1051" customWidth="1"/>
    <col min="5643" max="5643" width="5.28515625" style="1051" customWidth="1"/>
    <col min="5644" max="5644" width="16.7109375" style="1051" customWidth="1"/>
    <col min="5645" max="5645" width="3" style="1051" customWidth="1"/>
    <col min="5646" max="5646" width="2.42578125" style="1051" customWidth="1"/>
    <col min="5647" max="5647" width="8.85546875" style="1051" customWidth="1"/>
    <col min="5648" max="5889" width="9" style="1051"/>
    <col min="5890" max="5890" width="18.42578125" style="1051" bestFit="1" customWidth="1"/>
    <col min="5891" max="5891" width="11.85546875" style="1051" bestFit="1" customWidth="1"/>
    <col min="5892" max="5896" width="9" style="1051"/>
    <col min="5897" max="5897" width="15.42578125" style="1051" customWidth="1"/>
    <col min="5898" max="5898" width="2.7109375" style="1051" customWidth="1"/>
    <col min="5899" max="5899" width="5.28515625" style="1051" customWidth="1"/>
    <col min="5900" max="5900" width="16.7109375" style="1051" customWidth="1"/>
    <col min="5901" max="5901" width="3" style="1051" customWidth="1"/>
    <col min="5902" max="5902" width="2.42578125" style="1051" customWidth="1"/>
    <col min="5903" max="5903" width="8.85546875" style="1051" customWidth="1"/>
    <col min="5904" max="6145" width="9" style="1051"/>
    <col min="6146" max="6146" width="18.42578125" style="1051" bestFit="1" customWidth="1"/>
    <col min="6147" max="6147" width="11.85546875" style="1051" bestFit="1" customWidth="1"/>
    <col min="6148" max="6152" width="9" style="1051"/>
    <col min="6153" max="6153" width="15.42578125" style="1051" customWidth="1"/>
    <col min="6154" max="6154" width="2.7109375" style="1051" customWidth="1"/>
    <col min="6155" max="6155" width="5.28515625" style="1051" customWidth="1"/>
    <col min="6156" max="6156" width="16.7109375" style="1051" customWidth="1"/>
    <col min="6157" max="6157" width="3" style="1051" customWidth="1"/>
    <col min="6158" max="6158" width="2.42578125" style="1051" customWidth="1"/>
    <col min="6159" max="6159" width="8.85546875" style="1051" customWidth="1"/>
    <col min="6160" max="6401" width="9" style="1051"/>
    <col min="6402" max="6402" width="18.42578125" style="1051" bestFit="1" customWidth="1"/>
    <col min="6403" max="6403" width="11.85546875" style="1051" bestFit="1" customWidth="1"/>
    <col min="6404" max="6408" width="9" style="1051"/>
    <col min="6409" max="6409" width="15.42578125" style="1051" customWidth="1"/>
    <col min="6410" max="6410" width="2.7109375" style="1051" customWidth="1"/>
    <col min="6411" max="6411" width="5.28515625" style="1051" customWidth="1"/>
    <col min="6412" max="6412" width="16.7109375" style="1051" customWidth="1"/>
    <col min="6413" max="6413" width="3" style="1051" customWidth="1"/>
    <col min="6414" max="6414" width="2.42578125" style="1051" customWidth="1"/>
    <col min="6415" max="6415" width="8.85546875" style="1051" customWidth="1"/>
    <col min="6416" max="6657" width="9" style="1051"/>
    <col min="6658" max="6658" width="18.42578125" style="1051" bestFit="1" customWidth="1"/>
    <col min="6659" max="6659" width="11.85546875" style="1051" bestFit="1" customWidth="1"/>
    <col min="6660" max="6664" width="9" style="1051"/>
    <col min="6665" max="6665" width="15.42578125" style="1051" customWidth="1"/>
    <col min="6666" max="6666" width="2.7109375" style="1051" customWidth="1"/>
    <col min="6667" max="6667" width="5.28515625" style="1051" customWidth="1"/>
    <col min="6668" max="6668" width="16.7109375" style="1051" customWidth="1"/>
    <col min="6669" max="6669" width="3" style="1051" customWidth="1"/>
    <col min="6670" max="6670" width="2.42578125" style="1051" customWidth="1"/>
    <col min="6671" max="6671" width="8.85546875" style="1051" customWidth="1"/>
    <col min="6672" max="6913" width="9" style="1051"/>
    <col min="6914" max="6914" width="18.42578125" style="1051" bestFit="1" customWidth="1"/>
    <col min="6915" max="6915" width="11.85546875" style="1051" bestFit="1" customWidth="1"/>
    <col min="6916" max="6920" width="9" style="1051"/>
    <col min="6921" max="6921" width="15.42578125" style="1051" customWidth="1"/>
    <col min="6922" max="6922" width="2.7109375" style="1051" customWidth="1"/>
    <col min="6923" max="6923" width="5.28515625" style="1051" customWidth="1"/>
    <col min="6924" max="6924" width="16.7109375" style="1051" customWidth="1"/>
    <col min="6925" max="6925" width="3" style="1051" customWidth="1"/>
    <col min="6926" max="6926" width="2.42578125" style="1051" customWidth="1"/>
    <col min="6927" max="6927" width="8.85546875" style="1051" customWidth="1"/>
    <col min="6928" max="7169" width="9" style="1051"/>
    <col min="7170" max="7170" width="18.42578125" style="1051" bestFit="1" customWidth="1"/>
    <col min="7171" max="7171" width="11.85546875" style="1051" bestFit="1" customWidth="1"/>
    <col min="7172" max="7176" width="9" style="1051"/>
    <col min="7177" max="7177" width="15.42578125" style="1051" customWidth="1"/>
    <col min="7178" max="7178" width="2.7109375" style="1051" customWidth="1"/>
    <col min="7179" max="7179" width="5.28515625" style="1051" customWidth="1"/>
    <col min="7180" max="7180" width="16.7109375" style="1051" customWidth="1"/>
    <col min="7181" max="7181" width="3" style="1051" customWidth="1"/>
    <col min="7182" max="7182" width="2.42578125" style="1051" customWidth="1"/>
    <col min="7183" max="7183" width="8.85546875" style="1051" customWidth="1"/>
    <col min="7184" max="7425" width="9" style="1051"/>
    <col min="7426" max="7426" width="18.42578125" style="1051" bestFit="1" customWidth="1"/>
    <col min="7427" max="7427" width="11.85546875" style="1051" bestFit="1" customWidth="1"/>
    <col min="7428" max="7432" width="9" style="1051"/>
    <col min="7433" max="7433" width="15.42578125" style="1051" customWidth="1"/>
    <col min="7434" max="7434" width="2.7109375" style="1051" customWidth="1"/>
    <col min="7435" max="7435" width="5.28515625" style="1051" customWidth="1"/>
    <col min="7436" max="7436" width="16.7109375" style="1051" customWidth="1"/>
    <col min="7437" max="7437" width="3" style="1051" customWidth="1"/>
    <col min="7438" max="7438" width="2.42578125" style="1051" customWidth="1"/>
    <col min="7439" max="7439" width="8.85546875" style="1051" customWidth="1"/>
    <col min="7440" max="7681" width="9" style="1051"/>
    <col min="7682" max="7682" width="18.42578125" style="1051" bestFit="1" customWidth="1"/>
    <col min="7683" max="7683" width="11.85546875" style="1051" bestFit="1" customWidth="1"/>
    <col min="7684" max="7688" width="9" style="1051"/>
    <col min="7689" max="7689" width="15.42578125" style="1051" customWidth="1"/>
    <col min="7690" max="7690" width="2.7109375" style="1051" customWidth="1"/>
    <col min="7691" max="7691" width="5.28515625" style="1051" customWidth="1"/>
    <col min="7692" max="7692" width="16.7109375" style="1051" customWidth="1"/>
    <col min="7693" max="7693" width="3" style="1051" customWidth="1"/>
    <col min="7694" max="7694" width="2.42578125" style="1051" customWidth="1"/>
    <col min="7695" max="7695" width="8.85546875" style="1051" customWidth="1"/>
    <col min="7696" max="7937" width="9" style="1051"/>
    <col min="7938" max="7938" width="18.42578125" style="1051" bestFit="1" customWidth="1"/>
    <col min="7939" max="7939" width="11.85546875" style="1051" bestFit="1" customWidth="1"/>
    <col min="7940" max="7944" width="9" style="1051"/>
    <col min="7945" max="7945" width="15.42578125" style="1051" customWidth="1"/>
    <col min="7946" max="7946" width="2.7109375" style="1051" customWidth="1"/>
    <col min="7947" max="7947" width="5.28515625" style="1051" customWidth="1"/>
    <col min="7948" max="7948" width="16.7109375" style="1051" customWidth="1"/>
    <col min="7949" max="7949" width="3" style="1051" customWidth="1"/>
    <col min="7950" max="7950" width="2.42578125" style="1051" customWidth="1"/>
    <col min="7951" max="7951" width="8.85546875" style="1051" customWidth="1"/>
    <col min="7952" max="8193" width="9" style="1051"/>
    <col min="8194" max="8194" width="18.42578125" style="1051" bestFit="1" customWidth="1"/>
    <col min="8195" max="8195" width="11.85546875" style="1051" bestFit="1" customWidth="1"/>
    <col min="8196" max="8200" width="9" style="1051"/>
    <col min="8201" max="8201" width="15.42578125" style="1051" customWidth="1"/>
    <col min="8202" max="8202" width="2.7109375" style="1051" customWidth="1"/>
    <col min="8203" max="8203" width="5.28515625" style="1051" customWidth="1"/>
    <col min="8204" max="8204" width="16.7109375" style="1051" customWidth="1"/>
    <col min="8205" max="8205" width="3" style="1051" customWidth="1"/>
    <col min="8206" max="8206" width="2.42578125" style="1051" customWidth="1"/>
    <col min="8207" max="8207" width="8.85546875" style="1051" customWidth="1"/>
    <col min="8208" max="8449" width="9" style="1051"/>
    <col min="8450" max="8450" width="18.42578125" style="1051" bestFit="1" customWidth="1"/>
    <col min="8451" max="8451" width="11.85546875" style="1051" bestFit="1" customWidth="1"/>
    <col min="8452" max="8456" width="9" style="1051"/>
    <col min="8457" max="8457" width="15.42578125" style="1051" customWidth="1"/>
    <col min="8458" max="8458" width="2.7109375" style="1051" customWidth="1"/>
    <col min="8459" max="8459" width="5.28515625" style="1051" customWidth="1"/>
    <col min="8460" max="8460" width="16.7109375" style="1051" customWidth="1"/>
    <col min="8461" max="8461" width="3" style="1051" customWidth="1"/>
    <col min="8462" max="8462" width="2.42578125" style="1051" customWidth="1"/>
    <col min="8463" max="8463" width="8.85546875" style="1051" customWidth="1"/>
    <col min="8464" max="8705" width="9" style="1051"/>
    <col min="8706" max="8706" width="18.42578125" style="1051" bestFit="1" customWidth="1"/>
    <col min="8707" max="8707" width="11.85546875" style="1051" bestFit="1" customWidth="1"/>
    <col min="8708" max="8712" width="9" style="1051"/>
    <col min="8713" max="8713" width="15.42578125" style="1051" customWidth="1"/>
    <col min="8714" max="8714" width="2.7109375" style="1051" customWidth="1"/>
    <col min="8715" max="8715" width="5.28515625" style="1051" customWidth="1"/>
    <col min="8716" max="8716" width="16.7109375" style="1051" customWidth="1"/>
    <col min="8717" max="8717" width="3" style="1051" customWidth="1"/>
    <col min="8718" max="8718" width="2.42578125" style="1051" customWidth="1"/>
    <col min="8719" max="8719" width="8.85546875" style="1051" customWidth="1"/>
    <col min="8720" max="8961" width="9" style="1051"/>
    <col min="8962" max="8962" width="18.42578125" style="1051" bestFit="1" customWidth="1"/>
    <col min="8963" max="8963" width="11.85546875" style="1051" bestFit="1" customWidth="1"/>
    <col min="8964" max="8968" width="9" style="1051"/>
    <col min="8969" max="8969" width="15.42578125" style="1051" customWidth="1"/>
    <col min="8970" max="8970" width="2.7109375" style="1051" customWidth="1"/>
    <col min="8971" max="8971" width="5.28515625" style="1051" customWidth="1"/>
    <col min="8972" max="8972" width="16.7109375" style="1051" customWidth="1"/>
    <col min="8973" max="8973" width="3" style="1051" customWidth="1"/>
    <col min="8974" max="8974" width="2.42578125" style="1051" customWidth="1"/>
    <col min="8975" max="8975" width="8.85546875" style="1051" customWidth="1"/>
    <col min="8976" max="9217" width="9" style="1051"/>
    <col min="9218" max="9218" width="18.42578125" style="1051" bestFit="1" customWidth="1"/>
    <col min="9219" max="9219" width="11.85546875" style="1051" bestFit="1" customWidth="1"/>
    <col min="9220" max="9224" width="9" style="1051"/>
    <col min="9225" max="9225" width="15.42578125" style="1051" customWidth="1"/>
    <col min="9226" max="9226" width="2.7109375" style="1051" customWidth="1"/>
    <col min="9227" max="9227" width="5.28515625" style="1051" customWidth="1"/>
    <col min="9228" max="9228" width="16.7109375" style="1051" customWidth="1"/>
    <col min="9229" max="9229" width="3" style="1051" customWidth="1"/>
    <col min="9230" max="9230" width="2.42578125" style="1051" customWidth="1"/>
    <col min="9231" max="9231" width="8.85546875" style="1051" customWidth="1"/>
    <col min="9232" max="9473" width="9" style="1051"/>
    <col min="9474" max="9474" width="18.42578125" style="1051" bestFit="1" customWidth="1"/>
    <col min="9475" max="9475" width="11.85546875" style="1051" bestFit="1" customWidth="1"/>
    <col min="9476" max="9480" width="9" style="1051"/>
    <col min="9481" max="9481" width="15.42578125" style="1051" customWidth="1"/>
    <col min="9482" max="9482" width="2.7109375" style="1051" customWidth="1"/>
    <col min="9483" max="9483" width="5.28515625" style="1051" customWidth="1"/>
    <col min="9484" max="9484" width="16.7109375" style="1051" customWidth="1"/>
    <col min="9485" max="9485" width="3" style="1051" customWidth="1"/>
    <col min="9486" max="9486" width="2.42578125" style="1051" customWidth="1"/>
    <col min="9487" max="9487" width="8.85546875" style="1051" customWidth="1"/>
    <col min="9488" max="9729" width="9" style="1051"/>
    <col min="9730" max="9730" width="18.42578125" style="1051" bestFit="1" customWidth="1"/>
    <col min="9731" max="9731" width="11.85546875" style="1051" bestFit="1" customWidth="1"/>
    <col min="9732" max="9736" width="9" style="1051"/>
    <col min="9737" max="9737" width="15.42578125" style="1051" customWidth="1"/>
    <col min="9738" max="9738" width="2.7109375" style="1051" customWidth="1"/>
    <col min="9739" max="9739" width="5.28515625" style="1051" customWidth="1"/>
    <col min="9740" max="9740" width="16.7109375" style="1051" customWidth="1"/>
    <col min="9741" max="9741" width="3" style="1051" customWidth="1"/>
    <col min="9742" max="9742" width="2.42578125" style="1051" customWidth="1"/>
    <col min="9743" max="9743" width="8.85546875" style="1051" customWidth="1"/>
    <col min="9744" max="9985" width="9" style="1051"/>
    <col min="9986" max="9986" width="18.42578125" style="1051" bestFit="1" customWidth="1"/>
    <col min="9987" max="9987" width="11.85546875" style="1051" bestFit="1" customWidth="1"/>
    <col min="9988" max="9992" width="9" style="1051"/>
    <col min="9993" max="9993" width="15.42578125" style="1051" customWidth="1"/>
    <col min="9994" max="9994" width="2.7109375" style="1051" customWidth="1"/>
    <col min="9995" max="9995" width="5.28515625" style="1051" customWidth="1"/>
    <col min="9996" max="9996" width="16.7109375" style="1051" customWidth="1"/>
    <col min="9997" max="9997" width="3" style="1051" customWidth="1"/>
    <col min="9998" max="9998" width="2.42578125" style="1051" customWidth="1"/>
    <col min="9999" max="9999" width="8.85546875" style="1051" customWidth="1"/>
    <col min="10000" max="10241" width="9" style="1051"/>
    <col min="10242" max="10242" width="18.42578125" style="1051" bestFit="1" customWidth="1"/>
    <col min="10243" max="10243" width="11.85546875" style="1051" bestFit="1" customWidth="1"/>
    <col min="10244" max="10248" width="9" style="1051"/>
    <col min="10249" max="10249" width="15.42578125" style="1051" customWidth="1"/>
    <col min="10250" max="10250" width="2.7109375" style="1051" customWidth="1"/>
    <col min="10251" max="10251" width="5.28515625" style="1051" customWidth="1"/>
    <col min="10252" max="10252" width="16.7109375" style="1051" customWidth="1"/>
    <col min="10253" max="10253" width="3" style="1051" customWidth="1"/>
    <col min="10254" max="10254" width="2.42578125" style="1051" customWidth="1"/>
    <col min="10255" max="10255" width="8.85546875" style="1051" customWidth="1"/>
    <col min="10256" max="10497" width="9" style="1051"/>
    <col min="10498" max="10498" width="18.42578125" style="1051" bestFit="1" customWidth="1"/>
    <col min="10499" max="10499" width="11.85546875" style="1051" bestFit="1" customWidth="1"/>
    <col min="10500" max="10504" width="9" style="1051"/>
    <col min="10505" max="10505" width="15.42578125" style="1051" customWidth="1"/>
    <col min="10506" max="10506" width="2.7109375" style="1051" customWidth="1"/>
    <col min="10507" max="10507" width="5.28515625" style="1051" customWidth="1"/>
    <col min="10508" max="10508" width="16.7109375" style="1051" customWidth="1"/>
    <col min="10509" max="10509" width="3" style="1051" customWidth="1"/>
    <col min="10510" max="10510" width="2.42578125" style="1051" customWidth="1"/>
    <col min="10511" max="10511" width="8.85546875" style="1051" customWidth="1"/>
    <col min="10512" max="10753" width="9" style="1051"/>
    <col min="10754" max="10754" width="18.42578125" style="1051" bestFit="1" customWidth="1"/>
    <col min="10755" max="10755" width="11.85546875" style="1051" bestFit="1" customWidth="1"/>
    <col min="10756" max="10760" width="9" style="1051"/>
    <col min="10761" max="10761" width="15.42578125" style="1051" customWidth="1"/>
    <col min="10762" max="10762" width="2.7109375" style="1051" customWidth="1"/>
    <col min="10763" max="10763" width="5.28515625" style="1051" customWidth="1"/>
    <col min="10764" max="10764" width="16.7109375" style="1051" customWidth="1"/>
    <col min="10765" max="10765" width="3" style="1051" customWidth="1"/>
    <col min="10766" max="10766" width="2.42578125" style="1051" customWidth="1"/>
    <col min="10767" max="10767" width="8.85546875" style="1051" customWidth="1"/>
    <col min="10768" max="11009" width="9" style="1051"/>
    <col min="11010" max="11010" width="18.42578125" style="1051" bestFit="1" customWidth="1"/>
    <col min="11011" max="11011" width="11.85546875" style="1051" bestFit="1" customWidth="1"/>
    <col min="11012" max="11016" width="9" style="1051"/>
    <col min="11017" max="11017" width="15.42578125" style="1051" customWidth="1"/>
    <col min="11018" max="11018" width="2.7109375" style="1051" customWidth="1"/>
    <col min="11019" max="11019" width="5.28515625" style="1051" customWidth="1"/>
    <col min="11020" max="11020" width="16.7109375" style="1051" customWidth="1"/>
    <col min="11021" max="11021" width="3" style="1051" customWidth="1"/>
    <col min="11022" max="11022" width="2.42578125" style="1051" customWidth="1"/>
    <col min="11023" max="11023" width="8.85546875" style="1051" customWidth="1"/>
    <col min="11024" max="11265" width="9" style="1051"/>
    <col min="11266" max="11266" width="18.42578125" style="1051" bestFit="1" customWidth="1"/>
    <col min="11267" max="11267" width="11.85546875" style="1051" bestFit="1" customWidth="1"/>
    <col min="11268" max="11272" width="9" style="1051"/>
    <col min="11273" max="11273" width="15.42578125" style="1051" customWidth="1"/>
    <col min="11274" max="11274" width="2.7109375" style="1051" customWidth="1"/>
    <col min="11275" max="11275" width="5.28515625" style="1051" customWidth="1"/>
    <col min="11276" max="11276" width="16.7109375" style="1051" customWidth="1"/>
    <col min="11277" max="11277" width="3" style="1051" customWidth="1"/>
    <col min="11278" max="11278" width="2.42578125" style="1051" customWidth="1"/>
    <col min="11279" max="11279" width="8.85546875" style="1051" customWidth="1"/>
    <col min="11280" max="11521" width="9" style="1051"/>
    <col min="11522" max="11522" width="18.42578125" style="1051" bestFit="1" customWidth="1"/>
    <col min="11523" max="11523" width="11.85546875" style="1051" bestFit="1" customWidth="1"/>
    <col min="11524" max="11528" width="9" style="1051"/>
    <col min="11529" max="11529" width="15.42578125" style="1051" customWidth="1"/>
    <col min="11530" max="11530" width="2.7109375" style="1051" customWidth="1"/>
    <col min="11531" max="11531" width="5.28515625" style="1051" customWidth="1"/>
    <col min="11532" max="11532" width="16.7109375" style="1051" customWidth="1"/>
    <col min="11533" max="11533" width="3" style="1051" customWidth="1"/>
    <col min="11534" max="11534" width="2.42578125" style="1051" customWidth="1"/>
    <col min="11535" max="11535" width="8.85546875" style="1051" customWidth="1"/>
    <col min="11536" max="11777" width="9" style="1051"/>
    <col min="11778" max="11778" width="18.42578125" style="1051" bestFit="1" customWidth="1"/>
    <col min="11779" max="11779" width="11.85546875" style="1051" bestFit="1" customWidth="1"/>
    <col min="11780" max="11784" width="9" style="1051"/>
    <col min="11785" max="11785" width="15.42578125" style="1051" customWidth="1"/>
    <col min="11786" max="11786" width="2.7109375" style="1051" customWidth="1"/>
    <col min="11787" max="11787" width="5.28515625" style="1051" customWidth="1"/>
    <col min="11788" max="11788" width="16.7109375" style="1051" customWidth="1"/>
    <col min="11789" max="11789" width="3" style="1051" customWidth="1"/>
    <col min="11790" max="11790" width="2.42578125" style="1051" customWidth="1"/>
    <col min="11791" max="11791" width="8.85546875" style="1051" customWidth="1"/>
    <col min="11792" max="12033" width="9" style="1051"/>
    <col min="12034" max="12034" width="18.42578125" style="1051" bestFit="1" customWidth="1"/>
    <col min="12035" max="12035" width="11.85546875" style="1051" bestFit="1" customWidth="1"/>
    <col min="12036" max="12040" width="9" style="1051"/>
    <col min="12041" max="12041" width="15.42578125" style="1051" customWidth="1"/>
    <col min="12042" max="12042" width="2.7109375" style="1051" customWidth="1"/>
    <col min="12043" max="12043" width="5.28515625" style="1051" customWidth="1"/>
    <col min="12044" max="12044" width="16.7109375" style="1051" customWidth="1"/>
    <col min="12045" max="12045" width="3" style="1051" customWidth="1"/>
    <col min="12046" max="12046" width="2.42578125" style="1051" customWidth="1"/>
    <col min="12047" max="12047" width="8.85546875" style="1051" customWidth="1"/>
    <col min="12048" max="12289" width="9" style="1051"/>
    <col min="12290" max="12290" width="18.42578125" style="1051" bestFit="1" customWidth="1"/>
    <col min="12291" max="12291" width="11.85546875" style="1051" bestFit="1" customWidth="1"/>
    <col min="12292" max="12296" width="9" style="1051"/>
    <col min="12297" max="12297" width="15.42578125" style="1051" customWidth="1"/>
    <col min="12298" max="12298" width="2.7109375" style="1051" customWidth="1"/>
    <col min="12299" max="12299" width="5.28515625" style="1051" customWidth="1"/>
    <col min="12300" max="12300" width="16.7109375" style="1051" customWidth="1"/>
    <col min="12301" max="12301" width="3" style="1051" customWidth="1"/>
    <col min="12302" max="12302" width="2.42578125" style="1051" customWidth="1"/>
    <col min="12303" max="12303" width="8.85546875" style="1051" customWidth="1"/>
    <col min="12304" max="12545" width="9" style="1051"/>
    <col min="12546" max="12546" width="18.42578125" style="1051" bestFit="1" customWidth="1"/>
    <col min="12547" max="12547" width="11.85546875" style="1051" bestFit="1" customWidth="1"/>
    <col min="12548" max="12552" width="9" style="1051"/>
    <col min="12553" max="12553" width="15.42578125" style="1051" customWidth="1"/>
    <col min="12554" max="12554" width="2.7109375" style="1051" customWidth="1"/>
    <col min="12555" max="12555" width="5.28515625" style="1051" customWidth="1"/>
    <col min="12556" max="12556" width="16.7109375" style="1051" customWidth="1"/>
    <col min="12557" max="12557" width="3" style="1051" customWidth="1"/>
    <col min="12558" max="12558" width="2.42578125" style="1051" customWidth="1"/>
    <col min="12559" max="12559" width="8.85546875" style="1051" customWidth="1"/>
    <col min="12560" max="12801" width="9" style="1051"/>
    <col min="12802" max="12802" width="18.42578125" style="1051" bestFit="1" customWidth="1"/>
    <col min="12803" max="12803" width="11.85546875" style="1051" bestFit="1" customWidth="1"/>
    <col min="12804" max="12808" width="9" style="1051"/>
    <col min="12809" max="12809" width="15.42578125" style="1051" customWidth="1"/>
    <col min="12810" max="12810" width="2.7109375" style="1051" customWidth="1"/>
    <col min="12811" max="12811" width="5.28515625" style="1051" customWidth="1"/>
    <col min="12812" max="12812" width="16.7109375" style="1051" customWidth="1"/>
    <col min="12813" max="12813" width="3" style="1051" customWidth="1"/>
    <col min="12814" max="12814" width="2.42578125" style="1051" customWidth="1"/>
    <col min="12815" max="12815" width="8.85546875" style="1051" customWidth="1"/>
    <col min="12816" max="13057" width="9" style="1051"/>
    <col min="13058" max="13058" width="18.42578125" style="1051" bestFit="1" customWidth="1"/>
    <col min="13059" max="13059" width="11.85546875" style="1051" bestFit="1" customWidth="1"/>
    <col min="13060" max="13064" width="9" style="1051"/>
    <col min="13065" max="13065" width="15.42578125" style="1051" customWidth="1"/>
    <col min="13066" max="13066" width="2.7109375" style="1051" customWidth="1"/>
    <col min="13067" max="13067" width="5.28515625" style="1051" customWidth="1"/>
    <col min="13068" max="13068" width="16.7109375" style="1051" customWidth="1"/>
    <col min="13069" max="13069" width="3" style="1051" customWidth="1"/>
    <col min="13070" max="13070" width="2.42578125" style="1051" customWidth="1"/>
    <col min="13071" max="13071" width="8.85546875" style="1051" customWidth="1"/>
    <col min="13072" max="13313" width="9" style="1051"/>
    <col min="13314" max="13314" width="18.42578125" style="1051" bestFit="1" customWidth="1"/>
    <col min="13315" max="13315" width="11.85546875" style="1051" bestFit="1" customWidth="1"/>
    <col min="13316" max="13320" width="9" style="1051"/>
    <col min="13321" max="13321" width="15.42578125" style="1051" customWidth="1"/>
    <col min="13322" max="13322" width="2.7109375" style="1051" customWidth="1"/>
    <col min="13323" max="13323" width="5.28515625" style="1051" customWidth="1"/>
    <col min="13324" max="13324" width="16.7109375" style="1051" customWidth="1"/>
    <col min="13325" max="13325" width="3" style="1051" customWidth="1"/>
    <col min="13326" max="13326" width="2.42578125" style="1051" customWidth="1"/>
    <col min="13327" max="13327" width="8.85546875" style="1051" customWidth="1"/>
    <col min="13328" max="13569" width="9" style="1051"/>
    <col min="13570" max="13570" width="18.42578125" style="1051" bestFit="1" customWidth="1"/>
    <col min="13571" max="13571" width="11.85546875" style="1051" bestFit="1" customWidth="1"/>
    <col min="13572" max="13576" width="9" style="1051"/>
    <col min="13577" max="13577" width="15.42578125" style="1051" customWidth="1"/>
    <col min="13578" max="13578" width="2.7109375" style="1051" customWidth="1"/>
    <col min="13579" max="13579" width="5.28515625" style="1051" customWidth="1"/>
    <col min="13580" max="13580" width="16.7109375" style="1051" customWidth="1"/>
    <col min="13581" max="13581" width="3" style="1051" customWidth="1"/>
    <col min="13582" max="13582" width="2.42578125" style="1051" customWidth="1"/>
    <col min="13583" max="13583" width="8.85546875" style="1051" customWidth="1"/>
    <col min="13584" max="13825" width="9" style="1051"/>
    <col min="13826" max="13826" width="18.42578125" style="1051" bestFit="1" customWidth="1"/>
    <col min="13827" max="13827" width="11.85546875" style="1051" bestFit="1" customWidth="1"/>
    <col min="13828" max="13832" width="9" style="1051"/>
    <col min="13833" max="13833" width="15.42578125" style="1051" customWidth="1"/>
    <col min="13834" max="13834" width="2.7109375" style="1051" customWidth="1"/>
    <col min="13835" max="13835" width="5.28515625" style="1051" customWidth="1"/>
    <col min="13836" max="13836" width="16.7109375" style="1051" customWidth="1"/>
    <col min="13837" max="13837" width="3" style="1051" customWidth="1"/>
    <col min="13838" max="13838" width="2.42578125" style="1051" customWidth="1"/>
    <col min="13839" max="13839" width="8.85546875" style="1051" customWidth="1"/>
    <col min="13840" max="14081" width="9" style="1051"/>
    <col min="14082" max="14082" width="18.42578125" style="1051" bestFit="1" customWidth="1"/>
    <col min="14083" max="14083" width="11.85546875" style="1051" bestFit="1" customWidth="1"/>
    <col min="14084" max="14088" width="9" style="1051"/>
    <col min="14089" max="14089" width="15.42578125" style="1051" customWidth="1"/>
    <col min="14090" max="14090" width="2.7109375" style="1051" customWidth="1"/>
    <col min="14091" max="14091" width="5.28515625" style="1051" customWidth="1"/>
    <col min="14092" max="14092" width="16.7109375" style="1051" customWidth="1"/>
    <col min="14093" max="14093" width="3" style="1051" customWidth="1"/>
    <col min="14094" max="14094" width="2.42578125" style="1051" customWidth="1"/>
    <col min="14095" max="14095" width="8.85546875" style="1051" customWidth="1"/>
    <col min="14096" max="14337" width="9" style="1051"/>
    <col min="14338" max="14338" width="18.42578125" style="1051" bestFit="1" customWidth="1"/>
    <col min="14339" max="14339" width="11.85546875" style="1051" bestFit="1" customWidth="1"/>
    <col min="14340" max="14344" width="9" style="1051"/>
    <col min="14345" max="14345" width="15.42578125" style="1051" customWidth="1"/>
    <col min="14346" max="14346" width="2.7109375" style="1051" customWidth="1"/>
    <col min="14347" max="14347" width="5.28515625" style="1051" customWidth="1"/>
    <col min="14348" max="14348" width="16.7109375" style="1051" customWidth="1"/>
    <col min="14349" max="14349" width="3" style="1051" customWidth="1"/>
    <col min="14350" max="14350" width="2.42578125" style="1051" customWidth="1"/>
    <col min="14351" max="14351" width="8.85546875" style="1051" customWidth="1"/>
    <col min="14352" max="14593" width="9" style="1051"/>
    <col min="14594" max="14594" width="18.42578125" style="1051" bestFit="1" customWidth="1"/>
    <col min="14595" max="14595" width="11.85546875" style="1051" bestFit="1" customWidth="1"/>
    <col min="14596" max="14600" width="9" style="1051"/>
    <col min="14601" max="14601" width="15.42578125" style="1051" customWidth="1"/>
    <col min="14602" max="14602" width="2.7109375" style="1051" customWidth="1"/>
    <col min="14603" max="14603" width="5.28515625" style="1051" customWidth="1"/>
    <col min="14604" max="14604" width="16.7109375" style="1051" customWidth="1"/>
    <col min="14605" max="14605" width="3" style="1051" customWidth="1"/>
    <col min="14606" max="14606" width="2.42578125" style="1051" customWidth="1"/>
    <col min="14607" max="14607" width="8.85546875" style="1051" customWidth="1"/>
    <col min="14608" max="14849" width="9" style="1051"/>
    <col min="14850" max="14850" width="18.42578125" style="1051" bestFit="1" customWidth="1"/>
    <col min="14851" max="14851" width="11.85546875" style="1051" bestFit="1" customWidth="1"/>
    <col min="14852" max="14856" width="9" style="1051"/>
    <col min="14857" max="14857" width="15.42578125" style="1051" customWidth="1"/>
    <col min="14858" max="14858" width="2.7109375" style="1051" customWidth="1"/>
    <col min="14859" max="14859" width="5.28515625" style="1051" customWidth="1"/>
    <col min="14860" max="14860" width="16.7109375" style="1051" customWidth="1"/>
    <col min="14861" max="14861" width="3" style="1051" customWidth="1"/>
    <col min="14862" max="14862" width="2.42578125" style="1051" customWidth="1"/>
    <col min="14863" max="14863" width="8.85546875" style="1051" customWidth="1"/>
    <col min="14864" max="15105" width="9" style="1051"/>
    <col min="15106" max="15106" width="18.42578125" style="1051" bestFit="1" customWidth="1"/>
    <col min="15107" max="15107" width="11.85546875" style="1051" bestFit="1" customWidth="1"/>
    <col min="15108" max="15112" width="9" style="1051"/>
    <col min="15113" max="15113" width="15.42578125" style="1051" customWidth="1"/>
    <col min="15114" max="15114" width="2.7109375" style="1051" customWidth="1"/>
    <col min="15115" max="15115" width="5.28515625" style="1051" customWidth="1"/>
    <col min="15116" max="15116" width="16.7109375" style="1051" customWidth="1"/>
    <col min="15117" max="15117" width="3" style="1051" customWidth="1"/>
    <col min="15118" max="15118" width="2.42578125" style="1051" customWidth="1"/>
    <col min="15119" max="15119" width="8.85546875" style="1051" customWidth="1"/>
    <col min="15120" max="15361" width="9" style="1051"/>
    <col min="15362" max="15362" width="18.42578125" style="1051" bestFit="1" customWidth="1"/>
    <col min="15363" max="15363" width="11.85546875" style="1051" bestFit="1" customWidth="1"/>
    <col min="15364" max="15368" width="9" style="1051"/>
    <col min="15369" max="15369" width="15.42578125" style="1051" customWidth="1"/>
    <col min="15370" max="15370" width="2.7109375" style="1051" customWidth="1"/>
    <col min="15371" max="15371" width="5.28515625" style="1051" customWidth="1"/>
    <col min="15372" max="15372" width="16.7109375" style="1051" customWidth="1"/>
    <col min="15373" max="15373" width="3" style="1051" customWidth="1"/>
    <col min="15374" max="15374" width="2.42578125" style="1051" customWidth="1"/>
    <col min="15375" max="15375" width="8.85546875" style="1051" customWidth="1"/>
    <col min="15376" max="15617" width="9" style="1051"/>
    <col min="15618" max="15618" width="18.42578125" style="1051" bestFit="1" customWidth="1"/>
    <col min="15619" max="15619" width="11.85546875" style="1051" bestFit="1" customWidth="1"/>
    <col min="15620" max="15624" width="9" style="1051"/>
    <col min="15625" max="15625" width="15.42578125" style="1051" customWidth="1"/>
    <col min="15626" max="15626" width="2.7109375" style="1051" customWidth="1"/>
    <col min="15627" max="15627" width="5.28515625" style="1051" customWidth="1"/>
    <col min="15628" max="15628" width="16.7109375" style="1051" customWidth="1"/>
    <col min="15629" max="15629" width="3" style="1051" customWidth="1"/>
    <col min="15630" max="15630" width="2.42578125" style="1051" customWidth="1"/>
    <col min="15631" max="15631" width="8.85546875" style="1051" customWidth="1"/>
    <col min="15632" max="15873" width="9" style="1051"/>
    <col min="15874" max="15874" width="18.42578125" style="1051" bestFit="1" customWidth="1"/>
    <col min="15875" max="15875" width="11.85546875" style="1051" bestFit="1" customWidth="1"/>
    <col min="15876" max="15880" width="9" style="1051"/>
    <col min="15881" max="15881" width="15.42578125" style="1051" customWidth="1"/>
    <col min="15882" max="15882" width="2.7109375" style="1051" customWidth="1"/>
    <col min="15883" max="15883" width="5.28515625" style="1051" customWidth="1"/>
    <col min="15884" max="15884" width="16.7109375" style="1051" customWidth="1"/>
    <col min="15885" max="15885" width="3" style="1051" customWidth="1"/>
    <col min="15886" max="15886" width="2.42578125" style="1051" customWidth="1"/>
    <col min="15887" max="15887" width="8.85546875" style="1051" customWidth="1"/>
    <col min="15888" max="16129" width="9" style="1051"/>
    <col min="16130" max="16130" width="18.42578125" style="1051" bestFit="1" customWidth="1"/>
    <col min="16131" max="16131" width="11.85546875" style="1051" bestFit="1" customWidth="1"/>
    <col min="16132" max="16136" width="9" style="1051"/>
    <col min="16137" max="16137" width="15.42578125" style="1051" customWidth="1"/>
    <col min="16138" max="16138" width="2.7109375" style="1051" customWidth="1"/>
    <col min="16139" max="16139" width="5.28515625" style="1051" customWidth="1"/>
    <col min="16140" max="16140" width="16.7109375" style="1051" customWidth="1"/>
    <col min="16141" max="16141" width="3" style="1051" customWidth="1"/>
    <col min="16142" max="16142" width="2.42578125" style="1051" customWidth="1"/>
    <col min="16143" max="16143" width="8.85546875" style="1051" customWidth="1"/>
    <col min="16144" max="16384" width="9" style="1051"/>
  </cols>
  <sheetData>
    <row r="4" spans="2:16" ht="30" customHeight="1" thickBot="1"/>
    <row r="5" spans="2:16" ht="30" customHeight="1" thickTop="1">
      <c r="B5" s="1052"/>
      <c r="C5" s="1053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1056"/>
    </row>
    <row r="6" spans="2:16" ht="37.5">
      <c r="B6" s="1057"/>
      <c r="C6" s="4594" t="s">
        <v>2561</v>
      </c>
      <c r="D6" s="4594"/>
      <c r="E6" s="4594"/>
      <c r="F6" s="4594"/>
      <c r="G6" s="4594"/>
      <c r="H6" s="4594"/>
      <c r="I6" s="4594"/>
      <c r="J6" s="4594"/>
      <c r="K6" s="4594"/>
      <c r="L6" s="4594"/>
      <c r="M6" s="4594"/>
      <c r="N6" s="4594"/>
      <c r="O6" s="4594"/>
      <c r="P6" s="1058"/>
    </row>
    <row r="7" spans="2:16" ht="30" customHeight="1">
      <c r="B7" s="1059"/>
      <c r="C7" s="1060"/>
      <c r="D7" s="1061"/>
      <c r="E7" s="1061"/>
      <c r="F7" s="1061"/>
      <c r="G7" s="1061"/>
      <c r="H7" s="1061"/>
      <c r="I7" s="1061"/>
      <c r="J7" s="1061"/>
      <c r="K7" s="1061"/>
      <c r="L7" s="1061"/>
      <c r="M7" s="1061"/>
      <c r="N7" s="1061"/>
      <c r="O7" s="1062"/>
      <c r="P7" s="1058"/>
    </row>
    <row r="8" spans="2:16" ht="24">
      <c r="B8" s="1063"/>
      <c r="C8" s="1064"/>
      <c r="D8" s="1061"/>
      <c r="E8" s="1061"/>
      <c r="F8" s="1061"/>
      <c r="G8" s="1061"/>
      <c r="H8" s="1061"/>
      <c r="I8" s="1061"/>
      <c r="J8" s="1061"/>
      <c r="K8" s="1061"/>
      <c r="L8" s="1061"/>
      <c r="M8" s="1061"/>
      <c r="N8" s="1065"/>
      <c r="O8" s="1066"/>
      <c r="P8" s="1058"/>
    </row>
    <row r="9" spans="2:16" ht="30" customHeight="1">
      <c r="B9" s="1067"/>
      <c r="C9" s="1068"/>
      <c r="D9" s="1061"/>
      <c r="E9" s="1061"/>
      <c r="F9" s="1061"/>
      <c r="G9" s="1061"/>
      <c r="H9" s="1061"/>
      <c r="I9" s="1061"/>
      <c r="J9" s="1061"/>
      <c r="K9" s="1061"/>
      <c r="L9" s="1061"/>
      <c r="M9" s="1061"/>
      <c r="N9" s="1065"/>
      <c r="O9" s="1069"/>
      <c r="P9" s="1058"/>
    </row>
    <row r="10" spans="2:16" ht="30" customHeight="1">
      <c r="B10" s="1067"/>
      <c r="C10" s="4595" t="s">
        <v>2418</v>
      </c>
      <c r="D10" s="4595"/>
      <c r="E10" s="4595"/>
      <c r="F10" s="4595"/>
      <c r="G10" s="4595"/>
      <c r="H10" s="4595"/>
      <c r="I10" s="4595"/>
      <c r="J10" s="4595"/>
      <c r="K10" s="4595"/>
      <c r="L10" s="4595"/>
      <c r="M10" s="4595"/>
      <c r="N10" s="4595"/>
      <c r="O10" s="4595"/>
      <c r="P10" s="1058"/>
    </row>
    <row r="11" spans="2:16" ht="30" customHeight="1">
      <c r="B11" s="1070"/>
      <c r="C11" s="1068"/>
      <c r="D11" s="1071"/>
      <c r="E11" s="4593" t="s">
        <v>2419</v>
      </c>
      <c r="F11" s="4593"/>
      <c r="G11" s="4593"/>
      <c r="H11" s="4593"/>
      <c r="I11" s="4593"/>
      <c r="J11" s="4593"/>
      <c r="K11" s="4593"/>
      <c r="L11" s="4593"/>
      <c r="M11" s="4593"/>
      <c r="N11" s="4593"/>
      <c r="O11" s="1072">
        <v>1</v>
      </c>
      <c r="P11" s="1058"/>
    </row>
    <row r="12" spans="2:16" ht="30" customHeight="1">
      <c r="B12" s="1067"/>
      <c r="C12" s="1068"/>
      <c r="D12" s="1071"/>
      <c r="E12" s="4593" t="s">
        <v>2420</v>
      </c>
      <c r="F12" s="4593"/>
      <c r="G12" s="4593"/>
      <c r="H12" s="4593"/>
      <c r="I12" s="4593"/>
      <c r="J12" s="4593"/>
      <c r="K12" s="4593"/>
      <c r="L12" s="4593"/>
      <c r="M12" s="4593"/>
      <c r="N12" s="4593"/>
      <c r="O12" s="1073">
        <v>2</v>
      </c>
      <c r="P12" s="1058"/>
    </row>
    <row r="13" spans="2:16" ht="30" customHeight="1">
      <c r="B13" s="1067"/>
      <c r="C13" s="1068"/>
      <c r="D13" s="1061"/>
      <c r="E13" s="4593" t="s">
        <v>2421</v>
      </c>
      <c r="F13" s="4593"/>
      <c r="G13" s="4593"/>
      <c r="H13" s="4593"/>
      <c r="I13" s="4593"/>
      <c r="J13" s="4593"/>
      <c r="K13" s="4593"/>
      <c r="L13" s="4593"/>
      <c r="M13" s="4593"/>
      <c r="N13" s="4593"/>
      <c r="O13" s="1073">
        <f>O12+1</f>
        <v>3</v>
      </c>
      <c r="P13" s="1058"/>
    </row>
    <row r="14" spans="2:16" ht="30" customHeight="1">
      <c r="B14" s="1070"/>
      <c r="C14" s="1068"/>
      <c r="D14" s="1061"/>
      <c r="E14" s="4593" t="s">
        <v>2422</v>
      </c>
      <c r="F14" s="4593"/>
      <c r="G14" s="4593"/>
      <c r="H14" s="4593"/>
      <c r="I14" s="4593"/>
      <c r="J14" s="4593"/>
      <c r="K14" s="4593"/>
      <c r="L14" s="4593"/>
      <c r="M14" s="4593"/>
      <c r="N14" s="4593"/>
      <c r="O14" s="1073">
        <f>O13+1</f>
        <v>4</v>
      </c>
      <c r="P14" s="1058"/>
    </row>
    <row r="15" spans="2:16" ht="30" hidden="1" customHeight="1">
      <c r="B15" s="1070"/>
      <c r="C15" s="1068"/>
      <c r="D15" s="1061"/>
      <c r="E15" s="1074"/>
      <c r="F15" s="1074"/>
      <c r="G15" s="1074"/>
      <c r="H15" s="1074"/>
      <c r="I15" s="1074"/>
      <c r="J15" s="1074"/>
      <c r="K15" s="1074"/>
      <c r="L15" s="1074"/>
      <c r="M15" s="1074"/>
      <c r="N15" s="1074"/>
      <c r="O15" s="1073">
        <f t="shared" ref="O15:O25" si="0">O14+1</f>
        <v>5</v>
      </c>
      <c r="P15" s="1058"/>
    </row>
    <row r="16" spans="2:16" ht="30" hidden="1" customHeight="1">
      <c r="B16" s="1070"/>
      <c r="C16" s="1068"/>
      <c r="D16" s="1061"/>
      <c r="E16" s="1074"/>
      <c r="F16" s="1074"/>
      <c r="G16" s="1074"/>
      <c r="H16" s="1074"/>
      <c r="I16" s="1074"/>
      <c r="J16" s="1074"/>
      <c r="K16" s="1074"/>
      <c r="L16" s="1074"/>
      <c r="M16" s="1074"/>
      <c r="N16" s="1074" t="s">
        <v>2423</v>
      </c>
      <c r="O16" s="1073">
        <f>O15</f>
        <v>5</v>
      </c>
      <c r="P16" s="1058"/>
    </row>
    <row r="17" spans="2:16" ht="30" customHeight="1">
      <c r="B17" s="1067"/>
      <c r="C17" s="1068"/>
      <c r="D17" s="1061"/>
      <c r="E17" s="4593" t="s">
        <v>2424</v>
      </c>
      <c r="F17" s="4593"/>
      <c r="G17" s="4593"/>
      <c r="H17" s="4593"/>
      <c r="I17" s="4593"/>
      <c r="J17" s="4593"/>
      <c r="K17" s="4593"/>
      <c r="L17" s="4593"/>
      <c r="M17" s="4593"/>
      <c r="N17" s="4593"/>
      <c r="O17" s="1073">
        <f>O16</f>
        <v>5</v>
      </c>
      <c r="P17" s="1058"/>
    </row>
    <row r="18" spans="2:16" ht="30" customHeight="1">
      <c r="B18" s="1067"/>
      <c r="C18" s="1068"/>
      <c r="D18" s="1061"/>
      <c r="E18" s="4593" t="s">
        <v>2425</v>
      </c>
      <c r="F18" s="4593"/>
      <c r="G18" s="4593"/>
      <c r="H18" s="4593"/>
      <c r="I18" s="4593"/>
      <c r="J18" s="4593"/>
      <c r="K18" s="4593"/>
      <c r="L18" s="4593"/>
      <c r="M18" s="4593"/>
      <c r="N18" s="4593"/>
      <c r="O18" s="1073">
        <f t="shared" si="0"/>
        <v>6</v>
      </c>
      <c r="P18" s="1058"/>
    </row>
    <row r="19" spans="2:16" ht="30" customHeight="1">
      <c r="B19" s="1067"/>
      <c r="C19" s="1068"/>
      <c r="D19" s="1061"/>
      <c r="E19" s="4593" t="s">
        <v>2426</v>
      </c>
      <c r="F19" s="4593"/>
      <c r="G19" s="4593"/>
      <c r="H19" s="4593"/>
      <c r="I19" s="4593"/>
      <c r="J19" s="4593"/>
      <c r="K19" s="4593"/>
      <c r="L19" s="4593"/>
      <c r="M19" s="4593"/>
      <c r="N19" s="4593"/>
      <c r="O19" s="1073">
        <f t="shared" si="0"/>
        <v>7</v>
      </c>
      <c r="P19" s="1058"/>
    </row>
    <row r="20" spans="2:16" ht="30" customHeight="1">
      <c r="B20" s="1067"/>
      <c r="C20" s="1068"/>
      <c r="D20" s="1061"/>
      <c r="E20" s="4593" t="s">
        <v>2427</v>
      </c>
      <c r="F20" s="4593"/>
      <c r="G20" s="4593"/>
      <c r="H20" s="4593"/>
      <c r="I20" s="4593"/>
      <c r="J20" s="4593"/>
      <c r="K20" s="4593"/>
      <c r="L20" s="4593"/>
      <c r="M20" s="4593"/>
      <c r="N20" s="4593"/>
      <c r="O20" s="1073">
        <f t="shared" si="0"/>
        <v>8</v>
      </c>
      <c r="P20" s="1058"/>
    </row>
    <row r="21" spans="2:16" ht="30" customHeight="1">
      <c r="B21" s="1067"/>
      <c r="C21" s="1068"/>
      <c r="D21" s="1061"/>
      <c r="E21" s="4593" t="s">
        <v>2428</v>
      </c>
      <c r="F21" s="4593"/>
      <c r="G21" s="4593"/>
      <c r="H21" s="4593"/>
      <c r="I21" s="4593"/>
      <c r="J21" s="4593"/>
      <c r="K21" s="4593"/>
      <c r="L21" s="4593"/>
      <c r="M21" s="4593"/>
      <c r="N21" s="4593"/>
      <c r="O21" s="1073">
        <f t="shared" si="0"/>
        <v>9</v>
      </c>
      <c r="P21" s="1058"/>
    </row>
    <row r="22" spans="2:16" ht="30" customHeight="1">
      <c r="B22" s="1067"/>
      <c r="C22" s="1068"/>
      <c r="D22" s="1061"/>
      <c r="E22" s="4593" t="s">
        <v>2429</v>
      </c>
      <c r="F22" s="4593"/>
      <c r="G22" s="4593"/>
      <c r="H22" s="4593"/>
      <c r="I22" s="4593"/>
      <c r="J22" s="4593"/>
      <c r="K22" s="4593"/>
      <c r="L22" s="4593"/>
      <c r="M22" s="4593"/>
      <c r="N22" s="4593"/>
      <c r="O22" s="1073">
        <f t="shared" si="0"/>
        <v>10</v>
      </c>
      <c r="P22" s="1058"/>
    </row>
    <row r="23" spans="2:16" ht="30" customHeight="1">
      <c r="B23" s="1067"/>
      <c r="C23" s="1068"/>
      <c r="D23" s="1061"/>
      <c r="E23" s="4593" t="s">
        <v>2430</v>
      </c>
      <c r="F23" s="4593"/>
      <c r="G23" s="4593"/>
      <c r="H23" s="4593"/>
      <c r="I23" s="4593"/>
      <c r="J23" s="4593"/>
      <c r="K23" s="4593"/>
      <c r="L23" s="4593"/>
      <c r="M23" s="4593"/>
      <c r="N23" s="4593"/>
      <c r="O23" s="1073">
        <f t="shared" si="0"/>
        <v>11</v>
      </c>
      <c r="P23" s="1058"/>
    </row>
    <row r="24" spans="2:16" ht="30" customHeight="1">
      <c r="B24" s="1067"/>
      <c r="C24" s="1068"/>
      <c r="D24" s="1061"/>
      <c r="E24" s="4593" t="s">
        <v>2431</v>
      </c>
      <c r="F24" s="4593"/>
      <c r="G24" s="4593"/>
      <c r="H24" s="4593"/>
      <c r="I24" s="4593"/>
      <c r="J24" s="4593"/>
      <c r="K24" s="4593"/>
      <c r="L24" s="4593"/>
      <c r="M24" s="4593"/>
      <c r="N24" s="4593"/>
      <c r="O24" s="1073">
        <f t="shared" si="0"/>
        <v>12</v>
      </c>
      <c r="P24" s="1058"/>
    </row>
    <row r="25" spans="2:16" ht="30" customHeight="1">
      <c r="B25" s="1067"/>
      <c r="C25" s="1068"/>
      <c r="D25" s="1061"/>
      <c r="E25" s="4593" t="s">
        <v>2432</v>
      </c>
      <c r="F25" s="4593"/>
      <c r="G25" s="4593"/>
      <c r="H25" s="4593"/>
      <c r="I25" s="4593"/>
      <c r="J25" s="4593"/>
      <c r="K25" s="4593"/>
      <c r="L25" s="4593"/>
      <c r="M25" s="4593"/>
      <c r="N25" s="4593"/>
      <c r="O25" s="1073">
        <f t="shared" si="0"/>
        <v>13</v>
      </c>
      <c r="P25" s="1058"/>
    </row>
    <row r="26" spans="2:16" ht="30" customHeight="1">
      <c r="B26" s="1067"/>
      <c r="C26" s="1068"/>
      <c r="D26" s="1061"/>
      <c r="E26" s="4593" t="s">
        <v>2433</v>
      </c>
      <c r="F26" s="4593"/>
      <c r="G26" s="4593"/>
      <c r="H26" s="4593"/>
      <c r="I26" s="4593"/>
      <c r="J26" s="4593"/>
      <c r="K26" s="4593"/>
      <c r="L26" s="4593"/>
      <c r="M26" s="4593"/>
      <c r="N26" s="4593"/>
      <c r="O26" s="1073">
        <f>O24+2</f>
        <v>14</v>
      </c>
      <c r="P26" s="1058"/>
    </row>
    <row r="27" spans="2:16" ht="30" hidden="1" customHeight="1">
      <c r="B27" s="1067"/>
      <c r="C27" s="1068"/>
      <c r="D27" s="1061"/>
      <c r="E27" s="1074"/>
      <c r="F27" s="1074"/>
      <c r="G27" s="1074"/>
      <c r="H27" s="1074"/>
      <c r="I27" s="1074"/>
      <c r="J27" s="1074"/>
      <c r="K27" s="1074"/>
      <c r="L27" s="1074"/>
      <c r="M27" s="1074"/>
      <c r="N27" s="1074" t="s">
        <v>2434</v>
      </c>
      <c r="O27" s="1073">
        <f>O25+2</f>
        <v>15</v>
      </c>
      <c r="P27" s="1058"/>
    </row>
    <row r="28" spans="2:16" ht="30" customHeight="1">
      <c r="B28" s="1067"/>
      <c r="C28" s="1068"/>
      <c r="D28" s="1061"/>
      <c r="E28" s="4593" t="s">
        <v>2435</v>
      </c>
      <c r="F28" s="4593"/>
      <c r="G28" s="4593"/>
      <c r="H28" s="4593"/>
      <c r="I28" s="4593"/>
      <c r="J28" s="4593"/>
      <c r="K28" s="4593"/>
      <c r="L28" s="4593"/>
      <c r="M28" s="4593"/>
      <c r="N28" s="4593"/>
      <c r="O28" s="1073">
        <f>O26+1</f>
        <v>15</v>
      </c>
      <c r="P28" s="1058"/>
    </row>
    <row r="29" spans="2:16" ht="30" customHeight="1">
      <c r="B29" s="1067"/>
      <c r="C29" s="1068"/>
      <c r="D29" s="1061"/>
      <c r="E29" s="4593" t="s">
        <v>2436</v>
      </c>
      <c r="F29" s="4593"/>
      <c r="G29" s="4593"/>
      <c r="H29" s="4593"/>
      <c r="I29" s="4593"/>
      <c r="J29" s="4593"/>
      <c r="K29" s="4593"/>
      <c r="L29" s="4593"/>
      <c r="M29" s="4593"/>
      <c r="N29" s="4593"/>
      <c r="O29" s="1073">
        <f>O27+1</f>
        <v>16</v>
      </c>
      <c r="P29" s="1058"/>
    </row>
    <row r="30" spans="2:16" ht="30" customHeight="1">
      <c r="B30" s="1067"/>
      <c r="C30" s="1068"/>
      <c r="D30" s="1061"/>
      <c r="E30" s="1061"/>
      <c r="F30" s="1061"/>
      <c r="G30" s="1061"/>
      <c r="H30" s="1061"/>
      <c r="I30" s="1061"/>
      <c r="J30" s="1061"/>
      <c r="K30" s="1061"/>
      <c r="L30" s="1061"/>
      <c r="M30" s="1061"/>
      <c r="N30" s="1075"/>
      <c r="O30" s="1073"/>
      <c r="P30" s="1058"/>
    </row>
    <row r="31" spans="2:16" ht="30" customHeight="1">
      <c r="B31" s="1067"/>
      <c r="C31" s="4595" t="s">
        <v>2437</v>
      </c>
      <c r="D31" s="4595"/>
      <c r="E31" s="4595"/>
      <c r="F31" s="4595"/>
      <c r="G31" s="4595"/>
      <c r="H31" s="4595"/>
      <c r="I31" s="4595"/>
      <c r="J31" s="4595"/>
      <c r="K31" s="4595"/>
      <c r="L31" s="4595"/>
      <c r="M31" s="4595"/>
      <c r="N31" s="4595"/>
      <c r="O31" s="4595"/>
      <c r="P31" s="1058"/>
    </row>
    <row r="32" spans="2:16" ht="30" customHeight="1">
      <c r="B32" s="1067"/>
      <c r="C32" s="1068"/>
      <c r="D32" s="1061"/>
      <c r="E32" s="4593" t="s">
        <v>2438</v>
      </c>
      <c r="F32" s="4593"/>
      <c r="G32" s="4593"/>
      <c r="H32" s="4593"/>
      <c r="I32" s="4593"/>
      <c r="J32" s="4593"/>
      <c r="K32" s="4593"/>
      <c r="L32" s="4593"/>
      <c r="M32" s="4593"/>
      <c r="N32" s="4593"/>
      <c r="O32" s="1073">
        <f>O29+1</f>
        <v>17</v>
      </c>
      <c r="P32" s="1058"/>
    </row>
    <row r="33" spans="2:16" ht="30" customHeight="1">
      <c r="B33" s="1067"/>
      <c r="C33" s="1068"/>
      <c r="D33" s="1061"/>
      <c r="E33" s="4593" t="s">
        <v>2439</v>
      </c>
      <c r="F33" s="4593"/>
      <c r="G33" s="4593"/>
      <c r="H33" s="4593"/>
      <c r="I33" s="4593"/>
      <c r="J33" s="4593"/>
      <c r="K33" s="4593"/>
      <c r="L33" s="4593"/>
      <c r="M33" s="4593"/>
      <c r="N33" s="4593"/>
      <c r="O33" s="1073">
        <f>O32+1</f>
        <v>18</v>
      </c>
      <c r="P33" s="1058"/>
    </row>
    <row r="34" spans="2:16" ht="30" customHeight="1">
      <c r="B34" s="1067"/>
      <c r="C34" s="1068"/>
      <c r="D34" s="1061"/>
      <c r="E34" s="4593" t="s">
        <v>2440</v>
      </c>
      <c r="F34" s="4593"/>
      <c r="G34" s="4593"/>
      <c r="H34" s="4593"/>
      <c r="I34" s="4593"/>
      <c r="J34" s="4593"/>
      <c r="K34" s="4593"/>
      <c r="L34" s="4593"/>
      <c r="M34" s="4593"/>
      <c r="N34" s="4593"/>
      <c r="O34" s="1073">
        <f>O33+1</f>
        <v>19</v>
      </c>
      <c r="P34" s="1058"/>
    </row>
    <row r="35" spans="2:16" ht="30" customHeight="1">
      <c r="B35" s="1067"/>
      <c r="C35" s="1068"/>
      <c r="D35" s="1061"/>
      <c r="E35" s="1061"/>
      <c r="F35" s="1061"/>
      <c r="G35" s="1061"/>
      <c r="H35" s="1061"/>
      <c r="I35" s="1061"/>
      <c r="J35" s="1061"/>
      <c r="K35" s="1061"/>
      <c r="L35" s="1061"/>
      <c r="M35" s="1061"/>
      <c r="N35" s="1075"/>
      <c r="O35" s="1073"/>
      <c r="P35" s="1058"/>
    </row>
    <row r="36" spans="2:16" ht="30" customHeight="1">
      <c r="B36" s="1067"/>
      <c r="C36" s="4595" t="s">
        <v>2441</v>
      </c>
      <c r="D36" s="4595"/>
      <c r="E36" s="4595"/>
      <c r="F36" s="4595"/>
      <c r="G36" s="4595"/>
      <c r="H36" s="4595"/>
      <c r="I36" s="4595"/>
      <c r="J36" s="4595"/>
      <c r="K36" s="4595"/>
      <c r="L36" s="4595"/>
      <c r="M36" s="4595"/>
      <c r="N36" s="4595"/>
      <c r="O36" s="4595"/>
      <c r="P36" s="1058"/>
    </row>
    <row r="37" spans="2:16" ht="30" customHeight="1">
      <c r="B37" s="1067"/>
      <c r="C37" s="1125"/>
      <c r="D37" s="1074"/>
      <c r="E37" s="4593" t="s">
        <v>2888</v>
      </c>
      <c r="F37" s="4593"/>
      <c r="G37" s="4593"/>
      <c r="H37" s="4593"/>
      <c r="I37" s="4593"/>
      <c r="J37" s="4593"/>
      <c r="K37" s="4593"/>
      <c r="L37" s="4593"/>
      <c r="M37" s="4593"/>
      <c r="N37" s="4593"/>
      <c r="O37" s="1073">
        <v>-20</v>
      </c>
      <c r="P37" s="1058"/>
    </row>
    <row r="38" spans="2:16" ht="30" customHeight="1">
      <c r="B38" s="1067"/>
      <c r="C38" s="1125"/>
      <c r="D38" s="1074"/>
      <c r="E38" s="4593" t="s">
        <v>2889</v>
      </c>
      <c r="F38" s="4593"/>
      <c r="G38" s="4593"/>
      <c r="H38" s="4593"/>
      <c r="I38" s="4593"/>
      <c r="J38" s="4593"/>
      <c r="K38" s="4593"/>
      <c r="L38" s="4593"/>
      <c r="M38" s="4593"/>
      <c r="N38" s="4593"/>
      <c r="O38" s="1073" t="s">
        <v>2442</v>
      </c>
      <c r="P38" s="1058"/>
    </row>
    <row r="39" spans="2:16" ht="30" customHeight="1">
      <c r="B39" s="1067"/>
      <c r="C39" s="1717" t="s">
        <v>2465</v>
      </c>
      <c r="D39" s="1718" t="s">
        <v>2466</v>
      </c>
      <c r="E39" s="4596" t="s">
        <v>2890</v>
      </c>
      <c r="F39" s="4596"/>
      <c r="G39" s="4596"/>
      <c r="H39" s="4596"/>
      <c r="I39" s="4596"/>
      <c r="J39" s="4596"/>
      <c r="K39" s="4596"/>
      <c r="L39" s="4596"/>
      <c r="M39" s="4596"/>
      <c r="N39" s="4596"/>
      <c r="O39" s="1073" t="s">
        <v>2443</v>
      </c>
      <c r="P39" s="1058"/>
    </row>
    <row r="40" spans="2:16" ht="30" customHeight="1">
      <c r="B40" s="1067"/>
      <c r="C40" s="1125"/>
      <c r="D40" s="1074"/>
      <c r="E40" s="4593" t="s">
        <v>2444</v>
      </c>
      <c r="F40" s="4593"/>
      <c r="G40" s="4593"/>
      <c r="H40" s="4593"/>
      <c r="I40" s="4593"/>
      <c r="J40" s="4593"/>
      <c r="K40" s="4593"/>
      <c r="L40" s="4593"/>
      <c r="M40" s="4593"/>
      <c r="N40" s="4593"/>
      <c r="O40" s="1073">
        <f>O33+3</f>
        <v>21</v>
      </c>
      <c r="P40" s="1058"/>
    </row>
    <row r="41" spans="2:16" ht="30" customHeight="1">
      <c r="B41" s="1067"/>
      <c r="C41" s="1125"/>
      <c r="D41" s="1074"/>
      <c r="E41" s="4593" t="s">
        <v>2445</v>
      </c>
      <c r="F41" s="4593"/>
      <c r="G41" s="4593"/>
      <c r="H41" s="4593"/>
      <c r="I41" s="4593"/>
      <c r="J41" s="4593"/>
      <c r="K41" s="4593"/>
      <c r="L41" s="4593"/>
      <c r="M41" s="4593"/>
      <c r="N41" s="4593"/>
      <c r="O41" s="1073">
        <f>O40+1</f>
        <v>22</v>
      </c>
      <c r="P41" s="1058"/>
    </row>
    <row r="42" spans="2:16" ht="30" customHeight="1">
      <c r="B42" s="1067"/>
      <c r="C42" s="1125"/>
      <c r="D42" s="1074"/>
      <c r="E42" s="4593" t="s">
        <v>2446</v>
      </c>
      <c r="F42" s="4593"/>
      <c r="G42" s="4593"/>
      <c r="H42" s="4593"/>
      <c r="I42" s="4593"/>
      <c r="J42" s="4593"/>
      <c r="K42" s="4593"/>
      <c r="L42" s="4593"/>
      <c r="M42" s="4593"/>
      <c r="N42" s="4593"/>
      <c r="O42" s="1073">
        <f t="shared" ref="O42:O53" si="1">O41+1</f>
        <v>23</v>
      </c>
      <c r="P42" s="1058"/>
    </row>
    <row r="43" spans="2:16" ht="30" customHeight="1">
      <c r="B43" s="1067"/>
      <c r="C43" s="1125"/>
      <c r="D43" s="1074"/>
      <c r="E43" s="4593" t="s">
        <v>2447</v>
      </c>
      <c r="F43" s="4593"/>
      <c r="G43" s="4593"/>
      <c r="H43" s="4593"/>
      <c r="I43" s="4593"/>
      <c r="J43" s="4593"/>
      <c r="K43" s="4593"/>
      <c r="L43" s="4593"/>
      <c r="M43" s="4593"/>
      <c r="N43" s="4593"/>
      <c r="O43" s="1073">
        <f t="shared" si="1"/>
        <v>24</v>
      </c>
      <c r="P43" s="1058"/>
    </row>
    <row r="44" spans="2:16" ht="30" customHeight="1">
      <c r="B44" s="1067"/>
      <c r="C44" s="1125"/>
      <c r="D44" s="1074"/>
      <c r="E44" s="4593" t="s">
        <v>2448</v>
      </c>
      <c r="F44" s="4593"/>
      <c r="G44" s="4593"/>
      <c r="H44" s="4593"/>
      <c r="I44" s="4593"/>
      <c r="J44" s="4593"/>
      <c r="K44" s="4593"/>
      <c r="L44" s="4593"/>
      <c r="M44" s="4593"/>
      <c r="N44" s="4593"/>
      <c r="O44" s="1073">
        <f t="shared" si="1"/>
        <v>25</v>
      </c>
      <c r="P44" s="1058"/>
    </row>
    <row r="45" spans="2:16" ht="30" customHeight="1">
      <c r="B45" s="1067"/>
      <c r="C45" s="1125"/>
      <c r="D45" s="1074"/>
      <c r="E45" s="4593" t="s">
        <v>2449</v>
      </c>
      <c r="F45" s="4593"/>
      <c r="G45" s="4593"/>
      <c r="H45" s="4593"/>
      <c r="I45" s="4593"/>
      <c r="J45" s="4593"/>
      <c r="K45" s="4593"/>
      <c r="L45" s="4593"/>
      <c r="M45" s="4593"/>
      <c r="N45" s="4593"/>
      <c r="O45" s="1073">
        <f>O44+1</f>
        <v>26</v>
      </c>
      <c r="P45" s="1058"/>
    </row>
    <row r="46" spans="2:16" ht="30" customHeight="1">
      <c r="B46" s="1067"/>
      <c r="C46" s="1125"/>
      <c r="D46" s="1074"/>
      <c r="E46" s="4593" t="s">
        <v>2450</v>
      </c>
      <c r="F46" s="4593"/>
      <c r="G46" s="4593"/>
      <c r="H46" s="4593"/>
      <c r="I46" s="4593"/>
      <c r="J46" s="4593"/>
      <c r="K46" s="4593"/>
      <c r="L46" s="4593"/>
      <c r="M46" s="4593"/>
      <c r="N46" s="4593"/>
      <c r="O46" s="1073">
        <f t="shared" si="1"/>
        <v>27</v>
      </c>
      <c r="P46" s="1058"/>
    </row>
    <row r="47" spans="2:16" ht="30" customHeight="1">
      <c r="B47" s="1067"/>
      <c r="C47" s="1125"/>
      <c r="D47" s="1074"/>
      <c r="E47" s="4593" t="s">
        <v>2451</v>
      </c>
      <c r="F47" s="4593"/>
      <c r="G47" s="4593"/>
      <c r="H47" s="4593"/>
      <c r="I47" s="4593"/>
      <c r="J47" s="4593"/>
      <c r="K47" s="4593"/>
      <c r="L47" s="4593"/>
      <c r="M47" s="4593"/>
      <c r="N47" s="4593"/>
      <c r="O47" s="1073">
        <f t="shared" si="1"/>
        <v>28</v>
      </c>
      <c r="P47" s="1058"/>
    </row>
    <row r="48" spans="2:16" ht="30" customHeight="1">
      <c r="B48" s="1067"/>
      <c r="C48" s="1125"/>
      <c r="D48" s="1074"/>
      <c r="E48" s="4593" t="s">
        <v>2452</v>
      </c>
      <c r="F48" s="4593"/>
      <c r="G48" s="4593"/>
      <c r="H48" s="4593"/>
      <c r="I48" s="4593"/>
      <c r="J48" s="4593"/>
      <c r="K48" s="4593"/>
      <c r="L48" s="4593"/>
      <c r="M48" s="4593"/>
      <c r="N48" s="4593"/>
      <c r="O48" s="1073">
        <f t="shared" si="1"/>
        <v>29</v>
      </c>
      <c r="P48" s="1058"/>
    </row>
    <row r="49" spans="2:16" ht="30" customHeight="1">
      <c r="B49" s="1067"/>
      <c r="C49" s="1125"/>
      <c r="D49" s="1074"/>
      <c r="E49" s="4593" t="s">
        <v>2453</v>
      </c>
      <c r="F49" s="4593"/>
      <c r="G49" s="4593"/>
      <c r="H49" s="4593"/>
      <c r="I49" s="4593"/>
      <c r="J49" s="4593"/>
      <c r="K49" s="4593"/>
      <c r="L49" s="4593"/>
      <c r="M49" s="4593"/>
      <c r="N49" s="4593"/>
      <c r="O49" s="1073">
        <f t="shared" si="1"/>
        <v>30</v>
      </c>
      <c r="P49" s="1058"/>
    </row>
    <row r="50" spans="2:16" ht="30" customHeight="1">
      <c r="B50" s="1067"/>
      <c r="C50" s="1125"/>
      <c r="D50" s="1074"/>
      <c r="E50" s="4593" t="s">
        <v>2454</v>
      </c>
      <c r="F50" s="4593"/>
      <c r="G50" s="4593"/>
      <c r="H50" s="4593"/>
      <c r="I50" s="4593"/>
      <c r="J50" s="4593"/>
      <c r="K50" s="4593"/>
      <c r="L50" s="4593"/>
      <c r="M50" s="4593"/>
      <c r="N50" s="4593"/>
      <c r="O50" s="1073">
        <f t="shared" si="1"/>
        <v>31</v>
      </c>
      <c r="P50" s="1058"/>
    </row>
    <row r="51" spans="2:16" ht="30" customHeight="1">
      <c r="B51" s="1067"/>
      <c r="C51" s="1125"/>
      <c r="D51" s="1074"/>
      <c r="E51" s="4593" t="s">
        <v>2455</v>
      </c>
      <c r="F51" s="4593"/>
      <c r="G51" s="4593"/>
      <c r="H51" s="4593"/>
      <c r="I51" s="4593"/>
      <c r="J51" s="4593"/>
      <c r="K51" s="4593"/>
      <c r="L51" s="4593"/>
      <c r="M51" s="4593"/>
      <c r="N51" s="4593"/>
      <c r="O51" s="1073">
        <f t="shared" si="1"/>
        <v>32</v>
      </c>
      <c r="P51" s="1058"/>
    </row>
    <row r="52" spans="2:16" ht="30" customHeight="1">
      <c r="B52" s="1067"/>
      <c r="C52" s="1125"/>
      <c r="D52" s="1074"/>
      <c r="E52" s="4593" t="s">
        <v>2456</v>
      </c>
      <c r="F52" s="4593"/>
      <c r="G52" s="4593"/>
      <c r="H52" s="4593"/>
      <c r="I52" s="4593"/>
      <c r="J52" s="4593"/>
      <c r="K52" s="4593"/>
      <c r="L52" s="4593"/>
      <c r="M52" s="4593"/>
      <c r="N52" s="4593"/>
      <c r="O52" s="1073">
        <f t="shared" si="1"/>
        <v>33</v>
      </c>
      <c r="P52" s="1058"/>
    </row>
    <row r="53" spans="2:16" ht="30" customHeight="1">
      <c r="B53" s="1067"/>
      <c r="C53" s="1125"/>
      <c r="D53" s="1074"/>
      <c r="E53" s="4593" t="s">
        <v>2457</v>
      </c>
      <c r="F53" s="4593"/>
      <c r="G53" s="4593"/>
      <c r="H53" s="4593"/>
      <c r="I53" s="4593"/>
      <c r="J53" s="4593"/>
      <c r="K53" s="4593"/>
      <c r="L53" s="4593"/>
      <c r="M53" s="4593"/>
      <c r="N53" s="4593"/>
      <c r="O53" s="1073">
        <f t="shared" si="1"/>
        <v>34</v>
      </c>
      <c r="P53" s="1058"/>
    </row>
    <row r="54" spans="2:16" ht="30" customHeight="1">
      <c r="B54" s="1067"/>
      <c r="C54" s="1068"/>
      <c r="D54" s="1065"/>
      <c r="E54" s="1074"/>
      <c r="F54" s="1074"/>
      <c r="G54" s="1074"/>
      <c r="H54" s="1074"/>
      <c r="I54" s="1074"/>
      <c r="J54" s="1074"/>
      <c r="K54" s="1074"/>
      <c r="L54" s="1074"/>
      <c r="M54" s="1074"/>
      <c r="N54" s="1074"/>
      <c r="O54" s="1073"/>
      <c r="P54" s="1058"/>
    </row>
    <row r="55" spans="2:16" ht="30" customHeight="1">
      <c r="B55" s="1067"/>
      <c r="C55" s="4595" t="s">
        <v>2458</v>
      </c>
      <c r="D55" s="4595"/>
      <c r="E55" s="4595"/>
      <c r="F55" s="4595"/>
      <c r="G55" s="4595"/>
      <c r="H55" s="4595"/>
      <c r="I55" s="4595"/>
      <c r="J55" s="4595"/>
      <c r="K55" s="4595"/>
      <c r="L55" s="4595"/>
      <c r="M55" s="4595"/>
      <c r="N55" s="4595"/>
      <c r="O55" s="4595"/>
      <c r="P55" s="1058"/>
    </row>
    <row r="56" spans="2:16" ht="30" customHeight="1">
      <c r="B56" s="1067"/>
      <c r="C56" s="1068"/>
      <c r="D56" s="1065"/>
      <c r="E56" s="4593" t="s">
        <v>2459</v>
      </c>
      <c r="F56" s="4593"/>
      <c r="G56" s="4593"/>
      <c r="H56" s="4593"/>
      <c r="I56" s="4593"/>
      <c r="J56" s="4593"/>
      <c r="K56" s="4593"/>
      <c r="L56" s="4593"/>
      <c r="M56" s="4593"/>
      <c r="N56" s="4593"/>
      <c r="O56" s="1073">
        <f>O53+1</f>
        <v>35</v>
      </c>
      <c r="P56" s="1058"/>
    </row>
    <row r="57" spans="2:16" ht="30" customHeight="1">
      <c r="B57" s="1067"/>
      <c r="C57" s="1068"/>
      <c r="D57" s="1065"/>
      <c r="E57" s="4593" t="s">
        <v>2460</v>
      </c>
      <c r="F57" s="4593"/>
      <c r="G57" s="4593"/>
      <c r="H57" s="4593"/>
      <c r="I57" s="4593"/>
      <c r="J57" s="4593"/>
      <c r="K57" s="4593"/>
      <c r="L57" s="4593"/>
      <c r="M57" s="4593"/>
      <c r="N57" s="4593"/>
      <c r="O57" s="1073">
        <f>O56+1</f>
        <v>36</v>
      </c>
      <c r="P57" s="1058"/>
    </row>
    <row r="58" spans="2:16" ht="30" customHeight="1">
      <c r="B58" s="1067"/>
      <c r="C58" s="1068"/>
      <c r="D58" s="1065"/>
      <c r="E58" s="4593" t="s">
        <v>2461</v>
      </c>
      <c r="F58" s="4593"/>
      <c r="G58" s="4593"/>
      <c r="H58" s="4593"/>
      <c r="I58" s="4593"/>
      <c r="J58" s="4593"/>
      <c r="K58" s="4593"/>
      <c r="L58" s="4593"/>
      <c r="M58" s="4593"/>
      <c r="N58" s="4593"/>
      <c r="O58" s="1073">
        <f>O57+1</f>
        <v>37</v>
      </c>
      <c r="P58" s="1058"/>
    </row>
    <row r="59" spans="2:16" ht="30" customHeight="1">
      <c r="B59" s="1067"/>
      <c r="C59" s="1068"/>
      <c r="D59" s="1065"/>
      <c r="E59" s="4593" t="s">
        <v>2462</v>
      </c>
      <c r="F59" s="4593"/>
      <c r="G59" s="4593"/>
      <c r="H59" s="4593"/>
      <c r="I59" s="4593"/>
      <c r="J59" s="4593"/>
      <c r="K59" s="4593"/>
      <c r="L59" s="4593"/>
      <c r="M59" s="4593"/>
      <c r="N59" s="4593"/>
      <c r="O59" s="1073">
        <f>O58+1</f>
        <v>38</v>
      </c>
      <c r="P59" s="1058"/>
    </row>
    <row r="60" spans="2:16" ht="30" customHeight="1">
      <c r="B60" s="1067"/>
      <c r="C60" s="1068"/>
      <c r="D60" s="1065"/>
      <c r="E60" s="4593" t="s">
        <v>2463</v>
      </c>
      <c r="F60" s="4593"/>
      <c r="G60" s="4593"/>
      <c r="H60" s="4593"/>
      <c r="I60" s="4593"/>
      <c r="J60" s="4593"/>
      <c r="K60" s="4593"/>
      <c r="L60" s="4593"/>
      <c r="M60" s="4593"/>
      <c r="N60" s="4593"/>
      <c r="O60" s="1073">
        <f>O61-1</f>
        <v>39</v>
      </c>
      <c r="P60" s="1058"/>
    </row>
    <row r="61" spans="2:16" ht="30" customHeight="1">
      <c r="B61" s="1126" t="s">
        <v>2464</v>
      </c>
      <c r="C61" s="1127" t="s">
        <v>2465</v>
      </c>
      <c r="D61" s="1127" t="s">
        <v>2466</v>
      </c>
      <c r="E61" s="4598" t="s">
        <v>2467</v>
      </c>
      <c r="F61" s="4598"/>
      <c r="G61" s="4598"/>
      <c r="H61" s="4598"/>
      <c r="I61" s="4598"/>
      <c r="J61" s="4598"/>
      <c r="K61" s="4598"/>
      <c r="L61" s="4598"/>
      <c r="M61" s="4598"/>
      <c r="N61" s="4598"/>
      <c r="O61" s="1073">
        <f>O59+2</f>
        <v>40</v>
      </c>
      <c r="P61" s="1058"/>
    </row>
    <row r="62" spans="2:16" ht="30" customHeight="1">
      <c r="B62" s="1067"/>
      <c r="C62" s="1068"/>
      <c r="D62" s="1065"/>
      <c r="E62" s="4593" t="s">
        <v>2468</v>
      </c>
      <c r="F62" s="4593"/>
      <c r="G62" s="4593"/>
      <c r="H62" s="4593"/>
      <c r="I62" s="4593"/>
      <c r="J62" s="4593"/>
      <c r="K62" s="4593"/>
      <c r="L62" s="4593"/>
      <c r="M62" s="4593"/>
      <c r="N62" s="4593"/>
      <c r="O62" s="1073">
        <f>O60+2</f>
        <v>41</v>
      </c>
      <c r="P62" s="1058"/>
    </row>
    <row r="63" spans="2:16" ht="30" customHeight="1">
      <c r="B63" s="1067"/>
      <c r="C63" s="1068"/>
      <c r="D63" s="1065"/>
      <c r="E63" s="4593" t="s">
        <v>2469</v>
      </c>
      <c r="F63" s="4593"/>
      <c r="G63" s="4593"/>
      <c r="H63" s="4593"/>
      <c r="I63" s="4593"/>
      <c r="J63" s="4593"/>
      <c r="K63" s="4593"/>
      <c r="L63" s="4593"/>
      <c r="M63" s="4593"/>
      <c r="N63" s="4593"/>
      <c r="O63" s="1073">
        <f>O62+1</f>
        <v>42</v>
      </c>
      <c r="P63" s="1058"/>
    </row>
    <row r="64" spans="2:16" ht="30" customHeight="1">
      <c r="B64" s="1067"/>
      <c r="C64" s="1068"/>
      <c r="D64" s="1065"/>
      <c r="E64" s="4593" t="s">
        <v>2470</v>
      </c>
      <c r="F64" s="4593"/>
      <c r="G64" s="4593"/>
      <c r="H64" s="4593"/>
      <c r="I64" s="4593"/>
      <c r="J64" s="4593"/>
      <c r="K64" s="4593"/>
      <c r="L64" s="4593"/>
      <c r="M64" s="4593"/>
      <c r="N64" s="4593"/>
      <c r="O64" s="1073">
        <f>O63+1</f>
        <v>43</v>
      </c>
      <c r="P64" s="1058"/>
    </row>
    <row r="65" spans="2:18" ht="30" customHeight="1">
      <c r="B65" s="1067"/>
      <c r="C65" s="1068"/>
      <c r="D65" s="1065"/>
      <c r="E65" s="1065"/>
      <c r="F65" s="1065"/>
      <c r="G65" s="1065"/>
      <c r="H65" s="1065"/>
      <c r="I65" s="1065"/>
      <c r="J65" s="1065"/>
      <c r="K65" s="1065"/>
      <c r="L65" s="1065"/>
      <c r="M65" s="1075"/>
      <c r="N65" s="1075"/>
      <c r="O65" s="1073"/>
      <c r="P65" s="1058"/>
    </row>
    <row r="66" spans="2:18" ht="30" customHeight="1">
      <c r="B66" s="1067"/>
      <c r="C66" s="4595" t="s">
        <v>2471</v>
      </c>
      <c r="D66" s="4595"/>
      <c r="E66" s="4595"/>
      <c r="F66" s="4595"/>
      <c r="G66" s="4595"/>
      <c r="H66" s="4595"/>
      <c r="I66" s="4595"/>
      <c r="J66" s="4595"/>
      <c r="K66" s="4595"/>
      <c r="L66" s="4595"/>
      <c r="M66" s="4595"/>
      <c r="N66" s="4595"/>
      <c r="O66" s="4595"/>
      <c r="P66" s="1058"/>
      <c r="R66" s="1076"/>
    </row>
    <row r="67" spans="2:18" ht="30" customHeight="1">
      <c r="B67" s="1067"/>
      <c r="C67" s="1125"/>
      <c r="D67" s="1116"/>
      <c r="E67" s="4597" t="s">
        <v>2472</v>
      </c>
      <c r="F67" s="4597"/>
      <c r="G67" s="4597"/>
      <c r="H67" s="4597"/>
      <c r="I67" s="4597"/>
      <c r="J67" s="4597"/>
      <c r="K67" s="4597"/>
      <c r="L67" s="4597"/>
      <c r="M67" s="4597"/>
      <c r="N67" s="4597"/>
      <c r="O67" s="1073">
        <v>44</v>
      </c>
      <c r="P67" s="1058"/>
    </row>
    <row r="68" spans="2:18" ht="30" customHeight="1">
      <c r="B68" s="1067"/>
      <c r="C68" s="1125"/>
      <c r="D68" s="1116"/>
      <c r="E68" s="4597" t="s">
        <v>2473</v>
      </c>
      <c r="F68" s="4597"/>
      <c r="G68" s="4597"/>
      <c r="H68" s="4597"/>
      <c r="I68" s="4597"/>
      <c r="J68" s="4597"/>
      <c r="K68" s="4597"/>
      <c r="L68" s="4597"/>
      <c r="M68" s="4597"/>
      <c r="N68" s="4597"/>
      <c r="O68" s="1073">
        <f>O67+1</f>
        <v>45</v>
      </c>
      <c r="P68" s="1058"/>
    </row>
    <row r="69" spans="2:18" ht="30" customHeight="1">
      <c r="B69" s="1126" t="s">
        <v>2464</v>
      </c>
      <c r="C69" s="1122" t="s">
        <v>2465</v>
      </c>
      <c r="D69" s="1122" t="s">
        <v>2466</v>
      </c>
      <c r="E69" s="4598" t="s">
        <v>2474</v>
      </c>
      <c r="F69" s="4598"/>
      <c r="G69" s="4598"/>
      <c r="H69" s="4598"/>
      <c r="I69" s="4598"/>
      <c r="J69" s="4598"/>
      <c r="K69" s="4598"/>
      <c r="L69" s="4598"/>
      <c r="M69" s="4598"/>
      <c r="N69" s="4598"/>
      <c r="O69" s="1073">
        <f>O68+1</f>
        <v>46</v>
      </c>
      <c r="P69" s="1058"/>
    </row>
    <row r="70" spans="2:18" ht="30" customHeight="1">
      <c r="B70" s="1067"/>
      <c r="C70" s="1125"/>
      <c r="D70" s="1116"/>
      <c r="E70" s="4597" t="s">
        <v>2475</v>
      </c>
      <c r="F70" s="4597"/>
      <c r="G70" s="4597"/>
      <c r="H70" s="4597"/>
      <c r="I70" s="4597"/>
      <c r="J70" s="4597"/>
      <c r="K70" s="4597"/>
      <c r="L70" s="4597"/>
      <c r="M70" s="4597"/>
      <c r="N70" s="4597"/>
      <c r="O70" s="1073">
        <f>O68+2</f>
        <v>47</v>
      </c>
      <c r="P70" s="1058"/>
    </row>
    <row r="71" spans="2:18" ht="30" customHeight="1" thickBot="1">
      <c r="B71" s="1077"/>
      <c r="C71" s="1078"/>
      <c r="D71" s="1079"/>
      <c r="E71" s="1079"/>
      <c r="F71" s="1079"/>
      <c r="G71" s="1079"/>
      <c r="H71" s="1079"/>
      <c r="I71" s="1079"/>
      <c r="J71" s="1079"/>
      <c r="K71" s="1079"/>
      <c r="L71" s="1079"/>
      <c r="M71" s="1080"/>
      <c r="N71" s="1080"/>
      <c r="O71" s="1081"/>
      <c r="P71" s="1082"/>
    </row>
    <row r="72" spans="2:18" ht="30" customHeight="1" thickTop="1">
      <c r="B72" s="1083"/>
    </row>
    <row r="73" spans="2:18" ht="30" customHeight="1">
      <c r="B73" s="1083"/>
    </row>
    <row r="74" spans="2:18" ht="30" customHeight="1">
      <c r="B74" s="1083"/>
    </row>
    <row r="75" spans="2:18" ht="30" customHeight="1">
      <c r="B75" s="1083"/>
    </row>
    <row r="76" spans="2:18" ht="30" customHeight="1">
      <c r="B76" s="1083"/>
    </row>
    <row r="77" spans="2:18" ht="30" customHeight="1">
      <c r="B77" s="1083"/>
    </row>
    <row r="78" spans="2:18" ht="30" customHeight="1">
      <c r="B78" s="1083"/>
    </row>
    <row r="79" spans="2:18" ht="30" customHeight="1">
      <c r="B79" s="1083"/>
    </row>
    <row r="80" spans="2:18" s="1048" customFormat="1" ht="30" customHeight="1">
      <c r="B80" s="1083"/>
      <c r="D80" s="1049"/>
      <c r="E80" s="1049"/>
      <c r="F80" s="1049"/>
      <c r="G80" s="1049"/>
      <c r="H80" s="1049"/>
      <c r="I80" s="1049"/>
      <c r="J80" s="1049"/>
      <c r="K80" s="1049"/>
      <c r="L80" s="1049"/>
      <c r="M80" s="1049"/>
      <c r="N80" s="1049"/>
      <c r="O80" s="1050"/>
      <c r="P80" s="1051"/>
      <c r="Q80" s="1051"/>
      <c r="R80" s="1051"/>
    </row>
    <row r="81" spans="2:18" s="1048" customFormat="1" ht="30" customHeight="1">
      <c r="B81" s="1083"/>
      <c r="D81" s="1049"/>
      <c r="E81" s="1049"/>
      <c r="F81" s="1049"/>
      <c r="G81" s="1049"/>
      <c r="H81" s="1049"/>
      <c r="I81" s="1049"/>
      <c r="J81" s="1049"/>
      <c r="K81" s="1049"/>
      <c r="L81" s="1049"/>
      <c r="M81" s="1049"/>
      <c r="N81" s="1049"/>
      <c r="O81" s="1050"/>
      <c r="P81" s="1051"/>
      <c r="Q81" s="1051"/>
      <c r="R81" s="1051"/>
    </row>
    <row r="82" spans="2:18" s="1048" customFormat="1" ht="30" customHeight="1">
      <c r="B82" s="1083"/>
      <c r="D82" s="1049"/>
      <c r="E82" s="1049"/>
      <c r="F82" s="1049"/>
      <c r="G82" s="1049"/>
      <c r="H82" s="1049"/>
      <c r="I82" s="1049"/>
      <c r="J82" s="1049"/>
      <c r="K82" s="1049"/>
      <c r="L82" s="1049"/>
      <c r="M82" s="1049"/>
      <c r="N82" s="1049"/>
      <c r="O82" s="1050"/>
      <c r="P82" s="1051"/>
      <c r="Q82" s="1051"/>
      <c r="R82" s="1051"/>
    </row>
    <row r="83" spans="2:18" s="1048" customFormat="1" ht="30" customHeight="1">
      <c r="B83" s="1083"/>
      <c r="D83" s="1049"/>
      <c r="E83" s="1049"/>
      <c r="F83" s="1049"/>
      <c r="G83" s="1049"/>
      <c r="H83" s="1049"/>
      <c r="I83" s="1049"/>
      <c r="J83" s="1049"/>
      <c r="K83" s="1049"/>
      <c r="L83" s="1049"/>
      <c r="M83" s="1049"/>
      <c r="N83" s="1049"/>
      <c r="O83" s="1050"/>
      <c r="P83" s="1051"/>
      <c r="Q83" s="1051"/>
      <c r="R83" s="1051"/>
    </row>
    <row r="84" spans="2:18" s="1048" customFormat="1" ht="30" customHeight="1">
      <c r="B84" s="1083"/>
      <c r="D84" s="1049"/>
      <c r="E84" s="1049"/>
      <c r="F84" s="1049"/>
      <c r="G84" s="1049"/>
      <c r="H84" s="1049"/>
      <c r="I84" s="1049"/>
      <c r="J84" s="1049"/>
      <c r="K84" s="1049"/>
      <c r="L84" s="1049"/>
      <c r="M84" s="1049"/>
      <c r="N84" s="1049"/>
      <c r="O84" s="1050"/>
      <c r="P84" s="1051"/>
      <c r="Q84" s="1051"/>
      <c r="R84" s="1051"/>
    </row>
    <row r="85" spans="2:18" s="1048" customFormat="1" ht="30" customHeight="1">
      <c r="B85" s="1083"/>
      <c r="D85" s="1049"/>
      <c r="E85" s="1049"/>
      <c r="F85" s="1049"/>
      <c r="G85" s="1049"/>
      <c r="H85" s="1049"/>
      <c r="I85" s="1049"/>
      <c r="J85" s="1049"/>
      <c r="K85" s="1049"/>
      <c r="L85" s="1049"/>
      <c r="M85" s="1049"/>
      <c r="N85" s="1049"/>
      <c r="O85" s="1050"/>
      <c r="P85" s="1051"/>
      <c r="Q85" s="1051"/>
      <c r="R85" s="1051"/>
    </row>
    <row r="86" spans="2:18" s="1048" customFormat="1" ht="30" customHeight="1">
      <c r="B86" s="1083"/>
      <c r="D86" s="1049"/>
      <c r="E86" s="1049"/>
      <c r="F86" s="1049"/>
      <c r="G86" s="1049"/>
      <c r="H86" s="1049"/>
      <c r="I86" s="1049"/>
      <c r="J86" s="1049"/>
      <c r="K86" s="1049"/>
      <c r="L86" s="1049"/>
      <c r="M86" s="1049"/>
      <c r="N86" s="1049"/>
      <c r="O86" s="1050"/>
      <c r="P86" s="1051"/>
      <c r="Q86" s="1051"/>
      <c r="R86" s="1051"/>
    </row>
    <row r="87" spans="2:18" s="1048" customFormat="1" ht="30" customHeight="1">
      <c r="B87" s="1083"/>
      <c r="D87" s="1049"/>
      <c r="E87" s="1049"/>
      <c r="F87" s="1049"/>
      <c r="G87" s="1049"/>
      <c r="H87" s="1049"/>
      <c r="I87" s="1049"/>
      <c r="J87" s="1049"/>
      <c r="K87" s="1049"/>
      <c r="L87" s="1049"/>
      <c r="M87" s="1049"/>
      <c r="N87" s="1049"/>
      <c r="O87" s="1050"/>
      <c r="P87" s="1051"/>
      <c r="Q87" s="1051"/>
      <c r="R87" s="1051"/>
    </row>
    <row r="88" spans="2:18" s="1048" customFormat="1" ht="30" customHeight="1">
      <c r="B88" s="1083"/>
      <c r="D88" s="1049"/>
      <c r="E88" s="1049"/>
      <c r="F88" s="1049"/>
      <c r="G88" s="1049"/>
      <c r="H88" s="1049"/>
      <c r="I88" s="1049"/>
      <c r="J88" s="1049"/>
      <c r="K88" s="1049"/>
      <c r="L88" s="1049"/>
      <c r="M88" s="1049"/>
      <c r="N88" s="1049"/>
      <c r="O88" s="1050"/>
      <c r="P88" s="1051"/>
      <c r="Q88" s="1051"/>
      <c r="R88" s="1051"/>
    </row>
    <row r="89" spans="2:18" s="1048" customFormat="1" ht="30" customHeight="1">
      <c r="B89" s="1083"/>
      <c r="D89" s="1049"/>
      <c r="E89" s="1049"/>
      <c r="F89" s="1049"/>
      <c r="G89" s="1049"/>
      <c r="H89" s="1049"/>
      <c r="I89" s="1049"/>
      <c r="J89" s="1049"/>
      <c r="K89" s="1049"/>
      <c r="L89" s="1049"/>
      <c r="M89" s="1049"/>
      <c r="N89" s="1049"/>
      <c r="O89" s="1050"/>
      <c r="P89" s="1051"/>
      <c r="Q89" s="1051"/>
      <c r="R89" s="1051"/>
    </row>
    <row r="90" spans="2:18" s="1048" customFormat="1" ht="30" customHeight="1">
      <c r="B90" s="1083"/>
      <c r="D90" s="1049"/>
      <c r="E90" s="1049"/>
      <c r="F90" s="1049"/>
      <c r="G90" s="1049"/>
      <c r="H90" s="1049"/>
      <c r="I90" s="1049"/>
      <c r="J90" s="1049"/>
      <c r="K90" s="1049"/>
      <c r="L90" s="1049"/>
      <c r="M90" s="1049"/>
      <c r="N90" s="1049"/>
      <c r="O90" s="1050"/>
      <c r="P90" s="1051"/>
      <c r="Q90" s="1051"/>
      <c r="R90" s="1051"/>
    </row>
    <row r="91" spans="2:18" s="1048" customFormat="1" ht="30" customHeight="1">
      <c r="B91" s="1083"/>
      <c r="D91" s="1049"/>
      <c r="E91" s="1049"/>
      <c r="F91" s="1049"/>
      <c r="G91" s="1049"/>
      <c r="H91" s="1049"/>
      <c r="I91" s="1049"/>
      <c r="J91" s="1049"/>
      <c r="K91" s="1049"/>
      <c r="L91" s="1049"/>
      <c r="M91" s="1049"/>
      <c r="N91" s="1049"/>
      <c r="O91" s="1050"/>
      <c r="P91" s="1051"/>
      <c r="Q91" s="1051"/>
      <c r="R91" s="1051"/>
    </row>
    <row r="92" spans="2:18" s="1048" customFormat="1" ht="30" customHeight="1">
      <c r="B92" s="1083"/>
      <c r="D92" s="1049"/>
      <c r="E92" s="1049"/>
      <c r="F92" s="1049"/>
      <c r="G92" s="1049"/>
      <c r="H92" s="1049"/>
      <c r="I92" s="1049"/>
      <c r="J92" s="1049"/>
      <c r="K92" s="1049"/>
      <c r="L92" s="1049"/>
      <c r="M92" s="1049"/>
      <c r="N92" s="1049"/>
      <c r="O92" s="1050"/>
      <c r="P92" s="1051"/>
      <c r="Q92" s="1051"/>
      <c r="R92" s="1051"/>
    </row>
    <row r="93" spans="2:18" s="1048" customFormat="1" ht="30" customHeight="1">
      <c r="B93" s="1083"/>
      <c r="D93" s="1049"/>
      <c r="E93" s="1049"/>
      <c r="F93" s="1049"/>
      <c r="G93" s="1049"/>
      <c r="H93" s="1049"/>
      <c r="I93" s="1049"/>
      <c r="J93" s="1049"/>
      <c r="K93" s="1049"/>
      <c r="L93" s="1049"/>
      <c r="M93" s="1049"/>
      <c r="N93" s="1049"/>
      <c r="O93" s="1050"/>
      <c r="P93" s="1051"/>
      <c r="Q93" s="1051"/>
      <c r="R93" s="1051"/>
    </row>
    <row r="94" spans="2:18" s="1048" customFormat="1" ht="30" customHeight="1">
      <c r="B94" s="1083"/>
      <c r="D94" s="1049"/>
      <c r="E94" s="1049"/>
      <c r="F94" s="1049"/>
      <c r="G94" s="1049"/>
      <c r="H94" s="1049"/>
      <c r="I94" s="1049"/>
      <c r="J94" s="1049"/>
      <c r="K94" s="1049"/>
      <c r="L94" s="1049"/>
      <c r="M94" s="1049"/>
      <c r="N94" s="1049"/>
      <c r="O94" s="1050"/>
      <c r="P94" s="1051"/>
      <c r="Q94" s="1051"/>
      <c r="R94" s="1051"/>
    </row>
    <row r="95" spans="2:18" s="1048" customFormat="1" ht="30" customHeight="1">
      <c r="B95" s="1083"/>
      <c r="D95" s="1049"/>
      <c r="E95" s="1049"/>
      <c r="F95" s="1049"/>
      <c r="G95" s="1049"/>
      <c r="H95" s="1049"/>
      <c r="I95" s="1049"/>
      <c r="J95" s="1049"/>
      <c r="K95" s="1049"/>
      <c r="L95" s="1049"/>
      <c r="M95" s="1049"/>
      <c r="N95" s="1049"/>
      <c r="O95" s="1050"/>
      <c r="P95" s="1051"/>
      <c r="Q95" s="1051"/>
      <c r="R95" s="1051"/>
    </row>
    <row r="96" spans="2:18" s="1048" customFormat="1" ht="30" customHeight="1">
      <c r="B96" s="1083"/>
      <c r="D96" s="1049"/>
      <c r="E96" s="1049"/>
      <c r="F96" s="1049"/>
      <c r="G96" s="1049"/>
      <c r="H96" s="1049"/>
      <c r="I96" s="1049"/>
      <c r="J96" s="1049"/>
      <c r="K96" s="1049"/>
      <c r="L96" s="1049"/>
      <c r="M96" s="1049"/>
      <c r="N96" s="1049"/>
      <c r="O96" s="1050"/>
      <c r="P96" s="1051"/>
      <c r="Q96" s="1051"/>
      <c r="R96" s="1051"/>
    </row>
    <row r="97" spans="2:18" s="1048" customFormat="1" ht="30" customHeight="1">
      <c r="B97" s="1083"/>
      <c r="D97" s="1049"/>
      <c r="E97" s="1049"/>
      <c r="F97" s="1049"/>
      <c r="G97" s="1049"/>
      <c r="H97" s="1049"/>
      <c r="I97" s="1049"/>
      <c r="J97" s="1049"/>
      <c r="K97" s="1049"/>
      <c r="L97" s="1049"/>
      <c r="M97" s="1049"/>
      <c r="N97" s="1049"/>
      <c r="O97" s="1050"/>
      <c r="P97" s="1051"/>
      <c r="Q97" s="1051"/>
      <c r="R97" s="1051"/>
    </row>
    <row r="98" spans="2:18" s="1048" customFormat="1" ht="30" customHeight="1">
      <c r="B98" s="1083"/>
      <c r="D98" s="1049"/>
      <c r="E98" s="1049"/>
      <c r="F98" s="1049"/>
      <c r="G98" s="1049"/>
      <c r="H98" s="1049"/>
      <c r="I98" s="1049"/>
      <c r="J98" s="1049"/>
      <c r="K98" s="1049"/>
      <c r="L98" s="1049"/>
      <c r="M98" s="1049"/>
      <c r="N98" s="1049"/>
      <c r="O98" s="1050"/>
      <c r="P98" s="1051"/>
      <c r="Q98" s="1051"/>
      <c r="R98" s="1051"/>
    </row>
    <row r="99" spans="2:18" s="1048" customFormat="1" ht="30" customHeight="1">
      <c r="B99" s="1083"/>
      <c r="D99" s="1049"/>
      <c r="E99" s="1049"/>
      <c r="F99" s="1049"/>
      <c r="G99" s="1049"/>
      <c r="H99" s="1049"/>
      <c r="I99" s="1049"/>
      <c r="J99" s="1049"/>
      <c r="K99" s="1049"/>
      <c r="L99" s="1049"/>
      <c r="M99" s="1049"/>
      <c r="N99" s="1049"/>
      <c r="O99" s="1050"/>
      <c r="P99" s="1051"/>
      <c r="Q99" s="1051"/>
      <c r="R99" s="1051"/>
    </row>
    <row r="100" spans="2:18" s="1048" customFormat="1" ht="30" customHeight="1">
      <c r="B100" s="1083"/>
      <c r="D100" s="1049"/>
      <c r="E100" s="1049"/>
      <c r="F100" s="1049"/>
      <c r="G100" s="1049"/>
      <c r="H100" s="1049"/>
      <c r="I100" s="1049"/>
      <c r="J100" s="1049"/>
      <c r="K100" s="1049"/>
      <c r="L100" s="1049"/>
      <c r="M100" s="1049"/>
      <c r="N100" s="1049"/>
      <c r="O100" s="1050"/>
      <c r="P100" s="1051"/>
      <c r="Q100" s="1051"/>
      <c r="R100" s="1051"/>
    </row>
    <row r="101" spans="2:18" s="1048" customFormat="1" ht="30" customHeight="1">
      <c r="B101" s="1083"/>
      <c r="D101" s="1049"/>
      <c r="E101" s="1049"/>
      <c r="F101" s="1049"/>
      <c r="G101" s="1049"/>
      <c r="H101" s="1049"/>
      <c r="I101" s="1049"/>
      <c r="J101" s="1049"/>
      <c r="K101" s="1049"/>
      <c r="L101" s="1049"/>
      <c r="M101" s="1049"/>
      <c r="N101" s="1049"/>
      <c r="O101" s="1050"/>
      <c r="P101" s="1051"/>
      <c r="Q101" s="1051"/>
      <c r="R101" s="1051"/>
    </row>
    <row r="102" spans="2:18" s="1048" customFormat="1" ht="30" customHeight="1">
      <c r="B102" s="1083"/>
      <c r="D102" s="1049"/>
      <c r="E102" s="1049"/>
      <c r="F102" s="1049"/>
      <c r="G102" s="1049"/>
      <c r="H102" s="1049"/>
      <c r="I102" s="1049"/>
      <c r="J102" s="1049"/>
      <c r="K102" s="1049"/>
      <c r="L102" s="1049"/>
      <c r="M102" s="1049"/>
      <c r="N102" s="1049"/>
      <c r="O102" s="1050"/>
      <c r="P102" s="1051"/>
      <c r="Q102" s="1051"/>
      <c r="R102" s="1051"/>
    </row>
    <row r="103" spans="2:18" s="1048" customFormat="1" ht="30" customHeight="1">
      <c r="B103" s="1083"/>
      <c r="D103" s="1049"/>
      <c r="E103" s="1049"/>
      <c r="F103" s="1049"/>
      <c r="G103" s="1049"/>
      <c r="H103" s="1049"/>
      <c r="I103" s="1049"/>
      <c r="J103" s="1049"/>
      <c r="K103" s="1049"/>
      <c r="L103" s="1049"/>
      <c r="M103" s="1049"/>
      <c r="N103" s="1049"/>
      <c r="O103" s="1050"/>
      <c r="P103" s="1051"/>
      <c r="Q103" s="1051"/>
      <c r="R103" s="1051"/>
    </row>
    <row r="104" spans="2:18" s="1048" customFormat="1" ht="30" customHeight="1">
      <c r="B104" s="1083"/>
      <c r="D104" s="1049"/>
      <c r="E104" s="1049"/>
      <c r="F104" s="1049"/>
      <c r="G104" s="1049"/>
      <c r="H104" s="1049"/>
      <c r="I104" s="1049"/>
      <c r="J104" s="1049"/>
      <c r="K104" s="1049"/>
      <c r="L104" s="1049"/>
      <c r="M104" s="1049"/>
      <c r="N104" s="1049"/>
      <c r="O104" s="1050"/>
      <c r="P104" s="1051"/>
      <c r="Q104" s="1051"/>
      <c r="R104" s="1051"/>
    </row>
    <row r="105" spans="2:18" s="1048" customFormat="1" ht="30" customHeight="1">
      <c r="B105" s="1083"/>
      <c r="D105" s="1049"/>
      <c r="E105" s="1049"/>
      <c r="F105" s="1049"/>
      <c r="G105" s="1049"/>
      <c r="H105" s="1049"/>
      <c r="I105" s="1049"/>
      <c r="J105" s="1049"/>
      <c r="K105" s="1049"/>
      <c r="L105" s="1049"/>
      <c r="M105" s="1049"/>
      <c r="N105" s="1049"/>
      <c r="O105" s="1050"/>
      <c r="P105" s="1051"/>
      <c r="Q105" s="1051"/>
      <c r="R105" s="1051"/>
    </row>
    <row r="106" spans="2:18" s="1048" customFormat="1" ht="30" customHeight="1">
      <c r="B106" s="1083"/>
      <c r="D106" s="1049"/>
      <c r="E106" s="1049"/>
      <c r="F106" s="1049"/>
      <c r="G106" s="1049"/>
      <c r="H106" s="1049"/>
      <c r="I106" s="1049"/>
      <c r="J106" s="1049"/>
      <c r="K106" s="1049"/>
      <c r="L106" s="1049"/>
      <c r="M106" s="1049"/>
      <c r="N106" s="1049"/>
      <c r="O106" s="1050"/>
      <c r="P106" s="1051"/>
      <c r="Q106" s="1051"/>
      <c r="R106" s="1051"/>
    </row>
    <row r="107" spans="2:18" s="1048" customFormat="1" ht="30" customHeight="1">
      <c r="B107" s="1083"/>
      <c r="D107" s="1049"/>
      <c r="E107" s="1049"/>
      <c r="F107" s="1049"/>
      <c r="G107" s="1049"/>
      <c r="H107" s="1049"/>
      <c r="I107" s="1049"/>
      <c r="J107" s="1049"/>
      <c r="K107" s="1049"/>
      <c r="L107" s="1049"/>
      <c r="M107" s="1049"/>
      <c r="N107" s="1049"/>
      <c r="O107" s="1050"/>
      <c r="P107" s="1051"/>
      <c r="Q107" s="1051"/>
      <c r="R107" s="1051"/>
    </row>
    <row r="108" spans="2:18" s="1048" customFormat="1" ht="30" customHeight="1">
      <c r="B108" s="1083"/>
      <c r="D108" s="1049"/>
      <c r="E108" s="1049"/>
      <c r="F108" s="1049"/>
      <c r="G108" s="1049"/>
      <c r="H108" s="1049"/>
      <c r="I108" s="1049"/>
      <c r="J108" s="1049"/>
      <c r="K108" s="1049"/>
      <c r="L108" s="1049"/>
      <c r="M108" s="1049"/>
      <c r="N108" s="1049"/>
      <c r="O108" s="1050"/>
      <c r="P108" s="1051"/>
      <c r="Q108" s="1051"/>
      <c r="R108" s="1051"/>
    </row>
    <row r="109" spans="2:18" s="1048" customFormat="1" ht="30" customHeight="1">
      <c r="B109" s="1083"/>
      <c r="D109" s="1049"/>
      <c r="E109" s="1049"/>
      <c r="F109" s="1049"/>
      <c r="G109" s="1049"/>
      <c r="H109" s="1049"/>
      <c r="I109" s="1049"/>
      <c r="J109" s="1049"/>
      <c r="K109" s="1049"/>
      <c r="L109" s="1049"/>
      <c r="M109" s="1049"/>
      <c r="N109" s="1049"/>
      <c r="O109" s="1050"/>
      <c r="P109" s="1051"/>
      <c r="Q109" s="1051"/>
      <c r="R109" s="1051"/>
    </row>
    <row r="110" spans="2:18" s="1048" customFormat="1" ht="30" customHeight="1">
      <c r="B110" s="1083"/>
      <c r="D110" s="1049"/>
      <c r="E110" s="1049"/>
      <c r="F110" s="1049"/>
      <c r="G110" s="1049"/>
      <c r="H110" s="1049"/>
      <c r="I110" s="1049"/>
      <c r="J110" s="1049"/>
      <c r="K110" s="1049"/>
      <c r="L110" s="1049"/>
      <c r="M110" s="1049"/>
      <c r="N110" s="1049"/>
      <c r="O110" s="1050"/>
      <c r="P110" s="1051"/>
      <c r="Q110" s="1051"/>
      <c r="R110" s="1051"/>
    </row>
    <row r="111" spans="2:18" s="1048" customFormat="1" ht="30" customHeight="1">
      <c r="B111" s="1083"/>
      <c r="D111" s="1049"/>
      <c r="E111" s="1049"/>
      <c r="F111" s="1049"/>
      <c r="G111" s="1049"/>
      <c r="H111" s="1049"/>
      <c r="I111" s="1049"/>
      <c r="J111" s="1049"/>
      <c r="K111" s="1049"/>
      <c r="L111" s="1049"/>
      <c r="M111" s="1049"/>
      <c r="N111" s="1049"/>
      <c r="O111" s="1050"/>
      <c r="P111" s="1051"/>
      <c r="Q111" s="1051"/>
      <c r="R111" s="1051"/>
    </row>
    <row r="112" spans="2:18" s="1048" customFormat="1" ht="30" customHeight="1">
      <c r="B112" s="1083"/>
      <c r="D112" s="1049"/>
      <c r="E112" s="1049"/>
      <c r="F112" s="1049"/>
      <c r="G112" s="1049"/>
      <c r="H112" s="1049"/>
      <c r="I112" s="1049"/>
      <c r="J112" s="1049"/>
      <c r="K112" s="1049"/>
      <c r="L112" s="1049"/>
      <c r="M112" s="1049"/>
      <c r="N112" s="1049"/>
      <c r="O112" s="1050"/>
      <c r="P112" s="1051"/>
      <c r="Q112" s="1051"/>
      <c r="R112" s="1051"/>
    </row>
    <row r="113" spans="2:18" s="1048" customFormat="1" ht="30" customHeight="1">
      <c r="B113" s="1083"/>
      <c r="D113" s="1049"/>
      <c r="E113" s="1049"/>
      <c r="F113" s="1049"/>
      <c r="G113" s="1049"/>
      <c r="H113" s="1049"/>
      <c r="I113" s="1049"/>
      <c r="J113" s="1049"/>
      <c r="K113" s="1049"/>
      <c r="L113" s="1049"/>
      <c r="M113" s="1049"/>
      <c r="N113" s="1049"/>
      <c r="O113" s="1050"/>
      <c r="P113" s="1051"/>
      <c r="Q113" s="1051"/>
      <c r="R113" s="1051"/>
    </row>
    <row r="114" spans="2:18" s="1048" customFormat="1" ht="30" customHeight="1">
      <c r="B114" s="1083"/>
      <c r="D114" s="1049"/>
      <c r="E114" s="1049"/>
      <c r="F114" s="1049"/>
      <c r="G114" s="1049"/>
      <c r="H114" s="1049"/>
      <c r="I114" s="1049"/>
      <c r="J114" s="1049"/>
      <c r="K114" s="1049"/>
      <c r="L114" s="1049"/>
      <c r="M114" s="1049"/>
      <c r="N114" s="1049"/>
      <c r="O114" s="1050"/>
      <c r="P114" s="1051"/>
      <c r="Q114" s="1051"/>
      <c r="R114" s="1051"/>
    </row>
    <row r="115" spans="2:18" s="1048" customFormat="1" ht="30" customHeight="1">
      <c r="B115" s="1083"/>
      <c r="D115" s="1049"/>
      <c r="E115" s="1049"/>
      <c r="F115" s="1049"/>
      <c r="G115" s="1049"/>
      <c r="H115" s="1049"/>
      <c r="I115" s="1049"/>
      <c r="J115" s="1049"/>
      <c r="K115" s="1049"/>
      <c r="L115" s="1049"/>
      <c r="M115" s="1049"/>
      <c r="N115" s="1049"/>
      <c r="O115" s="1050"/>
      <c r="P115" s="1051"/>
      <c r="Q115" s="1051"/>
      <c r="R115" s="1051"/>
    </row>
    <row r="116" spans="2:18" s="1048" customFormat="1" ht="30" customHeight="1">
      <c r="B116" s="1083"/>
      <c r="D116" s="1049"/>
      <c r="E116" s="1049"/>
      <c r="F116" s="1049"/>
      <c r="G116" s="1049"/>
      <c r="H116" s="1049"/>
      <c r="I116" s="1049"/>
      <c r="J116" s="1049"/>
      <c r="K116" s="1049"/>
      <c r="L116" s="1049"/>
      <c r="M116" s="1049"/>
      <c r="N116" s="1049"/>
      <c r="O116" s="1050"/>
      <c r="P116" s="1051"/>
      <c r="Q116" s="1051"/>
      <c r="R116" s="1051"/>
    </row>
    <row r="117" spans="2:18" s="1048" customFormat="1" ht="30" customHeight="1">
      <c r="B117" s="1083"/>
      <c r="D117" s="1049"/>
      <c r="E117" s="1049"/>
      <c r="F117" s="1049"/>
      <c r="G117" s="1049"/>
      <c r="H117" s="1049"/>
      <c r="I117" s="1049"/>
      <c r="J117" s="1049"/>
      <c r="K117" s="1049"/>
      <c r="L117" s="1049"/>
      <c r="M117" s="1049"/>
      <c r="N117" s="1049"/>
      <c r="O117" s="1050"/>
      <c r="P117" s="1051"/>
      <c r="Q117" s="1051"/>
      <c r="R117" s="1051"/>
    </row>
    <row r="118" spans="2:18" s="1048" customFormat="1" ht="30" customHeight="1">
      <c r="B118" s="1083"/>
      <c r="D118" s="1049"/>
      <c r="E118" s="1049"/>
      <c r="F118" s="1049"/>
      <c r="G118" s="1049"/>
      <c r="H118" s="1049"/>
      <c r="I118" s="1049"/>
      <c r="J118" s="1049"/>
      <c r="K118" s="1049"/>
      <c r="L118" s="1049"/>
      <c r="M118" s="1049"/>
      <c r="N118" s="1049"/>
      <c r="O118" s="1050"/>
      <c r="P118" s="1051"/>
      <c r="Q118" s="1051"/>
      <c r="R118" s="1051"/>
    </row>
    <row r="119" spans="2:18" s="1048" customFormat="1" ht="30" customHeight="1">
      <c r="B119" s="1083"/>
      <c r="D119" s="1049"/>
      <c r="E119" s="1049"/>
      <c r="F119" s="1049"/>
      <c r="G119" s="1049"/>
      <c r="H119" s="1049"/>
      <c r="I119" s="1049"/>
      <c r="J119" s="1049"/>
      <c r="K119" s="1049"/>
      <c r="L119" s="1049"/>
      <c r="M119" s="1049"/>
      <c r="N119" s="1049"/>
      <c r="O119" s="1050"/>
      <c r="P119" s="1051"/>
      <c r="Q119" s="1051"/>
      <c r="R119" s="1051"/>
    </row>
    <row r="120" spans="2:18" s="1048" customFormat="1" ht="30" customHeight="1">
      <c r="B120" s="1083"/>
      <c r="D120" s="1049"/>
      <c r="E120" s="1049"/>
      <c r="F120" s="1049"/>
      <c r="G120" s="1049"/>
      <c r="H120" s="1049"/>
      <c r="I120" s="1049"/>
      <c r="J120" s="1049"/>
      <c r="K120" s="1049"/>
      <c r="L120" s="1049"/>
      <c r="M120" s="1049"/>
      <c r="N120" s="1049"/>
      <c r="O120" s="1050"/>
      <c r="P120" s="1051"/>
      <c r="Q120" s="1051"/>
      <c r="R120" s="1051"/>
    </row>
    <row r="121" spans="2:18" s="1048" customFormat="1" ht="30" customHeight="1">
      <c r="B121" s="1083"/>
      <c r="D121" s="1049"/>
      <c r="E121" s="1049"/>
      <c r="F121" s="1049"/>
      <c r="G121" s="1049"/>
      <c r="H121" s="1049"/>
      <c r="I121" s="1049"/>
      <c r="J121" s="1049"/>
      <c r="K121" s="1049"/>
      <c r="L121" s="1049"/>
      <c r="M121" s="1049"/>
      <c r="N121" s="1049"/>
      <c r="O121" s="1050"/>
      <c r="P121" s="1051"/>
      <c r="Q121" s="1051"/>
      <c r="R121" s="1051"/>
    </row>
    <row r="122" spans="2:18" s="1048" customFormat="1" ht="30" customHeight="1">
      <c r="B122" s="1083"/>
      <c r="D122" s="1049"/>
      <c r="E122" s="1049"/>
      <c r="F122" s="1049"/>
      <c r="G122" s="1049"/>
      <c r="H122" s="1049"/>
      <c r="I122" s="1049"/>
      <c r="J122" s="1049"/>
      <c r="K122" s="1049"/>
      <c r="L122" s="1049"/>
      <c r="M122" s="1049"/>
      <c r="N122" s="1049"/>
      <c r="O122" s="1050"/>
      <c r="P122" s="1051"/>
      <c r="Q122" s="1051"/>
      <c r="R122" s="1051"/>
    </row>
    <row r="123" spans="2:18" s="1048" customFormat="1" ht="30" customHeight="1">
      <c r="B123" s="1083"/>
      <c r="D123" s="1049"/>
      <c r="E123" s="1049"/>
      <c r="F123" s="1049"/>
      <c r="G123" s="1049"/>
      <c r="H123" s="1049"/>
      <c r="I123" s="1049"/>
      <c r="J123" s="1049"/>
      <c r="K123" s="1049"/>
      <c r="L123" s="1049"/>
      <c r="M123" s="1049"/>
      <c r="N123" s="1049"/>
      <c r="O123" s="1050"/>
      <c r="P123" s="1051"/>
      <c r="Q123" s="1051"/>
      <c r="R123" s="1051"/>
    </row>
    <row r="124" spans="2:18" s="1048" customFormat="1" ht="30" customHeight="1">
      <c r="B124" s="1083"/>
      <c r="D124" s="1049"/>
      <c r="E124" s="1049"/>
      <c r="F124" s="1049"/>
      <c r="G124" s="1049"/>
      <c r="H124" s="1049"/>
      <c r="I124" s="1049"/>
      <c r="J124" s="1049"/>
      <c r="K124" s="1049"/>
      <c r="L124" s="1049"/>
      <c r="M124" s="1049"/>
      <c r="N124" s="1049"/>
      <c r="O124" s="1050"/>
      <c r="P124" s="1051"/>
      <c r="Q124" s="1051"/>
      <c r="R124" s="1051"/>
    </row>
    <row r="125" spans="2:18" s="1048" customFormat="1" ht="30" customHeight="1">
      <c r="B125" s="1083"/>
      <c r="D125" s="1049"/>
      <c r="E125" s="1049"/>
      <c r="F125" s="1049"/>
      <c r="G125" s="1049"/>
      <c r="H125" s="1049"/>
      <c r="I125" s="1049"/>
      <c r="J125" s="1049"/>
      <c r="K125" s="1049"/>
      <c r="L125" s="1049"/>
      <c r="M125" s="1049"/>
      <c r="N125" s="1049"/>
      <c r="O125" s="1050"/>
      <c r="P125" s="1051"/>
      <c r="Q125" s="1051"/>
      <c r="R125" s="1051"/>
    </row>
    <row r="126" spans="2:18" s="1048" customFormat="1" ht="30" customHeight="1">
      <c r="B126" s="1083"/>
      <c r="D126" s="1049"/>
      <c r="E126" s="1049"/>
      <c r="F126" s="1049"/>
      <c r="G126" s="1049"/>
      <c r="H126" s="1049"/>
      <c r="I126" s="1049"/>
      <c r="J126" s="1049"/>
      <c r="K126" s="1049"/>
      <c r="L126" s="1049"/>
      <c r="M126" s="1049"/>
      <c r="N126" s="1049"/>
      <c r="O126" s="1050"/>
      <c r="P126" s="1051"/>
      <c r="Q126" s="1051"/>
      <c r="R126" s="1051"/>
    </row>
    <row r="127" spans="2:18" s="1048" customFormat="1" ht="30" customHeight="1">
      <c r="B127" s="1083"/>
      <c r="D127" s="1049"/>
      <c r="E127" s="1049"/>
      <c r="F127" s="1049"/>
      <c r="G127" s="1049"/>
      <c r="H127" s="1049"/>
      <c r="I127" s="1049"/>
      <c r="J127" s="1049"/>
      <c r="K127" s="1049"/>
      <c r="L127" s="1049"/>
      <c r="M127" s="1049"/>
      <c r="N127" s="1049"/>
      <c r="O127" s="1050"/>
      <c r="P127" s="1051"/>
      <c r="Q127" s="1051"/>
      <c r="R127" s="1051"/>
    </row>
    <row r="128" spans="2:18" s="1048" customFormat="1" ht="30" customHeight="1">
      <c r="B128" s="1083"/>
      <c r="D128" s="1049"/>
      <c r="E128" s="1049"/>
      <c r="F128" s="1049"/>
      <c r="G128" s="1049"/>
      <c r="H128" s="1049"/>
      <c r="I128" s="1049"/>
      <c r="J128" s="1049"/>
      <c r="K128" s="1049"/>
      <c r="L128" s="1049"/>
      <c r="M128" s="1049"/>
      <c r="N128" s="1049"/>
      <c r="O128" s="1050"/>
      <c r="P128" s="1051"/>
      <c r="Q128" s="1051"/>
      <c r="R128" s="1051"/>
    </row>
    <row r="129" spans="2:18" s="1048" customFormat="1" ht="30" customHeight="1">
      <c r="B129" s="1083"/>
      <c r="D129" s="1049"/>
      <c r="E129" s="1049"/>
      <c r="F129" s="1049"/>
      <c r="G129" s="1049"/>
      <c r="H129" s="1049"/>
      <c r="I129" s="1049"/>
      <c r="J129" s="1049"/>
      <c r="K129" s="1049"/>
      <c r="L129" s="1049"/>
      <c r="M129" s="1049"/>
      <c r="N129" s="1049"/>
      <c r="O129" s="1050"/>
      <c r="P129" s="1051"/>
      <c r="Q129" s="1051"/>
      <c r="R129" s="1051"/>
    </row>
    <row r="130" spans="2:18" s="1048" customFormat="1" ht="30" customHeight="1">
      <c r="B130" s="1083"/>
      <c r="D130" s="1049"/>
      <c r="E130" s="1049"/>
      <c r="F130" s="1049"/>
      <c r="G130" s="1049"/>
      <c r="H130" s="1049"/>
      <c r="I130" s="1049"/>
      <c r="J130" s="1049"/>
      <c r="K130" s="1049"/>
      <c r="L130" s="1049"/>
      <c r="M130" s="1049"/>
      <c r="N130" s="1049"/>
      <c r="O130" s="1050"/>
      <c r="P130" s="1051"/>
      <c r="Q130" s="1051"/>
      <c r="R130" s="1051"/>
    </row>
    <row r="131" spans="2:18" s="1048" customFormat="1" ht="30" customHeight="1">
      <c r="B131" s="1083"/>
      <c r="D131" s="1049"/>
      <c r="E131" s="1049"/>
      <c r="F131" s="1049"/>
      <c r="G131" s="1049"/>
      <c r="H131" s="1049"/>
      <c r="I131" s="1049"/>
      <c r="J131" s="1049"/>
      <c r="K131" s="1049"/>
      <c r="L131" s="1049"/>
      <c r="M131" s="1049"/>
      <c r="N131" s="1049"/>
      <c r="O131" s="1050"/>
      <c r="P131" s="1051"/>
      <c r="Q131" s="1051"/>
      <c r="R131" s="1051"/>
    </row>
    <row r="132" spans="2:18" s="1048" customFormat="1" ht="30" customHeight="1">
      <c r="B132" s="1083"/>
      <c r="D132" s="1049"/>
      <c r="E132" s="1049"/>
      <c r="F132" s="1049"/>
      <c r="G132" s="1049"/>
      <c r="H132" s="1049"/>
      <c r="I132" s="1049"/>
      <c r="J132" s="1049"/>
      <c r="K132" s="1049"/>
      <c r="L132" s="1049"/>
      <c r="M132" s="1049"/>
      <c r="N132" s="1049"/>
      <c r="O132" s="1050"/>
      <c r="P132" s="1051"/>
      <c r="Q132" s="1051"/>
      <c r="R132" s="1051"/>
    </row>
    <row r="133" spans="2:18" s="1048" customFormat="1" ht="30" customHeight="1">
      <c r="B133" s="1083"/>
      <c r="D133" s="1049"/>
      <c r="E133" s="1049"/>
      <c r="F133" s="1049"/>
      <c r="G133" s="1049"/>
      <c r="H133" s="1049"/>
      <c r="I133" s="1049"/>
      <c r="J133" s="1049"/>
      <c r="K133" s="1049"/>
      <c r="L133" s="1049"/>
      <c r="M133" s="1049"/>
      <c r="N133" s="1049"/>
      <c r="O133" s="1050"/>
      <c r="P133" s="1051"/>
      <c r="Q133" s="1051"/>
      <c r="R133" s="1051"/>
    </row>
    <row r="134" spans="2:18" s="1048" customFormat="1" ht="30" customHeight="1">
      <c r="B134" s="1083"/>
      <c r="D134" s="1049"/>
      <c r="E134" s="1049"/>
      <c r="F134" s="1049"/>
      <c r="G134" s="1049"/>
      <c r="H134" s="1049"/>
      <c r="I134" s="1049"/>
      <c r="J134" s="1049"/>
      <c r="K134" s="1049"/>
      <c r="L134" s="1049"/>
      <c r="M134" s="1049"/>
      <c r="N134" s="1049"/>
      <c r="O134" s="1050"/>
      <c r="P134" s="1051"/>
      <c r="Q134" s="1051"/>
      <c r="R134" s="1051"/>
    </row>
    <row r="135" spans="2:18" s="1048" customFormat="1" ht="30" customHeight="1">
      <c r="B135" s="1083"/>
      <c r="D135" s="1049"/>
      <c r="E135" s="1049"/>
      <c r="F135" s="1049"/>
      <c r="G135" s="1049"/>
      <c r="H135" s="1049"/>
      <c r="I135" s="1049"/>
      <c r="J135" s="1049"/>
      <c r="K135" s="1049"/>
      <c r="L135" s="1049"/>
      <c r="M135" s="1049"/>
      <c r="N135" s="1049"/>
      <c r="O135" s="1050"/>
      <c r="P135" s="1051"/>
      <c r="Q135" s="1051"/>
      <c r="R135" s="1051"/>
    </row>
    <row r="136" spans="2:18" s="1048" customFormat="1" ht="30" customHeight="1">
      <c r="B136" s="1083"/>
      <c r="D136" s="1049"/>
      <c r="E136" s="1049"/>
      <c r="F136" s="1049"/>
      <c r="G136" s="1049"/>
      <c r="H136" s="1049"/>
      <c r="I136" s="1049"/>
      <c r="J136" s="1049"/>
      <c r="K136" s="1049"/>
      <c r="L136" s="1049"/>
      <c r="M136" s="1049"/>
      <c r="N136" s="1049"/>
      <c r="O136" s="1050"/>
      <c r="P136" s="1051"/>
      <c r="Q136" s="1051"/>
      <c r="R136" s="1051"/>
    </row>
    <row r="137" spans="2:18" s="1048" customFormat="1" ht="30" customHeight="1">
      <c r="B137" s="1083"/>
      <c r="D137" s="1049"/>
      <c r="E137" s="1049"/>
      <c r="F137" s="1049"/>
      <c r="G137" s="1049"/>
      <c r="H137" s="1049"/>
      <c r="I137" s="1049"/>
      <c r="J137" s="1049"/>
      <c r="K137" s="1049"/>
      <c r="L137" s="1049"/>
      <c r="M137" s="1049"/>
      <c r="N137" s="1049"/>
      <c r="O137" s="1050"/>
      <c r="P137" s="1051"/>
      <c r="Q137" s="1051"/>
      <c r="R137" s="1051"/>
    </row>
    <row r="138" spans="2:18" s="1048" customFormat="1" ht="30" customHeight="1">
      <c r="B138" s="1083"/>
      <c r="D138" s="1049"/>
      <c r="E138" s="1049"/>
      <c r="F138" s="1049"/>
      <c r="G138" s="1049"/>
      <c r="H138" s="1049"/>
      <c r="I138" s="1049"/>
      <c r="J138" s="1049"/>
      <c r="K138" s="1049"/>
      <c r="L138" s="1049"/>
      <c r="M138" s="1049"/>
      <c r="N138" s="1049"/>
      <c r="O138" s="1050"/>
      <c r="P138" s="1051"/>
      <c r="Q138" s="1051"/>
      <c r="R138" s="1051"/>
    </row>
    <row r="139" spans="2:18" s="1048" customFormat="1" ht="30" customHeight="1">
      <c r="B139" s="1083"/>
      <c r="D139" s="1049"/>
      <c r="E139" s="1049"/>
      <c r="F139" s="1049"/>
      <c r="G139" s="1049"/>
      <c r="H139" s="1049"/>
      <c r="I139" s="1049"/>
      <c r="J139" s="1049"/>
      <c r="K139" s="1049"/>
      <c r="L139" s="1049"/>
      <c r="M139" s="1049"/>
      <c r="N139" s="1049"/>
      <c r="O139" s="1050"/>
      <c r="P139" s="1051"/>
      <c r="Q139" s="1051"/>
      <c r="R139" s="1051"/>
    </row>
    <row r="140" spans="2:18" s="1048" customFormat="1" ht="30" customHeight="1">
      <c r="B140" s="1083"/>
      <c r="D140" s="1049"/>
      <c r="E140" s="1049"/>
      <c r="F140" s="1049"/>
      <c r="G140" s="1049"/>
      <c r="H140" s="1049"/>
      <c r="I140" s="1049"/>
      <c r="J140" s="1049"/>
      <c r="K140" s="1049"/>
      <c r="L140" s="1049"/>
      <c r="M140" s="1049"/>
      <c r="N140" s="1049"/>
      <c r="O140" s="1050"/>
      <c r="P140" s="1051"/>
      <c r="Q140" s="1051"/>
      <c r="R140" s="1051"/>
    </row>
    <row r="141" spans="2:18" s="1048" customFormat="1" ht="30" customHeight="1">
      <c r="B141" s="1083"/>
      <c r="D141" s="1049"/>
      <c r="E141" s="1049"/>
      <c r="F141" s="1049"/>
      <c r="G141" s="1049"/>
      <c r="H141" s="1049"/>
      <c r="I141" s="1049"/>
      <c r="J141" s="1049"/>
      <c r="K141" s="1049"/>
      <c r="L141" s="1049"/>
      <c r="M141" s="1049"/>
      <c r="N141" s="1049"/>
      <c r="O141" s="1050"/>
      <c r="P141" s="1051"/>
      <c r="Q141" s="1051"/>
      <c r="R141" s="1051"/>
    </row>
    <row r="142" spans="2:18" s="1048" customFormat="1" ht="30" customHeight="1">
      <c r="B142" s="1083"/>
      <c r="D142" s="1049"/>
      <c r="E142" s="1049"/>
      <c r="F142" s="1049"/>
      <c r="G142" s="1049"/>
      <c r="H142" s="1049"/>
      <c r="I142" s="1049"/>
      <c r="J142" s="1049"/>
      <c r="K142" s="1049"/>
      <c r="L142" s="1049"/>
      <c r="M142" s="1049"/>
      <c r="N142" s="1049"/>
      <c r="O142" s="1050"/>
      <c r="P142" s="1051"/>
      <c r="Q142" s="1051"/>
      <c r="R142" s="1051"/>
    </row>
    <row r="143" spans="2:18" s="1048" customFormat="1" ht="30" customHeight="1">
      <c r="B143" s="1083"/>
      <c r="D143" s="1049"/>
      <c r="E143" s="1049"/>
      <c r="F143" s="1049"/>
      <c r="G143" s="1049"/>
      <c r="H143" s="1049"/>
      <c r="I143" s="1049"/>
      <c r="J143" s="1049"/>
      <c r="K143" s="1049"/>
      <c r="L143" s="1049"/>
      <c r="M143" s="1049"/>
      <c r="N143" s="1049"/>
      <c r="O143" s="1050"/>
      <c r="P143" s="1051"/>
      <c r="Q143" s="1051"/>
      <c r="R143" s="1051"/>
    </row>
    <row r="144" spans="2:18" s="1048" customFormat="1" ht="30" customHeight="1">
      <c r="B144" s="1083"/>
      <c r="D144" s="1049"/>
      <c r="E144" s="1049"/>
      <c r="F144" s="1049"/>
      <c r="G144" s="1049"/>
      <c r="H144" s="1049"/>
      <c r="I144" s="1049"/>
      <c r="J144" s="1049"/>
      <c r="K144" s="1049"/>
      <c r="L144" s="1049"/>
      <c r="M144" s="1049"/>
      <c r="N144" s="1049"/>
      <c r="O144" s="1050"/>
      <c r="P144" s="1051"/>
      <c r="Q144" s="1051"/>
      <c r="R144" s="1051"/>
    </row>
    <row r="145" spans="2:18" s="1048" customFormat="1" ht="30" customHeight="1">
      <c r="B145" s="1083"/>
      <c r="D145" s="1049"/>
      <c r="E145" s="1049"/>
      <c r="F145" s="1049"/>
      <c r="G145" s="1049"/>
      <c r="H145" s="1049"/>
      <c r="I145" s="1049"/>
      <c r="J145" s="1049"/>
      <c r="K145" s="1049"/>
      <c r="L145" s="1049"/>
      <c r="M145" s="1049"/>
      <c r="N145" s="1049"/>
      <c r="O145" s="1050"/>
      <c r="P145" s="1051"/>
      <c r="Q145" s="1051"/>
      <c r="R145" s="1051"/>
    </row>
    <row r="146" spans="2:18" s="1048" customFormat="1" ht="30" customHeight="1">
      <c r="B146" s="1083"/>
      <c r="D146" s="1049"/>
      <c r="E146" s="1049"/>
      <c r="F146" s="1049"/>
      <c r="G146" s="1049"/>
      <c r="H146" s="1049"/>
      <c r="I146" s="1049"/>
      <c r="J146" s="1049"/>
      <c r="K146" s="1049"/>
      <c r="L146" s="1049"/>
      <c r="M146" s="1049"/>
      <c r="N146" s="1049"/>
      <c r="O146" s="1050"/>
      <c r="P146" s="1051"/>
      <c r="Q146" s="1051"/>
      <c r="R146" s="1051"/>
    </row>
    <row r="147" spans="2:18" s="1048" customFormat="1" ht="30" customHeight="1">
      <c r="B147" s="1083"/>
      <c r="D147" s="1049"/>
      <c r="E147" s="1049"/>
      <c r="F147" s="1049"/>
      <c r="G147" s="1049"/>
      <c r="H147" s="1049"/>
      <c r="I147" s="1049"/>
      <c r="J147" s="1049"/>
      <c r="K147" s="1049"/>
      <c r="L147" s="1049"/>
      <c r="M147" s="1049"/>
      <c r="N147" s="1049"/>
      <c r="O147" s="1050"/>
      <c r="P147" s="1051"/>
      <c r="Q147" s="1051"/>
      <c r="R147" s="1051"/>
    </row>
    <row r="148" spans="2:18" s="1048" customFormat="1" ht="30" customHeight="1">
      <c r="B148" s="1083"/>
      <c r="D148" s="1049"/>
      <c r="E148" s="1049"/>
      <c r="F148" s="1049"/>
      <c r="G148" s="1049"/>
      <c r="H148" s="1049"/>
      <c r="I148" s="1049"/>
      <c r="J148" s="1049"/>
      <c r="K148" s="1049"/>
      <c r="L148" s="1049"/>
      <c r="M148" s="1049"/>
      <c r="N148" s="1049"/>
      <c r="O148" s="1050"/>
      <c r="P148" s="1051"/>
      <c r="Q148" s="1051"/>
      <c r="R148" s="1051"/>
    </row>
    <row r="149" spans="2:18" s="1048" customFormat="1" ht="30" customHeight="1">
      <c r="B149" s="1083"/>
      <c r="D149" s="1049"/>
      <c r="E149" s="1049"/>
      <c r="F149" s="1049"/>
      <c r="G149" s="1049"/>
      <c r="H149" s="1049"/>
      <c r="I149" s="1049"/>
      <c r="J149" s="1049"/>
      <c r="K149" s="1049"/>
      <c r="L149" s="1049"/>
      <c r="M149" s="1049"/>
      <c r="N149" s="1049"/>
      <c r="O149" s="1050"/>
      <c r="P149" s="1051"/>
      <c r="Q149" s="1051"/>
      <c r="R149" s="1051"/>
    </row>
    <row r="150" spans="2:18" s="1048" customFormat="1" ht="30" customHeight="1">
      <c r="B150" s="1083"/>
      <c r="D150" s="1049"/>
      <c r="E150" s="1049"/>
      <c r="F150" s="1049"/>
      <c r="G150" s="1049"/>
      <c r="H150" s="1049"/>
      <c r="I150" s="1049"/>
      <c r="J150" s="1049"/>
      <c r="K150" s="1049"/>
      <c r="L150" s="1049"/>
      <c r="M150" s="1049"/>
      <c r="N150" s="1049"/>
      <c r="O150" s="1050"/>
      <c r="P150" s="1051"/>
      <c r="Q150" s="1051"/>
      <c r="R150" s="1051"/>
    </row>
    <row r="151" spans="2:18" s="1048" customFormat="1" ht="30" customHeight="1">
      <c r="B151" s="1083"/>
      <c r="D151" s="1049"/>
      <c r="E151" s="1049"/>
      <c r="F151" s="1049"/>
      <c r="G151" s="1049"/>
      <c r="H151" s="1049"/>
      <c r="I151" s="1049"/>
      <c r="J151" s="1049"/>
      <c r="K151" s="1049"/>
      <c r="L151" s="1049"/>
      <c r="M151" s="1049"/>
      <c r="N151" s="1049"/>
      <c r="O151" s="1050"/>
      <c r="P151" s="1051"/>
      <c r="Q151" s="1051"/>
      <c r="R151" s="1051"/>
    </row>
    <row r="152" spans="2:18" s="1048" customFormat="1" ht="30" customHeight="1">
      <c r="B152" s="1083"/>
      <c r="D152" s="1049"/>
      <c r="E152" s="1049"/>
      <c r="F152" s="1049"/>
      <c r="G152" s="1049"/>
      <c r="H152" s="1049"/>
      <c r="I152" s="1049"/>
      <c r="J152" s="1049"/>
      <c r="K152" s="1049"/>
      <c r="L152" s="1049"/>
      <c r="M152" s="1049"/>
      <c r="N152" s="1049"/>
      <c r="O152" s="1050"/>
      <c r="P152" s="1051"/>
      <c r="Q152" s="1051"/>
      <c r="R152" s="1051"/>
    </row>
    <row r="153" spans="2:18" s="1048" customFormat="1" ht="30" customHeight="1">
      <c r="B153" s="1083"/>
      <c r="D153" s="1049"/>
      <c r="E153" s="1049"/>
      <c r="F153" s="1049"/>
      <c r="G153" s="1049"/>
      <c r="H153" s="1049"/>
      <c r="I153" s="1049"/>
      <c r="J153" s="1049"/>
      <c r="K153" s="1049"/>
      <c r="L153" s="1049"/>
      <c r="M153" s="1049"/>
      <c r="N153" s="1049"/>
      <c r="O153" s="1050"/>
      <c r="P153" s="1051"/>
      <c r="Q153" s="1051"/>
      <c r="R153" s="1051"/>
    </row>
    <row r="154" spans="2:18" s="1048" customFormat="1" ht="30" customHeight="1">
      <c r="B154" s="1083"/>
      <c r="D154" s="1049"/>
      <c r="E154" s="1049"/>
      <c r="F154" s="1049"/>
      <c r="G154" s="1049"/>
      <c r="H154" s="1049"/>
      <c r="I154" s="1049"/>
      <c r="J154" s="1049"/>
      <c r="K154" s="1049"/>
      <c r="L154" s="1049"/>
      <c r="M154" s="1049"/>
      <c r="N154" s="1049"/>
      <c r="O154" s="1050"/>
      <c r="P154" s="1051"/>
      <c r="Q154" s="1051"/>
      <c r="R154" s="1051"/>
    </row>
    <row r="155" spans="2:18" s="1048" customFormat="1" ht="30" customHeight="1">
      <c r="B155" s="1083"/>
      <c r="D155" s="1049"/>
      <c r="E155" s="1049"/>
      <c r="F155" s="1049"/>
      <c r="G155" s="1049"/>
      <c r="H155" s="1049"/>
      <c r="I155" s="1049"/>
      <c r="J155" s="1049"/>
      <c r="K155" s="1049"/>
      <c r="L155" s="1049"/>
      <c r="M155" s="1049"/>
      <c r="N155" s="1049"/>
      <c r="O155" s="1050"/>
      <c r="P155" s="1051"/>
      <c r="Q155" s="1051"/>
      <c r="R155" s="1051"/>
    </row>
    <row r="156" spans="2:18" s="1048" customFormat="1" ht="30" customHeight="1">
      <c r="B156" s="1083"/>
      <c r="D156" s="1049"/>
      <c r="E156" s="1049"/>
      <c r="F156" s="1049"/>
      <c r="G156" s="1049"/>
      <c r="H156" s="1049"/>
      <c r="I156" s="1049"/>
      <c r="J156" s="1049"/>
      <c r="K156" s="1049"/>
      <c r="L156" s="1049"/>
      <c r="M156" s="1049"/>
      <c r="N156" s="1049"/>
      <c r="O156" s="1050"/>
      <c r="P156" s="1051"/>
      <c r="Q156" s="1051"/>
      <c r="R156" s="1051"/>
    </row>
    <row r="157" spans="2:18" s="1048" customFormat="1" ht="30" customHeight="1">
      <c r="B157" s="1083"/>
      <c r="D157" s="1049"/>
      <c r="E157" s="1049"/>
      <c r="F157" s="1049"/>
      <c r="G157" s="1049"/>
      <c r="H157" s="1049"/>
      <c r="I157" s="1049"/>
      <c r="J157" s="1049"/>
      <c r="K157" s="1049"/>
      <c r="L157" s="1049"/>
      <c r="M157" s="1049"/>
      <c r="N157" s="1049"/>
      <c r="O157" s="1050"/>
      <c r="P157" s="1051"/>
      <c r="Q157" s="1051"/>
      <c r="R157" s="1051"/>
    </row>
    <row r="158" spans="2:18" s="1048" customFormat="1" ht="30" customHeight="1">
      <c r="B158" s="1083"/>
      <c r="D158" s="1049"/>
      <c r="E158" s="1049"/>
      <c r="F158" s="1049"/>
      <c r="G158" s="1049"/>
      <c r="H158" s="1049"/>
      <c r="I158" s="1049"/>
      <c r="J158" s="1049"/>
      <c r="K158" s="1049"/>
      <c r="L158" s="1049"/>
      <c r="M158" s="1049"/>
      <c r="N158" s="1049"/>
      <c r="O158" s="1050"/>
      <c r="P158" s="1051"/>
      <c r="Q158" s="1051"/>
      <c r="R158" s="1051"/>
    </row>
    <row r="159" spans="2:18" s="1048" customFormat="1" ht="30" customHeight="1">
      <c r="B159" s="1083"/>
      <c r="D159" s="1049"/>
      <c r="E159" s="1049"/>
      <c r="F159" s="1049"/>
      <c r="G159" s="1049"/>
      <c r="H159" s="1049"/>
      <c r="I159" s="1049"/>
      <c r="J159" s="1049"/>
      <c r="K159" s="1049"/>
      <c r="L159" s="1049"/>
      <c r="M159" s="1049"/>
      <c r="N159" s="1049"/>
      <c r="O159" s="1050"/>
      <c r="P159" s="1051"/>
      <c r="Q159" s="1051"/>
      <c r="R159" s="1051"/>
    </row>
    <row r="160" spans="2:18" s="1048" customFormat="1" ht="30" customHeight="1">
      <c r="B160" s="1083"/>
      <c r="D160" s="1049"/>
      <c r="E160" s="1049"/>
      <c r="F160" s="1049"/>
      <c r="G160" s="1049"/>
      <c r="H160" s="1049"/>
      <c r="I160" s="1049"/>
      <c r="J160" s="1049"/>
      <c r="K160" s="1049"/>
      <c r="L160" s="1049"/>
      <c r="M160" s="1049"/>
      <c r="N160" s="1049"/>
      <c r="O160" s="1050"/>
      <c r="P160" s="1051"/>
      <c r="Q160" s="1051"/>
      <c r="R160" s="1051"/>
    </row>
    <row r="161" spans="2:18" s="1048" customFormat="1" ht="30" customHeight="1">
      <c r="B161" s="1083"/>
      <c r="D161" s="1049"/>
      <c r="E161" s="1049"/>
      <c r="F161" s="1049"/>
      <c r="G161" s="1049"/>
      <c r="H161" s="1049"/>
      <c r="I161" s="1049"/>
      <c r="J161" s="1049"/>
      <c r="K161" s="1049"/>
      <c r="L161" s="1049"/>
      <c r="M161" s="1049"/>
      <c r="N161" s="1049"/>
      <c r="O161" s="1050"/>
      <c r="P161" s="1051"/>
      <c r="Q161" s="1051"/>
      <c r="R161" s="1051"/>
    </row>
    <row r="162" spans="2:18" s="1048" customFormat="1" ht="30" customHeight="1">
      <c r="B162" s="1083"/>
      <c r="D162" s="1049"/>
      <c r="E162" s="1049"/>
      <c r="F162" s="1049"/>
      <c r="G162" s="1049"/>
      <c r="H162" s="1049"/>
      <c r="I162" s="1049"/>
      <c r="J162" s="1049"/>
      <c r="K162" s="1049"/>
      <c r="L162" s="1049"/>
      <c r="M162" s="1049"/>
      <c r="N162" s="1049"/>
      <c r="O162" s="1050"/>
      <c r="P162" s="1051"/>
      <c r="Q162" s="1051"/>
      <c r="R162" s="1051"/>
    </row>
    <row r="163" spans="2:18" s="1048" customFormat="1" ht="30" customHeight="1">
      <c r="B163" s="1083"/>
      <c r="D163" s="1049"/>
      <c r="E163" s="1049"/>
      <c r="F163" s="1049"/>
      <c r="G163" s="1049"/>
      <c r="H163" s="1049"/>
      <c r="I163" s="1049"/>
      <c r="J163" s="1049"/>
      <c r="K163" s="1049"/>
      <c r="L163" s="1049"/>
      <c r="M163" s="1049"/>
      <c r="N163" s="1049"/>
      <c r="O163" s="1050"/>
      <c r="P163" s="1051"/>
      <c r="Q163" s="1051"/>
      <c r="R163" s="1051"/>
    </row>
    <row r="164" spans="2:18" s="1048" customFormat="1" ht="30" customHeight="1">
      <c r="B164" s="1083"/>
      <c r="D164" s="1049"/>
      <c r="E164" s="1049"/>
      <c r="F164" s="1049"/>
      <c r="G164" s="1049"/>
      <c r="H164" s="1049"/>
      <c r="I164" s="1049"/>
      <c r="J164" s="1049"/>
      <c r="K164" s="1049"/>
      <c r="L164" s="1049"/>
      <c r="M164" s="1049"/>
      <c r="N164" s="1049"/>
      <c r="O164" s="1050"/>
      <c r="P164" s="1051"/>
      <c r="Q164" s="1051"/>
      <c r="R164" s="1051"/>
    </row>
    <row r="165" spans="2:18" s="1048" customFormat="1" ht="30" customHeight="1">
      <c r="B165" s="1083"/>
      <c r="D165" s="1049"/>
      <c r="E165" s="1049"/>
      <c r="F165" s="1049"/>
      <c r="G165" s="1049"/>
      <c r="H165" s="1049"/>
      <c r="I165" s="1049"/>
      <c r="J165" s="1049"/>
      <c r="K165" s="1049"/>
      <c r="L165" s="1049"/>
      <c r="M165" s="1049"/>
      <c r="N165" s="1049"/>
      <c r="O165" s="1050"/>
      <c r="P165" s="1051"/>
      <c r="Q165" s="1051"/>
      <c r="R165" s="1051"/>
    </row>
    <row r="166" spans="2:18" s="1048" customFormat="1" ht="30" customHeight="1">
      <c r="B166" s="1083"/>
      <c r="D166" s="1049"/>
      <c r="E166" s="1049"/>
      <c r="F166" s="1049"/>
      <c r="G166" s="1049"/>
      <c r="H166" s="1049"/>
      <c r="I166" s="1049"/>
      <c r="J166" s="1049"/>
      <c r="K166" s="1049"/>
      <c r="L166" s="1049"/>
      <c r="M166" s="1049"/>
      <c r="N166" s="1049"/>
      <c r="O166" s="1050"/>
      <c r="P166" s="1051"/>
      <c r="Q166" s="1051"/>
      <c r="R166" s="1051"/>
    </row>
    <row r="167" spans="2:18" s="1048" customFormat="1" ht="30" customHeight="1">
      <c r="B167" s="1083"/>
      <c r="D167" s="1049"/>
      <c r="E167" s="1049"/>
      <c r="F167" s="1049"/>
      <c r="G167" s="1049"/>
      <c r="H167" s="1049"/>
      <c r="I167" s="1049"/>
      <c r="J167" s="1049"/>
      <c r="K167" s="1049"/>
      <c r="L167" s="1049"/>
      <c r="M167" s="1049"/>
      <c r="N167" s="1049"/>
      <c r="O167" s="1050"/>
      <c r="P167" s="1051"/>
      <c r="Q167" s="1051"/>
      <c r="R167" s="1051"/>
    </row>
    <row r="168" spans="2:18" s="1048" customFormat="1" ht="30" customHeight="1">
      <c r="B168" s="1083"/>
      <c r="D168" s="1049"/>
      <c r="E168" s="1049"/>
      <c r="F168" s="1049"/>
      <c r="G168" s="1049"/>
      <c r="H168" s="1049"/>
      <c r="I168" s="1049"/>
      <c r="J168" s="1049"/>
      <c r="K168" s="1049"/>
      <c r="L168" s="1049"/>
      <c r="M168" s="1049"/>
      <c r="N168" s="1049"/>
      <c r="O168" s="1050"/>
      <c r="P168" s="1051"/>
      <c r="Q168" s="1051"/>
      <c r="R168" s="1051"/>
    </row>
    <row r="169" spans="2:18" s="1048" customFormat="1" ht="30" customHeight="1">
      <c r="B169" s="1083"/>
      <c r="D169" s="1049"/>
      <c r="E169" s="1049"/>
      <c r="F169" s="1049"/>
      <c r="G169" s="1049"/>
      <c r="H169" s="1049"/>
      <c r="I169" s="1049"/>
      <c r="J169" s="1049"/>
      <c r="K169" s="1049"/>
      <c r="L169" s="1049"/>
      <c r="M169" s="1049"/>
      <c r="N169" s="1049"/>
      <c r="O169" s="1050"/>
      <c r="P169" s="1051"/>
      <c r="Q169" s="1051"/>
      <c r="R169" s="1051"/>
    </row>
    <row r="170" spans="2:18" s="1048" customFormat="1" ht="30" customHeight="1">
      <c r="B170" s="1083"/>
      <c r="D170" s="1049"/>
      <c r="E170" s="1049"/>
      <c r="F170" s="1049"/>
      <c r="G170" s="1049"/>
      <c r="H170" s="1049"/>
      <c r="I170" s="1049"/>
      <c r="J170" s="1049"/>
      <c r="K170" s="1049"/>
      <c r="L170" s="1049"/>
      <c r="M170" s="1049"/>
      <c r="N170" s="1049"/>
      <c r="O170" s="1050"/>
      <c r="P170" s="1051"/>
      <c r="Q170" s="1051"/>
      <c r="R170" s="1051"/>
    </row>
    <row r="171" spans="2:18" s="1048" customFormat="1" ht="30" customHeight="1">
      <c r="B171" s="1083"/>
      <c r="D171" s="1049"/>
      <c r="E171" s="1049"/>
      <c r="F171" s="1049"/>
      <c r="G171" s="1049"/>
      <c r="H171" s="1049"/>
      <c r="I171" s="1049"/>
      <c r="J171" s="1049"/>
      <c r="K171" s="1049"/>
      <c r="L171" s="1049"/>
      <c r="M171" s="1049"/>
      <c r="N171" s="1049"/>
      <c r="O171" s="1050"/>
      <c r="P171" s="1051"/>
      <c r="Q171" s="1051"/>
      <c r="R171" s="1051"/>
    </row>
    <row r="172" spans="2:18" s="1048" customFormat="1" ht="30" customHeight="1">
      <c r="B172" s="1083"/>
      <c r="D172" s="1049"/>
      <c r="E172" s="1049"/>
      <c r="F172" s="1049"/>
      <c r="G172" s="1049"/>
      <c r="H172" s="1049"/>
      <c r="I172" s="1049"/>
      <c r="J172" s="1049"/>
      <c r="K172" s="1049"/>
      <c r="L172" s="1049"/>
      <c r="M172" s="1049"/>
      <c r="N172" s="1049"/>
      <c r="O172" s="1050"/>
      <c r="P172" s="1051"/>
      <c r="Q172" s="1051"/>
      <c r="R172" s="1051"/>
    </row>
    <row r="173" spans="2:18" s="1048" customFormat="1" ht="30" customHeight="1">
      <c r="B173" s="1083"/>
      <c r="D173" s="1049"/>
      <c r="E173" s="1049"/>
      <c r="F173" s="1049"/>
      <c r="G173" s="1049"/>
      <c r="H173" s="1049"/>
      <c r="I173" s="1049"/>
      <c r="J173" s="1049"/>
      <c r="K173" s="1049"/>
      <c r="L173" s="1049"/>
      <c r="M173" s="1049"/>
      <c r="N173" s="1049"/>
      <c r="O173" s="1050"/>
      <c r="P173" s="1051"/>
      <c r="Q173" s="1051"/>
      <c r="R173" s="1051"/>
    </row>
    <row r="174" spans="2:18" s="1048" customFormat="1" ht="30" customHeight="1">
      <c r="B174" s="1083"/>
      <c r="D174" s="1049"/>
      <c r="E174" s="1049"/>
      <c r="F174" s="1049"/>
      <c r="G174" s="1049"/>
      <c r="H174" s="1049"/>
      <c r="I174" s="1049"/>
      <c r="J174" s="1049"/>
      <c r="K174" s="1049"/>
      <c r="L174" s="1049"/>
      <c r="M174" s="1049"/>
      <c r="N174" s="1049"/>
      <c r="O174" s="1050"/>
      <c r="P174" s="1051"/>
      <c r="Q174" s="1051"/>
      <c r="R174" s="1051"/>
    </row>
    <row r="175" spans="2:18" s="1048" customFormat="1" ht="30" customHeight="1">
      <c r="B175" s="1083"/>
      <c r="D175" s="1049"/>
      <c r="E175" s="1049"/>
      <c r="F175" s="1049"/>
      <c r="G175" s="1049"/>
      <c r="H175" s="1049"/>
      <c r="I175" s="1049"/>
      <c r="J175" s="1049"/>
      <c r="K175" s="1049"/>
      <c r="L175" s="1049"/>
      <c r="M175" s="1049"/>
      <c r="N175" s="1049"/>
      <c r="O175" s="1050"/>
      <c r="P175" s="1051"/>
      <c r="Q175" s="1051"/>
      <c r="R175" s="1051"/>
    </row>
    <row r="176" spans="2:18" s="1048" customFormat="1" ht="30" customHeight="1">
      <c r="B176" s="1083"/>
      <c r="D176" s="1049"/>
      <c r="E176" s="1049"/>
      <c r="F176" s="1049"/>
      <c r="G176" s="1049"/>
      <c r="H176" s="1049"/>
      <c r="I176" s="1049"/>
      <c r="J176" s="1049"/>
      <c r="K176" s="1049"/>
      <c r="L176" s="1049"/>
      <c r="M176" s="1049"/>
      <c r="N176" s="1049"/>
      <c r="O176" s="1050"/>
      <c r="P176" s="1051"/>
      <c r="Q176" s="1051"/>
      <c r="R176" s="1051"/>
    </row>
    <row r="177" spans="2:18" s="1048" customFormat="1" ht="30" customHeight="1">
      <c r="B177" s="1083"/>
      <c r="D177" s="1049"/>
      <c r="E177" s="1049"/>
      <c r="F177" s="1049"/>
      <c r="G177" s="1049"/>
      <c r="H177" s="1049"/>
      <c r="I177" s="1049"/>
      <c r="J177" s="1049"/>
      <c r="K177" s="1049"/>
      <c r="L177" s="1049"/>
      <c r="M177" s="1049"/>
      <c r="N177" s="1049"/>
      <c r="O177" s="1050"/>
      <c r="P177" s="1051"/>
      <c r="Q177" s="1051"/>
      <c r="R177" s="1051"/>
    </row>
    <row r="178" spans="2:18" s="1048" customFormat="1" ht="30" customHeight="1">
      <c r="B178" s="1083"/>
      <c r="D178" s="1049"/>
      <c r="E178" s="1049"/>
      <c r="F178" s="1049"/>
      <c r="G178" s="1049"/>
      <c r="H178" s="1049"/>
      <c r="I178" s="1049"/>
      <c r="J178" s="1049"/>
      <c r="K178" s="1049"/>
      <c r="L178" s="1049"/>
      <c r="M178" s="1049"/>
      <c r="N178" s="1049"/>
      <c r="O178" s="1050"/>
      <c r="P178" s="1051"/>
      <c r="Q178" s="1051"/>
      <c r="R178" s="1051"/>
    </row>
    <row r="179" spans="2:18" s="1048" customFormat="1" ht="30" customHeight="1">
      <c r="B179" s="1083"/>
      <c r="D179" s="1049"/>
      <c r="E179" s="1049"/>
      <c r="F179" s="1049"/>
      <c r="G179" s="1049"/>
      <c r="H179" s="1049"/>
      <c r="I179" s="1049"/>
      <c r="J179" s="1049"/>
      <c r="K179" s="1049"/>
      <c r="L179" s="1049"/>
      <c r="M179" s="1049"/>
      <c r="N179" s="1049"/>
      <c r="O179" s="1050"/>
      <c r="P179" s="1051"/>
      <c r="Q179" s="1051"/>
      <c r="R179" s="1051"/>
    </row>
    <row r="180" spans="2:18" s="1048" customFormat="1" ht="30" customHeight="1">
      <c r="B180" s="1083"/>
      <c r="D180" s="1049"/>
      <c r="E180" s="1049"/>
      <c r="F180" s="1049"/>
      <c r="G180" s="1049"/>
      <c r="H180" s="1049"/>
      <c r="I180" s="1049"/>
      <c r="J180" s="1049"/>
      <c r="K180" s="1049"/>
      <c r="L180" s="1049"/>
      <c r="M180" s="1049"/>
      <c r="N180" s="1049"/>
      <c r="O180" s="1050"/>
      <c r="P180" s="1051"/>
      <c r="Q180" s="1051"/>
      <c r="R180" s="1051"/>
    </row>
    <row r="181" spans="2:18" s="1048" customFormat="1" ht="30" customHeight="1">
      <c r="B181" s="1083"/>
      <c r="D181" s="1049"/>
      <c r="E181" s="1049"/>
      <c r="F181" s="1049"/>
      <c r="G181" s="1049"/>
      <c r="H181" s="1049"/>
      <c r="I181" s="1049"/>
      <c r="J181" s="1049"/>
      <c r="K181" s="1049"/>
      <c r="L181" s="1049"/>
      <c r="M181" s="1049"/>
      <c r="N181" s="1049"/>
      <c r="O181" s="1050"/>
      <c r="P181" s="1051"/>
      <c r="Q181" s="1051"/>
      <c r="R181" s="1051"/>
    </row>
    <row r="182" spans="2:18" s="1048" customFormat="1" ht="30" customHeight="1">
      <c r="B182" s="1083"/>
      <c r="D182" s="1049"/>
      <c r="E182" s="1049"/>
      <c r="F182" s="1049"/>
      <c r="G182" s="1049"/>
      <c r="H182" s="1049"/>
      <c r="I182" s="1049"/>
      <c r="J182" s="1049"/>
      <c r="K182" s="1049"/>
      <c r="L182" s="1049"/>
      <c r="M182" s="1049"/>
      <c r="N182" s="1049"/>
      <c r="O182" s="1050"/>
      <c r="P182" s="1051"/>
      <c r="Q182" s="1051"/>
      <c r="R182" s="1051"/>
    </row>
    <row r="183" spans="2:18" s="1048" customFormat="1" ht="30" customHeight="1">
      <c r="B183" s="1083"/>
      <c r="D183" s="1049"/>
      <c r="E183" s="1049"/>
      <c r="F183" s="1049"/>
      <c r="G183" s="1049"/>
      <c r="H183" s="1049"/>
      <c r="I183" s="1049"/>
      <c r="J183" s="1049"/>
      <c r="K183" s="1049"/>
      <c r="L183" s="1049"/>
      <c r="M183" s="1049"/>
      <c r="N183" s="1049"/>
      <c r="O183" s="1050"/>
      <c r="P183" s="1051"/>
      <c r="Q183" s="1051"/>
      <c r="R183" s="1051"/>
    </row>
    <row r="184" spans="2:18" s="1048" customFormat="1" ht="30" customHeight="1">
      <c r="B184" s="1083"/>
      <c r="D184" s="1049"/>
      <c r="E184" s="1049"/>
      <c r="F184" s="1049"/>
      <c r="G184" s="1049"/>
      <c r="H184" s="1049"/>
      <c r="I184" s="1049"/>
      <c r="J184" s="1049"/>
      <c r="K184" s="1049"/>
      <c r="L184" s="1049"/>
      <c r="M184" s="1049"/>
      <c r="N184" s="1049"/>
      <c r="O184" s="1050"/>
      <c r="P184" s="1051"/>
      <c r="Q184" s="1051"/>
      <c r="R184" s="1051"/>
    </row>
    <row r="185" spans="2:18" s="1048" customFormat="1" ht="30" customHeight="1">
      <c r="B185" s="1083"/>
      <c r="D185" s="1049"/>
      <c r="E185" s="1049"/>
      <c r="F185" s="1049"/>
      <c r="G185" s="1049"/>
      <c r="H185" s="1049"/>
      <c r="I185" s="1049"/>
      <c r="J185" s="1049"/>
      <c r="K185" s="1049"/>
      <c r="L185" s="1049"/>
      <c r="M185" s="1049"/>
      <c r="N185" s="1049"/>
      <c r="O185" s="1050"/>
      <c r="P185" s="1051"/>
      <c r="Q185" s="1051"/>
      <c r="R185" s="1051"/>
    </row>
    <row r="186" spans="2:18" s="1048" customFormat="1" ht="30" customHeight="1">
      <c r="B186" s="1083"/>
      <c r="D186" s="1049"/>
      <c r="E186" s="1049"/>
      <c r="F186" s="1049"/>
      <c r="G186" s="1049"/>
      <c r="H186" s="1049"/>
      <c r="I186" s="1049"/>
      <c r="J186" s="1049"/>
      <c r="K186" s="1049"/>
      <c r="L186" s="1049"/>
      <c r="M186" s="1049"/>
      <c r="N186" s="1049"/>
      <c r="O186" s="1050"/>
      <c r="P186" s="1051"/>
      <c r="Q186" s="1051"/>
      <c r="R186" s="1051"/>
    </row>
    <row r="187" spans="2:18" s="1048" customFormat="1" ht="30" customHeight="1">
      <c r="B187" s="1083"/>
      <c r="D187" s="1049"/>
      <c r="E187" s="1049"/>
      <c r="F187" s="1049"/>
      <c r="G187" s="1049"/>
      <c r="H187" s="1049"/>
      <c r="I187" s="1049"/>
      <c r="J187" s="1049"/>
      <c r="K187" s="1049"/>
      <c r="L187" s="1049"/>
      <c r="M187" s="1049"/>
      <c r="N187" s="1049"/>
      <c r="O187" s="1050"/>
      <c r="P187" s="1051"/>
      <c r="Q187" s="1051"/>
      <c r="R187" s="1051"/>
    </row>
    <row r="188" spans="2:18" s="1048" customFormat="1" ht="30" customHeight="1">
      <c r="B188" s="1083"/>
      <c r="D188" s="1049"/>
      <c r="E188" s="1049"/>
      <c r="F188" s="1049"/>
      <c r="G188" s="1049"/>
      <c r="H188" s="1049"/>
      <c r="I188" s="1049"/>
      <c r="J188" s="1049"/>
      <c r="K188" s="1049"/>
      <c r="L188" s="1049"/>
      <c r="M188" s="1049"/>
      <c r="N188" s="1049"/>
      <c r="O188" s="1050"/>
      <c r="P188" s="1051"/>
      <c r="Q188" s="1051"/>
      <c r="R188" s="1051"/>
    </row>
    <row r="189" spans="2:18" s="1048" customFormat="1" ht="30" customHeight="1">
      <c r="B189" s="1083"/>
      <c r="D189" s="1049"/>
      <c r="E189" s="1049"/>
      <c r="F189" s="1049"/>
      <c r="G189" s="1049"/>
      <c r="H189" s="1049"/>
      <c r="I189" s="1049"/>
      <c r="J189" s="1049"/>
      <c r="K189" s="1049"/>
      <c r="L189" s="1049"/>
      <c r="M189" s="1049"/>
      <c r="N189" s="1049"/>
      <c r="O189" s="1050"/>
      <c r="P189" s="1051"/>
      <c r="Q189" s="1051"/>
      <c r="R189" s="1051"/>
    </row>
    <row r="190" spans="2:18" s="1048" customFormat="1" ht="30" customHeight="1">
      <c r="B190" s="1083"/>
      <c r="D190" s="1049"/>
      <c r="E190" s="1049"/>
      <c r="F190" s="1049"/>
      <c r="G190" s="1049"/>
      <c r="H190" s="1049"/>
      <c r="I190" s="1049"/>
      <c r="J190" s="1049"/>
      <c r="K190" s="1049"/>
      <c r="L190" s="1049"/>
      <c r="M190" s="1049"/>
      <c r="N190" s="1049"/>
      <c r="O190" s="1050"/>
      <c r="P190" s="1051"/>
      <c r="Q190" s="1051"/>
      <c r="R190" s="1051"/>
    </row>
    <row r="191" spans="2:18" s="1048" customFormat="1" ht="30" customHeight="1">
      <c r="B191" s="1083"/>
      <c r="D191" s="1049"/>
      <c r="E191" s="1049"/>
      <c r="F191" s="1049"/>
      <c r="G191" s="1049"/>
      <c r="H191" s="1049"/>
      <c r="I191" s="1049"/>
      <c r="J191" s="1049"/>
      <c r="K191" s="1049"/>
      <c r="L191" s="1049"/>
      <c r="M191" s="1049"/>
      <c r="N191" s="1049"/>
      <c r="O191" s="1050"/>
      <c r="P191" s="1051"/>
      <c r="Q191" s="1051"/>
      <c r="R191" s="1051"/>
    </row>
    <row r="192" spans="2:18" s="1048" customFormat="1" ht="30" customHeight="1">
      <c r="B192" s="1083"/>
      <c r="D192" s="1049"/>
      <c r="E192" s="1049"/>
      <c r="F192" s="1049"/>
      <c r="G192" s="1049"/>
      <c r="H192" s="1049"/>
      <c r="I192" s="1049"/>
      <c r="J192" s="1049"/>
      <c r="K192" s="1049"/>
      <c r="L192" s="1049"/>
      <c r="M192" s="1049"/>
      <c r="N192" s="1049"/>
      <c r="O192" s="1050"/>
      <c r="P192" s="1051"/>
      <c r="Q192" s="1051"/>
      <c r="R192" s="1051"/>
    </row>
    <row r="193" spans="2:18" s="1048" customFormat="1" ht="30" customHeight="1">
      <c r="B193" s="1083"/>
      <c r="D193" s="1049"/>
      <c r="E193" s="1049"/>
      <c r="F193" s="1049"/>
      <c r="G193" s="1049"/>
      <c r="H193" s="1049"/>
      <c r="I193" s="1049"/>
      <c r="J193" s="1049"/>
      <c r="K193" s="1049"/>
      <c r="L193" s="1049"/>
      <c r="M193" s="1049"/>
      <c r="N193" s="1049"/>
      <c r="O193" s="1050"/>
      <c r="P193" s="1051"/>
      <c r="Q193" s="1051"/>
      <c r="R193" s="1051"/>
    </row>
    <row r="194" spans="2:18" s="1048" customFormat="1" ht="30" customHeight="1">
      <c r="B194" s="1083"/>
      <c r="D194" s="1049"/>
      <c r="E194" s="1049"/>
      <c r="F194" s="1049"/>
      <c r="G194" s="1049"/>
      <c r="H194" s="1049"/>
      <c r="I194" s="1049"/>
      <c r="J194" s="1049"/>
      <c r="K194" s="1049"/>
      <c r="L194" s="1049"/>
      <c r="M194" s="1049"/>
      <c r="N194" s="1049"/>
      <c r="O194" s="1050"/>
      <c r="P194" s="1051"/>
      <c r="Q194" s="1051"/>
      <c r="R194" s="1051"/>
    </row>
    <row r="195" spans="2:18" s="1048" customFormat="1" ht="30" customHeight="1">
      <c r="B195" s="1083"/>
      <c r="D195" s="1049"/>
      <c r="E195" s="1049"/>
      <c r="F195" s="1049"/>
      <c r="G195" s="1049"/>
      <c r="H195" s="1049"/>
      <c r="I195" s="1049"/>
      <c r="J195" s="1049"/>
      <c r="K195" s="1049"/>
      <c r="L195" s="1049"/>
      <c r="M195" s="1049"/>
      <c r="N195" s="1049"/>
      <c r="O195" s="1050"/>
      <c r="P195" s="1051"/>
      <c r="Q195" s="1051"/>
      <c r="R195" s="1051"/>
    </row>
    <row r="196" spans="2:18" s="1048" customFormat="1" ht="30" customHeight="1">
      <c r="B196" s="1083"/>
      <c r="D196" s="1049"/>
      <c r="E196" s="1049"/>
      <c r="F196" s="1049"/>
      <c r="G196" s="1049"/>
      <c r="H196" s="1049"/>
      <c r="I196" s="1049"/>
      <c r="J196" s="1049"/>
      <c r="K196" s="1049"/>
      <c r="L196" s="1049"/>
      <c r="M196" s="1049"/>
      <c r="N196" s="1049"/>
      <c r="O196" s="1050"/>
      <c r="P196" s="1051"/>
      <c r="Q196" s="1051"/>
      <c r="R196" s="1051"/>
    </row>
    <row r="197" spans="2:18" s="1048" customFormat="1" ht="30" customHeight="1">
      <c r="B197" s="1083"/>
      <c r="D197" s="1049"/>
      <c r="E197" s="1049"/>
      <c r="F197" s="1049"/>
      <c r="G197" s="1049"/>
      <c r="H197" s="1049"/>
      <c r="I197" s="1049"/>
      <c r="J197" s="1049"/>
      <c r="K197" s="1049"/>
      <c r="L197" s="1049"/>
      <c r="M197" s="1049"/>
      <c r="N197" s="1049"/>
      <c r="O197" s="1050"/>
      <c r="P197" s="1051"/>
      <c r="Q197" s="1051"/>
      <c r="R197" s="1051"/>
    </row>
    <row r="198" spans="2:18" s="1048" customFormat="1" ht="30" customHeight="1">
      <c r="B198" s="1083"/>
      <c r="D198" s="1049"/>
      <c r="E198" s="1049"/>
      <c r="F198" s="1049"/>
      <c r="G198" s="1049"/>
      <c r="H198" s="1049"/>
      <c r="I198" s="1049"/>
      <c r="J198" s="1049"/>
      <c r="K198" s="1049"/>
      <c r="L198" s="1049"/>
      <c r="M198" s="1049"/>
      <c r="N198" s="1049"/>
      <c r="O198" s="1050"/>
      <c r="P198" s="1051"/>
      <c r="Q198" s="1051"/>
      <c r="R198" s="1051"/>
    </row>
    <row r="199" spans="2:18" s="1048" customFormat="1" ht="30" customHeight="1">
      <c r="B199" s="1083"/>
      <c r="D199" s="1049"/>
      <c r="E199" s="1049"/>
      <c r="F199" s="1049"/>
      <c r="G199" s="1049"/>
      <c r="H199" s="1049"/>
      <c r="I199" s="1049"/>
      <c r="J199" s="1049"/>
      <c r="K199" s="1049"/>
      <c r="L199" s="1049"/>
      <c r="M199" s="1049"/>
      <c r="N199" s="1049"/>
      <c r="O199" s="1050"/>
      <c r="P199" s="1051"/>
      <c r="Q199" s="1051"/>
      <c r="R199" s="1051"/>
    </row>
    <row r="200" spans="2:18" s="1048" customFormat="1" ht="30" customHeight="1">
      <c r="B200" s="1083"/>
      <c r="D200" s="1049"/>
      <c r="E200" s="1049"/>
      <c r="F200" s="1049"/>
      <c r="G200" s="1049"/>
      <c r="H200" s="1049"/>
      <c r="I200" s="1049"/>
      <c r="J200" s="1049"/>
      <c r="K200" s="1049"/>
      <c r="L200" s="1049"/>
      <c r="M200" s="1049"/>
      <c r="N200" s="1049"/>
      <c r="O200" s="1050"/>
      <c r="P200" s="1051"/>
      <c r="Q200" s="1051"/>
      <c r="R200" s="1051"/>
    </row>
    <row r="201" spans="2:18" s="1048" customFormat="1" ht="30" customHeight="1">
      <c r="B201" s="1083"/>
      <c r="D201" s="1049"/>
      <c r="E201" s="1049"/>
      <c r="F201" s="1049"/>
      <c r="G201" s="1049"/>
      <c r="H201" s="1049"/>
      <c r="I201" s="1049"/>
      <c r="J201" s="1049"/>
      <c r="K201" s="1049"/>
      <c r="L201" s="1049"/>
      <c r="M201" s="1049"/>
      <c r="N201" s="1049"/>
      <c r="O201" s="1050"/>
      <c r="P201" s="1051"/>
      <c r="Q201" s="1051"/>
      <c r="R201" s="1051"/>
    </row>
    <row r="202" spans="2:18" s="1048" customFormat="1" ht="30" customHeight="1">
      <c r="B202" s="1083"/>
      <c r="D202" s="1049"/>
      <c r="E202" s="1049"/>
      <c r="F202" s="1049"/>
      <c r="G202" s="1049"/>
      <c r="H202" s="1049"/>
      <c r="I202" s="1049"/>
      <c r="J202" s="1049"/>
      <c r="K202" s="1049"/>
      <c r="L202" s="1049"/>
      <c r="M202" s="1049"/>
      <c r="N202" s="1049"/>
      <c r="O202" s="1050"/>
      <c r="P202" s="1051"/>
      <c r="Q202" s="1051"/>
      <c r="R202" s="1051"/>
    </row>
    <row r="203" spans="2:18" s="1048" customFormat="1" ht="30" customHeight="1">
      <c r="B203" s="1083"/>
      <c r="D203" s="1049"/>
      <c r="E203" s="1049"/>
      <c r="F203" s="1049"/>
      <c r="G203" s="1049"/>
      <c r="H203" s="1049"/>
      <c r="I203" s="1049"/>
      <c r="J203" s="1049"/>
      <c r="K203" s="1049"/>
      <c r="L203" s="1049"/>
      <c r="M203" s="1049"/>
      <c r="N203" s="1049"/>
      <c r="O203" s="1050"/>
      <c r="P203" s="1051"/>
      <c r="Q203" s="1051"/>
      <c r="R203" s="1051"/>
    </row>
    <row r="204" spans="2:18" s="1048" customFormat="1" ht="30" customHeight="1">
      <c r="B204" s="1083"/>
      <c r="D204" s="1049"/>
      <c r="E204" s="1049"/>
      <c r="F204" s="1049"/>
      <c r="G204" s="1049"/>
      <c r="H204" s="1049"/>
      <c r="I204" s="1049"/>
      <c r="J204" s="1049"/>
      <c r="K204" s="1049"/>
      <c r="L204" s="1049"/>
      <c r="M204" s="1049"/>
      <c r="N204" s="1049"/>
      <c r="O204" s="1050"/>
      <c r="P204" s="1051"/>
      <c r="Q204" s="1051"/>
      <c r="R204" s="1051"/>
    </row>
    <row r="205" spans="2:18" s="1048" customFormat="1" ht="30" customHeight="1">
      <c r="B205" s="1083"/>
      <c r="D205" s="1049"/>
      <c r="E205" s="1049"/>
      <c r="F205" s="1049"/>
      <c r="G205" s="1049"/>
      <c r="H205" s="1049"/>
      <c r="I205" s="1049"/>
      <c r="J205" s="1049"/>
      <c r="K205" s="1049"/>
      <c r="L205" s="1049"/>
      <c r="M205" s="1049"/>
      <c r="N205" s="1049"/>
      <c r="O205" s="1050"/>
      <c r="P205" s="1051"/>
      <c r="Q205" s="1051"/>
      <c r="R205" s="1051"/>
    </row>
    <row r="206" spans="2:18" s="1048" customFormat="1" ht="30" customHeight="1">
      <c r="B206" s="1083"/>
      <c r="D206" s="1049"/>
      <c r="E206" s="1049"/>
      <c r="F206" s="1049"/>
      <c r="G206" s="1049"/>
      <c r="H206" s="1049"/>
      <c r="I206" s="1049"/>
      <c r="J206" s="1049"/>
      <c r="K206" s="1049"/>
      <c r="L206" s="1049"/>
      <c r="M206" s="1049"/>
      <c r="N206" s="1049"/>
      <c r="O206" s="1050"/>
      <c r="P206" s="1051"/>
      <c r="Q206" s="1051"/>
      <c r="R206" s="1051"/>
    </row>
    <row r="207" spans="2:18" s="1048" customFormat="1" ht="30" customHeight="1">
      <c r="B207" s="1083"/>
      <c r="D207" s="1049"/>
      <c r="E207" s="1049"/>
      <c r="F207" s="1049"/>
      <c r="G207" s="1049"/>
      <c r="H207" s="1049"/>
      <c r="I207" s="1049"/>
      <c r="J207" s="1049"/>
      <c r="K207" s="1049"/>
      <c r="L207" s="1049"/>
      <c r="M207" s="1049"/>
      <c r="N207" s="1049"/>
      <c r="O207" s="1050"/>
      <c r="P207" s="1051"/>
      <c r="Q207" s="1051"/>
      <c r="R207" s="1051"/>
    </row>
    <row r="208" spans="2:18" s="1048" customFormat="1" ht="30" customHeight="1">
      <c r="B208" s="1083"/>
      <c r="D208" s="1049"/>
      <c r="E208" s="1049"/>
      <c r="F208" s="1049"/>
      <c r="G208" s="1049"/>
      <c r="H208" s="1049"/>
      <c r="I208" s="1049"/>
      <c r="J208" s="1049"/>
      <c r="K208" s="1049"/>
      <c r="L208" s="1049"/>
      <c r="M208" s="1049"/>
      <c r="N208" s="1049"/>
      <c r="O208" s="1050"/>
      <c r="P208" s="1051"/>
      <c r="Q208" s="1051"/>
      <c r="R208" s="1051"/>
    </row>
    <row r="209" spans="2:18" s="1048" customFormat="1" ht="30" customHeight="1">
      <c r="B209" s="1083"/>
      <c r="D209" s="1049"/>
      <c r="E209" s="1049"/>
      <c r="F209" s="1049"/>
      <c r="G209" s="1049"/>
      <c r="H209" s="1049"/>
      <c r="I209" s="1049"/>
      <c r="J209" s="1049"/>
      <c r="K209" s="1049"/>
      <c r="L209" s="1049"/>
      <c r="M209" s="1049"/>
      <c r="N209" s="1049"/>
      <c r="O209" s="1050"/>
      <c r="P209" s="1051"/>
      <c r="Q209" s="1051"/>
      <c r="R209" s="1051"/>
    </row>
    <row r="210" spans="2:18" s="1048" customFormat="1" ht="30" customHeight="1">
      <c r="B210" s="1083"/>
      <c r="D210" s="1049"/>
      <c r="E210" s="1049"/>
      <c r="F210" s="1049"/>
      <c r="G210" s="1049"/>
      <c r="H210" s="1049"/>
      <c r="I210" s="1049"/>
      <c r="J210" s="1049"/>
      <c r="K210" s="1049"/>
      <c r="L210" s="1049"/>
      <c r="M210" s="1049"/>
      <c r="N210" s="1049"/>
      <c r="O210" s="1050"/>
      <c r="P210" s="1051"/>
      <c r="Q210" s="1051"/>
      <c r="R210" s="1051"/>
    </row>
    <row r="211" spans="2:18" s="1048" customFormat="1" ht="30" customHeight="1">
      <c r="B211" s="1083"/>
      <c r="D211" s="1049"/>
      <c r="E211" s="1049"/>
      <c r="F211" s="1049"/>
      <c r="G211" s="1049"/>
      <c r="H211" s="1049"/>
      <c r="I211" s="1049"/>
      <c r="J211" s="1049"/>
      <c r="K211" s="1049"/>
      <c r="L211" s="1049"/>
      <c r="M211" s="1049"/>
      <c r="N211" s="1049"/>
      <c r="O211" s="1050"/>
      <c r="P211" s="1051"/>
      <c r="Q211" s="1051"/>
      <c r="R211" s="1051"/>
    </row>
    <row r="212" spans="2:18" s="1048" customFormat="1" ht="30" customHeight="1">
      <c r="B212" s="1083"/>
      <c r="D212" s="1049"/>
      <c r="E212" s="1049"/>
      <c r="F212" s="1049"/>
      <c r="G212" s="1049"/>
      <c r="H212" s="1049"/>
      <c r="I212" s="1049"/>
      <c r="J212" s="1049"/>
      <c r="K212" s="1049"/>
      <c r="L212" s="1049"/>
      <c r="M212" s="1049"/>
      <c r="N212" s="1049"/>
      <c r="O212" s="1050"/>
      <c r="P212" s="1051"/>
      <c r="Q212" s="1051"/>
      <c r="R212" s="1051"/>
    </row>
    <row r="213" spans="2:18" s="1048" customFormat="1" ht="30" customHeight="1">
      <c r="B213" s="1083"/>
      <c r="D213" s="1049"/>
      <c r="E213" s="1049"/>
      <c r="F213" s="1049"/>
      <c r="G213" s="1049"/>
      <c r="H213" s="1049"/>
      <c r="I213" s="1049"/>
      <c r="J213" s="1049"/>
      <c r="K213" s="1049"/>
      <c r="L213" s="1049"/>
      <c r="M213" s="1049"/>
      <c r="N213" s="1049"/>
      <c r="O213" s="1050"/>
      <c r="P213" s="1051"/>
      <c r="Q213" s="1051"/>
      <c r="R213" s="1051"/>
    </row>
    <row r="214" spans="2:18" s="1048" customFormat="1" ht="30" customHeight="1">
      <c r="B214" s="1083"/>
      <c r="D214" s="1049"/>
      <c r="E214" s="1049"/>
      <c r="F214" s="1049"/>
      <c r="G214" s="1049"/>
      <c r="H214" s="1049"/>
      <c r="I214" s="1049"/>
      <c r="J214" s="1049"/>
      <c r="K214" s="1049"/>
      <c r="L214" s="1049"/>
      <c r="M214" s="1049"/>
      <c r="N214" s="1049"/>
      <c r="O214" s="1050"/>
      <c r="P214" s="1051"/>
      <c r="Q214" s="1051"/>
      <c r="R214" s="1051"/>
    </row>
    <row r="215" spans="2:18" s="1048" customFormat="1" ht="30" customHeight="1">
      <c r="B215" s="1083"/>
      <c r="D215" s="1049"/>
      <c r="E215" s="1049"/>
      <c r="F215" s="1049"/>
      <c r="G215" s="1049"/>
      <c r="H215" s="1049"/>
      <c r="I215" s="1049"/>
      <c r="J215" s="1049"/>
      <c r="K215" s="1049"/>
      <c r="L215" s="1049"/>
      <c r="M215" s="1049"/>
      <c r="N215" s="1049"/>
      <c r="O215" s="1050"/>
      <c r="P215" s="1051"/>
      <c r="Q215" s="1051"/>
      <c r="R215" s="1051"/>
    </row>
    <row r="216" spans="2:18" s="1048" customFormat="1" ht="30" customHeight="1">
      <c r="B216" s="1083"/>
      <c r="D216" s="1049"/>
      <c r="E216" s="1049"/>
      <c r="F216" s="1049"/>
      <c r="G216" s="1049"/>
      <c r="H216" s="1049"/>
      <c r="I216" s="1049"/>
      <c r="J216" s="1049"/>
      <c r="K216" s="1049"/>
      <c r="L216" s="1049"/>
      <c r="M216" s="1049"/>
      <c r="N216" s="1049"/>
      <c r="O216" s="1050"/>
      <c r="P216" s="1051"/>
      <c r="Q216" s="1051"/>
      <c r="R216" s="1051"/>
    </row>
    <row r="217" spans="2:18" s="1048" customFormat="1" ht="30" customHeight="1">
      <c r="B217" s="1083"/>
      <c r="D217" s="1049"/>
      <c r="E217" s="1049"/>
      <c r="F217" s="1049"/>
      <c r="G217" s="1049"/>
      <c r="H217" s="1049"/>
      <c r="I217" s="1049"/>
      <c r="J217" s="1049"/>
      <c r="K217" s="1049"/>
      <c r="L217" s="1049"/>
      <c r="M217" s="1049"/>
      <c r="N217" s="1049"/>
      <c r="O217" s="1050"/>
      <c r="P217" s="1051"/>
      <c r="Q217" s="1051"/>
      <c r="R217" s="1051"/>
    </row>
    <row r="218" spans="2:18" s="1048" customFormat="1" ht="30" customHeight="1">
      <c r="B218" s="1083"/>
      <c r="D218" s="1049"/>
      <c r="E218" s="1049"/>
      <c r="F218" s="1049"/>
      <c r="G218" s="1049"/>
      <c r="H218" s="1049"/>
      <c r="I218" s="1049"/>
      <c r="J218" s="1049"/>
      <c r="K218" s="1049"/>
      <c r="L218" s="1049"/>
      <c r="M218" s="1049"/>
      <c r="N218" s="1049"/>
      <c r="O218" s="1050"/>
      <c r="P218" s="1051"/>
      <c r="Q218" s="1051"/>
      <c r="R218" s="1051"/>
    </row>
    <row r="219" spans="2:18" s="1048" customFormat="1" ht="30" customHeight="1">
      <c r="B219" s="1083"/>
      <c r="D219" s="1049"/>
      <c r="E219" s="1049"/>
      <c r="F219" s="1049"/>
      <c r="G219" s="1049"/>
      <c r="H219" s="1049"/>
      <c r="I219" s="1049"/>
      <c r="J219" s="1049"/>
      <c r="K219" s="1049"/>
      <c r="L219" s="1049"/>
      <c r="M219" s="1049"/>
      <c r="N219" s="1049"/>
      <c r="O219" s="1050"/>
      <c r="P219" s="1051"/>
      <c r="Q219" s="1051"/>
      <c r="R219" s="1051"/>
    </row>
    <row r="220" spans="2:18" s="1048" customFormat="1" ht="30" customHeight="1">
      <c r="B220" s="1083"/>
      <c r="D220" s="1049"/>
      <c r="E220" s="1049"/>
      <c r="F220" s="1049"/>
      <c r="G220" s="1049"/>
      <c r="H220" s="1049"/>
      <c r="I220" s="1049"/>
      <c r="J220" s="1049"/>
      <c r="K220" s="1049"/>
      <c r="L220" s="1049"/>
      <c r="M220" s="1049"/>
      <c r="N220" s="1049"/>
      <c r="O220" s="1050"/>
      <c r="P220" s="1051"/>
      <c r="Q220" s="1051"/>
      <c r="R220" s="1051"/>
    </row>
    <row r="221" spans="2:18" s="1048" customFormat="1" ht="30" customHeight="1">
      <c r="B221" s="1083"/>
      <c r="D221" s="1049"/>
      <c r="E221" s="1049"/>
      <c r="F221" s="1049"/>
      <c r="G221" s="1049"/>
      <c r="H221" s="1049"/>
      <c r="I221" s="1049"/>
      <c r="J221" s="1049"/>
      <c r="K221" s="1049"/>
      <c r="L221" s="1049"/>
      <c r="M221" s="1049"/>
      <c r="N221" s="1049"/>
      <c r="O221" s="1050"/>
      <c r="P221" s="1051"/>
      <c r="Q221" s="1051"/>
      <c r="R221" s="1051"/>
    </row>
    <row r="222" spans="2:18" s="1048" customFormat="1" ht="30" customHeight="1">
      <c r="B222" s="1083"/>
      <c r="D222" s="1049"/>
      <c r="E222" s="1049"/>
      <c r="F222" s="1049"/>
      <c r="G222" s="1049"/>
      <c r="H222" s="1049"/>
      <c r="I222" s="1049"/>
      <c r="J222" s="1049"/>
      <c r="K222" s="1049"/>
      <c r="L222" s="1049"/>
      <c r="M222" s="1049"/>
      <c r="N222" s="1049"/>
      <c r="O222" s="1050"/>
      <c r="P222" s="1051"/>
      <c r="Q222" s="1051"/>
      <c r="R222" s="1051"/>
    </row>
    <row r="223" spans="2:18" s="1048" customFormat="1" ht="30" customHeight="1">
      <c r="B223" s="1083"/>
      <c r="D223" s="1049"/>
      <c r="E223" s="1049"/>
      <c r="F223" s="1049"/>
      <c r="G223" s="1049"/>
      <c r="H223" s="1049"/>
      <c r="I223" s="1049"/>
      <c r="J223" s="1049"/>
      <c r="K223" s="1049"/>
      <c r="L223" s="1049"/>
      <c r="M223" s="1049"/>
      <c r="N223" s="1049"/>
      <c r="O223" s="1050"/>
      <c r="P223" s="1051"/>
      <c r="Q223" s="1051"/>
      <c r="R223" s="1051"/>
    </row>
    <row r="224" spans="2:18" s="1048" customFormat="1" ht="30" customHeight="1">
      <c r="B224" s="1083"/>
      <c r="D224" s="1049"/>
      <c r="E224" s="1049"/>
      <c r="F224" s="1049"/>
      <c r="G224" s="1049"/>
      <c r="H224" s="1049"/>
      <c r="I224" s="1049"/>
      <c r="J224" s="1049"/>
      <c r="K224" s="1049"/>
      <c r="L224" s="1049"/>
      <c r="M224" s="1049"/>
      <c r="N224" s="1049"/>
      <c r="O224" s="1050"/>
      <c r="P224" s="1051"/>
      <c r="Q224" s="1051"/>
      <c r="R224" s="1051"/>
    </row>
    <row r="225" spans="2:18" s="1048" customFormat="1" ht="30" customHeight="1">
      <c r="B225" s="1083"/>
      <c r="D225" s="1049"/>
      <c r="E225" s="1049"/>
      <c r="F225" s="1049"/>
      <c r="G225" s="1049"/>
      <c r="H225" s="1049"/>
      <c r="I225" s="1049"/>
      <c r="J225" s="1049"/>
      <c r="K225" s="1049"/>
      <c r="L225" s="1049"/>
      <c r="M225" s="1049"/>
      <c r="N225" s="1049"/>
      <c r="O225" s="1050"/>
      <c r="P225" s="1051"/>
      <c r="Q225" s="1051"/>
      <c r="R225" s="1051"/>
    </row>
    <row r="226" spans="2:18" s="1048" customFormat="1" ht="30" customHeight="1">
      <c r="B226" s="1083"/>
      <c r="D226" s="1049"/>
      <c r="E226" s="1049"/>
      <c r="F226" s="1049"/>
      <c r="G226" s="1049"/>
      <c r="H226" s="1049"/>
      <c r="I226" s="1049"/>
      <c r="J226" s="1049"/>
      <c r="K226" s="1049"/>
      <c r="L226" s="1049"/>
      <c r="M226" s="1049"/>
      <c r="N226" s="1049"/>
      <c r="O226" s="1050"/>
      <c r="P226" s="1051"/>
      <c r="Q226" s="1051"/>
      <c r="R226" s="1051"/>
    </row>
    <row r="227" spans="2:18" s="1048" customFormat="1" ht="30" customHeight="1">
      <c r="B227" s="1083"/>
      <c r="D227" s="1049"/>
      <c r="E227" s="1049"/>
      <c r="F227" s="1049"/>
      <c r="G227" s="1049"/>
      <c r="H227" s="1049"/>
      <c r="I227" s="1049"/>
      <c r="J227" s="1049"/>
      <c r="K227" s="1049"/>
      <c r="L227" s="1049"/>
      <c r="M227" s="1049"/>
      <c r="N227" s="1049"/>
      <c r="O227" s="1050"/>
      <c r="P227" s="1051"/>
      <c r="Q227" s="1051"/>
      <c r="R227" s="1051"/>
    </row>
    <row r="228" spans="2:18" s="1048" customFormat="1" ht="30" customHeight="1">
      <c r="B228" s="1083"/>
      <c r="D228" s="1049"/>
      <c r="E228" s="1049"/>
      <c r="F228" s="1049"/>
      <c r="G228" s="1049"/>
      <c r="H228" s="1049"/>
      <c r="I228" s="1049"/>
      <c r="J228" s="1049"/>
      <c r="K228" s="1049"/>
      <c r="L228" s="1049"/>
      <c r="M228" s="1049"/>
      <c r="N228" s="1049"/>
      <c r="O228" s="1050"/>
      <c r="P228" s="1051"/>
      <c r="Q228" s="1051"/>
      <c r="R228" s="1051"/>
    </row>
    <row r="229" spans="2:18" s="1048" customFormat="1" ht="30" customHeight="1">
      <c r="B229" s="1083"/>
      <c r="D229" s="1049"/>
      <c r="E229" s="1049"/>
      <c r="F229" s="1049"/>
      <c r="G229" s="1049"/>
      <c r="H229" s="1049"/>
      <c r="I229" s="1049"/>
      <c r="J229" s="1049"/>
      <c r="K229" s="1049"/>
      <c r="L229" s="1049"/>
      <c r="M229" s="1049"/>
      <c r="N229" s="1049"/>
      <c r="O229" s="1050"/>
      <c r="P229" s="1051"/>
      <c r="Q229" s="1051"/>
      <c r="R229" s="1051"/>
    </row>
    <row r="230" spans="2:18" s="1048" customFormat="1" ht="30" customHeight="1">
      <c r="B230" s="1083"/>
      <c r="D230" s="1049"/>
      <c r="E230" s="1049"/>
      <c r="F230" s="1049"/>
      <c r="G230" s="1049"/>
      <c r="H230" s="1049"/>
      <c r="I230" s="1049"/>
      <c r="J230" s="1049"/>
      <c r="K230" s="1049"/>
      <c r="L230" s="1049"/>
      <c r="M230" s="1049"/>
      <c r="N230" s="1049"/>
      <c r="O230" s="1050"/>
      <c r="P230" s="1051"/>
      <c r="Q230" s="1051"/>
      <c r="R230" s="1051"/>
    </row>
    <row r="231" spans="2:18" s="1048" customFormat="1" ht="30" customHeight="1">
      <c r="B231" s="1083"/>
      <c r="D231" s="1049"/>
      <c r="E231" s="1049"/>
      <c r="F231" s="1049"/>
      <c r="G231" s="1049"/>
      <c r="H231" s="1049"/>
      <c r="I231" s="1049"/>
      <c r="J231" s="1049"/>
      <c r="K231" s="1049"/>
      <c r="L231" s="1049"/>
      <c r="M231" s="1049"/>
      <c r="N231" s="1049"/>
      <c r="O231" s="1050"/>
      <c r="P231" s="1051"/>
      <c r="Q231" s="1051"/>
      <c r="R231" s="1051"/>
    </row>
    <row r="232" spans="2:18" s="1048" customFormat="1" ht="30" customHeight="1">
      <c r="B232" s="1083"/>
      <c r="D232" s="1049"/>
      <c r="E232" s="1049"/>
      <c r="F232" s="1049"/>
      <c r="G232" s="1049"/>
      <c r="H232" s="1049"/>
      <c r="I232" s="1049"/>
      <c r="J232" s="1049"/>
      <c r="K232" s="1049"/>
      <c r="L232" s="1049"/>
      <c r="M232" s="1049"/>
      <c r="N232" s="1049"/>
      <c r="O232" s="1050"/>
      <c r="P232" s="1051"/>
      <c r="Q232" s="1051"/>
      <c r="R232" s="1051"/>
    </row>
    <row r="233" spans="2:18" s="1048" customFormat="1" ht="30" customHeight="1">
      <c r="B233" s="1083"/>
      <c r="D233" s="1049"/>
      <c r="E233" s="1049"/>
      <c r="F233" s="1049"/>
      <c r="G233" s="1049"/>
      <c r="H233" s="1049"/>
      <c r="I233" s="1049"/>
      <c r="J233" s="1049"/>
      <c r="K233" s="1049"/>
      <c r="L233" s="1049"/>
      <c r="M233" s="1049"/>
      <c r="N233" s="1049"/>
      <c r="O233" s="1050"/>
      <c r="P233" s="1051"/>
      <c r="Q233" s="1051"/>
      <c r="R233" s="1051"/>
    </row>
    <row r="234" spans="2:18" s="1048" customFormat="1" ht="30" customHeight="1">
      <c r="B234" s="1083"/>
      <c r="D234" s="1049"/>
      <c r="E234" s="1049"/>
      <c r="F234" s="1049"/>
      <c r="G234" s="1049"/>
      <c r="H234" s="1049"/>
      <c r="I234" s="1049"/>
      <c r="J234" s="1049"/>
      <c r="K234" s="1049"/>
      <c r="L234" s="1049"/>
      <c r="M234" s="1049"/>
      <c r="N234" s="1049"/>
      <c r="O234" s="1050"/>
      <c r="P234" s="1051"/>
      <c r="Q234" s="1051"/>
      <c r="R234" s="1051"/>
    </row>
    <row r="235" spans="2:18" s="1048" customFormat="1" ht="30" customHeight="1">
      <c r="B235" s="1083"/>
      <c r="D235" s="1049"/>
      <c r="E235" s="1049"/>
      <c r="F235" s="1049"/>
      <c r="G235" s="1049"/>
      <c r="H235" s="1049"/>
      <c r="I235" s="1049"/>
      <c r="J235" s="1049"/>
      <c r="K235" s="1049"/>
      <c r="L235" s="1049"/>
      <c r="M235" s="1049"/>
      <c r="N235" s="1049"/>
      <c r="O235" s="1050"/>
      <c r="P235" s="1051"/>
      <c r="Q235" s="1051"/>
      <c r="R235" s="1051"/>
    </row>
    <row r="236" spans="2:18" s="1048" customFormat="1" ht="30" customHeight="1">
      <c r="B236" s="1083"/>
      <c r="D236" s="1049"/>
      <c r="E236" s="1049"/>
      <c r="F236" s="1049"/>
      <c r="G236" s="1049"/>
      <c r="H236" s="1049"/>
      <c r="I236" s="1049"/>
      <c r="J236" s="1049"/>
      <c r="K236" s="1049"/>
      <c r="L236" s="1049"/>
      <c r="M236" s="1049"/>
      <c r="N236" s="1049"/>
      <c r="O236" s="1050"/>
      <c r="P236" s="1051"/>
      <c r="Q236" s="1051"/>
      <c r="R236" s="1051"/>
    </row>
    <row r="237" spans="2:18" s="1048" customFormat="1" ht="30" customHeight="1">
      <c r="B237" s="1083"/>
      <c r="D237" s="1049"/>
      <c r="E237" s="1049"/>
      <c r="F237" s="1049"/>
      <c r="G237" s="1049"/>
      <c r="H237" s="1049"/>
      <c r="I237" s="1049"/>
      <c r="J237" s="1049"/>
      <c r="K237" s="1049"/>
      <c r="L237" s="1049"/>
      <c r="M237" s="1049"/>
      <c r="N237" s="1049"/>
      <c r="O237" s="1050"/>
      <c r="P237" s="1051"/>
      <c r="Q237" s="1051"/>
      <c r="R237" s="1051"/>
    </row>
    <row r="238" spans="2:18" s="1048" customFormat="1" ht="30" customHeight="1">
      <c r="B238" s="1083"/>
      <c r="D238" s="1049"/>
      <c r="E238" s="1049"/>
      <c r="F238" s="1049"/>
      <c r="G238" s="1049"/>
      <c r="H238" s="1049"/>
      <c r="I238" s="1049"/>
      <c r="J238" s="1049"/>
      <c r="K238" s="1049"/>
      <c r="L238" s="1049"/>
      <c r="M238" s="1049"/>
      <c r="N238" s="1049"/>
      <c r="O238" s="1050"/>
      <c r="P238" s="1051"/>
      <c r="Q238" s="1051"/>
      <c r="R238" s="1051"/>
    </row>
    <row r="239" spans="2:18" s="1048" customFormat="1" ht="30" customHeight="1">
      <c r="B239" s="1083"/>
      <c r="D239" s="1049"/>
      <c r="E239" s="1049"/>
      <c r="F239" s="1049"/>
      <c r="G239" s="1049"/>
      <c r="H239" s="1049"/>
      <c r="I239" s="1049"/>
      <c r="J239" s="1049"/>
      <c r="K239" s="1049"/>
      <c r="L239" s="1049"/>
      <c r="M239" s="1049"/>
      <c r="N239" s="1049"/>
      <c r="O239" s="1050"/>
      <c r="P239" s="1051"/>
      <c r="Q239" s="1051"/>
      <c r="R239" s="1051"/>
    </row>
    <row r="240" spans="2:18" s="1048" customFormat="1" ht="30" customHeight="1">
      <c r="B240" s="1083"/>
      <c r="D240" s="1049"/>
      <c r="E240" s="1049"/>
      <c r="F240" s="1049"/>
      <c r="G240" s="1049"/>
      <c r="H240" s="1049"/>
      <c r="I240" s="1049"/>
      <c r="J240" s="1049"/>
      <c r="K240" s="1049"/>
      <c r="L240" s="1049"/>
      <c r="M240" s="1049"/>
      <c r="N240" s="1049"/>
      <c r="O240" s="1050"/>
      <c r="P240" s="1051"/>
      <c r="Q240" s="1051"/>
      <c r="R240" s="1051"/>
    </row>
    <row r="241" spans="2:18" s="1048" customFormat="1" ht="30" customHeight="1">
      <c r="B241" s="1083"/>
      <c r="D241" s="1049"/>
      <c r="E241" s="1049"/>
      <c r="F241" s="1049"/>
      <c r="G241" s="1049"/>
      <c r="H241" s="1049"/>
      <c r="I241" s="1049"/>
      <c r="J241" s="1049"/>
      <c r="K241" s="1049"/>
      <c r="L241" s="1049"/>
      <c r="M241" s="1049"/>
      <c r="N241" s="1049"/>
      <c r="O241" s="1050"/>
      <c r="P241" s="1051"/>
      <c r="Q241" s="1051"/>
      <c r="R241" s="1051"/>
    </row>
    <row r="242" spans="2:18" s="1048" customFormat="1" ht="30" customHeight="1">
      <c r="B242" s="1083"/>
      <c r="D242" s="1049"/>
      <c r="E242" s="1049"/>
      <c r="F242" s="1049"/>
      <c r="G242" s="1049"/>
      <c r="H242" s="1049"/>
      <c r="I242" s="1049"/>
      <c r="J242" s="1049"/>
      <c r="K242" s="1049"/>
      <c r="L242" s="1049"/>
      <c r="M242" s="1049"/>
      <c r="N242" s="1049"/>
      <c r="O242" s="1050"/>
      <c r="P242" s="1051"/>
      <c r="Q242" s="1051"/>
      <c r="R242" s="1051"/>
    </row>
    <row r="243" spans="2:18" s="1048" customFormat="1" ht="30" customHeight="1">
      <c r="B243" s="1083"/>
      <c r="D243" s="1049"/>
      <c r="E243" s="1049"/>
      <c r="F243" s="1049"/>
      <c r="G243" s="1049"/>
      <c r="H243" s="1049"/>
      <c r="I243" s="1049"/>
      <c r="J243" s="1049"/>
      <c r="K243" s="1049"/>
      <c r="L243" s="1049"/>
      <c r="M243" s="1049"/>
      <c r="N243" s="1049"/>
      <c r="O243" s="1050"/>
      <c r="P243" s="1051"/>
      <c r="Q243" s="1051"/>
      <c r="R243" s="1051"/>
    </row>
    <row r="244" spans="2:18" s="1048" customFormat="1" ht="30" customHeight="1">
      <c r="B244" s="1083"/>
      <c r="D244" s="1049"/>
      <c r="E244" s="1049"/>
      <c r="F244" s="1049"/>
      <c r="G244" s="1049"/>
      <c r="H244" s="1049"/>
      <c r="I244" s="1049"/>
      <c r="J244" s="1049"/>
      <c r="K244" s="1049"/>
      <c r="L244" s="1049"/>
      <c r="M244" s="1049"/>
      <c r="N244" s="1049"/>
      <c r="O244" s="1050"/>
      <c r="P244" s="1051"/>
      <c r="Q244" s="1051"/>
      <c r="R244" s="1051"/>
    </row>
    <row r="245" spans="2:18" s="1048" customFormat="1" ht="30" customHeight="1">
      <c r="B245" s="1083"/>
      <c r="D245" s="1049"/>
      <c r="E245" s="1049"/>
      <c r="F245" s="1049"/>
      <c r="G245" s="1049"/>
      <c r="H245" s="1049"/>
      <c r="I245" s="1049"/>
      <c r="J245" s="1049"/>
      <c r="K245" s="1049"/>
      <c r="L245" s="1049"/>
      <c r="M245" s="1049"/>
      <c r="N245" s="1049"/>
      <c r="O245" s="1050"/>
      <c r="P245" s="1051"/>
      <c r="Q245" s="1051"/>
      <c r="R245" s="1051"/>
    </row>
    <row r="246" spans="2:18" s="1048" customFormat="1" ht="30" customHeight="1">
      <c r="B246" s="1083"/>
      <c r="D246" s="1049"/>
      <c r="E246" s="1049"/>
      <c r="F246" s="1049"/>
      <c r="G246" s="1049"/>
      <c r="H246" s="1049"/>
      <c r="I246" s="1049"/>
      <c r="J246" s="1049"/>
      <c r="K246" s="1049"/>
      <c r="L246" s="1049"/>
      <c r="M246" s="1049"/>
      <c r="N246" s="1049"/>
      <c r="O246" s="1050"/>
      <c r="P246" s="1051"/>
      <c r="Q246" s="1051"/>
      <c r="R246" s="1051"/>
    </row>
    <row r="247" spans="2:18" s="1048" customFormat="1" ht="30" customHeight="1">
      <c r="B247" s="1083"/>
      <c r="D247" s="1049"/>
      <c r="E247" s="1049"/>
      <c r="F247" s="1049"/>
      <c r="G247" s="1049"/>
      <c r="H247" s="1049"/>
      <c r="I247" s="1049"/>
      <c r="J247" s="1049"/>
      <c r="K247" s="1049"/>
      <c r="L247" s="1049"/>
      <c r="M247" s="1049"/>
      <c r="N247" s="1049"/>
      <c r="O247" s="1050"/>
      <c r="P247" s="1051"/>
      <c r="Q247" s="1051"/>
      <c r="R247" s="1051"/>
    </row>
    <row r="248" spans="2:18" s="1048" customFormat="1" ht="30" customHeight="1">
      <c r="B248" s="1083"/>
      <c r="D248" s="1049"/>
      <c r="E248" s="1049"/>
      <c r="F248" s="1049"/>
      <c r="G248" s="1049"/>
      <c r="H248" s="1049"/>
      <c r="I248" s="1049"/>
      <c r="J248" s="1049"/>
      <c r="K248" s="1049"/>
      <c r="L248" s="1049"/>
      <c r="M248" s="1049"/>
      <c r="N248" s="1049"/>
      <c r="O248" s="1050"/>
      <c r="P248" s="1051"/>
      <c r="Q248" s="1051"/>
      <c r="R248" s="1051"/>
    </row>
    <row r="249" spans="2:18" s="1048" customFormat="1" ht="30" customHeight="1">
      <c r="B249" s="1083"/>
      <c r="D249" s="1049"/>
      <c r="E249" s="1049"/>
      <c r="F249" s="1049"/>
      <c r="G249" s="1049"/>
      <c r="H249" s="1049"/>
      <c r="I249" s="1049"/>
      <c r="J249" s="1049"/>
      <c r="K249" s="1049"/>
      <c r="L249" s="1049"/>
      <c r="M249" s="1049"/>
      <c r="N249" s="1049"/>
      <c r="O249" s="1050"/>
      <c r="P249" s="1051"/>
      <c r="Q249" s="1051"/>
      <c r="R249" s="1051"/>
    </row>
    <row r="250" spans="2:18" s="1048" customFormat="1" ht="30" customHeight="1">
      <c r="B250" s="1083"/>
      <c r="D250" s="1049"/>
      <c r="E250" s="1049"/>
      <c r="F250" s="1049"/>
      <c r="G250" s="1049"/>
      <c r="H250" s="1049"/>
      <c r="I250" s="1049"/>
      <c r="J250" s="1049"/>
      <c r="K250" s="1049"/>
      <c r="L250" s="1049"/>
      <c r="M250" s="1049"/>
      <c r="N250" s="1049"/>
      <c r="O250" s="1050"/>
      <c r="P250" s="1051"/>
      <c r="Q250" s="1051"/>
      <c r="R250" s="1051"/>
    </row>
    <row r="251" spans="2:18" s="1048" customFormat="1" ht="30" customHeight="1">
      <c r="B251" s="1083"/>
      <c r="D251" s="1049"/>
      <c r="E251" s="1049"/>
      <c r="F251" s="1049"/>
      <c r="G251" s="1049"/>
      <c r="H251" s="1049"/>
      <c r="I251" s="1049"/>
      <c r="J251" s="1049"/>
      <c r="K251" s="1049"/>
      <c r="L251" s="1049"/>
      <c r="M251" s="1049"/>
      <c r="N251" s="1049"/>
      <c r="O251" s="1050"/>
      <c r="P251" s="1051"/>
      <c r="Q251" s="1051"/>
      <c r="R251" s="1051"/>
    </row>
    <row r="252" spans="2:18" s="1048" customFormat="1" ht="30" customHeight="1">
      <c r="B252" s="1083"/>
      <c r="D252" s="1049"/>
      <c r="E252" s="1049"/>
      <c r="F252" s="1049"/>
      <c r="G252" s="1049"/>
      <c r="H252" s="1049"/>
      <c r="I252" s="1049"/>
      <c r="J252" s="1049"/>
      <c r="K252" s="1049"/>
      <c r="L252" s="1049"/>
      <c r="M252" s="1049"/>
      <c r="N252" s="1049"/>
      <c r="O252" s="1050"/>
      <c r="P252" s="1051"/>
      <c r="Q252" s="1051"/>
      <c r="R252" s="1051"/>
    </row>
    <row r="253" spans="2:18" s="1048" customFormat="1" ht="30" customHeight="1">
      <c r="B253" s="1083"/>
      <c r="D253" s="1049"/>
      <c r="E253" s="1049"/>
      <c r="F253" s="1049"/>
      <c r="G253" s="1049"/>
      <c r="H253" s="1049"/>
      <c r="I253" s="1049"/>
      <c r="J253" s="1049"/>
      <c r="K253" s="1049"/>
      <c r="L253" s="1049"/>
      <c r="M253" s="1049"/>
      <c r="N253" s="1049"/>
      <c r="O253" s="1050"/>
      <c r="P253" s="1051"/>
      <c r="Q253" s="1051"/>
      <c r="R253" s="1051"/>
    </row>
    <row r="254" spans="2:18" s="1048" customFormat="1" ht="30" customHeight="1">
      <c r="B254" s="1083"/>
      <c r="D254" s="1049"/>
      <c r="E254" s="1049"/>
      <c r="F254" s="1049"/>
      <c r="G254" s="1049"/>
      <c r="H254" s="1049"/>
      <c r="I254" s="1049"/>
      <c r="J254" s="1049"/>
      <c r="K254" s="1049"/>
      <c r="L254" s="1049"/>
      <c r="M254" s="1049"/>
      <c r="N254" s="1049"/>
      <c r="O254" s="1050"/>
      <c r="P254" s="1051"/>
      <c r="Q254" s="1051"/>
      <c r="R254" s="1051"/>
    </row>
    <row r="255" spans="2:18" s="1048" customFormat="1" ht="30" customHeight="1">
      <c r="B255" s="1083"/>
      <c r="D255" s="1049"/>
      <c r="E255" s="1049"/>
      <c r="F255" s="1049"/>
      <c r="G255" s="1049"/>
      <c r="H255" s="1049"/>
      <c r="I255" s="1049"/>
      <c r="J255" s="1049"/>
      <c r="K255" s="1049"/>
      <c r="L255" s="1049"/>
      <c r="M255" s="1049"/>
      <c r="N255" s="1049"/>
      <c r="O255" s="1050"/>
      <c r="P255" s="1051"/>
      <c r="Q255" s="1051"/>
      <c r="R255" s="1051"/>
    </row>
    <row r="256" spans="2:18" s="1048" customFormat="1" ht="30" customHeight="1">
      <c r="B256" s="1083"/>
      <c r="D256" s="1049"/>
      <c r="E256" s="1049"/>
      <c r="F256" s="1049"/>
      <c r="G256" s="1049"/>
      <c r="H256" s="1049"/>
      <c r="I256" s="1049"/>
      <c r="J256" s="1049"/>
      <c r="K256" s="1049"/>
      <c r="L256" s="1049"/>
      <c r="M256" s="1049"/>
      <c r="N256" s="1049"/>
      <c r="O256" s="1050"/>
      <c r="P256" s="1051"/>
      <c r="Q256" s="1051"/>
      <c r="R256" s="1051"/>
    </row>
    <row r="257" spans="2:18" s="1048" customFormat="1" ht="30" customHeight="1">
      <c r="B257" s="1083"/>
      <c r="D257" s="1049"/>
      <c r="E257" s="1049"/>
      <c r="F257" s="1049"/>
      <c r="G257" s="1049"/>
      <c r="H257" s="1049"/>
      <c r="I257" s="1049"/>
      <c r="J257" s="1049"/>
      <c r="K257" s="1049"/>
      <c r="L257" s="1049"/>
      <c r="M257" s="1049"/>
      <c r="N257" s="1049"/>
      <c r="O257" s="1050"/>
      <c r="P257" s="1051"/>
      <c r="Q257" s="1051"/>
      <c r="R257" s="1051"/>
    </row>
    <row r="258" spans="2:18" s="1048" customFormat="1" ht="30" customHeight="1">
      <c r="B258" s="1083"/>
      <c r="D258" s="1049"/>
      <c r="E258" s="1049"/>
      <c r="F258" s="1049"/>
      <c r="G258" s="1049"/>
      <c r="H258" s="1049"/>
      <c r="I258" s="1049"/>
      <c r="J258" s="1049"/>
      <c r="K258" s="1049"/>
      <c r="L258" s="1049"/>
      <c r="M258" s="1049"/>
      <c r="N258" s="1049"/>
      <c r="O258" s="1050"/>
      <c r="P258" s="1051"/>
      <c r="Q258" s="1051"/>
      <c r="R258" s="1051"/>
    </row>
    <row r="259" spans="2:18" s="1048" customFormat="1" ht="30" customHeight="1">
      <c r="B259" s="1083"/>
      <c r="D259" s="1049"/>
      <c r="E259" s="1049"/>
      <c r="F259" s="1049"/>
      <c r="G259" s="1049"/>
      <c r="H259" s="1049"/>
      <c r="I259" s="1049"/>
      <c r="J259" s="1049"/>
      <c r="K259" s="1049"/>
      <c r="L259" s="1049"/>
      <c r="M259" s="1049"/>
      <c r="N259" s="1049"/>
      <c r="O259" s="1050"/>
      <c r="P259" s="1051"/>
      <c r="Q259" s="1051"/>
      <c r="R259" s="1051"/>
    </row>
    <row r="260" spans="2:18" s="1048" customFormat="1" ht="30" customHeight="1">
      <c r="B260" s="1083"/>
      <c r="D260" s="1049"/>
      <c r="E260" s="1049"/>
      <c r="F260" s="1049"/>
      <c r="G260" s="1049"/>
      <c r="H260" s="1049"/>
      <c r="I260" s="1049"/>
      <c r="J260" s="1049"/>
      <c r="K260" s="1049"/>
      <c r="L260" s="1049"/>
      <c r="M260" s="1049"/>
      <c r="N260" s="1049"/>
      <c r="O260" s="1050"/>
      <c r="P260" s="1051"/>
      <c r="Q260" s="1051"/>
      <c r="R260" s="1051"/>
    </row>
    <row r="261" spans="2:18" s="1048" customFormat="1" ht="30" customHeight="1">
      <c r="B261" s="1083"/>
      <c r="D261" s="1049"/>
      <c r="E261" s="1049"/>
      <c r="F261" s="1049"/>
      <c r="G261" s="1049"/>
      <c r="H261" s="1049"/>
      <c r="I261" s="1049"/>
      <c r="J261" s="1049"/>
      <c r="K261" s="1049"/>
      <c r="L261" s="1049"/>
      <c r="M261" s="1049"/>
      <c r="N261" s="1049"/>
      <c r="O261" s="1050"/>
      <c r="P261" s="1051"/>
      <c r="Q261" s="1051"/>
      <c r="R261" s="1051"/>
    </row>
    <row r="262" spans="2:18" s="1048" customFormat="1" ht="30" customHeight="1">
      <c r="B262" s="1083"/>
      <c r="D262" s="1049"/>
      <c r="E262" s="1049"/>
      <c r="F262" s="1049"/>
      <c r="G262" s="1049"/>
      <c r="H262" s="1049"/>
      <c r="I262" s="1049"/>
      <c r="J262" s="1049"/>
      <c r="K262" s="1049"/>
      <c r="L262" s="1049"/>
      <c r="M262" s="1049"/>
      <c r="N262" s="1049"/>
      <c r="O262" s="1050"/>
      <c r="P262" s="1051"/>
      <c r="Q262" s="1051"/>
      <c r="R262" s="1051"/>
    </row>
    <row r="263" spans="2:18" s="1048" customFormat="1" ht="30" customHeight="1">
      <c r="B263" s="1083"/>
      <c r="D263" s="1049"/>
      <c r="E263" s="1049"/>
      <c r="F263" s="1049"/>
      <c r="G263" s="1049"/>
      <c r="H263" s="1049"/>
      <c r="I263" s="1049"/>
      <c r="J263" s="1049"/>
      <c r="K263" s="1049"/>
      <c r="L263" s="1049"/>
      <c r="M263" s="1049"/>
      <c r="N263" s="1049"/>
      <c r="O263" s="1050"/>
      <c r="P263" s="1051"/>
      <c r="Q263" s="1051"/>
      <c r="R263" s="1051"/>
    </row>
  </sheetData>
  <mergeCells count="55">
    <mergeCell ref="E70:N70"/>
    <mergeCell ref="E58:N58"/>
    <mergeCell ref="E59:N59"/>
    <mergeCell ref="E60:N60"/>
    <mergeCell ref="E61:N61"/>
    <mergeCell ref="E62:N62"/>
    <mergeCell ref="E63:N63"/>
    <mergeCell ref="E64:N64"/>
    <mergeCell ref="C66:O66"/>
    <mergeCell ref="E67:N67"/>
    <mergeCell ref="E68:N68"/>
    <mergeCell ref="E69:N69"/>
    <mergeCell ref="E57:N57"/>
    <mergeCell ref="E45:N45"/>
    <mergeCell ref="E46:N46"/>
    <mergeCell ref="E47:N47"/>
    <mergeCell ref="E48:N48"/>
    <mergeCell ref="E49:N49"/>
    <mergeCell ref="E50:N50"/>
    <mergeCell ref="E51:N51"/>
    <mergeCell ref="E52:N52"/>
    <mergeCell ref="E53:N53"/>
    <mergeCell ref="C55:O55"/>
    <mergeCell ref="E56:N56"/>
    <mergeCell ref="E44:N44"/>
    <mergeCell ref="C31:O31"/>
    <mergeCell ref="E32:N32"/>
    <mergeCell ref="E33:N33"/>
    <mergeCell ref="E34:N34"/>
    <mergeCell ref="C36:O36"/>
    <mergeCell ref="E38:N38"/>
    <mergeCell ref="E39:N39"/>
    <mergeCell ref="E40:N40"/>
    <mergeCell ref="E41:N41"/>
    <mergeCell ref="E42:N42"/>
    <mergeCell ref="E43:N43"/>
    <mergeCell ref="E37:N37"/>
    <mergeCell ref="E29:N29"/>
    <mergeCell ref="E17:N17"/>
    <mergeCell ref="E18:N18"/>
    <mergeCell ref="E19:N19"/>
    <mergeCell ref="E20:N20"/>
    <mergeCell ref="E21:N21"/>
    <mergeCell ref="E22:N22"/>
    <mergeCell ref="E23:N23"/>
    <mergeCell ref="E24:N24"/>
    <mergeCell ref="E25:N25"/>
    <mergeCell ref="E26:N26"/>
    <mergeCell ref="E28:N28"/>
    <mergeCell ref="E14:N14"/>
    <mergeCell ref="C6:O6"/>
    <mergeCell ref="C10:O10"/>
    <mergeCell ref="E11:N11"/>
    <mergeCell ref="E12:N12"/>
    <mergeCell ref="E13:N13"/>
  </mergeCells>
  <hyperlinks>
    <hyperlink ref="E11:N11" location="si_1!A1" display="تفرع البنوك الاردنية المرخصة العاملة في الاردن "/>
    <hyperlink ref="E12:N12" location="si_2!A1" display="تفرع البنوك الاجنبية المرخصة العاملة في الاردن"/>
    <hyperlink ref="E13:N13" location="si_3!A1" display="المسح النقدي للجهاز المصرفي"/>
    <hyperlink ref="E14:N14" location="si_4!A1" display="عرض النقد "/>
    <hyperlink ref="E17:N17" location="si_5!A1" display="موجودات البنك المركزي الأردني"/>
    <hyperlink ref="E18:N18" location="si_6!A1" display="مطلوبات البنك المركزي الأردني"/>
    <hyperlink ref="E19:N19" location="si_7!A1" display="موجودات البنوك المرخصة"/>
    <hyperlink ref="E20:N20" location="si_8!A1" display="مطلوبات البنوك المرخصة"/>
    <hyperlink ref="E21:N21" location="si_9!A1" display="الاحتياطيات الأجنبية للبنك المركزي الأردني"/>
    <hyperlink ref="E22:N22" location="si_10!A1" display="الودائع لدى البنوك المرخصة حسب الجهة المودعة ونوع الوديعة "/>
    <hyperlink ref="E23:N23" location="si_11!A1" display="توزيع التسهيلات الائتمانية للبنوك المرخصة حسب القطاعات"/>
    <hyperlink ref="E24:N24" location="si_12!A1" display="توزيع التسهيلات الائتمانية للبنوك المرخصة حسب الجهة المقترضة ونوع العملة "/>
    <hyperlink ref="E25:N25" location="si_13!A1" display="موجودات فروع البنوك الاردنية العاملة في الاراضي الفلسطينية "/>
    <hyperlink ref="E26:N26" location="si_14!A1" display="مطلوبات فروع البنوك الاردنية العاملة في الاراضي الفلسطينية "/>
    <hyperlink ref="E28:N28" location="si_15!A1" display="هيكل أسعارالفوائد"/>
    <hyperlink ref="E29:N29" location="si_16!A1" display="مؤشرات المتانة المالية "/>
    <hyperlink ref="E32:N32" location="si_17!A1" display="خلاصة الموازنة العامة للحكومة المركزية"/>
    <hyperlink ref="E33:N33" location="si_18!A1" display="الرصيد القائم للدين العام الخارجي ( موازنة ومكفول )"/>
    <hyperlink ref="E34:N34" location="si_19!A1" display="الدين الداخلي للحكومة المركزية (ضمن الموازنة ومؤسسات حكومية بموازنات مستقلة)"/>
    <hyperlink ref="E38:N38" location="si_20a!A1" display="ميزان المدفوعات الأردني "/>
    <hyperlink ref="D39" location="si_20b!Print_Area" display="I"/>
    <hyperlink ref="C39" location="si_20c!Print_Area" display="II"/>
    <hyperlink ref="E40:N40" location="si_21!A1" display="القادمون والمغادرون حسب الجنسية"/>
    <hyperlink ref="E41:N41" location="si_22!A1" display="التركيب السلعي للصادرات الوطنية حسب الاغراض الاقتصادية"/>
    <hyperlink ref="E42:N42" location="si_23!A1" display="التركيب السلعي للمستوردات حسب الاغراض الاقتصادية"/>
    <hyperlink ref="E43:N43" location="si_24!A1" display="التركيب السلعي للصادرات الوطنية حسب التصنيف الدولي "/>
    <hyperlink ref="E44:N44" location="si_25!A1" display="التركيب السلعي للمستوردات حسب التصنيف الدولي "/>
    <hyperlink ref="E45:N45" location="si_26!A1" display="التوزيع الجغرافي للصادرات الوطنية "/>
    <hyperlink ref="E46:N46" location="si_27!A1" display="التوزيع الجغرافي للمستوردات "/>
    <hyperlink ref="E47:N47" location="si_28!A1" display="التركيب السلعي للصادرات الوطنية الى الدول العربية حسب التصنيف الدولي "/>
    <hyperlink ref="E48:N48" location="si_29!A1" display="التركيب السلعي للمستوردات من الدول العربية حسب التصنيف الدولي "/>
    <hyperlink ref="E49:N49" location="si_30!A1" display="الرقم القياسي لسعر وحدة الصادرات الوطنية"/>
    <hyperlink ref="E50:N50" location="si_31!A1" display="الرقم القياسي لوحدة كمية الصادرات الوطنية"/>
    <hyperlink ref="E51:N51" location="si_32!A1" display="الرقم القياسي لسعر وحدة المستوردات "/>
    <hyperlink ref="E52:N52" location="si_33!A1" display="الرقم القياسي لوحدة كمية المستوردات "/>
    <hyperlink ref="E53:N53" location="si_34!A1" display="نشاط ميناء العقبة"/>
    <hyperlink ref="E56:N56" location="si_35!A1" display="الناتج المحلي الاجمالي بالاسعارالجارية "/>
    <hyperlink ref="E57:N57" location="si_36!A1" display="الناتج المحلي الاجمالي بالاسعارالثابتة "/>
    <hyperlink ref="E58:N58" location="si_37!A1" display="التكوين الرأسمالي الثابت الاجمالي حسب النشاط الاقتصادي بالاسعارالجارية "/>
    <hyperlink ref="E59:N59" location="si_38!A1" display="الرقم القياسي للانتاج الزراعي "/>
    <hyperlink ref="E60:N60" location="si_39!A1" display="كميات الانتاج للصناعات الرئيسة "/>
    <hyperlink ref="D61" location="si_40a!A1" display="I"/>
    <hyperlink ref="C61" location="si_40b!A1" display="II"/>
    <hyperlink ref="B61" location="si_40c!A1" display="III"/>
    <hyperlink ref="E62:N62" location="si_41!A1" display="نشاط البناء (عدد الرخص)"/>
    <hyperlink ref="E63:N63" location="si_42!A1" display="نشاط البناء (المساحة المرخصة)"/>
    <hyperlink ref="E64:N64" location="si_43!A1" display="الارقام القياسية للأسعار والكميات "/>
    <hyperlink ref="E67:N67" location="si_44!A1" display="أسعار صرف أهم العملات الأجنبية المعلنة من البنك المركزي الأردني"/>
    <hyperlink ref="E68:N68" location="si_45!A1" display="الرقم القياسي لأسعار المستهلك"/>
    <hyperlink ref="D69" location="si_46a!A1" display="I"/>
    <hyperlink ref="C69" location="si_46b!A1" display="II"/>
    <hyperlink ref="E70:N70" location="si_47!A1" display="أهم مؤشرات بورصة عمان "/>
    <hyperlink ref="E37:N37" location="si_20!Print_Area" display="ميزان المدفوعات الأردني ( الطبعة السادسة)"/>
    <hyperlink ref="B69" location="si_46c!Print_Area" display="III"/>
  </hyperlinks>
  <printOptions horizontalCentered="1"/>
  <pageMargins left="0.62992125984251968" right="0.62992125984251968" top="0.98425196850393704" bottom="1.1811023622047245" header="0.51181102362204722" footer="0.51181102362204722"/>
  <pageSetup paperSize="9" scale="61" orientation="portrait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3"/>
  <sheetViews>
    <sheetView topLeftCell="A52" zoomScale="75" zoomScaleNormal="75" workbookViewId="0"/>
  </sheetViews>
  <sheetFormatPr defaultColWidth="11.42578125" defaultRowHeight="20.100000000000001" customHeight="1"/>
  <cols>
    <col min="1" max="1" width="10.85546875" style="1174" customWidth="1"/>
    <col min="2" max="2" width="17.85546875" style="1192" customWidth="1"/>
    <col min="3" max="3" width="15.140625" style="1192" customWidth="1"/>
    <col min="4" max="4" width="14.5703125" style="1192" customWidth="1"/>
    <col min="5" max="6" width="12" style="1192" customWidth="1"/>
    <col min="7" max="7" width="11.85546875" style="1192" customWidth="1"/>
    <col min="8" max="8" width="19.5703125" style="1192" customWidth="1"/>
    <col min="9" max="9" width="16.42578125" style="1813" customWidth="1"/>
    <col min="10" max="10" width="15.85546875" style="1192" customWidth="1"/>
    <col min="11" max="12" width="14" style="1192" customWidth="1"/>
    <col min="13" max="13" width="13.28515625" style="1192" customWidth="1"/>
    <col min="14" max="14" width="10.85546875" style="2259" customWidth="1"/>
    <col min="15" max="15" width="2.140625" style="2260" customWidth="1"/>
    <col min="16" max="16384" width="11.42578125" style="1174"/>
  </cols>
  <sheetData>
    <row r="1" spans="2:15" ht="15" customHeight="1">
      <c r="I1" s="1192"/>
    </row>
    <row r="2" spans="2:15" ht="15" customHeight="1">
      <c r="I2" s="1793"/>
    </row>
    <row r="3" spans="2:15" ht="15" customHeight="1">
      <c r="F3" s="2304"/>
      <c r="H3" s="4262"/>
      <c r="I3" s="1793"/>
    </row>
    <row r="4" spans="2:15" ht="26.25" customHeight="1">
      <c r="B4" s="4602" t="s">
        <v>505</v>
      </c>
      <c r="C4" s="4602"/>
      <c r="D4" s="4602"/>
      <c r="E4" s="4602"/>
      <c r="F4" s="4602"/>
      <c r="G4" s="4602"/>
      <c r="H4" s="4602"/>
      <c r="I4" s="4602"/>
      <c r="J4" s="4602"/>
      <c r="K4" s="4602"/>
      <c r="L4" s="4602"/>
      <c r="M4" s="4602"/>
      <c r="N4" s="4602"/>
      <c r="O4" s="4602"/>
    </row>
    <row r="5" spans="2:15" ht="9" customHeight="1">
      <c r="B5" s="2305"/>
      <c r="C5" s="2306"/>
      <c r="D5" s="2306"/>
      <c r="E5" s="2306"/>
      <c r="F5" s="2306"/>
      <c r="G5" s="2306"/>
      <c r="H5" s="2306"/>
      <c r="I5" s="2307"/>
      <c r="J5" s="2306"/>
      <c r="K5" s="2306"/>
      <c r="L5" s="2308"/>
      <c r="M5" s="2309"/>
      <c r="N5" s="2310"/>
      <c r="O5" s="2306"/>
    </row>
    <row r="6" spans="2:15" ht="26.25" customHeight="1">
      <c r="B6" s="4713" t="s">
        <v>506</v>
      </c>
      <c r="C6" s="4713"/>
      <c r="D6" s="4713"/>
      <c r="E6" s="4713"/>
      <c r="F6" s="4713"/>
      <c r="G6" s="4713"/>
      <c r="H6" s="4713"/>
      <c r="I6" s="4713"/>
      <c r="J6" s="4713"/>
      <c r="K6" s="4713"/>
      <c r="L6" s="4713"/>
      <c r="M6" s="4713"/>
      <c r="N6" s="4713"/>
      <c r="O6" s="4713"/>
    </row>
    <row r="7" spans="2:15" ht="12" customHeight="1">
      <c r="B7" s="2306"/>
      <c r="C7" s="2306"/>
      <c r="D7" s="2306"/>
      <c r="E7" s="2306"/>
      <c r="F7" s="2307"/>
      <c r="G7" s="2307"/>
      <c r="H7" s="2307"/>
      <c r="I7" s="2307"/>
      <c r="J7" s="2307"/>
      <c r="K7" s="2306"/>
      <c r="L7" s="2306"/>
      <c r="M7" s="2306"/>
      <c r="N7" s="2310"/>
      <c r="O7" s="2306"/>
    </row>
    <row r="8" spans="2:15" s="1849" customFormat="1" ht="20.25">
      <c r="B8" s="1277" t="s">
        <v>507</v>
      </c>
      <c r="C8" s="2311"/>
      <c r="D8" s="2311"/>
      <c r="E8" s="2311"/>
      <c r="F8" s="2311"/>
      <c r="G8" s="2103"/>
      <c r="H8" s="2103"/>
      <c r="I8" s="2128"/>
      <c r="J8" s="1323"/>
      <c r="K8" s="2311"/>
      <c r="L8" s="1861"/>
      <c r="M8" s="1861"/>
      <c r="N8" s="2312" t="s">
        <v>91</v>
      </c>
      <c r="O8" s="2313"/>
    </row>
    <row r="9" spans="2:15" ht="6" customHeight="1">
      <c r="B9" s="2314"/>
      <c r="C9" s="2314"/>
      <c r="D9" s="2314"/>
      <c r="E9" s="2314"/>
      <c r="F9" s="2314"/>
      <c r="G9" s="1858"/>
      <c r="H9" s="1858"/>
      <c r="I9" s="1858"/>
      <c r="J9" s="1858"/>
      <c r="K9" s="1858"/>
      <c r="L9" s="1858"/>
      <c r="M9" s="1858"/>
      <c r="N9" s="2314"/>
      <c r="O9" s="2314"/>
    </row>
    <row r="10" spans="2:15" ht="20.25">
      <c r="B10" s="2294"/>
      <c r="C10" s="4204"/>
      <c r="D10" s="1249"/>
      <c r="E10" s="1249"/>
      <c r="F10" s="1249"/>
      <c r="G10" s="4229" t="s">
        <v>438</v>
      </c>
      <c r="H10" s="4229" t="s">
        <v>508</v>
      </c>
      <c r="I10" s="4229" t="s">
        <v>416</v>
      </c>
      <c r="J10" s="2315"/>
      <c r="K10" s="2315"/>
      <c r="L10" s="4229" t="s">
        <v>416</v>
      </c>
      <c r="M10" s="4229" t="s">
        <v>416</v>
      </c>
      <c r="N10" s="4198"/>
      <c r="O10" s="4199"/>
    </row>
    <row r="11" spans="2:15" ht="20.25">
      <c r="B11" s="2316"/>
      <c r="C11" s="1283"/>
      <c r="D11" s="4229"/>
      <c r="E11" s="4229" t="s">
        <v>509</v>
      </c>
      <c r="F11" s="4229" t="s">
        <v>8</v>
      </c>
      <c r="G11" s="4229" t="s">
        <v>441</v>
      </c>
      <c r="H11" s="4229" t="s">
        <v>480</v>
      </c>
      <c r="I11" s="4229" t="s">
        <v>510</v>
      </c>
      <c r="J11" s="4229" t="s">
        <v>8</v>
      </c>
      <c r="K11" s="4229"/>
      <c r="L11" s="4229" t="s">
        <v>214</v>
      </c>
      <c r="M11" s="4229" t="s">
        <v>97</v>
      </c>
      <c r="N11" s="4198"/>
      <c r="O11" s="4199"/>
    </row>
    <row r="12" spans="2:15" ht="20.25">
      <c r="B12" s="2317" t="s">
        <v>338</v>
      </c>
      <c r="C12" s="1244"/>
      <c r="D12" s="1774" t="s">
        <v>391</v>
      </c>
      <c r="E12" s="4229" t="s">
        <v>511</v>
      </c>
      <c r="F12" s="4229" t="s">
        <v>415</v>
      </c>
      <c r="G12" s="4229" t="s">
        <v>445</v>
      </c>
      <c r="H12" s="4229" t="s">
        <v>512</v>
      </c>
      <c r="I12" s="4229" t="s">
        <v>215</v>
      </c>
      <c r="J12" s="4229" t="s">
        <v>416</v>
      </c>
      <c r="K12" s="4229" t="s">
        <v>100</v>
      </c>
      <c r="L12" s="4229" t="s">
        <v>215</v>
      </c>
      <c r="M12" s="4229" t="s">
        <v>106</v>
      </c>
      <c r="N12" s="4750" t="s">
        <v>107</v>
      </c>
      <c r="O12" s="4751"/>
    </row>
    <row r="13" spans="2:15" ht="20.25">
      <c r="B13" s="2317" t="s">
        <v>100</v>
      </c>
      <c r="C13" s="1244"/>
      <c r="D13" s="1774" t="s">
        <v>330</v>
      </c>
      <c r="E13" s="4229" t="s">
        <v>513</v>
      </c>
      <c r="F13" s="4229" t="s">
        <v>396</v>
      </c>
      <c r="G13" s="4229" t="s">
        <v>514</v>
      </c>
      <c r="H13" s="4229" t="s">
        <v>332</v>
      </c>
      <c r="I13" s="4229" t="s">
        <v>279</v>
      </c>
      <c r="J13" s="4229" t="s">
        <v>113</v>
      </c>
      <c r="K13" s="4229" t="s">
        <v>363</v>
      </c>
      <c r="L13" s="4229" t="s">
        <v>218</v>
      </c>
      <c r="M13" s="4229" t="s">
        <v>172</v>
      </c>
      <c r="N13" s="4750" t="s">
        <v>116</v>
      </c>
      <c r="O13" s="4751"/>
    </row>
    <row r="14" spans="2:15" s="2117" customFormat="1" ht="18.95" customHeight="1">
      <c r="B14" s="2317" t="s">
        <v>8</v>
      </c>
      <c r="C14" s="1244"/>
      <c r="D14" s="4229"/>
      <c r="E14" s="4229"/>
      <c r="F14" s="4229"/>
      <c r="G14" s="4229" t="s">
        <v>8</v>
      </c>
      <c r="H14" s="4229" t="s">
        <v>515</v>
      </c>
      <c r="I14" s="4229"/>
      <c r="J14" s="4229" t="s">
        <v>8</v>
      </c>
      <c r="K14" s="1249"/>
      <c r="L14" s="4229" t="s">
        <v>222</v>
      </c>
      <c r="M14" s="4229"/>
      <c r="N14" s="4198"/>
      <c r="O14" s="4199"/>
    </row>
    <row r="15" spans="2:15" s="2117" customFormat="1" ht="20.100000000000001" customHeight="1">
      <c r="B15" s="2316"/>
      <c r="C15" s="1283"/>
      <c r="D15" s="1774"/>
      <c r="E15" s="4229" t="s">
        <v>120</v>
      </c>
      <c r="F15" s="4229" t="s">
        <v>8</v>
      </c>
      <c r="G15" s="4229"/>
      <c r="H15" s="4229" t="s">
        <v>516</v>
      </c>
      <c r="I15" s="4229" t="s">
        <v>517</v>
      </c>
      <c r="J15" s="4229" t="s">
        <v>8</v>
      </c>
      <c r="K15" s="4229"/>
      <c r="L15" s="4229" t="s">
        <v>223</v>
      </c>
      <c r="M15" s="4229" t="s">
        <v>125</v>
      </c>
      <c r="N15" s="1240"/>
      <c r="O15" s="2273"/>
    </row>
    <row r="16" spans="2:15" s="2117" customFormat="1" ht="20.100000000000001" customHeight="1">
      <c r="B16" s="2317"/>
      <c r="C16" s="1244"/>
      <c r="D16" s="1774" t="s">
        <v>119</v>
      </c>
      <c r="E16" s="4229" t="s">
        <v>127</v>
      </c>
      <c r="F16" s="4229"/>
      <c r="G16" s="4229"/>
      <c r="H16" s="4229" t="s">
        <v>518</v>
      </c>
      <c r="I16" s="4229" t="s">
        <v>519</v>
      </c>
      <c r="J16" s="4229" t="s">
        <v>8</v>
      </c>
      <c r="K16" s="4229"/>
      <c r="L16" s="4229" t="s">
        <v>181</v>
      </c>
      <c r="M16" s="4229" t="s">
        <v>134</v>
      </c>
      <c r="N16" s="4750"/>
      <c r="O16" s="4751"/>
    </row>
    <row r="17" spans="2:15" s="2117" customFormat="1" ht="18.95" customHeight="1">
      <c r="B17" s="2317" t="s">
        <v>187</v>
      </c>
      <c r="C17" s="1244"/>
      <c r="D17" s="1774" t="s">
        <v>520</v>
      </c>
      <c r="E17" s="4229" t="s">
        <v>521</v>
      </c>
      <c r="F17" s="4229"/>
      <c r="G17" s="4229" t="s">
        <v>318</v>
      </c>
      <c r="H17" s="4229" t="s">
        <v>180</v>
      </c>
      <c r="I17" s="4229" t="s">
        <v>280</v>
      </c>
      <c r="J17" s="4229" t="s">
        <v>522</v>
      </c>
      <c r="K17" s="4229" t="s">
        <v>128</v>
      </c>
      <c r="L17" s="4229" t="s">
        <v>228</v>
      </c>
      <c r="M17" s="4229" t="s">
        <v>140</v>
      </c>
      <c r="N17" s="4750" t="s">
        <v>136</v>
      </c>
      <c r="O17" s="4751"/>
    </row>
    <row r="18" spans="2:15" s="2117" customFormat="1" ht="20.100000000000001" customHeight="1">
      <c r="B18" s="2318" t="s">
        <v>139</v>
      </c>
      <c r="C18" s="2319"/>
      <c r="D18" s="2320" t="s">
        <v>523</v>
      </c>
      <c r="E18" s="4238" t="s">
        <v>524</v>
      </c>
      <c r="F18" s="4238" t="s">
        <v>58</v>
      </c>
      <c r="G18" s="4238" t="s">
        <v>525</v>
      </c>
      <c r="H18" s="4238" t="s">
        <v>280</v>
      </c>
      <c r="I18" s="4238" t="s">
        <v>140</v>
      </c>
      <c r="J18" s="4238" t="s">
        <v>140</v>
      </c>
      <c r="K18" s="4238" t="s">
        <v>139</v>
      </c>
      <c r="L18" s="4238" t="s">
        <v>140</v>
      </c>
      <c r="M18" s="4238" t="s">
        <v>189</v>
      </c>
      <c r="N18" s="4611" t="s">
        <v>144</v>
      </c>
      <c r="O18" s="4759"/>
    </row>
    <row r="19" spans="2:15" ht="39.75" customHeight="1">
      <c r="B19" s="1572">
        <f t="shared" ref="B19:B47" si="0">SUM(D19+E19+F19+G19+H19+I19+J19+K19+L19+M19)</f>
        <v>63.2</v>
      </c>
      <c r="C19" s="1568"/>
      <c r="D19" s="1168">
        <v>5.2</v>
      </c>
      <c r="E19" s="4184">
        <v>1.1000000000000001</v>
      </c>
      <c r="F19" s="4184">
        <v>3.7</v>
      </c>
      <c r="G19" s="4190">
        <v>0.3</v>
      </c>
      <c r="H19" s="4190">
        <v>0</v>
      </c>
      <c r="I19" s="4184">
        <v>3.1</v>
      </c>
      <c r="J19" s="4190">
        <v>16.5</v>
      </c>
      <c r="K19" s="4190">
        <v>2.7</v>
      </c>
      <c r="L19" s="4190">
        <v>2.4</v>
      </c>
      <c r="M19" s="2322">
        <v>28.2</v>
      </c>
      <c r="N19" s="4684">
        <v>1964</v>
      </c>
      <c r="O19" s="4692"/>
    </row>
    <row r="20" spans="2:15" ht="39.75" customHeight="1">
      <c r="B20" s="2204">
        <f t="shared" si="0"/>
        <v>60</v>
      </c>
      <c r="C20" s="2323"/>
      <c r="D20" s="1414">
        <v>7.2</v>
      </c>
      <c r="E20" s="4254">
        <v>1.4</v>
      </c>
      <c r="F20" s="4254">
        <v>3.7</v>
      </c>
      <c r="G20" s="4255">
        <v>0.5</v>
      </c>
      <c r="H20" s="4255">
        <v>0</v>
      </c>
      <c r="I20" s="4254">
        <v>1.7</v>
      </c>
      <c r="J20" s="4255">
        <v>4.5</v>
      </c>
      <c r="K20" s="4255">
        <v>3.3</v>
      </c>
      <c r="L20" s="4255">
        <v>2</v>
      </c>
      <c r="M20" s="2013">
        <v>35.700000000000003</v>
      </c>
      <c r="N20" s="4766">
        <v>1965</v>
      </c>
      <c r="O20" s="4695"/>
    </row>
    <row r="21" spans="2:15" ht="39.75" customHeight="1">
      <c r="B21" s="1572">
        <f t="shared" si="0"/>
        <v>70.3</v>
      </c>
      <c r="C21" s="1568"/>
      <c r="D21" s="1168">
        <v>8.6999999999999993</v>
      </c>
      <c r="E21" s="4184">
        <v>1.9</v>
      </c>
      <c r="F21" s="4184">
        <v>4.2</v>
      </c>
      <c r="G21" s="4190">
        <v>0.8</v>
      </c>
      <c r="H21" s="4190">
        <v>0.1</v>
      </c>
      <c r="I21" s="4184">
        <v>1</v>
      </c>
      <c r="J21" s="4190">
        <v>5.2</v>
      </c>
      <c r="K21" s="4190">
        <v>2.9</v>
      </c>
      <c r="L21" s="4190">
        <v>1</v>
      </c>
      <c r="M21" s="1172">
        <v>44.5</v>
      </c>
      <c r="N21" s="4684">
        <v>1966</v>
      </c>
      <c r="O21" s="4692"/>
    </row>
    <row r="22" spans="2:15" ht="39.75" customHeight="1">
      <c r="B22" s="2204">
        <f t="shared" si="0"/>
        <v>70.8</v>
      </c>
      <c r="C22" s="2323"/>
      <c r="D22" s="1414">
        <v>9.5</v>
      </c>
      <c r="E22" s="4254">
        <v>2.1</v>
      </c>
      <c r="F22" s="4254">
        <v>4.3</v>
      </c>
      <c r="G22" s="4255">
        <v>0.4</v>
      </c>
      <c r="H22" s="4255">
        <v>0</v>
      </c>
      <c r="I22" s="4254">
        <v>0.7</v>
      </c>
      <c r="J22" s="4255">
        <v>8.8000000000000007</v>
      </c>
      <c r="K22" s="4255">
        <v>2.6</v>
      </c>
      <c r="L22" s="4255">
        <v>1.8</v>
      </c>
      <c r="M22" s="2013">
        <v>40.6</v>
      </c>
      <c r="N22" s="4766">
        <v>1967</v>
      </c>
      <c r="O22" s="4695"/>
    </row>
    <row r="23" spans="2:15" ht="39.75" customHeight="1">
      <c r="B23" s="1572">
        <f t="shared" si="0"/>
        <v>71.300000000000011</v>
      </c>
      <c r="C23" s="1568"/>
      <c r="D23" s="1168">
        <v>7.9</v>
      </c>
      <c r="E23" s="4184">
        <v>2.7</v>
      </c>
      <c r="F23" s="4184">
        <v>4.4000000000000004</v>
      </c>
      <c r="G23" s="4190">
        <v>0.5</v>
      </c>
      <c r="H23" s="4190">
        <v>0</v>
      </c>
      <c r="I23" s="4184">
        <v>0.9</v>
      </c>
      <c r="J23" s="4190">
        <v>7.4</v>
      </c>
      <c r="K23" s="4190">
        <v>2.6</v>
      </c>
      <c r="L23" s="4190">
        <v>2</v>
      </c>
      <c r="M23" s="1172">
        <v>42.9</v>
      </c>
      <c r="N23" s="4684">
        <v>1968</v>
      </c>
      <c r="O23" s="4692"/>
    </row>
    <row r="24" spans="2:15" ht="39.75" customHeight="1">
      <c r="B24" s="2204">
        <f t="shared" si="0"/>
        <v>74.699999999999989</v>
      </c>
      <c r="C24" s="2323"/>
      <c r="D24" s="1414">
        <v>7.8</v>
      </c>
      <c r="E24" s="4254">
        <v>3.2</v>
      </c>
      <c r="F24" s="4254">
        <v>4.7</v>
      </c>
      <c r="G24" s="4255">
        <v>0.5</v>
      </c>
      <c r="H24" s="4255">
        <v>0</v>
      </c>
      <c r="I24" s="4254">
        <v>0.4</v>
      </c>
      <c r="J24" s="4255">
        <v>7.5</v>
      </c>
      <c r="K24" s="4255">
        <v>3.3</v>
      </c>
      <c r="L24" s="4255">
        <v>2</v>
      </c>
      <c r="M24" s="2013">
        <v>45.3</v>
      </c>
      <c r="N24" s="4766">
        <v>1969</v>
      </c>
      <c r="O24" s="4695"/>
    </row>
    <row r="25" spans="2:15" ht="39.75" customHeight="1">
      <c r="B25" s="1572">
        <f t="shared" si="0"/>
        <v>76.400000000000006</v>
      </c>
      <c r="C25" s="1568"/>
      <c r="D25" s="1168">
        <v>7.6</v>
      </c>
      <c r="E25" s="4184">
        <v>3.3</v>
      </c>
      <c r="F25" s="4184">
        <v>4.7</v>
      </c>
      <c r="G25" s="4190">
        <v>0.4</v>
      </c>
      <c r="H25" s="4190">
        <v>0.3</v>
      </c>
      <c r="I25" s="4184">
        <v>1.5</v>
      </c>
      <c r="J25" s="4190">
        <v>8.6999999999999993</v>
      </c>
      <c r="K25" s="4190">
        <v>3.5</v>
      </c>
      <c r="L25" s="4190">
        <v>3</v>
      </c>
      <c r="M25" s="1172">
        <v>43.4</v>
      </c>
      <c r="N25" s="4684">
        <v>1970</v>
      </c>
      <c r="O25" s="4692"/>
    </row>
    <row r="26" spans="2:15" ht="39.75" customHeight="1">
      <c r="B26" s="2204">
        <f t="shared" si="0"/>
        <v>82.2</v>
      </c>
      <c r="C26" s="2323"/>
      <c r="D26" s="1414">
        <v>7</v>
      </c>
      <c r="E26" s="4254">
        <v>3.3</v>
      </c>
      <c r="F26" s="4254">
        <v>4.7</v>
      </c>
      <c r="G26" s="4255">
        <v>0.5</v>
      </c>
      <c r="H26" s="4255">
        <v>0.7</v>
      </c>
      <c r="I26" s="4254">
        <v>5.9</v>
      </c>
      <c r="J26" s="4255">
        <v>6.1</v>
      </c>
      <c r="K26" s="4255">
        <v>2.5</v>
      </c>
      <c r="L26" s="4255">
        <v>2.7</v>
      </c>
      <c r="M26" s="2013">
        <v>48.8</v>
      </c>
      <c r="N26" s="4766">
        <v>1971</v>
      </c>
      <c r="O26" s="4695"/>
    </row>
    <row r="27" spans="2:15" ht="39.75" customHeight="1">
      <c r="B27" s="1572">
        <f t="shared" si="0"/>
        <v>95.5</v>
      </c>
      <c r="C27" s="1568"/>
      <c r="D27" s="1168">
        <v>8</v>
      </c>
      <c r="E27" s="4184">
        <v>3.3</v>
      </c>
      <c r="F27" s="4184">
        <v>4.7</v>
      </c>
      <c r="G27" s="4190">
        <v>0.6</v>
      </c>
      <c r="H27" s="4190">
        <v>0.3</v>
      </c>
      <c r="I27" s="4184">
        <v>5.3</v>
      </c>
      <c r="J27" s="4190">
        <v>6.2</v>
      </c>
      <c r="K27" s="4190">
        <v>2.5</v>
      </c>
      <c r="L27" s="4190">
        <v>3.4</v>
      </c>
      <c r="M27" s="1172">
        <v>61.2</v>
      </c>
      <c r="N27" s="4684">
        <v>1972</v>
      </c>
      <c r="O27" s="4692"/>
    </row>
    <row r="28" spans="2:15" ht="39.75" customHeight="1">
      <c r="B28" s="2204">
        <f t="shared" si="0"/>
        <v>111.6</v>
      </c>
      <c r="C28" s="2323"/>
      <c r="D28" s="1414">
        <v>11.2</v>
      </c>
      <c r="E28" s="4254">
        <v>3.3</v>
      </c>
      <c r="F28" s="4254">
        <v>4.7</v>
      </c>
      <c r="G28" s="4255">
        <v>0.9</v>
      </c>
      <c r="H28" s="4255">
        <v>0.2</v>
      </c>
      <c r="I28" s="4254">
        <v>5.0999999999999996</v>
      </c>
      <c r="J28" s="4255">
        <v>6.1</v>
      </c>
      <c r="K28" s="4255">
        <v>2.6</v>
      </c>
      <c r="L28" s="4255">
        <v>4.2</v>
      </c>
      <c r="M28" s="2013">
        <v>73.3</v>
      </c>
      <c r="N28" s="4766">
        <v>1973</v>
      </c>
      <c r="O28" s="4695"/>
    </row>
    <row r="29" spans="2:15" ht="39.75" customHeight="1">
      <c r="B29" s="1572">
        <f t="shared" si="0"/>
        <v>148.49</v>
      </c>
      <c r="C29" s="1568"/>
      <c r="D29" s="1168">
        <v>14</v>
      </c>
      <c r="E29" s="4184">
        <v>4</v>
      </c>
      <c r="F29" s="4184">
        <v>7.6</v>
      </c>
      <c r="G29" s="4190">
        <v>0.89</v>
      </c>
      <c r="H29" s="4190">
        <v>0.4</v>
      </c>
      <c r="I29" s="4184">
        <v>5.8</v>
      </c>
      <c r="J29" s="4190">
        <v>8.4</v>
      </c>
      <c r="K29" s="4190">
        <v>4.3</v>
      </c>
      <c r="L29" s="4190">
        <v>4.4000000000000004</v>
      </c>
      <c r="M29" s="1172">
        <v>98.7</v>
      </c>
      <c r="N29" s="4684">
        <v>1974</v>
      </c>
      <c r="O29" s="4692"/>
    </row>
    <row r="30" spans="2:15" ht="39.75" customHeight="1">
      <c r="B30" s="2204">
        <f t="shared" si="0"/>
        <v>226.2</v>
      </c>
      <c r="C30" s="2323"/>
      <c r="D30" s="1414">
        <v>22.3</v>
      </c>
      <c r="E30" s="4254">
        <f>12.3-9+2.5+0.1</f>
        <v>5.9</v>
      </c>
      <c r="F30" s="4254">
        <v>11</v>
      </c>
      <c r="G30" s="4255">
        <v>2.4</v>
      </c>
      <c r="H30" s="4255">
        <v>2.9</v>
      </c>
      <c r="I30" s="4254">
        <v>11.2</v>
      </c>
      <c r="J30" s="4255">
        <v>12</v>
      </c>
      <c r="K30" s="4255">
        <v>10.4</v>
      </c>
      <c r="L30" s="4255">
        <v>4.5</v>
      </c>
      <c r="M30" s="2013">
        <v>143.6</v>
      </c>
      <c r="N30" s="4766">
        <v>1975</v>
      </c>
      <c r="O30" s="4695"/>
    </row>
    <row r="31" spans="2:15" ht="39.75" customHeight="1">
      <c r="B31" s="1572">
        <f t="shared" si="0"/>
        <v>333.6</v>
      </c>
      <c r="C31" s="1568"/>
      <c r="D31" s="1168">
        <f>12.4+20.8+6.7-0.1</f>
        <v>39.800000000000004</v>
      </c>
      <c r="E31" s="4184">
        <f>14.9-10.2+3.4+0.1</f>
        <v>8.2000000000000011</v>
      </c>
      <c r="F31" s="4184">
        <v>16.2</v>
      </c>
      <c r="G31" s="4190">
        <v>3.6</v>
      </c>
      <c r="H31" s="4190">
        <v>0.3</v>
      </c>
      <c r="I31" s="4184">
        <v>12.7</v>
      </c>
      <c r="J31" s="4190">
        <v>16.600000000000001</v>
      </c>
      <c r="K31" s="4190">
        <v>23.1</v>
      </c>
      <c r="L31" s="4190">
        <v>8.4</v>
      </c>
      <c r="M31" s="1172">
        <v>204.7</v>
      </c>
      <c r="N31" s="4684">
        <v>1976</v>
      </c>
      <c r="O31" s="4692"/>
    </row>
    <row r="32" spans="2:15" ht="39.75" customHeight="1">
      <c r="B32" s="2204">
        <f t="shared" si="0"/>
        <v>422.5</v>
      </c>
      <c r="C32" s="2323"/>
      <c r="D32" s="1414">
        <f>15.8+19.8+2.5-1.9</f>
        <v>36.200000000000003</v>
      </c>
      <c r="E32" s="4254">
        <f>20.7-15.2+5.5+1.9</f>
        <v>12.9</v>
      </c>
      <c r="F32" s="4254">
        <v>25.5</v>
      </c>
      <c r="G32" s="4255">
        <v>2.5</v>
      </c>
      <c r="H32" s="4255">
        <v>6.6</v>
      </c>
      <c r="I32" s="4254">
        <v>21.8</v>
      </c>
      <c r="J32" s="4255">
        <v>21</v>
      </c>
      <c r="K32" s="4255">
        <v>21.2</v>
      </c>
      <c r="L32" s="4255">
        <v>7.4</v>
      </c>
      <c r="M32" s="2013">
        <v>267.39999999999998</v>
      </c>
      <c r="N32" s="4766">
        <v>1977</v>
      </c>
      <c r="O32" s="4695"/>
    </row>
    <row r="33" spans="1:15" ht="39.75" customHeight="1">
      <c r="B33" s="1572">
        <f t="shared" si="0"/>
        <v>637.1</v>
      </c>
      <c r="C33" s="1568"/>
      <c r="D33" s="1168">
        <f>23.7+27</f>
        <v>50.7</v>
      </c>
      <c r="E33" s="4184">
        <f>54.7-43.1+8.7</f>
        <v>20.3</v>
      </c>
      <c r="F33" s="4184">
        <v>43.1</v>
      </c>
      <c r="G33" s="4190">
        <v>3.1</v>
      </c>
      <c r="H33" s="4190">
        <v>8.6999999999999993</v>
      </c>
      <c r="I33" s="4184">
        <v>50.3</v>
      </c>
      <c r="J33" s="4190">
        <v>24.3</v>
      </c>
      <c r="K33" s="4190">
        <v>59.9</v>
      </c>
      <c r="L33" s="4190">
        <v>12.1</v>
      </c>
      <c r="M33" s="1172">
        <v>364.6</v>
      </c>
      <c r="N33" s="4684">
        <v>1978</v>
      </c>
      <c r="O33" s="4692"/>
    </row>
    <row r="34" spans="1:15" ht="39.75" customHeight="1">
      <c r="B34" s="2204">
        <f t="shared" si="0"/>
        <v>823.7</v>
      </c>
      <c r="C34" s="2323"/>
      <c r="D34" s="1414">
        <f>35.7+32.7</f>
        <v>68.400000000000006</v>
      </c>
      <c r="E34" s="4254">
        <f>67.9-51.5+12.6</f>
        <v>29.000000000000007</v>
      </c>
      <c r="F34" s="4254">
        <v>51.5</v>
      </c>
      <c r="G34" s="4255">
        <v>3.2</v>
      </c>
      <c r="H34" s="4255">
        <v>7.2</v>
      </c>
      <c r="I34" s="4254">
        <v>54.7</v>
      </c>
      <c r="J34" s="4255">
        <v>45.8</v>
      </c>
      <c r="K34" s="4255">
        <v>83.7</v>
      </c>
      <c r="L34" s="4255">
        <v>14.8</v>
      </c>
      <c r="M34" s="2013">
        <v>465.4</v>
      </c>
      <c r="N34" s="4766">
        <v>1979</v>
      </c>
      <c r="O34" s="4695"/>
    </row>
    <row r="35" spans="1:15" ht="39.75" customHeight="1">
      <c r="B35" s="1572">
        <f t="shared" si="0"/>
        <v>1070.5</v>
      </c>
      <c r="C35" s="1568"/>
      <c r="D35" s="1168">
        <v>75.400000000000006</v>
      </c>
      <c r="E35" s="4184">
        <v>37.700000000000003</v>
      </c>
      <c r="F35" s="4184">
        <v>55.3</v>
      </c>
      <c r="G35" s="4190">
        <v>4.3</v>
      </c>
      <c r="H35" s="4190">
        <v>10</v>
      </c>
      <c r="I35" s="4184">
        <v>64.400000000000006</v>
      </c>
      <c r="J35" s="4190">
        <v>63.6</v>
      </c>
      <c r="K35" s="4190">
        <v>148.19999999999999</v>
      </c>
      <c r="L35" s="4190">
        <v>31</v>
      </c>
      <c r="M35" s="1172">
        <v>580.6</v>
      </c>
      <c r="N35" s="4684">
        <v>1980</v>
      </c>
      <c r="O35" s="4692"/>
    </row>
    <row r="36" spans="1:15" ht="39.75" customHeight="1">
      <c r="B36" s="2204">
        <f t="shared" si="0"/>
        <v>1330.6999999999998</v>
      </c>
      <c r="C36" s="2323"/>
      <c r="D36" s="1414">
        <v>99.9</v>
      </c>
      <c r="E36" s="4254">
        <v>49.8</v>
      </c>
      <c r="F36" s="4254">
        <v>62.8</v>
      </c>
      <c r="G36" s="4255">
        <v>5</v>
      </c>
      <c r="H36" s="4255">
        <v>14.7</v>
      </c>
      <c r="I36" s="4254">
        <v>87</v>
      </c>
      <c r="J36" s="4255">
        <v>77.2</v>
      </c>
      <c r="K36" s="4255">
        <v>177.4</v>
      </c>
      <c r="L36" s="4255">
        <v>50.5</v>
      </c>
      <c r="M36" s="2013">
        <v>706.4</v>
      </c>
      <c r="N36" s="4766">
        <v>1981</v>
      </c>
      <c r="O36" s="4695"/>
    </row>
    <row r="37" spans="1:15" ht="39.75" customHeight="1">
      <c r="B37" s="1572">
        <f t="shared" si="0"/>
        <v>1553.5</v>
      </c>
      <c r="C37" s="1568"/>
      <c r="D37" s="1168">
        <v>103.4</v>
      </c>
      <c r="E37" s="4184">
        <v>77.8</v>
      </c>
      <c r="F37" s="4184">
        <v>82</v>
      </c>
      <c r="G37" s="4190">
        <v>6.1</v>
      </c>
      <c r="H37" s="4190">
        <v>39.1</v>
      </c>
      <c r="I37" s="4184">
        <v>46.1</v>
      </c>
      <c r="J37" s="4190">
        <v>78.3</v>
      </c>
      <c r="K37" s="4190">
        <v>201.1</v>
      </c>
      <c r="L37" s="4190">
        <v>36.200000000000003</v>
      </c>
      <c r="M37" s="1172">
        <v>883.4</v>
      </c>
      <c r="N37" s="4684">
        <v>1982</v>
      </c>
      <c r="O37" s="4692"/>
    </row>
    <row r="38" spans="1:15" ht="39.75" customHeight="1">
      <c r="B38" s="2204">
        <f t="shared" si="0"/>
        <v>1863.3000000000002</v>
      </c>
      <c r="C38" s="2323"/>
      <c r="D38" s="1414">
        <v>123.7</v>
      </c>
      <c r="E38" s="4254">
        <v>90.6</v>
      </c>
      <c r="F38" s="4254">
        <v>82</v>
      </c>
      <c r="G38" s="4255">
        <v>5.0999999999999996</v>
      </c>
      <c r="H38" s="4255">
        <v>64.7</v>
      </c>
      <c r="I38" s="4254">
        <v>68.5</v>
      </c>
      <c r="J38" s="4255">
        <v>97.3</v>
      </c>
      <c r="K38" s="4255">
        <v>247.6</v>
      </c>
      <c r="L38" s="4255">
        <v>48.4</v>
      </c>
      <c r="M38" s="2013">
        <v>1035.4000000000001</v>
      </c>
      <c r="N38" s="4766">
        <v>1983</v>
      </c>
      <c r="O38" s="4695"/>
    </row>
    <row r="39" spans="1:15" ht="39.75" customHeight="1">
      <c r="B39" s="1572">
        <f t="shared" si="0"/>
        <v>2136</v>
      </c>
      <c r="C39" s="1568"/>
      <c r="D39" s="1168">
        <v>139.69999999999999</v>
      </c>
      <c r="E39" s="4184">
        <v>104.6</v>
      </c>
      <c r="F39" s="4184">
        <v>83.2</v>
      </c>
      <c r="G39" s="4190">
        <v>5.9</v>
      </c>
      <c r="H39" s="4190">
        <v>89.1</v>
      </c>
      <c r="I39" s="4184">
        <v>71.7</v>
      </c>
      <c r="J39" s="4190">
        <v>111.9</v>
      </c>
      <c r="K39" s="4190">
        <v>315.60000000000002</v>
      </c>
      <c r="L39" s="4190">
        <v>44.5</v>
      </c>
      <c r="M39" s="1172">
        <v>1169.8</v>
      </c>
      <c r="N39" s="4684">
        <v>1984</v>
      </c>
      <c r="O39" s="4692"/>
    </row>
    <row r="40" spans="1:15" ht="39.75" customHeight="1">
      <c r="B40" s="2204">
        <f t="shared" si="0"/>
        <v>2392.1000000000004</v>
      </c>
      <c r="C40" s="2323"/>
      <c r="D40" s="1414">
        <v>165.7</v>
      </c>
      <c r="E40" s="4254">
        <v>100.5</v>
      </c>
      <c r="F40" s="4254">
        <v>100.7</v>
      </c>
      <c r="G40" s="4255">
        <v>5.9</v>
      </c>
      <c r="H40" s="4255">
        <v>103.8</v>
      </c>
      <c r="I40" s="4254">
        <v>125.1</v>
      </c>
      <c r="J40" s="4255">
        <v>121.3</v>
      </c>
      <c r="K40" s="4255">
        <v>337.5</v>
      </c>
      <c r="L40" s="4255">
        <v>57.2</v>
      </c>
      <c r="M40" s="2013">
        <v>1274.4000000000001</v>
      </c>
      <c r="N40" s="4766">
        <v>1985</v>
      </c>
      <c r="O40" s="4695"/>
    </row>
    <row r="41" spans="1:15" ht="39.75" customHeight="1">
      <c r="B41" s="1572">
        <f t="shared" si="0"/>
        <v>2634.8</v>
      </c>
      <c r="C41" s="1568"/>
      <c r="D41" s="1168">
        <v>176.8</v>
      </c>
      <c r="E41" s="4184">
        <v>111</v>
      </c>
      <c r="F41" s="4184">
        <v>103.3</v>
      </c>
      <c r="G41" s="4190">
        <v>5.3</v>
      </c>
      <c r="H41" s="4190">
        <v>118.7</v>
      </c>
      <c r="I41" s="4184">
        <v>130.80000000000001</v>
      </c>
      <c r="J41" s="4190">
        <v>156.19999999999999</v>
      </c>
      <c r="K41" s="4190">
        <v>348.1</v>
      </c>
      <c r="L41" s="4190">
        <v>59.6</v>
      </c>
      <c r="M41" s="1172">
        <v>1425</v>
      </c>
      <c r="N41" s="4684">
        <v>1986</v>
      </c>
      <c r="O41" s="4692"/>
    </row>
    <row r="42" spans="1:15" ht="39.75" customHeight="1">
      <c r="B42" s="2204">
        <f t="shared" si="0"/>
        <v>2898.5</v>
      </c>
      <c r="C42" s="2323"/>
      <c r="D42" s="1414">
        <v>191.7</v>
      </c>
      <c r="E42" s="4254">
        <v>125.7</v>
      </c>
      <c r="F42" s="4254">
        <v>103.5</v>
      </c>
      <c r="G42" s="4255">
        <v>8.6</v>
      </c>
      <c r="H42" s="4255">
        <v>112.6</v>
      </c>
      <c r="I42" s="4254">
        <v>133.19999999999999</v>
      </c>
      <c r="J42" s="4255">
        <v>127.3</v>
      </c>
      <c r="K42" s="4255">
        <v>381.6</v>
      </c>
      <c r="L42" s="4255">
        <v>50.3</v>
      </c>
      <c r="M42" s="2013">
        <v>1664</v>
      </c>
      <c r="N42" s="4766">
        <v>1987</v>
      </c>
      <c r="O42" s="4695"/>
    </row>
    <row r="43" spans="1:15" ht="39.75" customHeight="1">
      <c r="B43" s="1572">
        <f t="shared" si="0"/>
        <v>3250.5</v>
      </c>
      <c r="C43" s="1568"/>
      <c r="D43" s="1168">
        <v>227.4</v>
      </c>
      <c r="E43" s="4184">
        <v>145.6</v>
      </c>
      <c r="F43" s="4184">
        <v>105.5</v>
      </c>
      <c r="G43" s="4190">
        <v>13.5</v>
      </c>
      <c r="H43" s="4190">
        <v>115.2</v>
      </c>
      <c r="I43" s="4184">
        <v>167.4</v>
      </c>
      <c r="J43" s="4190">
        <v>110.6</v>
      </c>
      <c r="K43" s="4190">
        <v>552.29999999999995</v>
      </c>
      <c r="L43" s="4190">
        <v>65.7</v>
      </c>
      <c r="M43" s="1172">
        <v>1747.3</v>
      </c>
      <c r="N43" s="4684">
        <v>1988</v>
      </c>
      <c r="O43" s="4692"/>
    </row>
    <row r="44" spans="1:15" ht="39.75" customHeight="1">
      <c r="B44" s="2204">
        <f t="shared" si="0"/>
        <v>3780.3</v>
      </c>
      <c r="C44" s="2323"/>
      <c r="D44" s="1414">
        <v>359.7</v>
      </c>
      <c r="E44" s="4254">
        <v>170.4</v>
      </c>
      <c r="F44" s="4254">
        <v>110.4</v>
      </c>
      <c r="G44" s="4255">
        <v>16.2</v>
      </c>
      <c r="H44" s="4255">
        <v>221.2</v>
      </c>
      <c r="I44" s="4254">
        <v>172.5</v>
      </c>
      <c r="J44" s="4255">
        <v>161.1</v>
      </c>
      <c r="K44" s="4255">
        <v>504.9</v>
      </c>
      <c r="L44" s="4255">
        <f>12.2+72.4</f>
        <v>84.600000000000009</v>
      </c>
      <c r="M44" s="2013">
        <f>413.2+1566.1</f>
        <v>1979.3</v>
      </c>
      <c r="N44" s="4766">
        <v>1989</v>
      </c>
      <c r="O44" s="4695"/>
    </row>
    <row r="45" spans="1:15" ht="39.75" customHeight="1">
      <c r="B45" s="1572">
        <f t="shared" si="0"/>
        <v>4090</v>
      </c>
      <c r="C45" s="1568"/>
      <c r="D45" s="1168">
        <v>416.4</v>
      </c>
      <c r="E45" s="4184">
        <v>174.4</v>
      </c>
      <c r="F45" s="4184">
        <v>138</v>
      </c>
      <c r="G45" s="4190">
        <v>18.2</v>
      </c>
      <c r="H45" s="4190">
        <v>449.2</v>
      </c>
      <c r="I45" s="4184">
        <v>178.4</v>
      </c>
      <c r="J45" s="4190">
        <v>168.8</v>
      </c>
      <c r="K45" s="4190">
        <v>459.8</v>
      </c>
      <c r="L45" s="4190">
        <f>12.7+117.7</f>
        <v>130.4</v>
      </c>
      <c r="M45" s="1172">
        <f>401.1+1555.3</f>
        <v>1956.4</v>
      </c>
      <c r="N45" s="4684">
        <v>1990</v>
      </c>
      <c r="O45" s="4692"/>
    </row>
    <row r="46" spans="1:15" ht="39.75" customHeight="1">
      <c r="B46" s="2204">
        <f t="shared" si="0"/>
        <v>5599.1</v>
      </c>
      <c r="C46" s="2323"/>
      <c r="D46" s="1414">
        <v>515.6</v>
      </c>
      <c r="E46" s="4254">
        <v>188.6</v>
      </c>
      <c r="F46" s="4254">
        <v>160</v>
      </c>
      <c r="G46" s="4255">
        <v>33.799999999999997</v>
      </c>
      <c r="H46" s="4255">
        <v>408.7</v>
      </c>
      <c r="I46" s="4254">
        <v>155.80000000000001</v>
      </c>
      <c r="J46" s="4255">
        <v>212.4</v>
      </c>
      <c r="K46" s="4255">
        <v>1260.4000000000001</v>
      </c>
      <c r="L46" s="4255">
        <f>10.7+96.2</f>
        <v>106.9</v>
      </c>
      <c r="M46" s="2013">
        <f>573.2+1983.7</f>
        <v>2556.9</v>
      </c>
      <c r="N46" s="4766">
        <v>1991</v>
      </c>
      <c r="O46" s="4695"/>
    </row>
    <row r="47" spans="1:15" ht="39.75" customHeight="1">
      <c r="A47" s="1174" t="s">
        <v>8</v>
      </c>
      <c r="B47" s="1572">
        <f t="shared" si="0"/>
        <v>6311.1</v>
      </c>
      <c r="C47" s="1568"/>
      <c r="D47" s="1168">
        <v>580.9</v>
      </c>
      <c r="E47" s="4184">
        <v>176.7</v>
      </c>
      <c r="F47" s="4184">
        <v>171.8</v>
      </c>
      <c r="G47" s="4190">
        <v>20.7</v>
      </c>
      <c r="H47" s="4190">
        <v>423.1</v>
      </c>
      <c r="I47" s="4184">
        <v>115.3</v>
      </c>
      <c r="J47" s="4190">
        <v>91.5</v>
      </c>
      <c r="K47" s="4190">
        <v>1596.5</v>
      </c>
      <c r="L47" s="4190">
        <f>31.8+331.1</f>
        <v>362.90000000000003</v>
      </c>
      <c r="M47" s="1172">
        <f>2117.7+654</f>
        <v>2771.7</v>
      </c>
      <c r="N47" s="4684">
        <v>1992</v>
      </c>
      <c r="O47" s="4692"/>
    </row>
    <row r="48" spans="1:15" s="1801" customFormat="1" ht="5.25" customHeight="1">
      <c r="B48" s="2325"/>
      <c r="C48" s="2326"/>
      <c r="D48" s="2327"/>
      <c r="E48" s="1691"/>
      <c r="F48" s="1691"/>
      <c r="G48" s="1691"/>
      <c r="H48" s="1691"/>
      <c r="I48" s="1691"/>
      <c r="J48" s="1691"/>
      <c r="K48" s="1691"/>
      <c r="L48" s="1691"/>
      <c r="M48" s="2328"/>
      <c r="N48" s="2329"/>
      <c r="O48" s="1644"/>
    </row>
    <row r="49" spans="2:15" ht="12" customHeight="1">
      <c r="B49" s="2330"/>
      <c r="C49" s="2330"/>
      <c r="D49" s="2331"/>
      <c r="E49" s="2332"/>
      <c r="F49" s="2332"/>
      <c r="G49" s="2332"/>
      <c r="H49" s="2332"/>
      <c r="I49" s="2332"/>
      <c r="J49" s="2332"/>
      <c r="K49" s="2332"/>
      <c r="L49" s="2332"/>
      <c r="M49" s="2332"/>
      <c r="N49" s="2333"/>
      <c r="O49" s="1804"/>
    </row>
    <row r="50" spans="2:15" ht="12" customHeight="1">
      <c r="B50" s="2330"/>
      <c r="C50" s="2330"/>
      <c r="D50" s="2331"/>
      <c r="E50" s="2332"/>
      <c r="F50" s="2332"/>
      <c r="G50" s="2332"/>
      <c r="H50" s="2332"/>
      <c r="I50" s="2332"/>
      <c r="J50" s="2332"/>
      <c r="K50" s="2332"/>
      <c r="L50" s="2332"/>
      <c r="M50" s="2332"/>
      <c r="N50" s="2333"/>
      <c r="O50" s="1804"/>
    </row>
    <row r="51" spans="2:15" ht="18.75" customHeight="1">
      <c r="B51" s="2330"/>
      <c r="C51" s="2330"/>
      <c r="D51" s="2331"/>
      <c r="E51" s="2332"/>
      <c r="F51" s="2332"/>
      <c r="G51" s="2332"/>
      <c r="H51" s="2332"/>
      <c r="I51" s="2332"/>
      <c r="J51" s="2332"/>
      <c r="K51" s="2332"/>
      <c r="L51" s="2332"/>
      <c r="M51" s="2332"/>
      <c r="N51" s="2333"/>
      <c r="O51" s="1804"/>
    </row>
    <row r="52" spans="2:15" ht="12" customHeight="1">
      <c r="B52" s="2330"/>
      <c r="C52" s="2330"/>
      <c r="D52" s="2331"/>
      <c r="E52" s="2332"/>
      <c r="F52" s="2332"/>
      <c r="G52" s="2332"/>
      <c r="H52" s="2332"/>
      <c r="I52" s="2332"/>
      <c r="J52" s="2332"/>
      <c r="K52" s="2332"/>
      <c r="L52" s="2332"/>
      <c r="M52" s="2332"/>
      <c r="N52" s="2333"/>
      <c r="O52" s="1804"/>
    </row>
    <row r="53" spans="2:15" ht="26.25" customHeight="1">
      <c r="B53" s="4602" t="s">
        <v>526</v>
      </c>
      <c r="C53" s="4602"/>
      <c r="D53" s="4602"/>
      <c r="E53" s="4602"/>
      <c r="F53" s="4602"/>
      <c r="G53" s="4602"/>
      <c r="H53" s="4602"/>
      <c r="I53" s="4602"/>
      <c r="J53" s="4602"/>
      <c r="K53" s="4602"/>
      <c r="L53" s="4602"/>
      <c r="M53" s="4602"/>
      <c r="N53" s="4602"/>
      <c r="O53" s="4602"/>
    </row>
    <row r="54" spans="2:15" ht="9" customHeight="1">
      <c r="B54" s="2305"/>
      <c r="C54" s="2306"/>
      <c r="D54" s="2306"/>
      <c r="E54" s="2306"/>
      <c r="F54" s="2306"/>
      <c r="G54" s="2306"/>
      <c r="H54" s="2306"/>
      <c r="I54" s="2307"/>
      <c r="J54" s="2306"/>
      <c r="K54" s="2306"/>
      <c r="L54" s="2308"/>
      <c r="M54" s="2309"/>
      <c r="N54" s="2310"/>
      <c r="O54" s="2306"/>
    </row>
    <row r="55" spans="2:15" ht="26.25" customHeight="1">
      <c r="B55" s="4713" t="s">
        <v>527</v>
      </c>
      <c r="C55" s="4713"/>
      <c r="D55" s="4713"/>
      <c r="E55" s="4713"/>
      <c r="F55" s="4713"/>
      <c r="G55" s="4713"/>
      <c r="H55" s="4713"/>
      <c r="I55" s="4713"/>
      <c r="J55" s="4713"/>
      <c r="K55" s="4713"/>
      <c r="L55" s="4713"/>
      <c r="M55" s="4713"/>
      <c r="N55" s="4713"/>
      <c r="O55" s="4713"/>
    </row>
    <row r="56" spans="2:15" ht="12" customHeight="1">
      <c r="B56" s="1919"/>
      <c r="C56" s="2306"/>
      <c r="D56" s="2306"/>
      <c r="E56" s="2306"/>
      <c r="F56" s="2307"/>
      <c r="G56" s="2307"/>
      <c r="H56" s="2307"/>
      <c r="I56" s="2307"/>
      <c r="J56" s="2307"/>
      <c r="K56" s="2306"/>
      <c r="L56" s="2306"/>
      <c r="M56" s="2306"/>
      <c r="N56" s="2310"/>
      <c r="O56" s="2306"/>
    </row>
    <row r="57" spans="2:15" s="1849" customFormat="1" ht="23.25" customHeight="1">
      <c r="B57" s="4268" t="s">
        <v>90</v>
      </c>
      <c r="C57" s="2278"/>
      <c r="D57" s="2278"/>
      <c r="E57" s="2278"/>
      <c r="F57" s="2278"/>
      <c r="G57" s="1850"/>
      <c r="H57" s="1850"/>
      <c r="I57" s="2277"/>
      <c r="J57" s="1318"/>
      <c r="K57" s="2278"/>
      <c r="L57" s="1852"/>
      <c r="M57" s="1852"/>
      <c r="N57" s="1989" t="s">
        <v>91</v>
      </c>
      <c r="O57" s="2312"/>
    </row>
    <row r="58" spans="2:15" s="1801" customFormat="1" ht="3" customHeight="1">
      <c r="B58" s="2128"/>
      <c r="C58" s="2128"/>
      <c r="D58" s="2128"/>
      <c r="E58" s="2128"/>
      <c r="F58" s="2128"/>
      <c r="G58" s="2335"/>
      <c r="H58" s="2335"/>
      <c r="I58" s="2335"/>
      <c r="J58" s="2335"/>
      <c r="K58" s="2335"/>
      <c r="L58" s="2335"/>
      <c r="M58" s="2335"/>
      <c r="N58" s="2128"/>
      <c r="O58" s="2128"/>
    </row>
    <row r="59" spans="2:15" ht="25.7" customHeight="1">
      <c r="B59" s="2336"/>
      <c r="C59" s="2337"/>
      <c r="D59" s="2337"/>
      <c r="E59" s="2338"/>
      <c r="F59" s="2337"/>
      <c r="G59" s="2339"/>
      <c r="H59" s="4763" t="s">
        <v>528</v>
      </c>
      <c r="I59" s="4763"/>
      <c r="J59" s="4763"/>
      <c r="K59" s="4764" t="s">
        <v>211</v>
      </c>
      <c r="L59" s="4763"/>
      <c r="M59" s="4765"/>
      <c r="N59" s="2340"/>
      <c r="O59" s="2341"/>
    </row>
    <row r="60" spans="2:15" ht="25.7" customHeight="1">
      <c r="B60" s="2342"/>
      <c r="C60" s="4229"/>
      <c r="D60" s="4229" t="s">
        <v>529</v>
      </c>
      <c r="E60" s="4229" t="s">
        <v>530</v>
      </c>
      <c r="F60" s="4229" t="s">
        <v>416</v>
      </c>
      <c r="G60" s="4229"/>
      <c r="H60" s="4760" t="s">
        <v>417</v>
      </c>
      <c r="I60" s="4760"/>
      <c r="J60" s="4760"/>
      <c r="K60" s="4761" t="s">
        <v>213</v>
      </c>
      <c r="L60" s="4760"/>
      <c r="M60" s="4762"/>
      <c r="N60" s="4204"/>
      <c r="O60" s="4241"/>
    </row>
    <row r="61" spans="2:15" ht="25.7" customHeight="1">
      <c r="B61" s="2342" t="s">
        <v>338</v>
      </c>
      <c r="C61" s="4229" t="s">
        <v>100</v>
      </c>
      <c r="D61" s="4229" t="s">
        <v>99</v>
      </c>
      <c r="E61" s="4229" t="s">
        <v>531</v>
      </c>
      <c r="F61" s="4229" t="s">
        <v>113</v>
      </c>
      <c r="G61" s="4229" t="s">
        <v>100</v>
      </c>
      <c r="H61" s="4222" t="s">
        <v>532</v>
      </c>
      <c r="I61" s="4227" t="s">
        <v>278</v>
      </c>
      <c r="J61" s="4221" t="s">
        <v>278</v>
      </c>
      <c r="K61" s="4220" t="s">
        <v>532</v>
      </c>
      <c r="L61" s="4227" t="s">
        <v>278</v>
      </c>
      <c r="M61" s="4222" t="s">
        <v>278</v>
      </c>
      <c r="N61" s="4750" t="s">
        <v>107</v>
      </c>
      <c r="O61" s="4751"/>
    </row>
    <row r="62" spans="2:15" ht="25.7" customHeight="1">
      <c r="B62" s="2342" t="s">
        <v>100</v>
      </c>
      <c r="C62" s="4229" t="s">
        <v>98</v>
      </c>
      <c r="D62" s="4229" t="s">
        <v>109</v>
      </c>
      <c r="E62" s="4229" t="s">
        <v>177</v>
      </c>
      <c r="F62" s="4229" t="s">
        <v>166</v>
      </c>
      <c r="G62" s="4229" t="s">
        <v>363</v>
      </c>
      <c r="H62" s="4215" t="s">
        <v>172</v>
      </c>
      <c r="I62" s="4229" t="s">
        <v>279</v>
      </c>
      <c r="J62" s="4198" t="s">
        <v>218</v>
      </c>
      <c r="K62" s="4197" t="s">
        <v>172</v>
      </c>
      <c r="L62" s="4229" t="s">
        <v>279</v>
      </c>
      <c r="M62" s="4215" t="s">
        <v>218</v>
      </c>
      <c r="N62" s="4750" t="s">
        <v>116</v>
      </c>
      <c r="O62" s="4751"/>
    </row>
    <row r="63" spans="2:15" s="2117" customFormat="1" ht="25.7" customHeight="1">
      <c r="B63" s="2342"/>
      <c r="C63" s="4229"/>
      <c r="D63" s="4229" t="s">
        <v>58</v>
      </c>
      <c r="E63" s="4229" t="s">
        <v>355</v>
      </c>
      <c r="F63" s="4229" t="s">
        <v>185</v>
      </c>
      <c r="G63" s="4229"/>
      <c r="H63" s="4215" t="s">
        <v>125</v>
      </c>
      <c r="I63" s="4229"/>
      <c r="J63" s="4230"/>
      <c r="K63" s="4197" t="s">
        <v>125</v>
      </c>
      <c r="L63" s="4229"/>
      <c r="M63" s="4215"/>
      <c r="N63" s="1240"/>
      <c r="O63" s="2273"/>
    </row>
    <row r="64" spans="2:15" s="2117" customFormat="1" ht="25.7" customHeight="1">
      <c r="B64" s="2342" t="s">
        <v>187</v>
      </c>
      <c r="C64" s="4229" t="s">
        <v>119</v>
      </c>
      <c r="D64" s="4229" t="s">
        <v>533</v>
      </c>
      <c r="E64" s="4229" t="s">
        <v>534</v>
      </c>
      <c r="F64" s="4229" t="s">
        <v>320</v>
      </c>
      <c r="G64" s="4229" t="s">
        <v>128</v>
      </c>
      <c r="H64" s="4215" t="s">
        <v>134</v>
      </c>
      <c r="I64" s="4229" t="s">
        <v>180</v>
      </c>
      <c r="J64" s="4198" t="s">
        <v>181</v>
      </c>
      <c r="K64" s="4197" t="s">
        <v>134</v>
      </c>
      <c r="L64" s="4229" t="s">
        <v>180</v>
      </c>
      <c r="M64" s="4215" t="s">
        <v>181</v>
      </c>
      <c r="N64" s="4750" t="s">
        <v>136</v>
      </c>
      <c r="O64" s="4751"/>
    </row>
    <row r="65" spans="2:15" s="2117" customFormat="1" ht="25.7" customHeight="1">
      <c r="B65" s="2345" t="s">
        <v>139</v>
      </c>
      <c r="C65" s="4238" t="s">
        <v>139</v>
      </c>
      <c r="D65" s="4238" t="s">
        <v>138</v>
      </c>
      <c r="E65" s="4238" t="s">
        <v>535</v>
      </c>
      <c r="F65" s="4238" t="s">
        <v>140</v>
      </c>
      <c r="G65" s="4238" t="s">
        <v>139</v>
      </c>
      <c r="H65" s="4146" t="s">
        <v>189</v>
      </c>
      <c r="I65" s="4238" t="s">
        <v>280</v>
      </c>
      <c r="J65" s="4145" t="s">
        <v>228</v>
      </c>
      <c r="K65" s="4144" t="s">
        <v>189</v>
      </c>
      <c r="L65" s="4238" t="s">
        <v>280</v>
      </c>
      <c r="M65" s="4146" t="s">
        <v>228</v>
      </c>
      <c r="N65" s="4612" t="s">
        <v>144</v>
      </c>
      <c r="O65" s="4759"/>
    </row>
    <row r="66" spans="2:15" ht="54" customHeight="1">
      <c r="B66" s="1167">
        <f t="shared" ref="B66:B93" si="1">M66+L66+K66+J66+I66+H66+G66+F66+E66+D66+C66</f>
        <v>6747.5</v>
      </c>
      <c r="C66" s="4184">
        <v>781</v>
      </c>
      <c r="D66" s="4184">
        <v>492.7</v>
      </c>
      <c r="E66" s="4184">
        <v>344</v>
      </c>
      <c r="F66" s="4184">
        <v>180.8</v>
      </c>
      <c r="G66" s="4184">
        <v>1525.3</v>
      </c>
      <c r="H66" s="4184">
        <v>2327.1</v>
      </c>
      <c r="I66" s="4184">
        <v>35.200000000000003</v>
      </c>
      <c r="J66" s="4184">
        <f>33.1+25.7+234.4</f>
        <v>293.2</v>
      </c>
      <c r="K66" s="4184">
        <v>700.5</v>
      </c>
      <c r="L66" s="4184">
        <v>5.7</v>
      </c>
      <c r="M66" s="1172">
        <f>44.7+7.7+9.6</f>
        <v>62.000000000000007</v>
      </c>
      <c r="N66" s="1173" t="s">
        <v>536</v>
      </c>
      <c r="O66" s="4176"/>
    </row>
    <row r="67" spans="2:15" ht="54" customHeight="1">
      <c r="B67" s="1169">
        <f t="shared" si="1"/>
        <v>7527.8</v>
      </c>
      <c r="C67" s="4254">
        <v>868.8</v>
      </c>
      <c r="D67" s="4254">
        <v>582.79999999999995</v>
      </c>
      <c r="E67" s="4254">
        <v>362.4</v>
      </c>
      <c r="F67" s="4254">
        <v>189</v>
      </c>
      <c r="G67" s="4254">
        <v>1765.5</v>
      </c>
      <c r="H67" s="4254">
        <v>2579.6</v>
      </c>
      <c r="I67" s="4255">
        <v>32.6</v>
      </c>
      <c r="J67" s="4255">
        <f>58.2+11.6+306.5</f>
        <v>376.3</v>
      </c>
      <c r="K67" s="4255">
        <v>720.6</v>
      </c>
      <c r="L67" s="4255">
        <v>6.4</v>
      </c>
      <c r="M67" s="2013">
        <f>33.2+6.2+4.4</f>
        <v>43.800000000000004</v>
      </c>
      <c r="N67" s="1616">
        <v>1994</v>
      </c>
      <c r="O67" s="4196"/>
    </row>
    <row r="68" spans="2:15" s="1801" customFormat="1" ht="54" customHeight="1">
      <c r="B68" s="1167">
        <f t="shared" si="1"/>
        <v>8430.4000000000015</v>
      </c>
      <c r="C68" s="4184">
        <v>993.4</v>
      </c>
      <c r="D68" s="4184">
        <v>701.7</v>
      </c>
      <c r="E68" s="4184">
        <v>404.3</v>
      </c>
      <c r="F68" s="4184">
        <v>181.3</v>
      </c>
      <c r="G68" s="4184">
        <v>2074.9</v>
      </c>
      <c r="H68" s="4184">
        <v>2818</v>
      </c>
      <c r="I68" s="4184">
        <v>37.299999999999997</v>
      </c>
      <c r="J68" s="4184">
        <f>65.6+12.7+363.3</f>
        <v>441.6</v>
      </c>
      <c r="K68" s="4184">
        <v>720</v>
      </c>
      <c r="L68" s="4184">
        <v>4.9000000000000004</v>
      </c>
      <c r="M68" s="1172">
        <f>38.2+8.6+6.2</f>
        <v>53.000000000000007</v>
      </c>
      <c r="N68" s="1173">
        <v>1995</v>
      </c>
      <c r="O68" s="4176"/>
    </row>
    <row r="69" spans="2:15" s="1801" customFormat="1" ht="54" customHeight="1">
      <c r="B69" s="1169">
        <f t="shared" si="1"/>
        <v>8857.7000000000007</v>
      </c>
      <c r="C69" s="4254">
        <v>1075.5</v>
      </c>
      <c r="D69" s="4254">
        <v>771</v>
      </c>
      <c r="E69" s="4254">
        <v>390.5</v>
      </c>
      <c r="F69" s="4254">
        <v>205.7</v>
      </c>
      <c r="G69" s="4254">
        <v>2198.4</v>
      </c>
      <c r="H69" s="4254">
        <v>2976.1</v>
      </c>
      <c r="I69" s="4254">
        <v>46.4</v>
      </c>
      <c r="J69" s="4254">
        <f>65.9+19.5+422.8</f>
        <v>508.20000000000005</v>
      </c>
      <c r="K69" s="4254">
        <v>643.1</v>
      </c>
      <c r="L69" s="4254">
        <v>4.9000000000000004</v>
      </c>
      <c r="M69" s="2013">
        <f>26.8+5.1+6</f>
        <v>37.9</v>
      </c>
      <c r="N69" s="1616">
        <v>1996</v>
      </c>
      <c r="O69" s="4196"/>
    </row>
    <row r="70" spans="2:15" s="1801" customFormat="1" ht="54" customHeight="1">
      <c r="B70" s="1167">
        <f t="shared" si="1"/>
        <v>9679.2000000000007</v>
      </c>
      <c r="C70" s="4184">
        <v>1232.2</v>
      </c>
      <c r="D70" s="4184">
        <v>1047.7</v>
      </c>
      <c r="E70" s="4184">
        <v>370.3</v>
      </c>
      <c r="F70" s="4184">
        <v>279</v>
      </c>
      <c r="G70" s="4184">
        <v>2187.1</v>
      </c>
      <c r="H70" s="4184">
        <v>3231.8</v>
      </c>
      <c r="I70" s="4184">
        <v>51.8</v>
      </c>
      <c r="J70" s="4184">
        <f>57.8+20+451.4</f>
        <v>529.19999999999993</v>
      </c>
      <c r="K70" s="4184">
        <v>698.7</v>
      </c>
      <c r="L70" s="4184">
        <v>4.7</v>
      </c>
      <c r="M70" s="1172">
        <f>36.8+3.9+6</f>
        <v>46.699999999999996</v>
      </c>
      <c r="N70" s="1173">
        <v>1997</v>
      </c>
      <c r="O70" s="4176"/>
    </row>
    <row r="71" spans="2:15" s="1801" customFormat="1" ht="54" customHeight="1">
      <c r="B71" s="1169">
        <f t="shared" si="1"/>
        <v>10460.199999999999</v>
      </c>
      <c r="C71" s="4254">
        <v>1506.4</v>
      </c>
      <c r="D71" s="4254">
        <v>1181.3</v>
      </c>
      <c r="E71" s="4254">
        <v>357.8</v>
      </c>
      <c r="F71" s="4254">
        <v>182.4</v>
      </c>
      <c r="G71" s="4254">
        <v>2183.5</v>
      </c>
      <c r="H71" s="4254">
        <v>3472.8</v>
      </c>
      <c r="I71" s="4254">
        <v>29.6</v>
      </c>
      <c r="J71" s="4254">
        <f>150+16.6+575.7</f>
        <v>742.30000000000007</v>
      </c>
      <c r="K71" s="4254">
        <v>742.8</v>
      </c>
      <c r="L71" s="4254">
        <v>2</v>
      </c>
      <c r="M71" s="2013">
        <f>43.7+3+12.6</f>
        <v>59.300000000000004</v>
      </c>
      <c r="N71" s="2346" t="s">
        <v>537</v>
      </c>
      <c r="O71" s="2347"/>
    </row>
    <row r="72" spans="2:15" s="1801" customFormat="1" ht="54" customHeight="1">
      <c r="B72" s="1167">
        <f t="shared" si="1"/>
        <v>11551.199999999999</v>
      </c>
      <c r="C72" s="4184">
        <v>1689.9</v>
      </c>
      <c r="D72" s="4184">
        <v>1316.6</v>
      </c>
      <c r="E72" s="4184">
        <v>333.6</v>
      </c>
      <c r="F72" s="4184">
        <v>263</v>
      </c>
      <c r="G72" s="4184">
        <v>2329.1999999999998</v>
      </c>
      <c r="H72" s="4184">
        <v>3835.1</v>
      </c>
      <c r="I72" s="4184">
        <v>36.4</v>
      </c>
      <c r="J72" s="4184">
        <f>171.3+15.6+737.2</f>
        <v>924.1</v>
      </c>
      <c r="K72" s="4184">
        <v>757</v>
      </c>
      <c r="L72" s="4184">
        <v>2.7</v>
      </c>
      <c r="M72" s="1172">
        <f>48.2+4.5+10.9</f>
        <v>63.6</v>
      </c>
      <c r="N72" s="1173">
        <f>N70+2</f>
        <v>1999</v>
      </c>
      <c r="O72" s="4176"/>
    </row>
    <row r="73" spans="2:15" s="1801" customFormat="1" ht="54" customHeight="1">
      <c r="B73" s="1169">
        <f t="shared" si="1"/>
        <v>12913.5</v>
      </c>
      <c r="C73" s="4254">
        <v>2015.7</v>
      </c>
      <c r="D73" s="4254">
        <v>1377.9</v>
      </c>
      <c r="E73" s="4254">
        <v>323.39999999999998</v>
      </c>
      <c r="F73" s="4254">
        <v>316.7</v>
      </c>
      <c r="G73" s="4254">
        <v>2707.7</v>
      </c>
      <c r="H73" s="4254">
        <v>4193.8999999999996</v>
      </c>
      <c r="I73" s="4254">
        <v>54.4</v>
      </c>
      <c r="J73" s="4254">
        <f>224.5+11+736.8</f>
        <v>972.3</v>
      </c>
      <c r="K73" s="4254">
        <v>881.1</v>
      </c>
      <c r="L73" s="4254">
        <v>4.5999999999999996</v>
      </c>
      <c r="M73" s="2013">
        <f>53.1+3.4+9.3</f>
        <v>65.8</v>
      </c>
      <c r="N73" s="1616">
        <f>N72+1</f>
        <v>2000</v>
      </c>
      <c r="O73" s="4196"/>
    </row>
    <row r="74" spans="2:15" s="1801" customFormat="1" ht="54" customHeight="1">
      <c r="B74" s="1167">
        <f t="shared" si="1"/>
        <v>14153.600000000002</v>
      </c>
      <c r="C74" s="4184">
        <v>2470.8000000000002</v>
      </c>
      <c r="D74" s="4184">
        <v>1436.2</v>
      </c>
      <c r="E74" s="4184">
        <v>336.1</v>
      </c>
      <c r="F74" s="4184">
        <v>285.2</v>
      </c>
      <c r="G74" s="4184">
        <v>2987.4</v>
      </c>
      <c r="H74" s="4184">
        <v>4472.3999999999996</v>
      </c>
      <c r="I74" s="4184">
        <v>66.099999999999994</v>
      </c>
      <c r="J74" s="4184">
        <f>9.4+761.4+174.3</f>
        <v>945.09999999999991</v>
      </c>
      <c r="K74" s="4184">
        <v>1036.8</v>
      </c>
      <c r="L74" s="4184">
        <v>4.5</v>
      </c>
      <c r="M74" s="1172">
        <f>85.7+2.4+24.9</f>
        <v>113</v>
      </c>
      <c r="N74" s="1173">
        <f>N73+1</f>
        <v>2001</v>
      </c>
      <c r="O74" s="4176"/>
    </row>
    <row r="75" spans="2:15" s="1801" customFormat="1" ht="54" customHeight="1">
      <c r="B75" s="1169">
        <f t="shared" si="1"/>
        <v>15119.3</v>
      </c>
      <c r="C75" s="4254">
        <v>2546.9</v>
      </c>
      <c r="D75" s="4254">
        <v>1545</v>
      </c>
      <c r="E75" s="4254">
        <v>318.10000000000002</v>
      </c>
      <c r="F75" s="4254">
        <v>255.3</v>
      </c>
      <c r="G75" s="4254">
        <v>3345.1</v>
      </c>
      <c r="H75" s="4254">
        <v>4854.2</v>
      </c>
      <c r="I75" s="4254">
        <v>63.5</v>
      </c>
      <c r="J75" s="4254">
        <f>163.5+15.9+646.9</f>
        <v>826.3</v>
      </c>
      <c r="K75" s="4254">
        <v>1240.5</v>
      </c>
      <c r="L75" s="4254">
        <v>7.1</v>
      </c>
      <c r="M75" s="2013">
        <f>97.7+7+12.6</f>
        <v>117.3</v>
      </c>
      <c r="N75" s="1616">
        <f>N74+1</f>
        <v>2002</v>
      </c>
      <c r="O75" s="4196"/>
    </row>
    <row r="76" spans="2:15" s="1801" customFormat="1" ht="54" customHeight="1">
      <c r="B76" s="1167">
        <f t="shared" si="1"/>
        <v>15701.5</v>
      </c>
      <c r="C76" s="4184">
        <v>2457.6999999999998</v>
      </c>
      <c r="D76" s="4184">
        <v>1623.2</v>
      </c>
      <c r="E76" s="4184">
        <v>355.5</v>
      </c>
      <c r="F76" s="4184">
        <v>269.89999999999998</v>
      </c>
      <c r="G76" s="4184">
        <v>3104.7</v>
      </c>
      <c r="H76" s="4184">
        <v>5262.5</v>
      </c>
      <c r="I76" s="4184">
        <v>76.099999999999994</v>
      </c>
      <c r="J76" s="4184">
        <f>261.1+11.9+398.1</f>
        <v>671.1</v>
      </c>
      <c r="K76" s="4184">
        <v>1710.6</v>
      </c>
      <c r="L76" s="4184">
        <v>10.4</v>
      </c>
      <c r="M76" s="1172">
        <f>119.5+15.8+24.5</f>
        <v>159.80000000000001</v>
      </c>
      <c r="N76" s="1173">
        <f>N75+1</f>
        <v>2003</v>
      </c>
      <c r="O76" s="4176"/>
    </row>
    <row r="77" spans="2:15" s="1801" customFormat="1" ht="54" customHeight="1">
      <c r="B77" s="1169">
        <f t="shared" si="1"/>
        <v>17821.199999999997</v>
      </c>
      <c r="C77" s="4254">
        <v>2688.7</v>
      </c>
      <c r="D77" s="4254">
        <v>1874.3</v>
      </c>
      <c r="E77" s="4254">
        <v>388.2</v>
      </c>
      <c r="F77" s="4254">
        <v>336.4</v>
      </c>
      <c r="G77" s="4254">
        <v>3468.8</v>
      </c>
      <c r="H77" s="4254">
        <v>5892.7</v>
      </c>
      <c r="I77" s="4254">
        <v>88.1</v>
      </c>
      <c r="J77" s="4254">
        <v>698.2</v>
      </c>
      <c r="K77" s="4254">
        <v>2205.1</v>
      </c>
      <c r="L77" s="4254">
        <v>9.6</v>
      </c>
      <c r="M77" s="2013">
        <v>171.1</v>
      </c>
      <c r="N77" s="1616">
        <v>2004</v>
      </c>
      <c r="O77" s="4196"/>
    </row>
    <row r="78" spans="2:15" s="1801" customFormat="1" ht="54" customHeight="1">
      <c r="B78" s="1167">
        <f t="shared" si="1"/>
        <v>21086.5</v>
      </c>
      <c r="C78" s="4184">
        <v>3567.6</v>
      </c>
      <c r="D78" s="4184">
        <v>2252.5</v>
      </c>
      <c r="E78" s="4184">
        <v>432</v>
      </c>
      <c r="F78" s="4184">
        <v>444.5</v>
      </c>
      <c r="G78" s="4184">
        <v>3710.7</v>
      </c>
      <c r="H78" s="4184">
        <v>6879.3</v>
      </c>
      <c r="I78" s="4184">
        <v>66.099999999999994</v>
      </c>
      <c r="J78" s="4184">
        <v>717.3</v>
      </c>
      <c r="K78" s="4184">
        <v>2857.4</v>
      </c>
      <c r="L78" s="4184">
        <v>11</v>
      </c>
      <c r="M78" s="1172">
        <v>148.1</v>
      </c>
      <c r="N78" s="1173">
        <v>2005</v>
      </c>
      <c r="O78" s="4176"/>
    </row>
    <row r="79" spans="2:15" s="1801" customFormat="1" ht="54" customHeight="1">
      <c r="B79" s="1169">
        <f t="shared" si="1"/>
        <v>24237.599999999999</v>
      </c>
      <c r="C79" s="4254">
        <v>3807.6</v>
      </c>
      <c r="D79" s="4254">
        <v>3183.3</v>
      </c>
      <c r="E79" s="4254">
        <v>492.9</v>
      </c>
      <c r="F79" s="4254">
        <v>477.8</v>
      </c>
      <c r="G79" s="4254">
        <v>4215.8999999999996</v>
      </c>
      <c r="H79" s="4254">
        <v>8183</v>
      </c>
      <c r="I79" s="4254">
        <v>84</v>
      </c>
      <c r="J79" s="4254">
        <f>464.6+8.9+101.8</f>
        <v>575.29999999999995</v>
      </c>
      <c r="K79" s="4254">
        <v>3083.8</v>
      </c>
      <c r="L79" s="4254">
        <v>9.6999999999999993</v>
      </c>
      <c r="M79" s="2013">
        <f>64.4+15.3+44.6</f>
        <v>124.30000000000001</v>
      </c>
      <c r="N79" s="1616">
        <v>2006</v>
      </c>
      <c r="O79" s="4196"/>
    </row>
    <row r="80" spans="2:15" s="1801" customFormat="1" ht="54" customHeight="1">
      <c r="B80" s="1167">
        <f t="shared" si="1"/>
        <v>26815.599999999999</v>
      </c>
      <c r="C80" s="4184">
        <v>4164</v>
      </c>
      <c r="D80" s="4184">
        <v>3523</v>
      </c>
      <c r="E80" s="4184">
        <v>436.3</v>
      </c>
      <c r="F80" s="4184">
        <v>526.70000000000005</v>
      </c>
      <c r="G80" s="4184">
        <v>4793.2</v>
      </c>
      <c r="H80" s="4184">
        <v>9228.2999999999993</v>
      </c>
      <c r="I80" s="4184">
        <v>85.7</v>
      </c>
      <c r="J80" s="4184">
        <f>592.5+43+50.3</f>
        <v>685.8</v>
      </c>
      <c r="K80" s="4184">
        <v>3270.8</v>
      </c>
      <c r="L80" s="4184">
        <v>15.3</v>
      </c>
      <c r="M80" s="1172">
        <f>39.3+20.7+26.5</f>
        <v>86.5</v>
      </c>
      <c r="N80" s="1173">
        <v>2007</v>
      </c>
      <c r="O80" s="4176"/>
    </row>
    <row r="81" spans="2:22" s="1801" customFormat="1" ht="54" customHeight="1">
      <c r="B81" s="1413">
        <f t="shared" si="1"/>
        <v>29796.599999999995</v>
      </c>
      <c r="C81" s="4183">
        <v>4112.3</v>
      </c>
      <c r="D81" s="4183">
        <v>3803.5</v>
      </c>
      <c r="E81" s="4183">
        <v>373.1</v>
      </c>
      <c r="F81" s="4183">
        <v>561.1</v>
      </c>
      <c r="G81" s="4183">
        <v>5522.2</v>
      </c>
      <c r="H81" s="4183">
        <v>10692.4</v>
      </c>
      <c r="I81" s="4183">
        <v>85.3</v>
      </c>
      <c r="J81" s="4183">
        <f>595.4+3.4+262.8</f>
        <v>861.59999999999991</v>
      </c>
      <c r="K81" s="4183">
        <v>3599.7</v>
      </c>
      <c r="L81" s="4183">
        <v>51.1</v>
      </c>
      <c r="M81" s="1195">
        <f>69.6+16.4+48.3</f>
        <v>134.30000000000001</v>
      </c>
      <c r="N81" s="1257">
        <v>2008</v>
      </c>
      <c r="O81" s="4174"/>
    </row>
    <row r="82" spans="2:22" s="1801" customFormat="1" ht="54" customHeight="1">
      <c r="B82" s="1167">
        <f t="shared" si="1"/>
        <v>31956.9</v>
      </c>
      <c r="C82" s="4184">
        <v>3501.5</v>
      </c>
      <c r="D82" s="4184">
        <v>4374.8</v>
      </c>
      <c r="E82" s="4184">
        <v>371.7</v>
      </c>
      <c r="F82" s="4184">
        <v>780.9</v>
      </c>
      <c r="G82" s="4184">
        <v>5674.8</v>
      </c>
      <c r="H82" s="4184">
        <v>11963.2</v>
      </c>
      <c r="I82" s="4184">
        <v>115.7</v>
      </c>
      <c r="J82" s="4184">
        <v>737.6</v>
      </c>
      <c r="K82" s="4184">
        <v>4293.5</v>
      </c>
      <c r="L82" s="4184">
        <v>33.5</v>
      </c>
      <c r="M82" s="1172">
        <v>109.7</v>
      </c>
      <c r="N82" s="1173">
        <v>2009</v>
      </c>
      <c r="O82" s="4176"/>
      <c r="Q82" s="1964"/>
    </row>
    <row r="83" spans="2:22" s="1801" customFormat="1" ht="54" customHeight="1">
      <c r="B83" s="1413">
        <f t="shared" si="1"/>
        <v>34973.1</v>
      </c>
      <c r="C83" s="4183">
        <v>3521.1</v>
      </c>
      <c r="D83" s="4183">
        <v>4949.7</v>
      </c>
      <c r="E83" s="4183">
        <v>414.6</v>
      </c>
      <c r="F83" s="4183">
        <v>665.9</v>
      </c>
      <c r="G83" s="4183">
        <v>5990.8</v>
      </c>
      <c r="H83" s="4183">
        <v>13438.9</v>
      </c>
      <c r="I83" s="4183">
        <v>144.9</v>
      </c>
      <c r="J83" s="4183">
        <v>793.5</v>
      </c>
      <c r="K83" s="4183">
        <v>4905</v>
      </c>
      <c r="L83" s="4183">
        <v>57.8</v>
      </c>
      <c r="M83" s="1195">
        <v>90.9</v>
      </c>
      <c r="N83" s="1257">
        <v>2010</v>
      </c>
      <c r="O83" s="4174"/>
      <c r="Q83" s="1964"/>
    </row>
    <row r="84" spans="2:22" s="1801" customFormat="1" ht="54" customHeight="1">
      <c r="B84" s="1167">
        <f t="shared" si="1"/>
        <v>37686.400000000001</v>
      </c>
      <c r="C84" s="4184">
        <v>3959.4</v>
      </c>
      <c r="D84" s="4184">
        <v>5397.3</v>
      </c>
      <c r="E84" s="4184">
        <v>449</v>
      </c>
      <c r="F84" s="4184">
        <v>637.4</v>
      </c>
      <c r="G84" s="4184">
        <v>6164</v>
      </c>
      <c r="H84" s="4184">
        <v>14263.3</v>
      </c>
      <c r="I84" s="4184">
        <v>189</v>
      </c>
      <c r="J84" s="4184">
        <v>819.9</v>
      </c>
      <c r="K84" s="4184">
        <v>5642.5</v>
      </c>
      <c r="L84" s="4184">
        <v>88</v>
      </c>
      <c r="M84" s="1172">
        <v>76.599999999999994</v>
      </c>
      <c r="N84" s="1173">
        <v>2011</v>
      </c>
      <c r="O84" s="4176"/>
      <c r="Q84" s="1964"/>
    </row>
    <row r="85" spans="2:22" s="1801" customFormat="1" ht="54" customHeight="1">
      <c r="B85" s="1413">
        <f t="shared" si="1"/>
        <v>39275.400000000009</v>
      </c>
      <c r="C85" s="4183">
        <v>4243.8</v>
      </c>
      <c r="D85" s="4183">
        <v>5848.3</v>
      </c>
      <c r="E85" s="4183">
        <v>998.2</v>
      </c>
      <c r="F85" s="4183">
        <v>646.70000000000005</v>
      </c>
      <c r="G85" s="4183">
        <v>5827.2</v>
      </c>
      <c r="H85" s="4183">
        <v>14273.1</v>
      </c>
      <c r="I85" s="4183">
        <v>205.5</v>
      </c>
      <c r="J85" s="4183">
        <v>947.8</v>
      </c>
      <c r="K85" s="4183">
        <v>6114</v>
      </c>
      <c r="L85" s="4183">
        <v>69.400000000000006</v>
      </c>
      <c r="M85" s="1195">
        <v>101.4</v>
      </c>
      <c r="N85" s="1257">
        <v>2012</v>
      </c>
      <c r="O85" s="4174"/>
      <c r="Q85" s="1964"/>
    </row>
    <row r="86" spans="2:22" s="1801" customFormat="1" ht="54" customHeight="1">
      <c r="B86" s="1167">
        <f t="shared" si="1"/>
        <v>42802.9</v>
      </c>
      <c r="C86" s="4184">
        <v>4617.8</v>
      </c>
      <c r="D86" s="4184">
        <v>6146.2</v>
      </c>
      <c r="E86" s="4184">
        <v>842.7</v>
      </c>
      <c r="F86" s="4184">
        <v>744</v>
      </c>
      <c r="G86" s="4184">
        <v>6716.1</v>
      </c>
      <c r="H86" s="4184">
        <v>15430.1</v>
      </c>
      <c r="I86" s="4184">
        <v>209.1</v>
      </c>
      <c r="J86" s="4184">
        <v>1140.3</v>
      </c>
      <c r="K86" s="4184">
        <v>6765.7</v>
      </c>
      <c r="L86" s="4184">
        <v>68.8</v>
      </c>
      <c r="M86" s="1172">
        <v>122.1</v>
      </c>
      <c r="N86" s="1173">
        <v>2013</v>
      </c>
      <c r="O86" s="4176"/>
      <c r="Q86" s="1964"/>
    </row>
    <row r="87" spans="2:22" s="1801" customFormat="1" ht="54" customHeight="1">
      <c r="B87" s="1413">
        <f t="shared" si="1"/>
        <v>44868.099999999991</v>
      </c>
      <c r="C87" s="4183">
        <v>3902.1</v>
      </c>
      <c r="D87" s="4183">
        <v>6773.7</v>
      </c>
      <c r="E87" s="4183">
        <v>645.6</v>
      </c>
      <c r="F87" s="4183">
        <v>1380</v>
      </c>
      <c r="G87" s="4183">
        <v>6738.3</v>
      </c>
      <c r="H87" s="4183">
        <v>16557.8</v>
      </c>
      <c r="I87" s="4183">
        <v>273.3</v>
      </c>
      <c r="J87" s="4183">
        <v>935.3</v>
      </c>
      <c r="K87" s="4183">
        <v>7419</v>
      </c>
      <c r="L87" s="4183">
        <v>87.1</v>
      </c>
      <c r="M87" s="1195">
        <v>155.9</v>
      </c>
      <c r="N87" s="1257">
        <v>2014</v>
      </c>
      <c r="O87" s="4174"/>
      <c r="Q87" s="1964"/>
    </row>
    <row r="88" spans="2:22" s="1801" customFormat="1" ht="54" customHeight="1">
      <c r="B88" s="1167">
        <f t="shared" si="1"/>
        <v>47133.200000000004</v>
      </c>
      <c r="C88" s="4184">
        <v>3893.4</v>
      </c>
      <c r="D88" s="4184">
        <v>7107.8</v>
      </c>
      <c r="E88" s="4184">
        <v>500.6</v>
      </c>
      <c r="F88" s="4184">
        <v>1293.2</v>
      </c>
      <c r="G88" s="4184">
        <v>6671.4</v>
      </c>
      <c r="H88" s="4184">
        <v>17636</v>
      </c>
      <c r="I88" s="4184">
        <v>345.6</v>
      </c>
      <c r="J88" s="4184">
        <v>1233.5</v>
      </c>
      <c r="K88" s="4184">
        <v>8163.8</v>
      </c>
      <c r="L88" s="4184">
        <v>97.6</v>
      </c>
      <c r="M88" s="1172">
        <v>190.3</v>
      </c>
      <c r="N88" s="1173">
        <v>2015</v>
      </c>
      <c r="O88" s="4176"/>
      <c r="Q88" s="1964"/>
    </row>
    <row r="89" spans="2:22" s="1801" customFormat="1" ht="54" customHeight="1">
      <c r="B89" s="1413">
        <f t="shared" si="1"/>
        <v>48383.5</v>
      </c>
      <c r="C89" s="4183">
        <v>4383.8</v>
      </c>
      <c r="D89" s="4183">
        <v>7261.2</v>
      </c>
      <c r="E89" s="4183">
        <v>499.3</v>
      </c>
      <c r="F89" s="4183">
        <v>1130.2</v>
      </c>
      <c r="G89" s="4183">
        <v>6430.7</v>
      </c>
      <c r="H89" s="4183">
        <v>18305.2</v>
      </c>
      <c r="I89" s="4183">
        <v>318.10000000000002</v>
      </c>
      <c r="J89" s="4183">
        <v>1089</v>
      </c>
      <c r="K89" s="4183">
        <v>8647.7000000000007</v>
      </c>
      <c r="L89" s="4183">
        <v>67.400000000000006</v>
      </c>
      <c r="M89" s="1195">
        <v>250.9</v>
      </c>
      <c r="N89" s="1257">
        <v>2016</v>
      </c>
      <c r="O89" s="4174"/>
      <c r="Q89" s="1964"/>
    </row>
    <row r="90" spans="2:22" s="1801" customFormat="1" ht="54" customHeight="1">
      <c r="B90" s="1167">
        <f>M90+L90+K90+J90+I90+H90+G90+F90+E90+D90+C90</f>
        <v>49102.5</v>
      </c>
      <c r="C90" s="4184">
        <v>4649.8</v>
      </c>
      <c r="D90" s="4184">
        <v>7564.2</v>
      </c>
      <c r="E90" s="4184">
        <v>527.4</v>
      </c>
      <c r="F90" s="4184">
        <v>955.9</v>
      </c>
      <c r="G90" s="4184">
        <v>6799.1</v>
      </c>
      <c r="H90" s="4184">
        <v>18654.5</v>
      </c>
      <c r="I90" s="4184">
        <v>245.3</v>
      </c>
      <c r="J90" s="4184">
        <v>1261.8</v>
      </c>
      <c r="K90" s="4184">
        <v>8261.7999999999993</v>
      </c>
      <c r="L90" s="4184">
        <v>64.2</v>
      </c>
      <c r="M90" s="1172">
        <v>118.5</v>
      </c>
      <c r="N90" s="1173">
        <v>2017</v>
      </c>
      <c r="O90" s="4176"/>
      <c r="Q90" s="1964"/>
    </row>
    <row r="91" spans="2:22" s="1801" customFormat="1" ht="54" customHeight="1">
      <c r="B91" s="1413">
        <f t="shared" ref="B91:B92" si="2">M91+L91+K91+J91+I91+H91+G91+F91+E91+D91+C91</f>
        <v>50917.80000000001</v>
      </c>
      <c r="C91" s="4183">
        <v>4957.3999999999996</v>
      </c>
      <c r="D91" s="4183">
        <v>7865.8</v>
      </c>
      <c r="E91" s="4183">
        <v>753.8</v>
      </c>
      <c r="F91" s="4183">
        <v>946.8</v>
      </c>
      <c r="G91" s="4183">
        <v>7334.9</v>
      </c>
      <c r="H91" s="4183">
        <v>19228.2</v>
      </c>
      <c r="I91" s="4183">
        <v>279.2</v>
      </c>
      <c r="J91" s="4183">
        <v>1599</v>
      </c>
      <c r="K91" s="4183">
        <v>7716.3</v>
      </c>
      <c r="L91" s="4183">
        <v>111</v>
      </c>
      <c r="M91" s="1195">
        <v>125.4</v>
      </c>
      <c r="N91" s="1257">
        <v>2018</v>
      </c>
      <c r="O91" s="4174"/>
      <c r="Q91" s="1964"/>
    </row>
    <row r="92" spans="2:22" s="1801" customFormat="1" ht="54" customHeight="1">
      <c r="B92" s="1167">
        <f t="shared" si="2"/>
        <v>53641.999999999993</v>
      </c>
      <c r="C92" s="4184">
        <v>5310.2</v>
      </c>
      <c r="D92" s="4184">
        <v>8152.6</v>
      </c>
      <c r="E92" s="4184">
        <v>880.2</v>
      </c>
      <c r="F92" s="4184">
        <v>912.5</v>
      </c>
      <c r="G92" s="4184">
        <v>8049.8</v>
      </c>
      <c r="H92" s="4184">
        <v>20331.2</v>
      </c>
      <c r="I92" s="4184">
        <v>309.60000000000002</v>
      </c>
      <c r="J92" s="4184">
        <v>1570</v>
      </c>
      <c r="K92" s="4184">
        <v>7960.9</v>
      </c>
      <c r="L92" s="4184">
        <v>69.5</v>
      </c>
      <c r="M92" s="1172">
        <v>95.5</v>
      </c>
      <c r="N92" s="1173">
        <v>2019</v>
      </c>
      <c r="O92" s="4176"/>
      <c r="Q92" s="1964"/>
    </row>
    <row r="93" spans="2:22" s="1801" customFormat="1" ht="54" customHeight="1">
      <c r="B93" s="4313">
        <f t="shared" si="1"/>
        <v>57038</v>
      </c>
      <c r="C93" s="4237">
        <v>5147.7</v>
      </c>
      <c r="D93" s="4237">
        <v>8715.2000000000007</v>
      </c>
      <c r="E93" s="4237">
        <v>1622.9</v>
      </c>
      <c r="F93" s="4237">
        <v>944.9</v>
      </c>
      <c r="G93" s="4237">
        <v>9539.6</v>
      </c>
      <c r="H93" s="4237">
        <v>20178.099999999999</v>
      </c>
      <c r="I93" s="4237">
        <v>340.4</v>
      </c>
      <c r="J93" s="4237">
        <v>1593</v>
      </c>
      <c r="K93" s="4237">
        <v>8673.1</v>
      </c>
      <c r="L93" s="4237">
        <v>70.900000000000006</v>
      </c>
      <c r="M93" s="1166">
        <v>212.2</v>
      </c>
      <c r="N93" s="4323">
        <v>2020</v>
      </c>
      <c r="O93" s="1747"/>
      <c r="Q93" s="1964"/>
    </row>
    <row r="94" spans="2:22" s="1801" customFormat="1" ht="6" customHeight="1">
      <c r="B94" s="1397"/>
      <c r="C94" s="1397"/>
      <c r="D94" s="1397"/>
      <c r="E94" s="1397"/>
      <c r="F94" s="1397"/>
      <c r="G94" s="1397"/>
      <c r="H94" s="1397"/>
      <c r="I94" s="1397"/>
      <c r="J94" s="1397"/>
      <c r="K94" s="1397"/>
      <c r="L94" s="1397"/>
      <c r="M94" s="1397"/>
      <c r="N94" s="1397"/>
      <c r="O94" s="1397"/>
    </row>
    <row r="95" spans="2:22" s="1191" customFormat="1" ht="18.95" customHeight="1">
      <c r="B95" s="2157" t="s">
        <v>538</v>
      </c>
      <c r="C95" s="1838"/>
      <c r="D95" s="2158"/>
      <c r="E95" s="2158"/>
      <c r="F95" s="1318"/>
      <c r="G95" s="1318"/>
      <c r="H95" s="1318"/>
      <c r="I95" s="1318"/>
      <c r="J95" s="1318"/>
      <c r="K95" s="1318"/>
      <c r="L95" s="1318"/>
      <c r="M95" s="2088"/>
      <c r="N95" s="2156"/>
      <c r="O95" s="2156" t="s">
        <v>539</v>
      </c>
      <c r="Q95" s="1974"/>
    </row>
    <row r="96" spans="2:22" s="1191" customFormat="1" ht="18.95" customHeight="1">
      <c r="B96" s="2159" t="s">
        <v>306</v>
      </c>
      <c r="C96" s="2159"/>
      <c r="D96" s="2158"/>
      <c r="E96" s="2158"/>
      <c r="F96" s="1318"/>
      <c r="G96" s="1318"/>
      <c r="H96" s="1318"/>
      <c r="I96" s="1318"/>
      <c r="J96" s="1318"/>
      <c r="K96" s="1318"/>
      <c r="L96" s="1318"/>
      <c r="M96" s="2088"/>
      <c r="N96" s="2088" t="s">
        <v>305</v>
      </c>
      <c r="O96" s="1397"/>
      <c r="Q96" s="1974"/>
      <c r="V96" s="2348"/>
    </row>
    <row r="97" spans="2:22" s="1191" customFormat="1" ht="18.95" customHeight="1">
      <c r="B97" s="2157" t="s">
        <v>540</v>
      </c>
      <c r="C97" s="2081"/>
      <c r="D97" s="1318"/>
      <c r="E97" s="1318"/>
      <c r="F97" s="1318"/>
      <c r="G97" s="1318"/>
      <c r="H97" s="1318"/>
      <c r="I97" s="2082"/>
      <c r="J97" s="1318"/>
      <c r="K97" s="1318"/>
      <c r="L97" s="1318"/>
      <c r="M97" s="2088"/>
      <c r="N97" s="2156"/>
      <c r="O97" s="2156" t="s">
        <v>433</v>
      </c>
      <c r="Q97" s="1980"/>
      <c r="R97" s="1980"/>
      <c r="S97" s="1980"/>
      <c r="V97" s="1980"/>
    </row>
    <row r="98" spans="2:22" ht="20.100000000000001" customHeight="1">
      <c r="B98" s="1760"/>
      <c r="I98" s="1793"/>
    </row>
    <row r="99" spans="2:22" ht="20.100000000000001" customHeight="1">
      <c r="B99" s="1760"/>
      <c r="I99" s="1793"/>
    </row>
    <row r="100" spans="2:22" ht="20.100000000000001" customHeight="1">
      <c r="B100" s="1760"/>
      <c r="D100" s="1843"/>
      <c r="I100" s="1793"/>
    </row>
    <row r="101" spans="2:22" ht="20.100000000000001" customHeight="1">
      <c r="B101" s="1760"/>
      <c r="I101" s="1793"/>
    </row>
    <row r="102" spans="2:22" ht="20.100000000000001" customHeight="1">
      <c r="B102" s="1760"/>
      <c r="I102" s="1793"/>
    </row>
    <row r="103" spans="2:22" ht="20.100000000000001" customHeight="1">
      <c r="B103" s="1760"/>
      <c r="I103" s="1793"/>
    </row>
    <row r="104" spans="2:22" ht="20.100000000000001" customHeight="1">
      <c r="B104" s="1760"/>
      <c r="I104" s="1793"/>
    </row>
    <row r="105" spans="2:22" ht="20.100000000000001" customHeight="1">
      <c r="B105" s="1760"/>
      <c r="I105" s="1793"/>
    </row>
    <row r="106" spans="2:22" ht="20.100000000000001" customHeight="1">
      <c r="B106" s="1760"/>
      <c r="I106" s="1793"/>
    </row>
    <row r="107" spans="2:22" ht="20.100000000000001" customHeight="1">
      <c r="B107" s="1760"/>
      <c r="I107" s="1793"/>
    </row>
    <row r="108" spans="2:22" ht="20.100000000000001" customHeight="1">
      <c r="B108" s="1760"/>
      <c r="I108" s="1793"/>
    </row>
    <row r="109" spans="2:22" ht="20.100000000000001" customHeight="1">
      <c r="B109" s="1760"/>
      <c r="I109" s="1793"/>
    </row>
    <row r="110" spans="2:22" ht="20.100000000000001" customHeight="1">
      <c r="B110" s="1760"/>
      <c r="I110" s="1793"/>
    </row>
    <row r="111" spans="2:22" ht="20.100000000000001" customHeight="1">
      <c r="B111" s="1760"/>
      <c r="I111" s="1793"/>
    </row>
    <row r="112" spans="2:22" ht="20.100000000000001" customHeight="1">
      <c r="B112" s="1760"/>
      <c r="I112" s="1793"/>
    </row>
    <row r="113" spans="2:9" ht="20.100000000000001" customHeight="1">
      <c r="B113" s="1760"/>
      <c r="I113" s="1793"/>
    </row>
    <row r="114" spans="2:9" ht="20.100000000000001" customHeight="1">
      <c r="B114" s="1760"/>
      <c r="I114" s="1793"/>
    </row>
    <row r="115" spans="2:9" ht="20.100000000000001" customHeight="1">
      <c r="I115" s="1793"/>
    </row>
    <row r="116" spans="2:9" ht="20.100000000000001" customHeight="1">
      <c r="I116" s="1793"/>
    </row>
    <row r="117" spans="2:9" ht="20.100000000000001" customHeight="1">
      <c r="I117" s="1793"/>
    </row>
    <row r="118" spans="2:9" ht="20.100000000000001" customHeight="1">
      <c r="I118" s="1793"/>
    </row>
    <row r="119" spans="2:9" ht="20.100000000000001" customHeight="1">
      <c r="I119" s="1793"/>
    </row>
    <row r="120" spans="2:9" ht="20.100000000000001" customHeight="1">
      <c r="I120" s="1793"/>
    </row>
    <row r="121" spans="2:9" ht="20.100000000000001" customHeight="1">
      <c r="I121" s="1793"/>
    </row>
    <row r="122" spans="2:9" ht="20.100000000000001" customHeight="1">
      <c r="I122" s="1793"/>
    </row>
    <row r="123" spans="2:9" ht="20.100000000000001" customHeight="1">
      <c r="I123" s="1793"/>
    </row>
    <row r="124" spans="2:9" ht="20.100000000000001" customHeight="1">
      <c r="I124" s="1793"/>
    </row>
    <row r="125" spans="2:9" ht="20.100000000000001" customHeight="1">
      <c r="I125" s="1793"/>
    </row>
    <row r="126" spans="2:9" ht="20.100000000000001" customHeight="1">
      <c r="I126" s="1793"/>
    </row>
    <row r="127" spans="2:9" ht="20.100000000000001" customHeight="1">
      <c r="I127" s="1793"/>
    </row>
    <row r="128" spans="2:9" ht="20.100000000000001" customHeight="1">
      <c r="I128" s="1793"/>
    </row>
    <row r="129" spans="9:9" ht="20.100000000000001" customHeight="1">
      <c r="I129" s="1793"/>
    </row>
    <row r="130" spans="9:9" ht="20.100000000000001" customHeight="1">
      <c r="I130" s="1793"/>
    </row>
    <row r="131" spans="9:9" ht="20.100000000000001" customHeight="1">
      <c r="I131" s="1793"/>
    </row>
    <row r="132" spans="9:9" ht="20.100000000000001" customHeight="1">
      <c r="I132" s="1793"/>
    </row>
    <row r="133" spans="9:9" ht="20.100000000000001" customHeight="1">
      <c r="I133" s="1793"/>
    </row>
    <row r="134" spans="9:9" ht="20.100000000000001" customHeight="1">
      <c r="I134" s="1793"/>
    </row>
    <row r="135" spans="9:9" ht="20.100000000000001" customHeight="1">
      <c r="I135" s="1793"/>
    </row>
    <row r="136" spans="9:9" ht="20.100000000000001" customHeight="1">
      <c r="I136" s="1793"/>
    </row>
    <row r="137" spans="9:9" ht="20.100000000000001" customHeight="1">
      <c r="I137" s="1793"/>
    </row>
    <row r="138" spans="9:9" ht="20.100000000000001" customHeight="1">
      <c r="I138" s="1793"/>
    </row>
    <row r="139" spans="9:9" ht="20.100000000000001" customHeight="1">
      <c r="I139" s="1793"/>
    </row>
    <row r="140" spans="9:9" ht="20.100000000000001" customHeight="1">
      <c r="I140" s="1793"/>
    </row>
    <row r="141" spans="9:9" ht="20.100000000000001" customHeight="1">
      <c r="I141" s="1793"/>
    </row>
    <row r="142" spans="9:9" ht="20.100000000000001" customHeight="1">
      <c r="I142" s="1793"/>
    </row>
    <row r="143" spans="9:9" ht="20.100000000000001" customHeight="1">
      <c r="I143" s="1793"/>
    </row>
  </sheetData>
  <mergeCells count="46">
    <mergeCell ref="B4:O4"/>
    <mergeCell ref="B6:O6"/>
    <mergeCell ref="N12:O12"/>
    <mergeCell ref="N13:O13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N39:O39"/>
    <mergeCell ref="N40:O40"/>
    <mergeCell ref="N41:O41"/>
    <mergeCell ref="N42:O42"/>
    <mergeCell ref="N43:O43"/>
    <mergeCell ref="N44:O44"/>
    <mergeCell ref="N45:O45"/>
    <mergeCell ref="N46:O46"/>
    <mergeCell ref="N47:O47"/>
    <mergeCell ref="B53:O53"/>
    <mergeCell ref="B55:O55"/>
    <mergeCell ref="H59:J59"/>
    <mergeCell ref="K59:M59"/>
    <mergeCell ref="N65:O65"/>
    <mergeCell ref="H60:J60"/>
    <mergeCell ref="K60:M60"/>
    <mergeCell ref="N61:O61"/>
    <mergeCell ref="N62:O62"/>
    <mergeCell ref="N64:O64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8" orientation="portrait" r:id="rId1"/>
  <headerFooter alignWithMargins="0">
    <oddFooter>&amp;C&amp;"Times,Regular"&amp;22-17-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5"/>
  <sheetViews>
    <sheetView zoomScale="75" zoomScaleNormal="75" workbookViewId="0"/>
  </sheetViews>
  <sheetFormatPr defaultColWidth="9.42578125" defaultRowHeight="20.25"/>
  <cols>
    <col min="1" max="2" width="9.42578125" style="1801" customWidth="1"/>
    <col min="3" max="3" width="1.42578125" style="1809" customWidth="1"/>
    <col min="4" max="4" width="2.5703125" style="2350" customWidth="1"/>
    <col min="5" max="5" width="5.140625" style="2350" customWidth="1"/>
    <col min="6" max="6" width="9.42578125" style="2350" customWidth="1"/>
    <col min="7" max="7" width="9.42578125" style="1174" customWidth="1"/>
    <col min="8" max="8" width="54.85546875" style="1174" customWidth="1"/>
    <col min="9" max="17" width="13" style="1174" customWidth="1"/>
    <col min="18" max="19" width="13" style="2351" customWidth="1"/>
    <col min="20" max="20" width="13" style="2351" bestFit="1" customWidth="1"/>
    <col min="21" max="21" width="13.5703125" style="1174" customWidth="1"/>
    <col min="22" max="22" width="13.28515625" style="1174" customWidth="1"/>
    <col min="23" max="23" width="12.7109375" style="1174" customWidth="1"/>
    <col min="24" max="24" width="12.5703125" style="1174" customWidth="1"/>
    <col min="25" max="28" width="13.140625" style="1174" customWidth="1"/>
    <col min="29" max="29" width="13.42578125" style="1174" customWidth="1"/>
    <col min="30" max="31" width="14.7109375" style="1174" bestFit="1" customWidth="1"/>
    <col min="32" max="32" width="14.85546875" style="1174" customWidth="1"/>
    <col min="33" max="34" width="16.5703125" style="1174" customWidth="1"/>
    <col min="35" max="35" width="12.5703125" style="1174" customWidth="1"/>
    <col min="36" max="36" width="16.5703125" style="1174" hidden="1" customWidth="1"/>
    <col min="37" max="37" width="48.42578125" style="1190" customWidth="1"/>
    <col min="38" max="38" width="21.140625" style="2352" customWidth="1"/>
    <col min="39" max="39" width="8.85546875" style="2351" customWidth="1"/>
    <col min="40" max="40" width="9.28515625" style="1174" customWidth="1"/>
    <col min="41" max="41" width="2.140625" style="1174" customWidth="1"/>
    <col min="42" max="16384" width="9.42578125" style="1174"/>
  </cols>
  <sheetData>
    <row r="1" spans="1:41" ht="28.35" customHeight="1">
      <c r="AO1" s="1174" t="s">
        <v>8</v>
      </c>
    </row>
    <row r="2" spans="1:41" ht="28.35" customHeight="1"/>
    <row r="3" spans="1:41" s="1845" customFormat="1" ht="28.35" customHeight="1">
      <c r="A3" s="1846"/>
      <c r="B3" s="1846"/>
      <c r="C3" s="4771" t="s">
        <v>541</v>
      </c>
      <c r="D3" s="4771"/>
      <c r="E3" s="4771"/>
      <c r="F3" s="4771"/>
      <c r="G3" s="4771"/>
      <c r="H3" s="4771"/>
      <c r="I3" s="4771"/>
      <c r="J3" s="4771"/>
      <c r="K3" s="4771"/>
      <c r="L3" s="4771"/>
      <c r="M3" s="4771"/>
      <c r="N3" s="4771"/>
      <c r="O3" s="4771"/>
      <c r="P3" s="4771"/>
      <c r="Q3" s="4771"/>
      <c r="R3" s="4771"/>
      <c r="S3" s="4771"/>
      <c r="T3" s="4771"/>
      <c r="U3" s="4771"/>
      <c r="V3" s="4771"/>
      <c r="W3" s="4771"/>
      <c r="X3" s="4771"/>
      <c r="Y3" s="4771" t="s">
        <v>542</v>
      </c>
      <c r="Z3" s="4771"/>
      <c r="AA3" s="4771"/>
      <c r="AB3" s="4771"/>
      <c r="AC3" s="4771"/>
      <c r="AD3" s="4771"/>
      <c r="AE3" s="4771"/>
      <c r="AF3" s="4771"/>
      <c r="AG3" s="4771"/>
      <c r="AH3" s="4771"/>
      <c r="AI3" s="4771"/>
      <c r="AJ3" s="4771"/>
      <c r="AK3" s="4771"/>
      <c r="AL3" s="4771"/>
      <c r="AM3" s="4771"/>
      <c r="AN3" s="4771"/>
      <c r="AO3" s="4771"/>
    </row>
    <row r="4" spans="1:41" s="2354" customFormat="1" ht="28.35" customHeight="1">
      <c r="A4" s="2353"/>
      <c r="B4" s="2353"/>
      <c r="C4" s="4772" t="s">
        <v>543</v>
      </c>
      <c r="D4" s="4772"/>
      <c r="E4" s="4772"/>
      <c r="F4" s="4772"/>
      <c r="G4" s="4772"/>
      <c r="H4" s="4772"/>
      <c r="I4" s="4772"/>
      <c r="J4" s="4772"/>
      <c r="K4" s="4772"/>
      <c r="L4" s="4772"/>
      <c r="M4" s="4772"/>
      <c r="N4" s="4772"/>
      <c r="O4" s="4772"/>
      <c r="P4" s="4772"/>
      <c r="Q4" s="4772"/>
      <c r="R4" s="4772"/>
      <c r="S4" s="4772"/>
      <c r="T4" s="4772"/>
      <c r="U4" s="4772"/>
      <c r="V4" s="4772"/>
      <c r="W4" s="4772"/>
      <c r="X4" s="4772"/>
      <c r="Y4" s="4772" t="s">
        <v>544</v>
      </c>
      <c r="Z4" s="4772"/>
      <c r="AA4" s="4772"/>
      <c r="AB4" s="4772"/>
      <c r="AC4" s="4772"/>
      <c r="AD4" s="4772"/>
      <c r="AE4" s="4772"/>
      <c r="AF4" s="4772"/>
      <c r="AG4" s="4772"/>
      <c r="AH4" s="4772"/>
      <c r="AI4" s="4772"/>
      <c r="AJ4" s="4772"/>
      <c r="AK4" s="4772"/>
      <c r="AL4" s="4772"/>
      <c r="AM4" s="4772"/>
      <c r="AN4" s="4772"/>
      <c r="AO4" s="4772"/>
    </row>
    <row r="5" spans="1:41" s="2362" customFormat="1" ht="17.100000000000001" customHeight="1">
      <c r="A5" s="2355"/>
      <c r="B5" s="2355"/>
      <c r="C5" s="2356" t="s">
        <v>545</v>
      </c>
      <c r="D5" s="2357"/>
      <c r="E5" s="2358"/>
      <c r="F5" s="2358"/>
      <c r="G5" s="2359"/>
      <c r="H5" s="1175"/>
      <c r="I5" s="1175"/>
      <c r="J5" s="1175"/>
      <c r="K5" s="1175"/>
      <c r="L5" s="1175"/>
      <c r="M5" s="1175"/>
      <c r="N5" s="1175"/>
      <c r="O5" s="1175"/>
      <c r="P5" s="1175"/>
      <c r="Q5" s="1175"/>
      <c r="R5" s="2360"/>
      <c r="S5" s="2360"/>
      <c r="T5" s="2360"/>
      <c r="U5" s="1175"/>
      <c r="V5" s="1175"/>
      <c r="W5" s="1175"/>
      <c r="X5" s="1175"/>
      <c r="Y5" s="1175"/>
      <c r="Z5" s="1175"/>
      <c r="AA5" s="1175"/>
      <c r="AB5" s="1175"/>
      <c r="AC5" s="2359"/>
      <c r="AD5" s="2359"/>
      <c r="AE5" s="2359"/>
      <c r="AF5" s="2359"/>
      <c r="AG5" s="2359"/>
      <c r="AH5" s="2359"/>
      <c r="AI5" s="2359"/>
      <c r="AJ5" s="2359"/>
      <c r="AK5" s="1175"/>
      <c r="AL5" s="2360"/>
      <c r="AM5" s="2360"/>
      <c r="AN5" s="1185"/>
      <c r="AO5" s="2361" t="s">
        <v>546</v>
      </c>
    </row>
    <row r="6" spans="1:41" s="2362" customFormat="1" ht="4.3499999999999996" customHeight="1">
      <c r="A6" s="2355"/>
      <c r="B6" s="2355"/>
      <c r="C6" s="2363"/>
      <c r="D6" s="2357"/>
      <c r="E6" s="2358"/>
      <c r="F6" s="2358"/>
      <c r="G6" s="2359"/>
      <c r="H6" s="1175"/>
      <c r="I6" s="1175"/>
      <c r="J6" s="1175"/>
      <c r="K6" s="1175"/>
      <c r="L6" s="1175"/>
      <c r="M6" s="1175"/>
      <c r="N6" s="1175"/>
      <c r="O6" s="1175"/>
      <c r="P6" s="1175"/>
      <c r="Q6" s="1175"/>
      <c r="R6" s="2360"/>
      <c r="S6" s="2360"/>
      <c r="T6" s="2360"/>
      <c r="U6" s="1175"/>
      <c r="V6" s="1175"/>
      <c r="W6" s="1175"/>
      <c r="X6" s="1175"/>
      <c r="Y6" s="1175"/>
      <c r="Z6" s="1175"/>
      <c r="AA6" s="1175"/>
      <c r="AB6" s="1175"/>
      <c r="AC6" s="1175"/>
      <c r="AD6" s="2359"/>
      <c r="AE6" s="2364"/>
      <c r="AF6" s="2359"/>
      <c r="AG6" s="2359"/>
      <c r="AH6" s="2359"/>
      <c r="AI6" s="2359"/>
      <c r="AJ6" s="2359"/>
      <c r="AK6" s="1175"/>
      <c r="AL6" s="2360"/>
      <c r="AM6" s="2360"/>
      <c r="AN6" s="1185"/>
      <c r="AO6" s="2365"/>
    </row>
    <row r="7" spans="1:41" s="2366" customFormat="1" ht="28.35" customHeight="1">
      <c r="C7" s="4773" t="s">
        <v>547</v>
      </c>
      <c r="D7" s="4671"/>
      <c r="E7" s="4671"/>
      <c r="F7" s="4671"/>
      <c r="G7" s="4671"/>
      <c r="H7" s="4686"/>
      <c r="I7" s="4165"/>
      <c r="J7" s="4165"/>
      <c r="K7" s="4165"/>
      <c r="L7" s="4165"/>
      <c r="M7" s="4165"/>
      <c r="N7" s="4165"/>
      <c r="O7" s="4165"/>
      <c r="P7" s="4767">
        <v>2013</v>
      </c>
      <c r="Q7" s="4767">
        <v>2012</v>
      </c>
      <c r="R7" s="4767">
        <v>2011</v>
      </c>
      <c r="S7" s="4767">
        <v>2010</v>
      </c>
      <c r="T7" s="4767">
        <v>2009</v>
      </c>
      <c r="U7" s="4767">
        <v>2008</v>
      </c>
      <c r="V7" s="4767">
        <v>2007</v>
      </c>
      <c r="W7" s="4767">
        <v>2006</v>
      </c>
      <c r="X7" s="4770">
        <v>2005</v>
      </c>
      <c r="Y7" s="4686">
        <v>2004</v>
      </c>
      <c r="Z7" s="4686">
        <v>2003</v>
      </c>
      <c r="AA7" s="4767">
        <v>2002</v>
      </c>
      <c r="AB7" s="4767">
        <v>2001</v>
      </c>
      <c r="AC7" s="4767">
        <v>2000</v>
      </c>
      <c r="AD7" s="4767">
        <v>1999</v>
      </c>
      <c r="AE7" s="4767">
        <v>1998</v>
      </c>
      <c r="AF7" s="4767">
        <v>1997</v>
      </c>
      <c r="AG7" s="4767">
        <v>1996</v>
      </c>
      <c r="AH7" s="4767">
        <v>1995</v>
      </c>
      <c r="AI7" s="4767">
        <v>1994</v>
      </c>
      <c r="AJ7" s="4671">
        <v>1993</v>
      </c>
      <c r="AK7" s="4671" t="s">
        <v>548</v>
      </c>
      <c r="AL7" s="4671"/>
      <c r="AM7" s="4671"/>
      <c r="AN7" s="4671"/>
      <c r="AO7" s="4776"/>
    </row>
    <row r="8" spans="1:41" s="2366" customFormat="1" ht="28.35" customHeight="1">
      <c r="C8" s="4774"/>
      <c r="D8" s="4672"/>
      <c r="E8" s="4672"/>
      <c r="F8" s="4672"/>
      <c r="G8" s="4672"/>
      <c r="H8" s="4685"/>
      <c r="I8" s="4167"/>
      <c r="J8" s="4167"/>
      <c r="K8" s="4167"/>
      <c r="L8" s="4167"/>
      <c r="M8" s="4167"/>
      <c r="N8" s="4167"/>
      <c r="O8" s="4167"/>
      <c r="P8" s="4682"/>
      <c r="Q8" s="4682"/>
      <c r="R8" s="4682"/>
      <c r="S8" s="4682"/>
      <c r="T8" s="4682"/>
      <c r="U8" s="4682"/>
      <c r="V8" s="4682"/>
      <c r="W8" s="4682"/>
      <c r="X8" s="4683"/>
      <c r="Y8" s="4685"/>
      <c r="Z8" s="4685"/>
      <c r="AA8" s="4682"/>
      <c r="AB8" s="4682"/>
      <c r="AC8" s="4682"/>
      <c r="AD8" s="4682"/>
      <c r="AE8" s="4682"/>
      <c r="AF8" s="4682"/>
      <c r="AG8" s="4682"/>
      <c r="AH8" s="4682"/>
      <c r="AI8" s="4682"/>
      <c r="AJ8" s="4672"/>
      <c r="AK8" s="4672"/>
      <c r="AL8" s="4672"/>
      <c r="AM8" s="4672"/>
      <c r="AN8" s="4672"/>
      <c r="AO8" s="4752"/>
    </row>
    <row r="9" spans="1:41" s="2366" customFormat="1" ht="28.35" customHeight="1">
      <c r="C9" s="4774"/>
      <c r="D9" s="4672"/>
      <c r="E9" s="4672"/>
      <c r="F9" s="4672"/>
      <c r="G9" s="4672"/>
      <c r="H9" s="4685"/>
      <c r="I9" s="4167"/>
      <c r="J9" s="4167"/>
      <c r="K9" s="4167"/>
      <c r="L9" s="4167"/>
      <c r="M9" s="4167"/>
      <c r="N9" s="4167"/>
      <c r="O9" s="4167"/>
      <c r="P9" s="4682"/>
      <c r="Q9" s="4682"/>
      <c r="R9" s="4682"/>
      <c r="S9" s="4682"/>
      <c r="T9" s="4682"/>
      <c r="U9" s="4682"/>
      <c r="V9" s="4682"/>
      <c r="W9" s="4682"/>
      <c r="X9" s="4683"/>
      <c r="Y9" s="4685"/>
      <c r="Z9" s="4685"/>
      <c r="AA9" s="4682"/>
      <c r="AB9" s="4682"/>
      <c r="AC9" s="4682"/>
      <c r="AD9" s="4682"/>
      <c r="AE9" s="4682"/>
      <c r="AF9" s="4682"/>
      <c r="AG9" s="4682"/>
      <c r="AH9" s="4682"/>
      <c r="AI9" s="4682"/>
      <c r="AJ9" s="4672"/>
      <c r="AK9" s="4672"/>
      <c r="AL9" s="4672"/>
      <c r="AM9" s="4672"/>
      <c r="AN9" s="4672"/>
      <c r="AO9" s="4752"/>
    </row>
    <row r="10" spans="1:41" s="2366" customFormat="1" ht="28.35" customHeight="1">
      <c r="C10" s="4774"/>
      <c r="D10" s="4672"/>
      <c r="E10" s="4672"/>
      <c r="F10" s="4672"/>
      <c r="G10" s="4672"/>
      <c r="H10" s="4685"/>
      <c r="I10" s="4167"/>
      <c r="J10" s="4167"/>
      <c r="K10" s="4167"/>
      <c r="L10" s="4167"/>
      <c r="M10" s="4167"/>
      <c r="N10" s="4167"/>
      <c r="O10" s="4167"/>
      <c r="P10" s="4682"/>
      <c r="Q10" s="4682"/>
      <c r="R10" s="4682"/>
      <c r="S10" s="4682"/>
      <c r="T10" s="4682"/>
      <c r="U10" s="4682"/>
      <c r="V10" s="4682"/>
      <c r="W10" s="4682"/>
      <c r="X10" s="4683"/>
      <c r="Y10" s="4685"/>
      <c r="Z10" s="4685"/>
      <c r="AA10" s="4682"/>
      <c r="AB10" s="4682"/>
      <c r="AC10" s="4682"/>
      <c r="AD10" s="4682"/>
      <c r="AE10" s="4682"/>
      <c r="AF10" s="4682"/>
      <c r="AG10" s="4682"/>
      <c r="AH10" s="4682"/>
      <c r="AI10" s="4682"/>
      <c r="AJ10" s="4672"/>
      <c r="AK10" s="4672"/>
      <c r="AL10" s="4672"/>
      <c r="AM10" s="4672"/>
      <c r="AN10" s="4672"/>
      <c r="AO10" s="4752"/>
    </row>
    <row r="11" spans="1:41" s="2366" customFormat="1" ht="28.35" customHeight="1">
      <c r="C11" s="4774"/>
      <c r="D11" s="4672"/>
      <c r="E11" s="4672"/>
      <c r="F11" s="4672"/>
      <c r="G11" s="4672"/>
      <c r="H11" s="4685"/>
      <c r="I11" s="4167">
        <v>2020</v>
      </c>
      <c r="J11" s="4167">
        <v>2019</v>
      </c>
      <c r="K11" s="4167">
        <v>2018</v>
      </c>
      <c r="L11" s="4167">
        <v>2017</v>
      </c>
      <c r="M11" s="4167">
        <v>2016</v>
      </c>
      <c r="N11" s="4167">
        <v>2015</v>
      </c>
      <c r="O11" s="4167">
        <v>2014</v>
      </c>
      <c r="P11" s="4682"/>
      <c r="Q11" s="4682"/>
      <c r="R11" s="4682"/>
      <c r="S11" s="4682"/>
      <c r="T11" s="4682"/>
      <c r="U11" s="4682"/>
      <c r="V11" s="4682"/>
      <c r="W11" s="4682"/>
      <c r="X11" s="4683"/>
      <c r="Y11" s="4685"/>
      <c r="Z11" s="4685"/>
      <c r="AA11" s="4682"/>
      <c r="AB11" s="4682"/>
      <c r="AC11" s="4682"/>
      <c r="AD11" s="4682"/>
      <c r="AE11" s="4682"/>
      <c r="AF11" s="4682"/>
      <c r="AG11" s="4682"/>
      <c r="AH11" s="4682"/>
      <c r="AI11" s="4682"/>
      <c r="AJ11" s="4672"/>
      <c r="AK11" s="4672"/>
      <c r="AL11" s="4672"/>
      <c r="AM11" s="4672"/>
      <c r="AN11" s="4672"/>
      <c r="AO11" s="4752"/>
    </row>
    <row r="12" spans="1:41" s="2366" customFormat="1" ht="28.35" customHeight="1">
      <c r="C12" s="4774"/>
      <c r="D12" s="4672"/>
      <c r="E12" s="4672"/>
      <c r="F12" s="4672"/>
      <c r="G12" s="4672"/>
      <c r="H12" s="4685"/>
      <c r="I12" s="4167"/>
      <c r="J12" s="4167"/>
      <c r="K12" s="4167"/>
      <c r="L12" s="4167"/>
      <c r="M12" s="4167"/>
      <c r="N12" s="4167"/>
      <c r="O12" s="4167"/>
      <c r="P12" s="4682"/>
      <c r="Q12" s="4682"/>
      <c r="R12" s="4682"/>
      <c r="S12" s="4682"/>
      <c r="T12" s="4682"/>
      <c r="U12" s="4682"/>
      <c r="V12" s="4682"/>
      <c r="W12" s="4682"/>
      <c r="X12" s="4683"/>
      <c r="Y12" s="4685"/>
      <c r="Z12" s="4685"/>
      <c r="AA12" s="4682"/>
      <c r="AB12" s="4682"/>
      <c r="AC12" s="4682"/>
      <c r="AD12" s="4682"/>
      <c r="AE12" s="4682"/>
      <c r="AF12" s="4682"/>
      <c r="AG12" s="4682"/>
      <c r="AH12" s="4682"/>
      <c r="AI12" s="4682"/>
      <c r="AJ12" s="4672"/>
      <c r="AK12" s="4672"/>
      <c r="AL12" s="4672"/>
      <c r="AM12" s="4672"/>
      <c r="AN12" s="4672"/>
      <c r="AO12" s="4752"/>
    </row>
    <row r="13" spans="1:41" s="2366" customFormat="1" ht="28.35" customHeight="1">
      <c r="C13" s="4774"/>
      <c r="D13" s="4672"/>
      <c r="E13" s="4672"/>
      <c r="F13" s="4672"/>
      <c r="G13" s="4672"/>
      <c r="H13" s="4685"/>
      <c r="I13" s="4167"/>
      <c r="J13" s="4167"/>
      <c r="K13" s="4167"/>
      <c r="L13" s="4167"/>
      <c r="M13" s="4167"/>
      <c r="N13" s="4167"/>
      <c r="O13" s="4167"/>
      <c r="P13" s="4682"/>
      <c r="Q13" s="4682"/>
      <c r="R13" s="4682"/>
      <c r="S13" s="4682"/>
      <c r="T13" s="4682"/>
      <c r="U13" s="4682"/>
      <c r="V13" s="4682"/>
      <c r="W13" s="4682"/>
      <c r="X13" s="4683"/>
      <c r="Y13" s="4685"/>
      <c r="Z13" s="4685"/>
      <c r="AA13" s="4682"/>
      <c r="AB13" s="4682"/>
      <c r="AC13" s="4682"/>
      <c r="AD13" s="4682"/>
      <c r="AE13" s="4682"/>
      <c r="AF13" s="4682"/>
      <c r="AG13" s="4682"/>
      <c r="AH13" s="4682"/>
      <c r="AI13" s="4682"/>
      <c r="AJ13" s="4672"/>
      <c r="AK13" s="4672"/>
      <c r="AL13" s="4672"/>
      <c r="AM13" s="4672"/>
      <c r="AN13" s="4672"/>
      <c r="AO13" s="4752"/>
    </row>
    <row r="14" spans="1:41" s="2366" customFormat="1" ht="28.35" customHeight="1">
      <c r="C14" s="4774"/>
      <c r="D14" s="4672"/>
      <c r="E14" s="4672"/>
      <c r="F14" s="4672"/>
      <c r="G14" s="4672"/>
      <c r="H14" s="4685"/>
      <c r="I14" s="4167"/>
      <c r="J14" s="4167"/>
      <c r="K14" s="4167"/>
      <c r="L14" s="4167"/>
      <c r="M14" s="4167"/>
      <c r="N14" s="4167"/>
      <c r="O14" s="4167"/>
      <c r="P14" s="4682"/>
      <c r="Q14" s="4682"/>
      <c r="R14" s="4682"/>
      <c r="S14" s="4682"/>
      <c r="T14" s="4682"/>
      <c r="U14" s="4682"/>
      <c r="V14" s="4682"/>
      <c r="W14" s="4682"/>
      <c r="X14" s="4683"/>
      <c r="Y14" s="4685"/>
      <c r="Z14" s="4685"/>
      <c r="AA14" s="4682"/>
      <c r="AB14" s="4682"/>
      <c r="AC14" s="4682"/>
      <c r="AD14" s="4682"/>
      <c r="AE14" s="4682"/>
      <c r="AF14" s="4682"/>
      <c r="AG14" s="4682"/>
      <c r="AH14" s="4682"/>
      <c r="AI14" s="4682"/>
      <c r="AJ14" s="4672"/>
      <c r="AK14" s="4672"/>
      <c r="AL14" s="4672"/>
      <c r="AM14" s="4672"/>
      <c r="AN14" s="4672"/>
      <c r="AO14" s="4752"/>
    </row>
    <row r="15" spans="1:41" s="2369" customFormat="1" ht="28.35" customHeight="1">
      <c r="A15" s="2368"/>
      <c r="B15" s="2368"/>
      <c r="C15" s="4775"/>
      <c r="D15" s="4624"/>
      <c r="E15" s="4624"/>
      <c r="F15" s="4624"/>
      <c r="G15" s="4624"/>
      <c r="H15" s="4679"/>
      <c r="I15" s="4168"/>
      <c r="J15" s="4168"/>
      <c r="K15" s="4168"/>
      <c r="L15" s="4168"/>
      <c r="M15" s="4168"/>
      <c r="N15" s="4168"/>
      <c r="O15" s="4168"/>
      <c r="P15" s="4769"/>
      <c r="Q15" s="4769"/>
      <c r="R15" s="4769"/>
      <c r="S15" s="4769"/>
      <c r="T15" s="4769"/>
      <c r="U15" s="4769"/>
      <c r="V15" s="4769"/>
      <c r="W15" s="4769"/>
      <c r="X15" s="4623"/>
      <c r="Y15" s="4679"/>
      <c r="Z15" s="4779"/>
      <c r="AA15" s="4768"/>
      <c r="AB15" s="4768"/>
      <c r="AC15" s="4768"/>
      <c r="AD15" s="4768"/>
      <c r="AE15" s="4768"/>
      <c r="AF15" s="4768"/>
      <c r="AG15" s="4768"/>
      <c r="AH15" s="4768"/>
      <c r="AI15" s="4768"/>
      <c r="AJ15" s="4777"/>
      <c r="AK15" s="4777"/>
      <c r="AL15" s="4777"/>
      <c r="AM15" s="4777"/>
      <c r="AN15" s="4777"/>
      <c r="AO15" s="4778"/>
    </row>
    <row r="16" spans="1:41" ht="5.25" customHeight="1">
      <c r="C16" s="2370"/>
      <c r="D16" s="2371"/>
      <c r="E16" s="2372"/>
      <c r="F16" s="2372"/>
      <c r="G16" s="2373"/>
      <c r="H16" s="1176"/>
      <c r="I16" s="1176"/>
      <c r="J16" s="1176"/>
      <c r="K16" s="1176"/>
      <c r="L16" s="1176"/>
      <c r="M16" s="1176"/>
      <c r="N16" s="1176"/>
      <c r="O16" s="1176"/>
      <c r="P16" s="1573"/>
      <c r="Q16" s="1176"/>
      <c r="R16" s="1574"/>
      <c r="S16" s="1574"/>
      <c r="T16" s="1574"/>
      <c r="U16" s="1176"/>
      <c r="V16" s="1176"/>
      <c r="W16" s="1176"/>
      <c r="X16" s="1176"/>
      <c r="Y16" s="2083"/>
      <c r="Z16" s="1176"/>
      <c r="AA16" s="1176"/>
      <c r="AB16" s="1176"/>
      <c r="AC16" s="1176"/>
      <c r="AD16" s="2373"/>
      <c r="AE16" s="2374"/>
      <c r="AF16" s="2374"/>
      <c r="AG16" s="2374"/>
      <c r="AH16" s="2374"/>
      <c r="AI16" s="2375"/>
      <c r="AJ16" s="2374"/>
      <c r="AK16" s="2376"/>
      <c r="AL16" s="2276"/>
      <c r="AM16" s="2377"/>
      <c r="AN16" s="2378"/>
      <c r="AO16" s="2379"/>
    </row>
    <row r="17" spans="1:43" s="1986" customFormat="1" ht="40.5" customHeight="1">
      <c r="A17" s="1999"/>
      <c r="B17" s="1999"/>
      <c r="C17" s="2380"/>
      <c r="D17" s="2381" t="s">
        <v>549</v>
      </c>
      <c r="E17" s="2382"/>
      <c r="F17" s="2382"/>
      <c r="G17" s="2383"/>
      <c r="H17" s="1554"/>
      <c r="I17" s="1177"/>
      <c r="J17" s="1177"/>
      <c r="K17" s="1177"/>
      <c r="L17" s="1177"/>
      <c r="M17" s="1177"/>
      <c r="N17" s="1177"/>
      <c r="O17" s="1177"/>
      <c r="P17" s="1177"/>
      <c r="Q17" s="1554"/>
      <c r="R17" s="1173"/>
      <c r="S17" s="1173"/>
      <c r="T17" s="1173"/>
      <c r="U17" s="1173"/>
      <c r="V17" s="1173"/>
      <c r="W17" s="1173"/>
      <c r="X17" s="1173"/>
      <c r="Y17" s="1173"/>
      <c r="Z17" s="1173"/>
      <c r="AA17" s="1173"/>
      <c r="AB17" s="1173"/>
      <c r="AC17" s="1173"/>
      <c r="AD17" s="2384"/>
      <c r="AE17" s="2384"/>
      <c r="AF17" s="2384"/>
      <c r="AG17" s="2384"/>
      <c r="AH17" s="2384"/>
      <c r="AI17" s="2385"/>
      <c r="AJ17" s="2384"/>
      <c r="AK17" s="2386"/>
      <c r="AL17" s="1173"/>
      <c r="AM17" s="1173"/>
      <c r="AN17" s="2387" t="s">
        <v>550</v>
      </c>
      <c r="AO17" s="2388"/>
      <c r="AP17" s="2389"/>
      <c r="AQ17" s="2389"/>
    </row>
    <row r="18" spans="1:43" s="2399" customFormat="1" ht="40.5" customHeight="1">
      <c r="A18" s="2390"/>
      <c r="B18" s="2390"/>
      <c r="C18" s="2391"/>
      <c r="D18" s="2392"/>
      <c r="E18" s="2392" t="s">
        <v>315</v>
      </c>
      <c r="F18" s="2392"/>
      <c r="G18" s="1163"/>
      <c r="H18" s="1575"/>
      <c r="I18" s="1178"/>
      <c r="J18" s="1178"/>
      <c r="K18" s="1178"/>
      <c r="L18" s="1178"/>
      <c r="M18" s="1178"/>
      <c r="N18" s="1178"/>
      <c r="O18" s="1178"/>
      <c r="P18" s="1178"/>
      <c r="Q18" s="1575"/>
      <c r="R18" s="1576"/>
      <c r="S18" s="1576"/>
      <c r="T18" s="1576"/>
      <c r="U18" s="1576"/>
      <c r="V18" s="1576"/>
      <c r="W18" s="1576"/>
      <c r="X18" s="1576"/>
      <c r="Y18" s="1576"/>
      <c r="Z18" s="1576"/>
      <c r="AA18" s="1576"/>
      <c r="AB18" s="1576"/>
      <c r="AC18" s="1576"/>
      <c r="AD18" s="2393"/>
      <c r="AE18" s="2394"/>
      <c r="AF18" s="2394"/>
      <c r="AG18" s="2394"/>
      <c r="AH18" s="2394"/>
      <c r="AI18" s="2395"/>
      <c r="AJ18" s="2394"/>
      <c r="AK18" s="2396"/>
      <c r="AL18" s="1527"/>
      <c r="AM18" s="2397"/>
      <c r="AN18" s="1576" t="s">
        <v>551</v>
      </c>
      <c r="AO18" s="2398"/>
    </row>
    <row r="19" spans="1:43" s="1986" customFormat="1" ht="40.5" customHeight="1">
      <c r="A19" s="1999"/>
      <c r="B19" s="3298"/>
      <c r="C19" s="2380"/>
      <c r="D19" s="2381"/>
      <c r="E19" s="2382" t="s">
        <v>552</v>
      </c>
      <c r="F19" s="2382" t="s">
        <v>553</v>
      </c>
      <c r="G19" s="2383"/>
      <c r="H19" s="1554"/>
      <c r="I19" s="4175">
        <v>1974403.5789999999</v>
      </c>
      <c r="J19" s="4175">
        <v>1406326.6540000001</v>
      </c>
      <c r="K19" s="4175">
        <v>1435959.754</v>
      </c>
      <c r="L19" s="4175">
        <v>1595589</v>
      </c>
      <c r="M19" s="4175">
        <v>1325216.7550000001</v>
      </c>
      <c r="N19" s="4175">
        <v>1325270</v>
      </c>
      <c r="O19" s="4175">
        <v>620456</v>
      </c>
      <c r="P19" s="4175">
        <v>500363</v>
      </c>
      <c r="Q19" s="4163">
        <v>445363</v>
      </c>
      <c r="R19" s="4163">
        <v>410363</v>
      </c>
      <c r="S19" s="4163">
        <v>410363</v>
      </c>
      <c r="T19" s="4163">
        <v>410363</v>
      </c>
      <c r="U19" s="4163">
        <v>410262</v>
      </c>
      <c r="V19" s="4163">
        <v>459257</v>
      </c>
      <c r="W19" s="4163">
        <v>409257</v>
      </c>
      <c r="X19" s="4163">
        <v>411018</v>
      </c>
      <c r="Y19" s="4163">
        <v>411018</v>
      </c>
      <c r="Z19" s="4163">
        <v>410967</v>
      </c>
      <c r="AA19" s="4163">
        <v>409898</v>
      </c>
      <c r="AB19" s="4163">
        <v>404961</v>
      </c>
      <c r="AC19" s="4163">
        <v>400871</v>
      </c>
      <c r="AD19" s="1757">
        <v>485585</v>
      </c>
      <c r="AE19" s="1757">
        <v>826539</v>
      </c>
      <c r="AF19" s="1757">
        <v>811981</v>
      </c>
      <c r="AG19" s="1757">
        <v>799887</v>
      </c>
      <c r="AH19" s="1757">
        <v>792611</v>
      </c>
      <c r="AI19" s="4324">
        <v>793946</v>
      </c>
      <c r="AJ19" s="2384">
        <v>791862</v>
      </c>
      <c r="AK19" s="2386"/>
      <c r="AL19" s="1173" t="s">
        <v>554</v>
      </c>
      <c r="AM19" s="1173"/>
      <c r="AN19" s="1173" t="s">
        <v>552</v>
      </c>
      <c r="AO19" s="1261"/>
    </row>
    <row r="20" spans="1:43" s="1986" customFormat="1" ht="40.5" customHeight="1">
      <c r="A20" s="1999"/>
      <c r="B20" s="1999"/>
      <c r="C20" s="2400"/>
      <c r="D20" s="2401"/>
      <c r="E20" s="2402" t="s">
        <v>555</v>
      </c>
      <c r="F20" s="2401" t="s">
        <v>556</v>
      </c>
      <c r="G20" s="2403"/>
      <c r="H20" s="1799"/>
      <c r="I20" s="1151">
        <v>2646</v>
      </c>
      <c r="J20" s="1151">
        <v>1519</v>
      </c>
      <c r="K20" s="1151">
        <v>1302.2</v>
      </c>
      <c r="L20" s="1151">
        <v>1473.7</v>
      </c>
      <c r="M20" s="1151">
        <v>1078.5</v>
      </c>
      <c r="N20" s="1151">
        <v>997.9</v>
      </c>
      <c r="O20" s="1151">
        <v>528</v>
      </c>
      <c r="P20" s="1151">
        <v>425.6</v>
      </c>
      <c r="Q20" s="1577">
        <v>524.6</v>
      </c>
      <c r="R20" s="1577">
        <v>452.1</v>
      </c>
      <c r="S20" s="1577">
        <v>411.5</v>
      </c>
      <c r="T20" s="1577">
        <v>319.39999999999998</v>
      </c>
      <c r="U20" s="4250">
        <v>252.8</v>
      </c>
      <c r="V20" s="4250">
        <v>274.39999999999998</v>
      </c>
      <c r="W20" s="4250">
        <v>182.3</v>
      </c>
      <c r="X20" s="4250">
        <v>150.5</v>
      </c>
      <c r="Y20" s="4250">
        <v>127.3</v>
      </c>
      <c r="Z20" s="4250">
        <v>121.5</v>
      </c>
      <c r="AA20" s="1577">
        <v>100.1</v>
      </c>
      <c r="AB20" s="1577">
        <v>79.5</v>
      </c>
      <c r="AC20" s="1577">
        <v>70.3</v>
      </c>
      <c r="AD20" s="1577">
        <v>85.1</v>
      </c>
      <c r="AE20" s="4250">
        <v>144.80000000000001</v>
      </c>
      <c r="AF20" s="4250">
        <v>142.30000000000001</v>
      </c>
      <c r="AG20" s="4250">
        <v>140.19999999999999</v>
      </c>
      <c r="AH20" s="4250">
        <v>138.9</v>
      </c>
      <c r="AI20" s="2404">
        <v>139.1</v>
      </c>
      <c r="AJ20" s="2405">
        <v>70.3</v>
      </c>
      <c r="AK20" s="2396"/>
      <c r="AL20" s="1527" t="s">
        <v>557</v>
      </c>
      <c r="AM20" s="2397"/>
      <c r="AN20" s="2406" t="s">
        <v>555</v>
      </c>
      <c r="AO20" s="1518"/>
    </row>
    <row r="21" spans="1:43" s="2399" customFormat="1" ht="40.5" customHeight="1">
      <c r="A21" s="2390"/>
      <c r="B21" s="2390"/>
      <c r="C21" s="2380"/>
      <c r="D21" s="2381"/>
      <c r="E21" s="2381" t="s">
        <v>558</v>
      </c>
      <c r="F21" s="2382"/>
      <c r="G21" s="2383"/>
      <c r="H21" s="1554"/>
      <c r="I21" s="1141"/>
      <c r="J21" s="1141"/>
      <c r="K21" s="1141"/>
      <c r="L21" s="1141"/>
      <c r="M21" s="1141"/>
      <c r="N21" s="1141"/>
      <c r="O21" s="1141"/>
      <c r="P21" s="1141"/>
      <c r="Q21" s="4184"/>
      <c r="R21" s="4184"/>
      <c r="S21" s="4184"/>
      <c r="T21" s="4184"/>
      <c r="U21" s="4184"/>
      <c r="V21" s="4184"/>
      <c r="W21" s="4184"/>
      <c r="X21" s="4184"/>
      <c r="Y21" s="4184"/>
      <c r="Z21" s="4184"/>
      <c r="AA21" s="4184" t="s">
        <v>8</v>
      </c>
      <c r="AB21" s="4184"/>
      <c r="AC21" s="4184"/>
      <c r="AD21" s="4184" t="s">
        <v>559</v>
      </c>
      <c r="AE21" s="4184"/>
      <c r="AF21" s="4184"/>
      <c r="AG21" s="4184"/>
      <c r="AH21" s="4184"/>
      <c r="AI21" s="1172"/>
      <c r="AJ21" s="2384"/>
      <c r="AK21" s="2386"/>
      <c r="AL21" s="1173"/>
      <c r="AM21" s="1173"/>
      <c r="AN21" s="2387" t="s">
        <v>560</v>
      </c>
      <c r="AO21" s="2388"/>
      <c r="AP21" s="2389"/>
      <c r="AQ21" s="2389"/>
    </row>
    <row r="22" spans="1:43" s="1986" customFormat="1" ht="40.5" customHeight="1">
      <c r="A22" s="1999"/>
      <c r="B22" s="1999"/>
      <c r="C22" s="2407"/>
      <c r="D22" s="2408"/>
      <c r="E22" s="2409" t="s">
        <v>561</v>
      </c>
      <c r="F22" s="2356" t="s">
        <v>316</v>
      </c>
      <c r="G22" s="2410"/>
      <c r="H22" s="1799"/>
      <c r="I22" s="1151">
        <v>13.8</v>
      </c>
      <c r="J22" s="1151">
        <v>11.7</v>
      </c>
      <c r="K22" s="1151">
        <v>22.7</v>
      </c>
      <c r="L22" s="1151">
        <v>43.1</v>
      </c>
      <c r="M22" s="1151">
        <v>67.8</v>
      </c>
      <c r="N22" s="1151">
        <v>97.3</v>
      </c>
      <c r="O22" s="1151">
        <v>127.2</v>
      </c>
      <c r="P22" s="1151">
        <v>151.80000000000001</v>
      </c>
      <c r="Q22" s="1577">
        <v>156.6</v>
      </c>
      <c r="R22" s="1577">
        <v>160.5</v>
      </c>
      <c r="S22" s="1577">
        <v>159.69999999999999</v>
      </c>
      <c r="T22" s="1577">
        <v>162.80000000000001</v>
      </c>
      <c r="U22" s="4250">
        <v>2.6</v>
      </c>
      <c r="V22" s="4250">
        <v>1.8</v>
      </c>
      <c r="W22" s="4250">
        <v>1.1000000000000001</v>
      </c>
      <c r="X22" s="4250">
        <v>0.6</v>
      </c>
      <c r="Y22" s="4250">
        <v>1.3</v>
      </c>
      <c r="Z22" s="4250">
        <v>0.8</v>
      </c>
      <c r="AA22" s="1577">
        <v>0.7</v>
      </c>
      <c r="AB22" s="1577">
        <v>0.9</v>
      </c>
      <c r="AC22" s="1577">
        <v>0.5</v>
      </c>
      <c r="AD22" s="1577">
        <v>0.2</v>
      </c>
      <c r="AE22" s="4250">
        <v>0.6</v>
      </c>
      <c r="AF22" s="4250">
        <v>0.1</v>
      </c>
      <c r="AG22" s="4250">
        <v>0.6</v>
      </c>
      <c r="AH22" s="4250">
        <v>0.9</v>
      </c>
      <c r="AI22" s="2404">
        <v>0.5</v>
      </c>
      <c r="AJ22" s="2405">
        <v>4.8</v>
      </c>
      <c r="AK22" s="2396"/>
      <c r="AL22" s="1527" t="s">
        <v>562</v>
      </c>
      <c r="AM22" s="2397"/>
      <c r="AN22" s="2406" t="s">
        <v>561</v>
      </c>
      <c r="AO22" s="1518"/>
    </row>
    <row r="23" spans="1:43" s="1986" customFormat="1" ht="40.5" customHeight="1">
      <c r="A23" s="1999"/>
      <c r="B23" s="1999"/>
      <c r="C23" s="2380"/>
      <c r="D23" s="2381"/>
      <c r="E23" s="2382" t="s">
        <v>563</v>
      </c>
      <c r="F23" s="2382" t="s">
        <v>564</v>
      </c>
      <c r="G23" s="2383"/>
      <c r="H23" s="1554"/>
      <c r="I23" s="1141">
        <v>6573.6</v>
      </c>
      <c r="J23" s="1141">
        <v>5876.5</v>
      </c>
      <c r="K23" s="1141">
        <v>5429.4</v>
      </c>
      <c r="L23" s="1141">
        <v>4889.7</v>
      </c>
      <c r="M23" s="1141">
        <v>4851.3</v>
      </c>
      <c r="N23" s="1141">
        <v>4823.1000000000004</v>
      </c>
      <c r="O23" s="1141">
        <v>5892.1</v>
      </c>
      <c r="P23" s="1141">
        <v>4221.3</v>
      </c>
      <c r="Q23" s="4184">
        <v>2602.6</v>
      </c>
      <c r="R23" s="4184">
        <v>3609.2</v>
      </c>
      <c r="S23" s="4184">
        <v>4205.3</v>
      </c>
      <c r="T23" s="4184">
        <v>4007.6</v>
      </c>
      <c r="U23" s="4184">
        <v>1994</v>
      </c>
      <c r="V23" s="4184">
        <v>3786.7</v>
      </c>
      <c r="W23" s="4184">
        <v>3423</v>
      </c>
      <c r="X23" s="4184">
        <v>2317.1999999999998</v>
      </c>
      <c r="Y23" s="4184">
        <v>2437.6999999999998</v>
      </c>
      <c r="Z23" s="4184">
        <v>2080.8000000000002</v>
      </c>
      <c r="AA23" s="4184">
        <v>1637.6</v>
      </c>
      <c r="AB23" s="4184">
        <v>1326.1</v>
      </c>
      <c r="AC23" s="4184">
        <v>1990.2</v>
      </c>
      <c r="AD23" s="4184">
        <v>1789</v>
      </c>
      <c r="AE23" s="4184">
        <v>1176.8</v>
      </c>
      <c r="AF23" s="4184">
        <v>1501.5</v>
      </c>
      <c r="AG23" s="4184">
        <v>1182.8</v>
      </c>
      <c r="AH23" s="4184">
        <v>1085.5999999999999</v>
      </c>
      <c r="AI23" s="1172">
        <v>958.6</v>
      </c>
      <c r="AJ23" s="2384">
        <v>1018.4</v>
      </c>
      <c r="AK23" s="2386"/>
      <c r="AL23" s="1173" t="s">
        <v>565</v>
      </c>
      <c r="AM23" s="1173"/>
      <c r="AN23" s="1173" t="s">
        <v>563</v>
      </c>
      <c r="AO23" s="1261"/>
    </row>
    <row r="24" spans="1:43" s="1986" customFormat="1" ht="40.5" customHeight="1">
      <c r="A24" s="1999"/>
      <c r="B24" s="1999"/>
      <c r="C24" s="2400"/>
      <c r="D24" s="2401"/>
      <c r="E24" s="2402" t="s">
        <v>566</v>
      </c>
      <c r="F24" s="2401" t="s">
        <v>567</v>
      </c>
      <c r="G24" s="2403"/>
      <c r="H24" s="1799"/>
      <c r="I24" s="1151">
        <v>2791</v>
      </c>
      <c r="J24" s="1151">
        <v>3512.3</v>
      </c>
      <c r="K24" s="1151">
        <v>3580.4</v>
      </c>
      <c r="L24" s="1151">
        <v>4640.3999999999996</v>
      </c>
      <c r="M24" s="1151">
        <v>5020.3</v>
      </c>
      <c r="N24" s="1151">
        <v>5829.6</v>
      </c>
      <c r="O24" s="1151">
        <v>4828</v>
      </c>
      <c r="P24" s="1151">
        <v>5002.5</v>
      </c>
      <c r="Q24" s="1577">
        <v>2976.3</v>
      </c>
      <c r="R24" s="1577">
        <v>4374.3999999999996</v>
      </c>
      <c r="S24" s="1577">
        <v>4891.5</v>
      </c>
      <c r="T24" s="1577">
        <v>4116.7</v>
      </c>
      <c r="U24" s="4250">
        <v>4073.7</v>
      </c>
      <c r="V24" s="4250">
        <v>1558.7</v>
      </c>
      <c r="W24" s="4250">
        <v>1341.2</v>
      </c>
      <c r="X24" s="4250">
        <v>1394.3</v>
      </c>
      <c r="Y24" s="4250">
        <v>1295</v>
      </c>
      <c r="Z24" s="4250">
        <v>1601.1</v>
      </c>
      <c r="AA24" s="1577">
        <v>1180.7</v>
      </c>
      <c r="AB24" s="1577">
        <v>844.1</v>
      </c>
      <c r="AC24" s="1577">
        <v>371.2</v>
      </c>
      <c r="AD24" s="1577">
        <v>74.8</v>
      </c>
      <c r="AE24" s="4250">
        <v>63.7</v>
      </c>
      <c r="AF24" s="4250">
        <v>58.4</v>
      </c>
      <c r="AG24" s="4250">
        <v>63.9</v>
      </c>
      <c r="AH24" s="4250">
        <v>97.7</v>
      </c>
      <c r="AI24" s="2404">
        <v>162.19999999999999</v>
      </c>
      <c r="AJ24" s="2405">
        <v>130.4</v>
      </c>
      <c r="AK24" s="2411"/>
      <c r="AL24" s="1527" t="s">
        <v>568</v>
      </c>
      <c r="AM24" s="2397"/>
      <c r="AN24" s="2406" t="s">
        <v>566</v>
      </c>
      <c r="AO24" s="1518"/>
    </row>
    <row r="25" spans="1:43" s="1986" customFormat="1" ht="40.5" customHeight="1">
      <c r="A25" s="1999"/>
      <c r="B25" s="1999"/>
      <c r="C25" s="2380"/>
      <c r="D25" s="2382"/>
      <c r="E25" s="2381" t="s">
        <v>569</v>
      </c>
      <c r="F25" s="2382"/>
      <c r="G25" s="2383"/>
      <c r="H25" s="1554"/>
      <c r="I25" s="1141"/>
      <c r="J25" s="1141"/>
      <c r="K25" s="1141"/>
      <c r="L25" s="1141"/>
      <c r="M25" s="1141"/>
      <c r="N25" s="1141"/>
      <c r="O25" s="1141"/>
      <c r="P25" s="1141"/>
      <c r="Q25" s="4184"/>
      <c r="R25" s="4184"/>
      <c r="S25" s="4184"/>
      <c r="T25" s="4184"/>
      <c r="U25" s="4184"/>
      <c r="V25" s="4184"/>
      <c r="W25" s="4184"/>
      <c r="X25" s="4184"/>
      <c r="Y25" s="4184"/>
      <c r="Z25" s="4184"/>
      <c r="AA25" s="4184" t="s">
        <v>8</v>
      </c>
      <c r="AB25" s="4184"/>
      <c r="AC25" s="4184"/>
      <c r="AD25" s="4184" t="s">
        <v>559</v>
      </c>
      <c r="AE25" s="4184"/>
      <c r="AF25" s="4184"/>
      <c r="AG25" s="4184"/>
      <c r="AH25" s="4184"/>
      <c r="AI25" s="1172"/>
      <c r="AJ25" s="2384"/>
      <c r="AK25" s="2386"/>
      <c r="AL25" s="1173"/>
      <c r="AM25" s="1173"/>
      <c r="AN25" s="2387" t="s">
        <v>570</v>
      </c>
      <c r="AO25" s="2388"/>
      <c r="AP25" s="2389"/>
      <c r="AQ25" s="2389"/>
    </row>
    <row r="26" spans="1:43" s="1986" customFormat="1" ht="40.5" customHeight="1">
      <c r="A26" s="1999"/>
      <c r="B26" s="1999"/>
      <c r="C26" s="2407"/>
      <c r="D26" s="2408"/>
      <c r="E26" s="2356" t="s">
        <v>571</v>
      </c>
      <c r="F26" s="2397"/>
      <c r="G26" s="2410"/>
      <c r="H26" s="1799"/>
      <c r="I26" s="1151">
        <v>766.9</v>
      </c>
      <c r="J26" s="1151">
        <v>766.9</v>
      </c>
      <c r="K26" s="1151">
        <v>766.9</v>
      </c>
      <c r="L26" s="1151">
        <v>766.9</v>
      </c>
      <c r="M26" s="1151">
        <v>766.9</v>
      </c>
      <c r="N26" s="1151">
        <v>766.9</v>
      </c>
      <c r="O26" s="1151">
        <v>766.9</v>
      </c>
      <c r="P26" s="1151">
        <v>766.9</v>
      </c>
      <c r="Q26" s="1577">
        <v>766.9</v>
      </c>
      <c r="R26" s="1577">
        <v>766.9</v>
      </c>
      <c r="S26" s="1577">
        <v>766.9</v>
      </c>
      <c r="T26" s="1577">
        <v>766.9</v>
      </c>
      <c r="U26" s="4250">
        <v>766.9</v>
      </c>
      <c r="V26" s="4250">
        <v>766.9</v>
      </c>
      <c r="W26" s="4250">
        <v>766.9</v>
      </c>
      <c r="X26" s="4250">
        <v>766.9</v>
      </c>
      <c r="Y26" s="4250">
        <v>766.9</v>
      </c>
      <c r="Z26" s="4250">
        <v>766.9</v>
      </c>
      <c r="AA26" s="1577">
        <v>774.9</v>
      </c>
      <c r="AB26" s="1577">
        <v>813.6</v>
      </c>
      <c r="AC26" s="1577">
        <v>835.3</v>
      </c>
      <c r="AD26" s="1577">
        <v>940.4</v>
      </c>
      <c r="AE26" s="4250">
        <v>911.8</v>
      </c>
      <c r="AF26" s="4250">
        <v>854.9</v>
      </c>
      <c r="AG26" s="4250">
        <v>866.4</v>
      </c>
      <c r="AH26" s="4250">
        <v>862.1</v>
      </c>
      <c r="AI26" s="2404">
        <v>643.9</v>
      </c>
      <c r="AJ26" s="2405">
        <v>465.7</v>
      </c>
      <c r="AK26" s="2396"/>
      <c r="AL26" s="1527" t="s">
        <v>572</v>
      </c>
      <c r="AM26" s="2397"/>
      <c r="AN26" s="2406" t="s">
        <v>573</v>
      </c>
      <c r="AO26" s="1518"/>
    </row>
    <row r="27" spans="1:43" s="1986" customFormat="1" ht="40.5" customHeight="1">
      <c r="A27" s="1999"/>
      <c r="B27" s="1999"/>
      <c r="C27" s="2380"/>
      <c r="D27" s="2381"/>
      <c r="E27" s="2382" t="s">
        <v>574</v>
      </c>
      <c r="F27" s="2382"/>
      <c r="G27" s="2383"/>
      <c r="H27" s="1554"/>
      <c r="I27" s="1141">
        <v>407.6</v>
      </c>
      <c r="J27" s="1141">
        <v>382.6</v>
      </c>
      <c r="K27" s="1141">
        <v>375.1</v>
      </c>
      <c r="L27" s="1141">
        <v>358.1</v>
      </c>
      <c r="M27" s="1141">
        <v>330.7</v>
      </c>
      <c r="N27" s="1141">
        <v>315</v>
      </c>
      <c r="O27" s="1141">
        <v>300.8</v>
      </c>
      <c r="P27" s="1141">
        <v>303.8</v>
      </c>
      <c r="Q27" s="4184">
        <v>296</v>
      </c>
      <c r="R27" s="4184">
        <v>289.89999999999998</v>
      </c>
      <c r="S27" s="4184">
        <v>157.19999999999999</v>
      </c>
      <c r="T27" s="4184">
        <v>154.30000000000001</v>
      </c>
      <c r="U27" s="4184">
        <v>150.69999999999999</v>
      </c>
      <c r="V27" s="4184">
        <v>59</v>
      </c>
      <c r="W27" s="4184">
        <v>56.9</v>
      </c>
      <c r="X27" s="4184">
        <v>41.9</v>
      </c>
      <c r="Y27" s="4184">
        <v>40.4</v>
      </c>
      <c r="Z27" s="4184">
        <v>40.299999999999997</v>
      </c>
      <c r="AA27" s="4184">
        <v>40.299999999999997</v>
      </c>
      <c r="AB27" s="4184">
        <v>32.700000000000003</v>
      </c>
      <c r="AC27" s="4184">
        <v>32.1</v>
      </c>
      <c r="AD27" s="4184">
        <v>32</v>
      </c>
      <c r="AE27" s="4184">
        <v>31.8</v>
      </c>
      <c r="AF27" s="4184">
        <v>31.7</v>
      </c>
      <c r="AG27" s="4184">
        <v>31.6</v>
      </c>
      <c r="AH27" s="4184">
        <v>31.4</v>
      </c>
      <c r="AI27" s="1172">
        <v>30.8</v>
      </c>
      <c r="AJ27" s="2384">
        <v>30.6</v>
      </c>
      <c r="AK27" s="2386"/>
      <c r="AL27" s="1173" t="s">
        <v>575</v>
      </c>
      <c r="AM27" s="1173"/>
      <c r="AN27" s="1173" t="s">
        <v>576</v>
      </c>
      <c r="AO27" s="1261"/>
    </row>
    <row r="28" spans="1:43" s="1986" customFormat="1" ht="40.5" customHeight="1">
      <c r="A28" s="1999"/>
      <c r="B28" s="1999"/>
      <c r="C28" s="2412"/>
      <c r="D28" s="2413"/>
      <c r="E28" s="2414" t="s">
        <v>577</v>
      </c>
      <c r="F28" s="2415" t="s">
        <v>578</v>
      </c>
      <c r="G28" s="2416"/>
      <c r="H28" s="2417"/>
      <c r="I28" s="1179"/>
      <c r="J28" s="1179"/>
      <c r="K28" s="1179"/>
      <c r="L28" s="1179"/>
      <c r="M28" s="1179"/>
      <c r="N28" s="1179"/>
      <c r="O28" s="1179"/>
      <c r="P28" s="1179"/>
      <c r="Q28" s="1578"/>
      <c r="R28" s="1578"/>
      <c r="S28" s="1578"/>
      <c r="T28" s="1578"/>
      <c r="U28" s="1578"/>
      <c r="V28" s="1578"/>
      <c r="W28" s="1578"/>
      <c r="X28" s="1578"/>
      <c r="Y28" s="1578"/>
      <c r="Z28" s="1578"/>
      <c r="AA28" s="1578" t="s">
        <v>8</v>
      </c>
      <c r="AB28" s="1578"/>
      <c r="AC28" s="1578"/>
      <c r="AD28" s="1578" t="s">
        <v>559</v>
      </c>
      <c r="AE28" s="1578"/>
      <c r="AF28" s="1578"/>
      <c r="AG28" s="1578"/>
      <c r="AH28" s="1578"/>
      <c r="AI28" s="2418"/>
      <c r="AJ28" s="2419"/>
      <c r="AK28" s="2420"/>
      <c r="AL28" s="2421" t="s">
        <v>579</v>
      </c>
      <c r="AM28" s="2417"/>
      <c r="AN28" s="2422" t="s">
        <v>577</v>
      </c>
      <c r="AO28" s="2423"/>
    </row>
    <row r="29" spans="1:43" s="1986" customFormat="1" ht="40.5" customHeight="1">
      <c r="A29" s="1999"/>
      <c r="B29" s="1999"/>
      <c r="C29" s="2424"/>
      <c r="D29" s="2425"/>
      <c r="E29" s="2426"/>
      <c r="F29" s="2425" t="s">
        <v>580</v>
      </c>
      <c r="G29" s="2427"/>
      <c r="H29" s="2329"/>
      <c r="I29" s="1144">
        <f t="shared" ref="I29:Y29" si="0">I20+I22+I23+I24+I26+I27</f>
        <v>13198.900000000001</v>
      </c>
      <c r="J29" s="1144">
        <f t="shared" si="0"/>
        <v>12069</v>
      </c>
      <c r="K29" s="1144">
        <f t="shared" si="0"/>
        <v>11476.699999999999</v>
      </c>
      <c r="L29" s="1144">
        <f t="shared" si="0"/>
        <v>12171.9</v>
      </c>
      <c r="M29" s="1144">
        <f t="shared" si="0"/>
        <v>12115.500000000002</v>
      </c>
      <c r="N29" s="1144">
        <f t="shared" si="0"/>
        <v>12829.800000000001</v>
      </c>
      <c r="O29" s="1144">
        <f t="shared" si="0"/>
        <v>12442.999999999998</v>
      </c>
      <c r="P29" s="1144">
        <f t="shared" si="0"/>
        <v>10871.9</v>
      </c>
      <c r="Q29" s="4195">
        <f t="shared" si="0"/>
        <v>7323</v>
      </c>
      <c r="R29" s="4195">
        <f t="shared" si="0"/>
        <v>9653</v>
      </c>
      <c r="S29" s="4195">
        <f t="shared" si="0"/>
        <v>10592.1</v>
      </c>
      <c r="T29" s="4195">
        <f t="shared" si="0"/>
        <v>9527.6999999999989</v>
      </c>
      <c r="U29" s="4195">
        <f t="shared" si="0"/>
        <v>7240.7</v>
      </c>
      <c r="V29" s="4195">
        <f t="shared" si="0"/>
        <v>6447.4999999999991</v>
      </c>
      <c r="W29" s="4195">
        <f t="shared" si="0"/>
        <v>5771.4</v>
      </c>
      <c r="X29" s="4195">
        <f t="shared" si="0"/>
        <v>4671.3999999999987</v>
      </c>
      <c r="Y29" s="4195">
        <f t="shared" si="0"/>
        <v>4668.5999999999995</v>
      </c>
      <c r="Z29" s="4195">
        <v>4611.3999999999996</v>
      </c>
      <c r="AA29" s="4195">
        <v>3734.3</v>
      </c>
      <c r="AB29" s="4195">
        <f>AB20+AB22+AB23+AB24+AB26+AB27</f>
        <v>3096.8999999999996</v>
      </c>
      <c r="AC29" s="4195">
        <v>3299.6</v>
      </c>
      <c r="AD29" s="4195">
        <f t="shared" ref="AD29:AJ29" si="1">AD20+AD22+AD23+AD24+AD26+AD27</f>
        <v>2921.5</v>
      </c>
      <c r="AE29" s="4195">
        <f t="shared" si="1"/>
        <v>2329.5</v>
      </c>
      <c r="AF29" s="4195">
        <f t="shared" si="1"/>
        <v>2588.9</v>
      </c>
      <c r="AG29" s="4195">
        <f t="shared" si="1"/>
        <v>2285.5</v>
      </c>
      <c r="AH29" s="4195">
        <f t="shared" si="1"/>
        <v>2216.6</v>
      </c>
      <c r="AI29" s="1207">
        <f t="shared" si="1"/>
        <v>1935.1000000000001</v>
      </c>
      <c r="AJ29" s="2428">
        <f t="shared" si="1"/>
        <v>1720.2</v>
      </c>
      <c r="AK29" s="2429"/>
      <c r="AL29" s="2430" t="s">
        <v>581</v>
      </c>
      <c r="AM29" s="1662"/>
      <c r="AN29" s="1662"/>
      <c r="AO29" s="1644"/>
    </row>
    <row r="30" spans="1:43" s="1986" customFormat="1" ht="30.75" customHeight="1">
      <c r="A30" s="1999"/>
      <c r="B30" s="1999"/>
      <c r="C30" s="2400"/>
      <c r="D30" s="2401"/>
      <c r="E30" s="2401"/>
      <c r="F30" s="2401"/>
      <c r="G30" s="2403"/>
      <c r="H30" s="1799"/>
      <c r="I30" s="1151"/>
      <c r="J30" s="1151"/>
      <c r="K30" s="1151"/>
      <c r="L30" s="1151"/>
      <c r="M30" s="1151"/>
      <c r="N30" s="1151"/>
      <c r="O30" s="1151"/>
      <c r="P30" s="1151"/>
      <c r="Q30" s="4250"/>
      <c r="R30" s="4250"/>
      <c r="S30" s="4250"/>
      <c r="T30" s="4250"/>
      <c r="U30" s="4250"/>
      <c r="V30" s="4250"/>
      <c r="W30" s="4250"/>
      <c r="X30" s="4250"/>
      <c r="Y30" s="4250"/>
      <c r="Z30" s="4250"/>
      <c r="AA30" s="1577" t="s">
        <v>8</v>
      </c>
      <c r="AB30" s="1577"/>
      <c r="AC30" s="1577"/>
      <c r="AD30" s="1577" t="s">
        <v>559</v>
      </c>
      <c r="AE30" s="4250"/>
      <c r="AF30" s="4250"/>
      <c r="AG30" s="4250"/>
      <c r="AH30" s="4250"/>
      <c r="AI30" s="2404"/>
      <c r="AJ30" s="2405"/>
      <c r="AK30" s="2411"/>
      <c r="AL30" s="1527"/>
      <c r="AM30" s="1527"/>
      <c r="AN30" s="1527"/>
      <c r="AO30" s="1518"/>
    </row>
    <row r="31" spans="1:43" s="1986" customFormat="1" ht="40.5" customHeight="1">
      <c r="A31" s="1982"/>
      <c r="B31" s="1999"/>
      <c r="C31" s="2380"/>
      <c r="D31" s="2381" t="s">
        <v>582</v>
      </c>
      <c r="E31" s="2382"/>
      <c r="F31" s="2382"/>
      <c r="G31" s="2383"/>
      <c r="H31" s="1554"/>
      <c r="I31" s="1141"/>
      <c r="J31" s="1141"/>
      <c r="K31" s="1141"/>
      <c r="L31" s="1141"/>
      <c r="M31" s="1141"/>
      <c r="N31" s="1141"/>
      <c r="O31" s="1141"/>
      <c r="P31" s="1141"/>
      <c r="Q31" s="4184"/>
      <c r="R31" s="4184"/>
      <c r="S31" s="4184"/>
      <c r="T31" s="4184"/>
      <c r="U31" s="4184"/>
      <c r="V31" s="4184"/>
      <c r="W31" s="4184"/>
      <c r="X31" s="4184"/>
      <c r="Y31" s="4184"/>
      <c r="Z31" s="4184"/>
      <c r="AA31" s="4184" t="s">
        <v>8</v>
      </c>
      <c r="AB31" s="4184"/>
      <c r="AC31" s="4184"/>
      <c r="AD31" s="4184" t="s">
        <v>559</v>
      </c>
      <c r="AE31" s="4184"/>
      <c r="AF31" s="4184"/>
      <c r="AG31" s="4184"/>
      <c r="AH31" s="4184"/>
      <c r="AI31" s="1172"/>
      <c r="AJ31" s="2384"/>
      <c r="AK31" s="2386"/>
      <c r="AL31" s="1173"/>
      <c r="AM31" s="1173"/>
      <c r="AN31" s="2387" t="s">
        <v>583</v>
      </c>
      <c r="AO31" s="2388"/>
      <c r="AP31" s="2389"/>
      <c r="AQ31" s="2389"/>
    </row>
    <row r="32" spans="1:43" s="1986" customFormat="1" ht="40.5" customHeight="1">
      <c r="A32" s="1999"/>
      <c r="B32" s="1999"/>
      <c r="C32" s="2400"/>
      <c r="D32" s="2401"/>
      <c r="E32" s="2431" t="s">
        <v>584</v>
      </c>
      <c r="F32" s="2401" t="s">
        <v>585</v>
      </c>
      <c r="G32" s="2403"/>
      <c r="H32" s="1799"/>
      <c r="I32" s="1151">
        <v>737.3</v>
      </c>
      <c r="J32" s="1151">
        <v>760</v>
      </c>
      <c r="K32" s="1151">
        <v>839.6</v>
      </c>
      <c r="L32" s="1151">
        <v>843.1</v>
      </c>
      <c r="M32" s="1151">
        <v>737.5</v>
      </c>
      <c r="N32" s="1151">
        <v>617.9</v>
      </c>
      <c r="O32" s="1151">
        <v>738.2</v>
      </c>
      <c r="P32" s="1151">
        <v>711.8</v>
      </c>
      <c r="Q32" s="1577">
        <v>876.4</v>
      </c>
      <c r="R32" s="1577">
        <v>518.5</v>
      </c>
      <c r="S32" s="1577">
        <v>417.8</v>
      </c>
      <c r="T32" s="1577">
        <v>411.1</v>
      </c>
      <c r="U32" s="4250">
        <v>577.29999999999995</v>
      </c>
      <c r="V32" s="4250">
        <v>474.1</v>
      </c>
      <c r="W32" s="4250">
        <v>438</v>
      </c>
      <c r="X32" s="4250">
        <v>347.1</v>
      </c>
      <c r="Y32" s="4250">
        <v>311.39999999999998</v>
      </c>
      <c r="Z32" s="4250">
        <v>305.89999999999998</v>
      </c>
      <c r="AA32" s="1577">
        <v>323.7</v>
      </c>
      <c r="AB32" s="1577">
        <v>323.89999999999998</v>
      </c>
      <c r="AC32" s="1577">
        <v>385.4</v>
      </c>
      <c r="AD32" s="1577">
        <v>432.3</v>
      </c>
      <c r="AE32" s="4250">
        <v>389.2</v>
      </c>
      <c r="AF32" s="4250">
        <v>333.5</v>
      </c>
      <c r="AG32" s="4250">
        <v>705.8</v>
      </c>
      <c r="AH32" s="4250">
        <v>825.1</v>
      </c>
      <c r="AI32" s="2404">
        <v>738.2</v>
      </c>
      <c r="AJ32" s="2405">
        <v>647.70000000000005</v>
      </c>
      <c r="AK32" s="2411"/>
      <c r="AL32" s="1527" t="s">
        <v>586</v>
      </c>
      <c r="AM32" s="1527"/>
      <c r="AN32" s="2406" t="s">
        <v>584</v>
      </c>
      <c r="AO32" s="1518"/>
    </row>
    <row r="33" spans="1:43" s="1986" customFormat="1" ht="40.5" customHeight="1">
      <c r="A33" s="1999"/>
      <c r="B33" s="1999"/>
      <c r="C33" s="2380"/>
      <c r="D33" s="2381"/>
      <c r="E33" s="2382" t="s">
        <v>587</v>
      </c>
      <c r="F33" s="2382" t="s">
        <v>588</v>
      </c>
      <c r="G33" s="2383"/>
      <c r="H33" s="1554"/>
      <c r="I33" s="1141">
        <v>0</v>
      </c>
      <c r="J33" s="1141">
        <v>0</v>
      </c>
      <c r="K33" s="1141">
        <v>0</v>
      </c>
      <c r="L33" s="1141">
        <v>0</v>
      </c>
      <c r="M33" s="1141">
        <v>0</v>
      </c>
      <c r="N33" s="1141">
        <v>0</v>
      </c>
      <c r="O33" s="1141">
        <v>0</v>
      </c>
      <c r="P33" s="1141">
        <v>0</v>
      </c>
      <c r="Q33" s="4184">
        <v>0</v>
      </c>
      <c r="R33" s="4184">
        <v>-0.1</v>
      </c>
      <c r="S33" s="4184">
        <v>-0.1</v>
      </c>
      <c r="T33" s="4184">
        <v>-0.1</v>
      </c>
      <c r="U33" s="4184">
        <v>-0.1</v>
      </c>
      <c r="V33" s="4184">
        <v>-0.1</v>
      </c>
      <c r="W33" s="4184">
        <v>0.1</v>
      </c>
      <c r="X33" s="4184">
        <v>1</v>
      </c>
      <c r="Y33" s="4184">
        <v>1</v>
      </c>
      <c r="Z33" s="4184">
        <v>15.7</v>
      </c>
      <c r="AA33" s="4184">
        <v>16.899999999999999</v>
      </c>
      <c r="AB33" s="4184">
        <v>18.2</v>
      </c>
      <c r="AC33" s="4184">
        <v>17.3</v>
      </c>
      <c r="AD33" s="4184">
        <v>20</v>
      </c>
      <c r="AE33" s="4184">
        <v>22.1</v>
      </c>
      <c r="AF33" s="4184">
        <v>25.9</v>
      </c>
      <c r="AG33" s="4184">
        <v>46.7</v>
      </c>
      <c r="AH33" s="4184">
        <v>55.2</v>
      </c>
      <c r="AI33" s="1172">
        <v>80.099999999999994</v>
      </c>
      <c r="AJ33" s="2384">
        <v>86.7</v>
      </c>
      <c r="AK33" s="2386"/>
      <c r="AL33" s="1173" t="s">
        <v>589</v>
      </c>
      <c r="AM33" s="1173"/>
      <c r="AN33" s="1173" t="s">
        <v>587</v>
      </c>
      <c r="AO33" s="1261"/>
    </row>
    <row r="34" spans="1:43" s="1986" customFormat="1" ht="40.5" customHeight="1">
      <c r="A34" s="1999"/>
      <c r="B34" s="1999"/>
      <c r="C34" s="2400"/>
      <c r="D34" s="2401"/>
      <c r="E34" s="2431" t="s">
        <v>590</v>
      </c>
      <c r="F34" s="2401" t="s">
        <v>591</v>
      </c>
      <c r="G34" s="2403"/>
      <c r="H34" s="1799"/>
      <c r="I34" s="1151">
        <v>105.4</v>
      </c>
      <c r="J34" s="1151">
        <v>60.1</v>
      </c>
      <c r="K34" s="1151">
        <v>65.2</v>
      </c>
      <c r="L34" s="1151">
        <v>44.9</v>
      </c>
      <c r="M34" s="1151">
        <v>108</v>
      </c>
      <c r="N34" s="1151">
        <v>121.3</v>
      </c>
      <c r="O34" s="1151">
        <v>100.3</v>
      </c>
      <c r="P34" s="1151">
        <v>116.8</v>
      </c>
      <c r="Q34" s="1577">
        <v>155</v>
      </c>
      <c r="R34" s="1577">
        <v>196.5</v>
      </c>
      <c r="S34" s="1577">
        <v>233.3</v>
      </c>
      <c r="T34" s="1577">
        <v>257.10000000000002</v>
      </c>
      <c r="U34" s="4250">
        <v>97.7</v>
      </c>
      <c r="V34" s="4250">
        <v>459.7</v>
      </c>
      <c r="W34" s="4250">
        <v>349.4</v>
      </c>
      <c r="X34" s="4250">
        <v>97.2</v>
      </c>
      <c r="Y34" s="4250">
        <v>93.7</v>
      </c>
      <c r="Z34" s="4250">
        <v>103.5</v>
      </c>
      <c r="AA34" s="1577">
        <v>296</v>
      </c>
      <c r="AB34" s="1577">
        <v>333.8</v>
      </c>
      <c r="AC34" s="1577">
        <v>362.1</v>
      </c>
      <c r="AD34" s="1577">
        <v>138.1</v>
      </c>
      <c r="AE34" s="4250">
        <v>197.1</v>
      </c>
      <c r="AF34" s="4250">
        <v>46</v>
      </c>
      <c r="AG34" s="4250">
        <v>68.099999999999994</v>
      </c>
      <c r="AH34" s="4250">
        <v>88.6</v>
      </c>
      <c r="AI34" s="2404">
        <v>33.200000000000003</v>
      </c>
      <c r="AJ34" s="2405">
        <v>40.200000000000003</v>
      </c>
      <c r="AK34" s="2411"/>
      <c r="AL34" s="1527" t="s">
        <v>592</v>
      </c>
      <c r="AM34" s="1527"/>
      <c r="AN34" s="2406" t="s">
        <v>590</v>
      </c>
      <c r="AO34" s="1518"/>
    </row>
    <row r="35" spans="1:43" s="1986" customFormat="1" ht="40.5" customHeight="1">
      <c r="A35" s="1999"/>
      <c r="B35" s="1999"/>
      <c r="C35" s="2380"/>
      <c r="D35" s="2381"/>
      <c r="E35" s="2382" t="s">
        <v>593</v>
      </c>
      <c r="F35" s="2382" t="s">
        <v>594</v>
      </c>
      <c r="G35" s="2383"/>
      <c r="H35" s="1554"/>
      <c r="I35" s="1141">
        <v>0.1</v>
      </c>
      <c r="J35" s="1141">
        <v>0.1</v>
      </c>
      <c r="K35" s="1141">
        <v>0.2</v>
      </c>
      <c r="L35" s="1141">
        <v>0</v>
      </c>
      <c r="M35" s="1141">
        <v>1.4</v>
      </c>
      <c r="N35" s="1141">
        <v>1.1000000000000001</v>
      </c>
      <c r="O35" s="1141">
        <v>1.9</v>
      </c>
      <c r="P35" s="1141">
        <v>13.3</v>
      </c>
      <c r="Q35" s="4184">
        <v>15</v>
      </c>
      <c r="R35" s="4184">
        <v>13.9</v>
      </c>
      <c r="S35" s="4184">
        <v>27.3</v>
      </c>
      <c r="T35" s="4184">
        <v>68.5</v>
      </c>
      <c r="U35" s="4184">
        <v>211.7</v>
      </c>
      <c r="V35" s="4184">
        <v>60.7</v>
      </c>
      <c r="W35" s="4184">
        <v>19</v>
      </c>
      <c r="X35" s="4184">
        <v>23.2</v>
      </c>
      <c r="Y35" s="4184">
        <v>86.5</v>
      </c>
      <c r="Z35" s="4184">
        <v>62.8</v>
      </c>
      <c r="AA35" s="4184">
        <v>24.9</v>
      </c>
      <c r="AB35" s="4184">
        <v>18.7</v>
      </c>
      <c r="AC35" s="4184">
        <v>19</v>
      </c>
      <c r="AD35" s="4184">
        <v>19.5</v>
      </c>
      <c r="AE35" s="4184">
        <v>23</v>
      </c>
      <c r="AF35" s="4184">
        <v>12.9</v>
      </c>
      <c r="AG35" s="4184">
        <v>3.3</v>
      </c>
      <c r="AH35" s="4184">
        <v>10.5</v>
      </c>
      <c r="AI35" s="1172">
        <v>6.1</v>
      </c>
      <c r="AJ35" s="2384">
        <v>6.8</v>
      </c>
      <c r="AK35" s="2386"/>
      <c r="AL35" s="1173" t="s">
        <v>595</v>
      </c>
      <c r="AM35" s="1173"/>
      <c r="AN35" s="1173" t="s">
        <v>593</v>
      </c>
      <c r="AO35" s="1261"/>
    </row>
    <row r="36" spans="1:43" s="1986" customFormat="1" ht="40.5" customHeight="1">
      <c r="A36" s="1999"/>
      <c r="B36" s="1999"/>
      <c r="C36" s="2400"/>
      <c r="D36" s="2401"/>
      <c r="E36" s="2431" t="s">
        <v>596</v>
      </c>
      <c r="F36" s="2401" t="s">
        <v>597</v>
      </c>
      <c r="G36" s="2403"/>
      <c r="H36" s="1799"/>
      <c r="I36" s="1151">
        <v>1287.8</v>
      </c>
      <c r="J36" s="1151">
        <v>1346.1</v>
      </c>
      <c r="K36" s="1151">
        <v>1407</v>
      </c>
      <c r="L36" s="1151">
        <v>663.5</v>
      </c>
      <c r="M36" s="1151">
        <v>763.1</v>
      </c>
      <c r="N36" s="1151">
        <v>958</v>
      </c>
      <c r="O36" s="1151">
        <v>1194.7</v>
      </c>
      <c r="P36" s="1151">
        <v>1346.9</v>
      </c>
      <c r="Q36" s="1577">
        <v>611</v>
      </c>
      <c r="R36" s="1577">
        <v>106.4</v>
      </c>
      <c r="S36" s="1577">
        <v>460.8</v>
      </c>
      <c r="T36" s="1577">
        <v>106.4</v>
      </c>
      <c r="U36" s="4250">
        <v>248.2</v>
      </c>
      <c r="V36" s="4250">
        <v>177.3</v>
      </c>
      <c r="W36" s="4250">
        <v>177.3</v>
      </c>
      <c r="X36" s="4250">
        <v>106.4</v>
      </c>
      <c r="Y36" s="4250">
        <v>106.4</v>
      </c>
      <c r="Z36" s="4250">
        <v>106.4</v>
      </c>
      <c r="AA36" s="1577">
        <v>106.4</v>
      </c>
      <c r="AB36" s="1577">
        <v>106.4</v>
      </c>
      <c r="AC36" s="1577">
        <v>106.4</v>
      </c>
      <c r="AD36" s="1577">
        <v>141.80000000000001</v>
      </c>
      <c r="AE36" s="4250">
        <v>0</v>
      </c>
      <c r="AF36" s="4250">
        <v>0</v>
      </c>
      <c r="AG36" s="4250">
        <v>0</v>
      </c>
      <c r="AH36" s="4250">
        <v>0</v>
      </c>
      <c r="AI36" s="2404">
        <v>0</v>
      </c>
      <c r="AJ36" s="2405">
        <v>0</v>
      </c>
      <c r="AK36" s="2411"/>
      <c r="AL36" s="1527" t="s">
        <v>598</v>
      </c>
      <c r="AM36" s="1527"/>
      <c r="AN36" s="2406" t="s">
        <v>596</v>
      </c>
      <c r="AO36" s="1518"/>
    </row>
    <row r="37" spans="1:43" s="1986" customFormat="1" ht="40.5" customHeight="1">
      <c r="A37" s="1999"/>
      <c r="B37" s="1999"/>
      <c r="C37" s="2380"/>
      <c r="D37" s="2381"/>
      <c r="E37" s="2382" t="s">
        <v>599</v>
      </c>
      <c r="F37" s="2382" t="s">
        <v>400</v>
      </c>
      <c r="G37" s="2383"/>
      <c r="H37" s="1554"/>
      <c r="I37" s="1141">
        <v>28.6</v>
      </c>
      <c r="J37" s="1141">
        <v>9.8000000000000007</v>
      </c>
      <c r="K37" s="1141">
        <v>3.9</v>
      </c>
      <c r="L37" s="1141">
        <v>3.3</v>
      </c>
      <c r="M37" s="1141">
        <v>3.5</v>
      </c>
      <c r="N37" s="1141">
        <v>9</v>
      </c>
      <c r="O37" s="1141">
        <v>5.7</v>
      </c>
      <c r="P37" s="1141">
        <v>50.5</v>
      </c>
      <c r="Q37" s="4184">
        <v>93</v>
      </c>
      <c r="R37" s="4184">
        <v>499.7</v>
      </c>
      <c r="S37" s="4184">
        <v>730.7</v>
      </c>
      <c r="T37" s="4184">
        <v>741.3</v>
      </c>
      <c r="U37" s="4184">
        <v>423.7</v>
      </c>
      <c r="V37" s="4184">
        <v>203.8</v>
      </c>
      <c r="W37" s="4184">
        <v>8.6</v>
      </c>
      <c r="X37" s="4184">
        <v>13.7</v>
      </c>
      <c r="Y37" s="4184">
        <v>10.3</v>
      </c>
      <c r="Z37" s="4184">
        <v>11.4</v>
      </c>
      <c r="AA37" s="4184">
        <v>12.6</v>
      </c>
      <c r="AB37" s="4184">
        <v>15.5</v>
      </c>
      <c r="AC37" s="4184">
        <v>2.8</v>
      </c>
      <c r="AD37" s="4184">
        <v>8.4</v>
      </c>
      <c r="AE37" s="4184">
        <v>16.399999999999999</v>
      </c>
      <c r="AF37" s="4184">
        <v>18.8</v>
      </c>
      <c r="AG37" s="4184">
        <v>19.3</v>
      </c>
      <c r="AH37" s="4184">
        <v>12.6</v>
      </c>
      <c r="AI37" s="1172">
        <v>21.7</v>
      </c>
      <c r="AJ37" s="2384">
        <v>26.4</v>
      </c>
      <c r="AK37" s="2386"/>
      <c r="AL37" s="1173" t="s">
        <v>600</v>
      </c>
      <c r="AM37" s="1173"/>
      <c r="AN37" s="1173" t="s">
        <v>599</v>
      </c>
      <c r="AO37" s="1261"/>
    </row>
    <row r="38" spans="1:43" s="1986" customFormat="1" ht="40.5" customHeight="1">
      <c r="A38" s="1999"/>
      <c r="B38" s="1999"/>
      <c r="C38" s="2432"/>
      <c r="D38" s="2433"/>
      <c r="E38" s="2434" t="s">
        <v>601</v>
      </c>
      <c r="F38" s="2435" t="s">
        <v>602</v>
      </c>
      <c r="G38" s="2436"/>
      <c r="H38" s="2437"/>
      <c r="I38" s="1180"/>
      <c r="J38" s="1180"/>
      <c r="K38" s="1180"/>
      <c r="L38" s="1180"/>
      <c r="M38" s="1180"/>
      <c r="N38" s="1180"/>
      <c r="O38" s="1180"/>
      <c r="P38" s="1180"/>
      <c r="Q38" s="1579"/>
      <c r="R38" s="1579"/>
      <c r="S38" s="1579"/>
      <c r="T38" s="1579"/>
      <c r="U38" s="1579"/>
      <c r="V38" s="1579"/>
      <c r="W38" s="1579"/>
      <c r="X38" s="1579"/>
      <c r="Y38" s="1579"/>
      <c r="Z38" s="1579"/>
      <c r="AA38" s="1579"/>
      <c r="AB38" s="1579"/>
      <c r="AC38" s="1579"/>
      <c r="AD38" s="1579"/>
      <c r="AE38" s="1579"/>
      <c r="AF38" s="1579"/>
      <c r="AG38" s="1579"/>
      <c r="AH38" s="1579"/>
      <c r="AI38" s="2438"/>
      <c r="AJ38" s="2439"/>
      <c r="AK38" s="2440"/>
      <c r="AL38" s="2441" t="s">
        <v>603</v>
      </c>
      <c r="AM38" s="2441"/>
      <c r="AN38" s="2442" t="s">
        <v>601</v>
      </c>
      <c r="AO38" s="2443"/>
      <c r="AP38" s="2444"/>
      <c r="AQ38" s="2444"/>
    </row>
    <row r="39" spans="1:43" s="1986" customFormat="1" ht="40.5" customHeight="1">
      <c r="A39" s="1999"/>
      <c r="B39" s="1999"/>
      <c r="C39" s="2445"/>
      <c r="D39" s="2446"/>
      <c r="E39" s="2447"/>
      <c r="F39" s="2446" t="s">
        <v>604</v>
      </c>
      <c r="G39" s="2448"/>
      <c r="H39" s="2449"/>
      <c r="I39" s="1181">
        <f t="shared" ref="I39:Y39" si="2">I37+I35+I34+I33+I32+I36</f>
        <v>2159.1999999999998</v>
      </c>
      <c r="J39" s="1181">
        <f t="shared" si="2"/>
        <v>2176.1</v>
      </c>
      <c r="K39" s="1181">
        <f t="shared" si="2"/>
        <v>2315.9</v>
      </c>
      <c r="L39" s="1181">
        <f t="shared" si="2"/>
        <v>1554.8000000000002</v>
      </c>
      <c r="M39" s="1181">
        <f t="shared" si="2"/>
        <v>1613.5</v>
      </c>
      <c r="N39" s="1181">
        <f t="shared" si="2"/>
        <v>1707.3</v>
      </c>
      <c r="O39" s="1181">
        <f t="shared" si="2"/>
        <v>2040.8000000000002</v>
      </c>
      <c r="P39" s="1181">
        <f t="shared" si="2"/>
        <v>2239.3000000000002</v>
      </c>
      <c r="Q39" s="1580">
        <f t="shared" si="2"/>
        <v>1750.4</v>
      </c>
      <c r="R39" s="1580">
        <f t="shared" si="2"/>
        <v>1334.9</v>
      </c>
      <c r="S39" s="1580">
        <f t="shared" si="2"/>
        <v>1869.8</v>
      </c>
      <c r="T39" s="1580">
        <f t="shared" si="2"/>
        <v>1584.3000000000002</v>
      </c>
      <c r="U39" s="1580">
        <f t="shared" si="2"/>
        <v>1558.5</v>
      </c>
      <c r="V39" s="1580">
        <f t="shared" si="2"/>
        <v>1375.5</v>
      </c>
      <c r="W39" s="1580">
        <f t="shared" si="2"/>
        <v>992.40000000000009</v>
      </c>
      <c r="X39" s="1580">
        <f t="shared" si="2"/>
        <v>588.6</v>
      </c>
      <c r="Y39" s="1580">
        <f t="shared" si="2"/>
        <v>609.29999999999995</v>
      </c>
      <c r="Z39" s="1580">
        <v>605.70000000000005</v>
      </c>
      <c r="AA39" s="1580">
        <v>780.5</v>
      </c>
      <c r="AB39" s="1580">
        <f>AB37+AB35+AB34+AB33+AB32+AB36</f>
        <v>816.49999999999989</v>
      </c>
      <c r="AC39" s="1580">
        <v>893</v>
      </c>
      <c r="AD39" s="1580">
        <f t="shared" ref="AD39:AJ39" si="3">AD37+AD35+AD34+AD33+AD32+AD36</f>
        <v>760.09999999999991</v>
      </c>
      <c r="AE39" s="1580">
        <f t="shared" si="3"/>
        <v>647.79999999999995</v>
      </c>
      <c r="AF39" s="1580">
        <f t="shared" si="3"/>
        <v>437.1</v>
      </c>
      <c r="AG39" s="1580">
        <f t="shared" si="3"/>
        <v>843.19999999999993</v>
      </c>
      <c r="AH39" s="1580">
        <f t="shared" si="3"/>
        <v>992</v>
      </c>
      <c r="AI39" s="2450">
        <f t="shared" si="3"/>
        <v>879.30000000000007</v>
      </c>
      <c r="AJ39" s="2451">
        <f t="shared" si="3"/>
        <v>807.80000000000007</v>
      </c>
      <c r="AK39" s="2452"/>
      <c r="AL39" s="2453" t="s">
        <v>605</v>
      </c>
      <c r="AM39" s="2454"/>
      <c r="AN39" s="2455"/>
      <c r="AO39" s="2456"/>
    </row>
    <row r="40" spans="1:43" s="1986" customFormat="1" ht="29.25" customHeight="1">
      <c r="A40" s="1999"/>
      <c r="B40" s="1999"/>
      <c r="C40" s="2457"/>
      <c r="D40" s="2458"/>
      <c r="E40" s="2459"/>
      <c r="F40" s="2458"/>
      <c r="G40" s="2460"/>
      <c r="H40" s="2461"/>
      <c r="I40" s="1182"/>
      <c r="J40" s="1182"/>
      <c r="K40" s="1182"/>
      <c r="L40" s="1182"/>
      <c r="M40" s="1182"/>
      <c r="N40" s="1182"/>
      <c r="O40" s="1182"/>
      <c r="P40" s="1182"/>
      <c r="Q40" s="1581"/>
      <c r="R40" s="1581"/>
      <c r="S40" s="1581"/>
      <c r="T40" s="1581"/>
      <c r="U40" s="1581"/>
      <c r="V40" s="1581"/>
      <c r="W40" s="1581"/>
      <c r="X40" s="1581"/>
      <c r="Y40" s="1581"/>
      <c r="Z40" s="1581"/>
      <c r="AA40" s="2462"/>
      <c r="AB40" s="2462"/>
      <c r="AC40" s="2462"/>
      <c r="AD40" s="2462" t="s">
        <v>559</v>
      </c>
      <c r="AE40" s="2462"/>
      <c r="AF40" s="2462"/>
      <c r="AG40" s="2462"/>
      <c r="AH40" s="2462"/>
      <c r="AI40" s="2463"/>
      <c r="AJ40" s="2464"/>
      <c r="AK40" s="1395"/>
      <c r="AL40" s="2465"/>
      <c r="AM40" s="2461"/>
      <c r="AN40" s="2465"/>
      <c r="AO40" s="2466"/>
    </row>
    <row r="41" spans="1:43" s="1986" customFormat="1" ht="40.5" hidden="1" customHeight="1">
      <c r="A41" s="1999"/>
      <c r="B41" s="1999"/>
      <c r="C41" s="2467"/>
      <c r="D41" s="1799"/>
      <c r="E41" s="2468"/>
      <c r="F41" s="2401"/>
      <c r="G41" s="2403"/>
      <c r="H41" s="1799"/>
      <c r="I41" s="1151"/>
      <c r="J41" s="1151"/>
      <c r="K41" s="1151"/>
      <c r="L41" s="1151"/>
      <c r="M41" s="1151"/>
      <c r="N41" s="1151"/>
      <c r="O41" s="1151"/>
      <c r="P41" s="1151"/>
      <c r="Q41" s="4250"/>
      <c r="R41" s="4250"/>
      <c r="S41" s="4250"/>
      <c r="T41" s="4250"/>
      <c r="U41" s="4250"/>
      <c r="V41" s="4250"/>
      <c r="W41" s="4250"/>
      <c r="X41" s="4250"/>
      <c r="Y41" s="4250"/>
      <c r="Z41" s="4250"/>
      <c r="AA41" s="1155" t="s">
        <v>8</v>
      </c>
      <c r="AB41" s="1155"/>
      <c r="AC41" s="1155"/>
      <c r="AD41" s="1155" t="s">
        <v>559</v>
      </c>
      <c r="AE41" s="1155"/>
      <c r="AF41" s="1155"/>
      <c r="AG41" s="1155"/>
      <c r="AH41" s="1155"/>
      <c r="AI41" s="1525"/>
      <c r="AJ41" s="2394"/>
      <c r="AK41" s="2411"/>
      <c r="AL41" s="1527"/>
      <c r="AM41" s="1527"/>
      <c r="AN41" s="4325"/>
      <c r="AO41" s="2398"/>
      <c r="AP41" s="2389"/>
      <c r="AQ41" s="2389"/>
    </row>
    <row r="42" spans="1:43" s="2399" customFormat="1" ht="40.5" customHeight="1">
      <c r="A42" s="2390"/>
      <c r="B42" s="2390"/>
      <c r="C42" s="2380"/>
      <c r="D42" s="2381"/>
      <c r="E42" s="2381" t="s">
        <v>3037</v>
      </c>
      <c r="F42" s="2381"/>
      <c r="G42" s="2469"/>
      <c r="H42" s="2470"/>
      <c r="I42" s="1345">
        <f t="shared" ref="I42:AH42" si="4">((I23+I24)-(I32+I33))+I20+I22</f>
        <v>11287.1</v>
      </c>
      <c r="J42" s="1345">
        <f t="shared" si="4"/>
        <v>10159.5</v>
      </c>
      <c r="K42" s="1345">
        <f t="shared" si="4"/>
        <v>9495.1</v>
      </c>
      <c r="L42" s="1345">
        <f t="shared" si="4"/>
        <v>10203.799999999999</v>
      </c>
      <c r="M42" s="1345">
        <f t="shared" si="4"/>
        <v>10280.4</v>
      </c>
      <c r="N42" s="1345">
        <f t="shared" si="4"/>
        <v>11130</v>
      </c>
      <c r="O42" s="1345">
        <f t="shared" si="4"/>
        <v>10637.1</v>
      </c>
      <c r="P42" s="1345">
        <f t="shared" si="4"/>
        <v>9089.4</v>
      </c>
      <c r="Q42" s="1345">
        <f t="shared" si="4"/>
        <v>5383.7000000000007</v>
      </c>
      <c r="R42" s="1345">
        <f t="shared" si="4"/>
        <v>8077.8</v>
      </c>
      <c r="S42" s="1345">
        <f t="shared" si="4"/>
        <v>9250.2999999999993</v>
      </c>
      <c r="T42" s="1345">
        <f t="shared" si="4"/>
        <v>8195.4999999999982</v>
      </c>
      <c r="U42" s="1345">
        <f t="shared" si="4"/>
        <v>5745.9000000000005</v>
      </c>
      <c r="V42" s="1345">
        <f t="shared" si="4"/>
        <v>5147.5999999999995</v>
      </c>
      <c r="W42" s="1345">
        <f t="shared" si="4"/>
        <v>4509.5</v>
      </c>
      <c r="X42" s="1345">
        <f t="shared" si="4"/>
        <v>3514.5</v>
      </c>
      <c r="Y42" s="1345">
        <f t="shared" si="4"/>
        <v>3548.9</v>
      </c>
      <c r="Z42" s="1345">
        <f t="shared" si="4"/>
        <v>3482.6000000000004</v>
      </c>
      <c r="AA42" s="1345">
        <f t="shared" si="4"/>
        <v>2578.5</v>
      </c>
      <c r="AB42" s="1345">
        <f t="shared" si="4"/>
        <v>1908.5</v>
      </c>
      <c r="AC42" s="1345">
        <f t="shared" si="4"/>
        <v>2029.5</v>
      </c>
      <c r="AD42" s="1345">
        <f t="shared" si="4"/>
        <v>1496.8</v>
      </c>
      <c r="AE42" s="1345">
        <f t="shared" si="4"/>
        <v>974.6</v>
      </c>
      <c r="AF42" s="1345">
        <f t="shared" si="4"/>
        <v>1342.8999999999999</v>
      </c>
      <c r="AG42" s="1345">
        <f t="shared" si="4"/>
        <v>635.00000000000011</v>
      </c>
      <c r="AH42" s="1345">
        <f t="shared" si="4"/>
        <v>442.79999999999984</v>
      </c>
      <c r="AI42" s="1345">
        <f>((AI23+AI24)-(AI32+AI33))+AI20+AI22</f>
        <v>442.09999999999991</v>
      </c>
      <c r="AJ42" s="2471">
        <f t="shared" ref="AJ42" si="5">(AJ23+AJ24)-(AJ32+AJ33)</f>
        <v>414.39999999999986</v>
      </c>
      <c r="AK42" s="4175"/>
      <c r="AL42" s="1173"/>
      <c r="AM42" s="2472"/>
      <c r="AN42" s="4326" t="s">
        <v>3038</v>
      </c>
      <c r="AO42" s="2388"/>
      <c r="AP42" s="2389"/>
      <c r="AQ42" s="2389"/>
    </row>
    <row r="43" spans="1:43" s="1986" customFormat="1" ht="40.5" customHeight="1">
      <c r="A43" s="1999"/>
      <c r="B43" s="1999"/>
      <c r="C43" s="2400"/>
      <c r="D43" s="2401"/>
      <c r="E43" s="2401" t="s">
        <v>606</v>
      </c>
      <c r="F43" s="2401"/>
      <c r="G43" s="2403"/>
      <c r="H43" s="1799"/>
      <c r="I43" s="4250">
        <f t="shared" ref="I43:AH43" si="6">I42/0.709</f>
        <v>15919.746121297603</v>
      </c>
      <c r="J43" s="4250">
        <f t="shared" si="6"/>
        <v>14329.337094499295</v>
      </c>
      <c r="K43" s="4250">
        <f t="shared" si="6"/>
        <v>13392.242595204514</v>
      </c>
      <c r="L43" s="4250">
        <f t="shared" si="6"/>
        <v>14391.81946403385</v>
      </c>
      <c r="M43" s="4250">
        <f t="shared" si="6"/>
        <v>14499.858956276446</v>
      </c>
      <c r="N43" s="4250">
        <f t="shared" si="6"/>
        <v>15698.166431593794</v>
      </c>
      <c r="O43" s="4250">
        <f t="shared" si="6"/>
        <v>15002.961918194642</v>
      </c>
      <c r="P43" s="4250">
        <f t="shared" si="6"/>
        <v>12820.02820874471</v>
      </c>
      <c r="Q43" s="4250">
        <f t="shared" si="6"/>
        <v>7593.3709449929493</v>
      </c>
      <c r="R43" s="4250">
        <f t="shared" si="6"/>
        <v>11393.229901269395</v>
      </c>
      <c r="S43" s="4250">
        <f t="shared" si="6"/>
        <v>13046.967559943581</v>
      </c>
      <c r="T43" s="4250">
        <f t="shared" si="6"/>
        <v>11559.238363892804</v>
      </c>
      <c r="U43" s="4250">
        <f t="shared" si="6"/>
        <v>8104.2313117066305</v>
      </c>
      <c r="V43" s="4250">
        <f t="shared" si="6"/>
        <v>7260.366713681241</v>
      </c>
      <c r="W43" s="4250">
        <f t="shared" si="6"/>
        <v>6360.3667136812419</v>
      </c>
      <c r="X43" s="4250">
        <f t="shared" si="6"/>
        <v>4956.9816643159384</v>
      </c>
      <c r="Y43" s="4250">
        <f t="shared" si="6"/>
        <v>5005.5007052186184</v>
      </c>
      <c r="Z43" s="4250">
        <f t="shared" si="6"/>
        <v>4911.9887165021164</v>
      </c>
      <c r="AA43" s="4250">
        <f t="shared" si="6"/>
        <v>3636.812411847673</v>
      </c>
      <c r="AB43" s="4250">
        <f t="shared" si="6"/>
        <v>2691.8194640338506</v>
      </c>
      <c r="AC43" s="4250">
        <f t="shared" si="6"/>
        <v>2862.4823695345558</v>
      </c>
      <c r="AD43" s="4250">
        <f t="shared" si="6"/>
        <v>2111.1424541607898</v>
      </c>
      <c r="AE43" s="4250">
        <f t="shared" si="6"/>
        <v>1374.6121297602258</v>
      </c>
      <c r="AF43" s="4250">
        <f t="shared" si="6"/>
        <v>1894.0761636107193</v>
      </c>
      <c r="AG43" s="4250">
        <f t="shared" si="6"/>
        <v>895.62764456981688</v>
      </c>
      <c r="AH43" s="4250">
        <f t="shared" si="6"/>
        <v>624.54160789844832</v>
      </c>
      <c r="AI43" s="4250">
        <f>AI42/0.709</f>
        <v>623.55430183356827</v>
      </c>
      <c r="AJ43" s="2405">
        <v>588.20000000000005</v>
      </c>
      <c r="AK43" s="2411"/>
      <c r="AL43" s="1527"/>
      <c r="AM43" s="1527" t="s">
        <v>607</v>
      </c>
      <c r="AN43" s="1527"/>
      <c r="AO43" s="1518"/>
    </row>
    <row r="44" spans="1:43" s="1986" customFormat="1" ht="40.5" customHeight="1">
      <c r="A44" s="1999"/>
      <c r="B44" s="1999"/>
      <c r="C44" s="2473"/>
      <c r="D44" s="2474" t="s">
        <v>3039</v>
      </c>
      <c r="E44" s="2475"/>
      <c r="F44" s="2475"/>
      <c r="G44" s="2476"/>
      <c r="H44" s="2477"/>
      <c r="I44" s="1183">
        <v>9.1999999999999993</v>
      </c>
      <c r="J44" s="1183">
        <v>9.4</v>
      </c>
      <c r="K44" s="1183">
        <v>7.3</v>
      </c>
      <c r="L44" s="1183">
        <v>7.5</v>
      </c>
      <c r="M44" s="1183">
        <v>7.5</v>
      </c>
      <c r="N44" s="1183">
        <v>8.6</v>
      </c>
      <c r="O44" s="1183">
        <v>7.9</v>
      </c>
      <c r="P44" s="1183">
        <v>6.1</v>
      </c>
      <c r="Q44" s="1183">
        <v>3.8</v>
      </c>
      <c r="R44" s="1183">
        <v>5.9</v>
      </c>
      <c r="S44" s="1183">
        <v>7.3</v>
      </c>
      <c r="T44" s="1183">
        <v>7.6</v>
      </c>
      <c r="U44" s="1183">
        <v>5.9</v>
      </c>
      <c r="V44" s="1183">
        <v>4.5</v>
      </c>
      <c r="W44" s="1183">
        <v>4.9000000000000004</v>
      </c>
      <c r="X44" s="1183">
        <v>4.5</v>
      </c>
      <c r="Y44" s="1183">
        <v>5.0999999999999996</v>
      </c>
      <c r="Z44" s="1183">
        <v>6.3</v>
      </c>
      <c r="AA44" s="1183">
        <v>6.3</v>
      </c>
      <c r="AB44" s="1183">
        <v>5.0999999999999996</v>
      </c>
      <c r="AC44" s="1183">
        <v>5.7</v>
      </c>
      <c r="AD44" s="1183"/>
      <c r="AE44" s="1183"/>
      <c r="AF44" s="1183"/>
      <c r="AG44" s="1183"/>
      <c r="AH44" s="1183"/>
      <c r="AI44" s="1183"/>
      <c r="AJ44" s="2478">
        <f t="shared" ref="AJ44" si="7">AJ22+AJ23+AJ24</f>
        <v>1153.5999999999999</v>
      </c>
      <c r="AK44" s="2479"/>
      <c r="AL44" s="2480"/>
      <c r="AM44" s="2477"/>
      <c r="AN44" s="4327" t="s">
        <v>3040</v>
      </c>
      <c r="AO44" s="2481"/>
      <c r="AP44" s="2389"/>
      <c r="AQ44" s="2389"/>
    </row>
    <row r="45" spans="1:43" s="1986" customFormat="1" ht="6.95" customHeight="1">
      <c r="A45" s="1999"/>
      <c r="B45" s="1999"/>
      <c r="C45" s="2484"/>
      <c r="D45" s="2485"/>
      <c r="E45" s="2485"/>
      <c r="F45" s="1184"/>
      <c r="G45" s="2486"/>
      <c r="H45" s="1184"/>
      <c r="I45" s="1184"/>
      <c r="J45" s="1184"/>
      <c r="K45" s="1184"/>
      <c r="L45" s="1184"/>
      <c r="M45" s="1184"/>
      <c r="N45" s="1184"/>
      <c r="O45" s="1184"/>
      <c r="P45" s="1184"/>
      <c r="Q45" s="1184"/>
      <c r="R45" s="2487"/>
      <c r="S45" s="2487"/>
      <c r="T45" s="2487"/>
      <c r="U45" s="1184"/>
      <c r="V45" s="1184"/>
      <c r="W45" s="1184"/>
      <c r="X45" s="1184"/>
      <c r="Y45" s="1184"/>
      <c r="Z45" s="1184"/>
      <c r="AA45" s="1184"/>
      <c r="AB45" s="1184"/>
      <c r="AC45" s="1184"/>
      <c r="AD45" s="2486"/>
      <c r="AE45" s="2486"/>
      <c r="AF45" s="2486"/>
      <c r="AG45" s="2486"/>
      <c r="AH45" s="2486"/>
      <c r="AI45" s="2486"/>
      <c r="AJ45" s="2486"/>
      <c r="AK45" s="2487"/>
      <c r="AL45" s="1184"/>
      <c r="AM45" s="2487"/>
      <c r="AN45" s="2487"/>
      <c r="AO45" s="2488"/>
      <c r="AP45" s="2389"/>
    </row>
    <row r="46" spans="1:43" s="2490" customFormat="1" ht="25.5" customHeight="1">
      <c r="A46" s="1999"/>
      <c r="B46" s="1999"/>
      <c r="C46" s="2484"/>
      <c r="D46" s="2489" t="s">
        <v>608</v>
      </c>
      <c r="E46" s="2485"/>
      <c r="F46" s="1184"/>
      <c r="G46" s="2486"/>
      <c r="H46" s="1184"/>
      <c r="I46" s="1184"/>
      <c r="J46" s="1184"/>
      <c r="K46" s="1184"/>
      <c r="L46" s="1184"/>
      <c r="M46" s="1184"/>
      <c r="N46" s="1184"/>
      <c r="O46" s="1184"/>
      <c r="P46" s="1184"/>
      <c r="Q46" s="1184"/>
      <c r="R46" s="2487"/>
      <c r="S46" s="2487"/>
      <c r="T46" s="2487"/>
      <c r="U46" s="1184"/>
      <c r="V46" s="1184"/>
      <c r="W46" s="1184"/>
      <c r="X46" s="1184"/>
      <c r="Y46" s="1184"/>
      <c r="Z46" s="1184"/>
      <c r="AA46" s="1184"/>
      <c r="AB46" s="1184"/>
      <c r="AC46" s="1184"/>
      <c r="AD46" s="2486"/>
      <c r="AE46" s="2486"/>
      <c r="AF46" s="2486"/>
      <c r="AG46" s="2486"/>
      <c r="AH46" s="2486"/>
      <c r="AI46" s="2486"/>
      <c r="AJ46" s="2486"/>
      <c r="AK46" s="2487"/>
      <c r="AL46" s="1184"/>
      <c r="AM46" s="2487"/>
      <c r="AN46" s="2360" t="s">
        <v>609</v>
      </c>
      <c r="AO46" s="2488"/>
      <c r="AP46" s="1999"/>
      <c r="AQ46" s="1999"/>
    </row>
    <row r="47" spans="1:43" s="2254" customFormat="1">
      <c r="A47" s="2491"/>
      <c r="B47" s="2491"/>
      <c r="C47" s="2492"/>
      <c r="D47" s="2493"/>
      <c r="E47" s="2493"/>
      <c r="F47" s="2493"/>
      <c r="G47" s="2494"/>
      <c r="H47" s="1174"/>
      <c r="I47" s="1174"/>
      <c r="J47" s="1174"/>
      <c r="K47" s="1174"/>
      <c r="L47" s="1174"/>
      <c r="M47" s="1174"/>
      <c r="N47" s="1174"/>
      <c r="O47" s="1174"/>
      <c r="P47" s="1174"/>
      <c r="Q47" s="1174"/>
      <c r="R47" s="2351"/>
      <c r="S47" s="2351"/>
      <c r="T47" s="2351"/>
      <c r="U47" s="1174"/>
      <c r="V47" s="1174"/>
      <c r="W47" s="1174"/>
      <c r="X47" s="1174"/>
      <c r="Y47" s="1174"/>
      <c r="Z47" s="1174"/>
      <c r="AA47" s="1174"/>
      <c r="AB47" s="1174"/>
      <c r="AC47" s="1174"/>
      <c r="AD47" s="2494"/>
      <c r="AE47" s="2494"/>
      <c r="AF47" s="2494"/>
      <c r="AG47" s="2494"/>
      <c r="AH47" s="2494"/>
      <c r="AI47" s="2494"/>
      <c r="AJ47" s="2494"/>
      <c r="AK47" s="1190"/>
      <c r="AL47" s="2352"/>
      <c r="AM47" s="2351"/>
      <c r="AN47" s="2351"/>
      <c r="AO47" s="1174"/>
    </row>
    <row r="49" spans="9:31"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</row>
    <row r="50" spans="9:31"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</row>
    <row r="51" spans="9:31"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9:31"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9:31"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9:31"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9:31"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</sheetData>
  <mergeCells count="27">
    <mergeCell ref="C3:X3"/>
    <mergeCell ref="C4:X4"/>
    <mergeCell ref="C7:H15"/>
    <mergeCell ref="AK7:AO15"/>
    <mergeCell ref="AE7:AE15"/>
    <mergeCell ref="AG7:AG15"/>
    <mergeCell ref="AH7:AH15"/>
    <mergeCell ref="AI7:AI15"/>
    <mergeCell ref="AJ7:AJ15"/>
    <mergeCell ref="Z7:Z15"/>
    <mergeCell ref="AA7:AA15"/>
    <mergeCell ref="AB7:AB15"/>
    <mergeCell ref="AC7:AC15"/>
    <mergeCell ref="AD7:AD15"/>
    <mergeCell ref="Y3:AO3"/>
    <mergeCell ref="Y4:AO4"/>
    <mergeCell ref="P7:P15"/>
    <mergeCell ref="Q7:Q15"/>
    <mergeCell ref="R7:R15"/>
    <mergeCell ref="S7:S15"/>
    <mergeCell ref="T7:T15"/>
    <mergeCell ref="AF7:AF15"/>
    <mergeCell ref="U7:U15"/>
    <mergeCell ref="V7:V15"/>
    <mergeCell ref="W7:W15"/>
    <mergeCell ref="X7:X15"/>
    <mergeCell ref="Y7:Y15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2" orientation="portrait" horizontalDpi="300" verticalDpi="300" r:id="rId1"/>
  <headerFooter alignWithMargins="0">
    <oddFooter>&amp;C&amp;"+,Regular"&amp;22-18-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8"/>
  <sheetViews>
    <sheetView zoomScale="70" zoomScaleNormal="70" workbookViewId="0"/>
  </sheetViews>
  <sheetFormatPr defaultColWidth="0" defaultRowHeight="20.25"/>
  <cols>
    <col min="1" max="1" width="10.7109375" style="1190" customWidth="1"/>
    <col min="2" max="2" width="2.42578125" style="1844" customWidth="1"/>
    <col min="3" max="3" width="8.5703125" style="2495" customWidth="1"/>
    <col min="4" max="4" width="2.28515625" style="1844" customWidth="1"/>
    <col min="5" max="6" width="15.28515625" style="1844" customWidth="1"/>
    <col min="7" max="13" width="11.5703125" style="2496" customWidth="1"/>
    <col min="14" max="26" width="11.5703125" style="1760" customWidth="1"/>
    <col min="27" max="27" width="12.85546875" style="1760" customWidth="1"/>
    <col min="28" max="28" width="11.5703125" style="1760" customWidth="1"/>
    <col min="29" max="29" width="11.5703125" style="2260" customWidth="1"/>
    <col min="30" max="30" width="13.140625" style="2166" customWidth="1"/>
    <col min="31" max="31" width="12.28515625" style="1760" customWidth="1"/>
    <col min="32" max="32" width="1.5703125" style="2259" customWidth="1"/>
    <col min="33" max="33" width="8.7109375" style="2260" customWidth="1"/>
    <col min="34" max="34" width="1.7109375" style="1192" customWidth="1"/>
    <col min="35" max="35" width="13.85546875" style="1174" bestFit="1" customWidth="1"/>
    <col min="36" max="16384" width="0" style="1174" hidden="1"/>
  </cols>
  <sheetData>
    <row r="1" spans="1:35" ht="28.35" customHeight="1">
      <c r="S1" s="1760" t="s">
        <v>610</v>
      </c>
    </row>
    <row r="2" spans="1:35" ht="28.35" customHeight="1">
      <c r="H2" s="2497"/>
    </row>
    <row r="3" spans="1:35" s="1845" customFormat="1" ht="28.35" customHeight="1">
      <c r="A3" s="2096"/>
      <c r="B3" s="4639" t="s">
        <v>611</v>
      </c>
      <c r="C3" s="4639"/>
      <c r="D3" s="4639"/>
      <c r="E3" s="4639"/>
      <c r="F3" s="4639"/>
      <c r="G3" s="4639"/>
      <c r="H3" s="4639"/>
      <c r="I3" s="4639"/>
      <c r="J3" s="4639"/>
      <c r="K3" s="4639"/>
      <c r="L3" s="4639"/>
      <c r="M3" s="4639"/>
      <c r="N3" s="4639"/>
      <c r="O3" s="4639"/>
      <c r="P3" s="4639"/>
      <c r="Q3" s="4639"/>
      <c r="R3" s="4639"/>
      <c r="S3" s="4602" t="s">
        <v>612</v>
      </c>
      <c r="T3" s="4602"/>
      <c r="U3" s="4602"/>
      <c r="V3" s="4602"/>
      <c r="W3" s="4602"/>
      <c r="X3" s="4602"/>
      <c r="Y3" s="4602"/>
      <c r="Z3" s="4602"/>
      <c r="AA3" s="4602"/>
      <c r="AB3" s="4602"/>
      <c r="AC3" s="4602"/>
      <c r="AD3" s="4602"/>
      <c r="AE3" s="4602"/>
      <c r="AF3" s="4602"/>
      <c r="AG3" s="4602"/>
      <c r="AH3" s="4602"/>
    </row>
    <row r="4" spans="1:35" s="2498" customFormat="1" ht="28.35" customHeight="1">
      <c r="A4" s="1847"/>
      <c r="B4" s="4713" t="s">
        <v>613</v>
      </c>
      <c r="C4" s="4713"/>
      <c r="D4" s="4713"/>
      <c r="E4" s="4713"/>
      <c r="F4" s="4713"/>
      <c r="G4" s="4713"/>
      <c r="H4" s="4713"/>
      <c r="I4" s="4713"/>
      <c r="J4" s="4713"/>
      <c r="K4" s="4713"/>
      <c r="L4" s="4713"/>
      <c r="M4" s="4713"/>
      <c r="N4" s="4713"/>
      <c r="O4" s="4713"/>
      <c r="P4" s="4713"/>
      <c r="Q4" s="4713"/>
      <c r="R4" s="4713"/>
      <c r="S4" s="4713" t="s">
        <v>614</v>
      </c>
      <c r="T4" s="4713"/>
      <c r="U4" s="4713"/>
      <c r="V4" s="4713"/>
      <c r="W4" s="4713"/>
      <c r="X4" s="4713"/>
      <c r="Y4" s="4713"/>
      <c r="Z4" s="4713"/>
      <c r="AA4" s="4713"/>
      <c r="AB4" s="4713"/>
      <c r="AC4" s="4713"/>
      <c r="AD4" s="4713"/>
      <c r="AE4" s="4713"/>
      <c r="AF4" s="4713"/>
      <c r="AG4" s="4713"/>
      <c r="AH4" s="4713"/>
    </row>
    <row r="5" spans="1:35" s="1849" customFormat="1" ht="17.100000000000001" customHeight="1">
      <c r="A5" s="2499"/>
      <c r="B5" s="2500" t="s">
        <v>90</v>
      </c>
      <c r="C5" s="4169"/>
      <c r="D5" s="1268"/>
      <c r="E5" s="1268"/>
      <c r="F5" s="1268"/>
      <c r="G5" s="2262"/>
      <c r="H5" s="2262"/>
      <c r="I5" s="2158"/>
      <c r="J5" s="2158"/>
      <c r="K5" s="2501"/>
      <c r="L5" s="1317"/>
      <c r="M5" s="2158"/>
      <c r="N5" s="2262"/>
      <c r="O5" s="1318"/>
      <c r="P5" s="2262"/>
      <c r="Q5" s="2262"/>
      <c r="R5" s="1318"/>
      <c r="S5" s="1318"/>
      <c r="T5" s="1318"/>
      <c r="U5" s="1318"/>
      <c r="V5" s="1318"/>
      <c r="W5" s="1838"/>
      <c r="X5" s="2081"/>
      <c r="Y5" s="2502"/>
      <c r="Z5" s="1317"/>
      <c r="AA5" s="1318"/>
      <c r="AB5" s="1318"/>
      <c r="AC5" s="2262"/>
      <c r="AD5" s="2082"/>
      <c r="AE5" s="1318"/>
      <c r="AF5" s="2088"/>
      <c r="AG5" s="4248" t="s">
        <v>91</v>
      </c>
      <c r="AH5" s="1318"/>
    </row>
    <row r="6" spans="1:35" ht="4.3499999999999996" customHeight="1">
      <c r="B6" s="1762"/>
      <c r="C6" s="2503"/>
      <c r="D6" s="1762"/>
      <c r="E6" s="1762"/>
      <c r="F6" s="1762"/>
      <c r="G6" s="2504"/>
      <c r="H6" s="2504"/>
      <c r="I6" s="2101"/>
      <c r="J6" s="2101"/>
      <c r="K6" s="2101"/>
      <c r="L6" s="2101"/>
      <c r="M6" s="2101"/>
      <c r="N6" s="2504"/>
      <c r="O6" s="2504"/>
      <c r="P6" s="2504"/>
      <c r="Q6" s="2504"/>
      <c r="R6" s="1762"/>
      <c r="S6" s="1762"/>
      <c r="T6" s="1762"/>
      <c r="U6" s="1762"/>
      <c r="V6" s="1762"/>
      <c r="W6" s="1762"/>
      <c r="X6" s="1762"/>
      <c r="Y6" s="1762"/>
      <c r="Z6" s="1762"/>
      <c r="AA6" s="1323"/>
      <c r="AB6" s="1323"/>
      <c r="AC6" s="4178"/>
      <c r="AD6" s="2505"/>
      <c r="AE6" s="1323"/>
      <c r="AF6" s="4269"/>
      <c r="AG6" s="4178"/>
      <c r="AH6" s="1323"/>
    </row>
    <row r="7" spans="1:35" ht="41.25" customHeight="1">
      <c r="B7" s="4791" t="s">
        <v>136</v>
      </c>
      <c r="C7" s="4792"/>
      <c r="D7" s="4793"/>
      <c r="E7" s="4796" t="s">
        <v>615</v>
      </c>
      <c r="F7" s="4796"/>
      <c r="G7" s="4797" t="s">
        <v>616</v>
      </c>
      <c r="H7" s="4798"/>
      <c r="I7" s="4798"/>
      <c r="J7" s="4798"/>
      <c r="K7" s="4798"/>
      <c r="L7" s="4798"/>
      <c r="M7" s="4798"/>
      <c r="N7" s="4798"/>
      <c r="O7" s="4798"/>
      <c r="P7" s="4798"/>
      <c r="Q7" s="4798"/>
      <c r="R7" s="4799"/>
      <c r="S7" s="4800" t="s">
        <v>617</v>
      </c>
      <c r="T7" s="4797"/>
      <c r="U7" s="4797"/>
      <c r="V7" s="4797"/>
      <c r="W7" s="4797"/>
      <c r="X7" s="4797"/>
      <c r="Y7" s="4797"/>
      <c r="Z7" s="4797"/>
      <c r="AA7" s="4797"/>
      <c r="AB7" s="4797"/>
      <c r="AC7" s="4797"/>
      <c r="AD7" s="4801"/>
      <c r="AE7" s="2510"/>
      <c r="AF7" s="4802" t="s">
        <v>107</v>
      </c>
      <c r="AG7" s="4792"/>
      <c r="AH7" s="4803"/>
    </row>
    <row r="8" spans="1:35" ht="28.5" customHeight="1">
      <c r="B8" s="4794"/>
      <c r="C8" s="4750"/>
      <c r="D8" s="4795"/>
      <c r="E8" s="4804" t="s">
        <v>618</v>
      </c>
      <c r="F8" s="4804"/>
      <c r="G8" s="2516" t="s">
        <v>619</v>
      </c>
      <c r="H8" s="2517"/>
      <c r="I8" s="2517"/>
      <c r="J8" s="2517"/>
      <c r="K8" s="2516" t="s">
        <v>620</v>
      </c>
      <c r="L8" s="2517"/>
      <c r="M8" s="2517"/>
      <c r="N8" s="2136"/>
      <c r="O8" s="2518" t="s">
        <v>621</v>
      </c>
      <c r="P8" s="2518"/>
      <c r="Q8" s="2518"/>
      <c r="R8" s="2518"/>
      <c r="S8" s="2519"/>
      <c r="T8" s="4221" t="s">
        <v>622</v>
      </c>
      <c r="U8" s="2520"/>
      <c r="V8" s="2520"/>
      <c r="W8" s="4805" t="s">
        <v>623</v>
      </c>
      <c r="X8" s="4806"/>
      <c r="Y8" s="4806"/>
      <c r="Z8" s="4807"/>
      <c r="AA8" s="4806" t="s">
        <v>624</v>
      </c>
      <c r="AB8" s="4806"/>
      <c r="AC8" s="4806"/>
      <c r="AD8" s="4806"/>
      <c r="AE8" s="2522" t="s">
        <v>8</v>
      </c>
      <c r="AF8" s="4749"/>
      <c r="AG8" s="4750"/>
      <c r="AH8" s="4751"/>
      <c r="AI8" s="1801"/>
    </row>
    <row r="9" spans="1:35" ht="29.25" customHeight="1">
      <c r="B9" s="4794"/>
      <c r="C9" s="4750"/>
      <c r="D9" s="4795"/>
      <c r="E9" s="4229" t="s">
        <v>625</v>
      </c>
      <c r="F9" s="4229" t="s">
        <v>626</v>
      </c>
      <c r="G9" s="2141" t="s">
        <v>627</v>
      </c>
      <c r="H9" s="2239"/>
      <c r="I9" s="2239"/>
      <c r="J9" s="2239"/>
      <c r="K9" s="2141" t="s">
        <v>522</v>
      </c>
      <c r="L9" s="2239"/>
      <c r="M9" s="2239"/>
      <c r="N9" s="1239"/>
      <c r="O9" s="1240" t="s">
        <v>628</v>
      </c>
      <c r="P9" s="1240"/>
      <c r="Q9" s="1240"/>
      <c r="R9" s="1240"/>
      <c r="S9" s="2523"/>
      <c r="T9" s="4198" t="s">
        <v>124</v>
      </c>
      <c r="U9" s="2290"/>
      <c r="V9" s="1283"/>
      <c r="W9" s="4749" t="s">
        <v>360</v>
      </c>
      <c r="X9" s="4750"/>
      <c r="Y9" s="4750"/>
      <c r="Z9" s="4795"/>
      <c r="AA9" s="4750" t="s">
        <v>629</v>
      </c>
      <c r="AB9" s="4750"/>
      <c r="AC9" s="4750"/>
      <c r="AD9" s="4750"/>
      <c r="AE9" s="1249" t="s">
        <v>170</v>
      </c>
      <c r="AF9" s="4749"/>
      <c r="AG9" s="4750"/>
      <c r="AH9" s="4751"/>
      <c r="AI9" s="1801"/>
    </row>
    <row r="10" spans="1:35" s="1801" customFormat="1" ht="11.25" customHeight="1">
      <c r="A10" s="1808"/>
      <c r="B10" s="4794"/>
      <c r="C10" s="4750"/>
      <c r="D10" s="4795"/>
      <c r="E10" s="1235"/>
      <c r="F10" s="1235"/>
      <c r="G10" s="2524"/>
      <c r="H10" s="2525"/>
      <c r="I10" s="2525"/>
      <c r="J10" s="2525"/>
      <c r="K10" s="2524"/>
      <c r="L10" s="2525"/>
      <c r="M10" s="2525"/>
      <c r="N10" s="1289"/>
      <c r="O10" s="1288"/>
      <c r="P10" s="1288"/>
      <c r="Q10" s="1288"/>
      <c r="R10" s="1288"/>
      <c r="S10" s="2526"/>
      <c r="T10" s="4145"/>
      <c r="U10" s="2527"/>
      <c r="V10" s="1375"/>
      <c r="W10" s="1285"/>
      <c r="X10" s="1288"/>
      <c r="Y10" s="1288"/>
      <c r="Z10" s="1289"/>
      <c r="AA10" s="1288"/>
      <c r="AB10" s="1288"/>
      <c r="AC10" s="1288"/>
      <c r="AD10" s="2525"/>
      <c r="AE10" s="1249"/>
      <c r="AF10" s="4749"/>
      <c r="AG10" s="4750"/>
      <c r="AH10" s="4751"/>
    </row>
    <row r="11" spans="1:35" ht="24.75" customHeight="1">
      <c r="B11" s="4782" t="s">
        <v>144</v>
      </c>
      <c r="C11" s="4783"/>
      <c r="D11" s="4784"/>
      <c r="E11" s="4229"/>
      <c r="F11" s="4229"/>
      <c r="G11" s="2528"/>
      <c r="H11" s="2528"/>
      <c r="I11" s="2528"/>
      <c r="J11" s="2529" t="s">
        <v>8</v>
      </c>
      <c r="K11" s="2528"/>
      <c r="L11" s="2528"/>
      <c r="M11" s="2528"/>
      <c r="N11" s="2529" t="s">
        <v>8</v>
      </c>
      <c r="O11" s="2529"/>
      <c r="P11" s="2529"/>
      <c r="Q11" s="2529"/>
      <c r="R11" s="2530" t="s">
        <v>8</v>
      </c>
      <c r="S11" s="2531"/>
      <c r="T11" s="2529"/>
      <c r="U11" s="2529"/>
      <c r="V11" s="4227"/>
      <c r="W11" s="2532"/>
      <c r="X11" s="2532"/>
      <c r="Y11" s="2532"/>
      <c r="Z11" s="1384" t="s">
        <v>8</v>
      </c>
      <c r="AA11" s="2529" t="s">
        <v>8</v>
      </c>
      <c r="AB11" s="2532"/>
      <c r="AC11" s="2529"/>
      <c r="AD11" s="4194" t="s">
        <v>8</v>
      </c>
      <c r="AE11" s="1249" t="s">
        <v>395</v>
      </c>
      <c r="AF11" s="4786" t="s">
        <v>116</v>
      </c>
      <c r="AG11" s="4783"/>
      <c r="AH11" s="4787"/>
      <c r="AI11" s="1801"/>
    </row>
    <row r="12" spans="1:35" ht="25.5" customHeight="1">
      <c r="A12" s="1174"/>
      <c r="B12" s="4782"/>
      <c r="C12" s="4783"/>
      <c r="D12" s="4784"/>
      <c r="E12" s="4229"/>
      <c r="F12" s="4229"/>
      <c r="G12" s="4228" t="s">
        <v>8</v>
      </c>
      <c r="H12" s="4228" t="s">
        <v>8</v>
      </c>
      <c r="I12" s="4228" t="s">
        <v>630</v>
      </c>
      <c r="J12" s="4228"/>
      <c r="K12" s="4228" t="s">
        <v>8</v>
      </c>
      <c r="L12" s="4228" t="s">
        <v>8</v>
      </c>
      <c r="M12" s="4228" t="s">
        <v>630</v>
      </c>
      <c r="N12" s="4228"/>
      <c r="O12" s="4229" t="s">
        <v>8</v>
      </c>
      <c r="P12" s="4229" t="s">
        <v>8</v>
      </c>
      <c r="Q12" s="4229" t="s">
        <v>630</v>
      </c>
      <c r="R12" s="4185"/>
      <c r="S12" s="4215" t="s">
        <v>8</v>
      </c>
      <c r="T12" s="4229" t="s">
        <v>8</v>
      </c>
      <c r="U12" s="4229" t="s">
        <v>630</v>
      </c>
      <c r="V12" s="4228"/>
      <c r="W12" s="4229" t="s">
        <v>8</v>
      </c>
      <c r="X12" s="4229" t="s">
        <v>8</v>
      </c>
      <c r="Y12" s="4229" t="s">
        <v>630</v>
      </c>
      <c r="Z12" s="4228"/>
      <c r="AA12" s="4229" t="s">
        <v>8</v>
      </c>
      <c r="AB12" s="4229" t="s">
        <v>8</v>
      </c>
      <c r="AC12" s="4229" t="s">
        <v>630</v>
      </c>
      <c r="AD12" s="4194"/>
      <c r="AE12" s="4229" t="s">
        <v>8</v>
      </c>
      <c r="AF12" s="4786"/>
      <c r="AG12" s="4783"/>
      <c r="AH12" s="4787"/>
      <c r="AI12" s="1801"/>
    </row>
    <row r="13" spans="1:35" ht="20.45" customHeight="1">
      <c r="A13" s="1174"/>
      <c r="B13" s="4782"/>
      <c r="C13" s="4783"/>
      <c r="D13" s="4784"/>
      <c r="E13" s="4229" t="s">
        <v>421</v>
      </c>
      <c r="F13" s="1774"/>
      <c r="G13" s="4229" t="s">
        <v>631</v>
      </c>
      <c r="H13" s="4228" t="s">
        <v>632</v>
      </c>
      <c r="I13" s="4228" t="s">
        <v>633</v>
      </c>
      <c r="J13" s="4228" t="s">
        <v>170</v>
      </c>
      <c r="K13" s="4229" t="s">
        <v>631</v>
      </c>
      <c r="L13" s="4228" t="s">
        <v>632</v>
      </c>
      <c r="M13" s="4228" t="s">
        <v>633</v>
      </c>
      <c r="N13" s="4228" t="s">
        <v>170</v>
      </c>
      <c r="O13" s="4229" t="s">
        <v>631</v>
      </c>
      <c r="P13" s="4229" t="s">
        <v>632</v>
      </c>
      <c r="Q13" s="4229" t="s">
        <v>633</v>
      </c>
      <c r="R13" s="4185" t="s">
        <v>170</v>
      </c>
      <c r="S13" s="4229" t="s">
        <v>631</v>
      </c>
      <c r="T13" s="4229" t="s">
        <v>632</v>
      </c>
      <c r="U13" s="4229" t="s">
        <v>633</v>
      </c>
      <c r="V13" s="4228" t="s">
        <v>170</v>
      </c>
      <c r="W13" s="4229" t="s">
        <v>631</v>
      </c>
      <c r="X13" s="4229" t="s">
        <v>632</v>
      </c>
      <c r="Y13" s="4229" t="s">
        <v>633</v>
      </c>
      <c r="Z13" s="4228" t="s">
        <v>170</v>
      </c>
      <c r="AA13" s="4229" t="s">
        <v>631</v>
      </c>
      <c r="AB13" s="4229" t="s">
        <v>632</v>
      </c>
      <c r="AC13" s="4229" t="s">
        <v>633</v>
      </c>
      <c r="AD13" s="4194" t="s">
        <v>170</v>
      </c>
      <c r="AE13" s="1249" t="s">
        <v>634</v>
      </c>
      <c r="AF13" s="4786"/>
      <c r="AG13" s="4783"/>
      <c r="AH13" s="4787"/>
      <c r="AI13" s="1801"/>
    </row>
    <row r="14" spans="1:35" ht="20.45" customHeight="1">
      <c r="A14" s="1174"/>
      <c r="B14" s="4785"/>
      <c r="C14" s="4625"/>
      <c r="D14" s="4626"/>
      <c r="E14" s="4238" t="s">
        <v>604</v>
      </c>
      <c r="F14" s="4238" t="s">
        <v>635</v>
      </c>
      <c r="G14" s="2203" t="s">
        <v>636</v>
      </c>
      <c r="H14" s="2203" t="s">
        <v>637</v>
      </c>
      <c r="I14" s="2203" t="s">
        <v>638</v>
      </c>
      <c r="J14" s="2203" t="s">
        <v>187</v>
      </c>
      <c r="K14" s="2203" t="s">
        <v>636</v>
      </c>
      <c r="L14" s="2203" t="s">
        <v>637</v>
      </c>
      <c r="M14" s="2203" t="s">
        <v>638</v>
      </c>
      <c r="N14" s="2203" t="s">
        <v>187</v>
      </c>
      <c r="O14" s="2203" t="s">
        <v>636</v>
      </c>
      <c r="P14" s="2203" t="s">
        <v>637</v>
      </c>
      <c r="Q14" s="2203" t="s">
        <v>638</v>
      </c>
      <c r="R14" s="4187" t="s">
        <v>187</v>
      </c>
      <c r="S14" s="4188" t="s">
        <v>636</v>
      </c>
      <c r="T14" s="2203" t="s">
        <v>637</v>
      </c>
      <c r="U14" s="2203" t="s">
        <v>638</v>
      </c>
      <c r="V14" s="2203" t="s">
        <v>187</v>
      </c>
      <c r="W14" s="2203" t="s">
        <v>636</v>
      </c>
      <c r="X14" s="2203" t="s">
        <v>637</v>
      </c>
      <c r="Y14" s="2203" t="s">
        <v>638</v>
      </c>
      <c r="Z14" s="2203" t="s">
        <v>187</v>
      </c>
      <c r="AA14" s="2203" t="s">
        <v>636</v>
      </c>
      <c r="AB14" s="2203" t="s">
        <v>637</v>
      </c>
      <c r="AC14" s="2203" t="s">
        <v>638</v>
      </c>
      <c r="AD14" s="4189" t="s">
        <v>187</v>
      </c>
      <c r="AE14" s="2533" t="s">
        <v>187</v>
      </c>
      <c r="AF14" s="4788"/>
      <c r="AG14" s="4625"/>
      <c r="AH14" s="4789"/>
      <c r="AI14" s="1801"/>
    </row>
    <row r="15" spans="1:35" ht="39.75" customHeight="1">
      <c r="B15" s="4790">
        <v>1964</v>
      </c>
      <c r="C15" s="4684"/>
      <c r="D15" s="4684"/>
      <c r="E15" s="4275" t="s">
        <v>77</v>
      </c>
      <c r="F15" s="1345" t="s">
        <v>77</v>
      </c>
      <c r="G15" s="4184">
        <v>0.7</v>
      </c>
      <c r="H15" s="4184">
        <v>0</v>
      </c>
      <c r="I15" s="4184">
        <v>0.9</v>
      </c>
      <c r="J15" s="4184">
        <f t="shared" ref="J15:J43" si="0">SUM(I15+H15+G15)</f>
        <v>1.6</v>
      </c>
      <c r="K15" s="4184">
        <v>10.8</v>
      </c>
      <c r="L15" s="4184">
        <v>0</v>
      </c>
      <c r="M15" s="4184">
        <v>3</v>
      </c>
      <c r="N15" s="4190">
        <f t="shared" ref="N15:N43" si="1">SUM(M15+L15+K15)</f>
        <v>13.8</v>
      </c>
      <c r="O15" s="4184">
        <v>0.4</v>
      </c>
      <c r="P15" s="4184">
        <v>0</v>
      </c>
      <c r="Q15" s="4184">
        <v>2.2999999999999998</v>
      </c>
      <c r="R15" s="4190">
        <f>SUM(O15:Q15)</f>
        <v>2.6999999999999997</v>
      </c>
      <c r="S15" s="4190">
        <v>0</v>
      </c>
      <c r="T15" s="4190">
        <v>0</v>
      </c>
      <c r="U15" s="4190">
        <v>0.4</v>
      </c>
      <c r="V15" s="4190">
        <f t="shared" ref="V15:V43" si="2">SUM(S15:U15)</f>
        <v>0.4</v>
      </c>
      <c r="W15" s="4184">
        <v>0.5</v>
      </c>
      <c r="X15" s="4184">
        <v>0</v>
      </c>
      <c r="Y15" s="4184">
        <v>1.5</v>
      </c>
      <c r="Z15" s="4190">
        <f t="shared" ref="Z15:Z43" si="3">SUM(W15:Y15)</f>
        <v>2</v>
      </c>
      <c r="AA15" s="4190">
        <v>10.199999999999999</v>
      </c>
      <c r="AB15" s="4190">
        <v>3.1</v>
      </c>
      <c r="AC15" s="4190">
        <v>14.9</v>
      </c>
      <c r="AD15" s="4190">
        <f t="shared" ref="AD15:AD42" si="4">SUM(AA15:AC15)</f>
        <v>28.2</v>
      </c>
      <c r="AE15" s="1345">
        <f t="shared" ref="AE15:AE43" si="5">SUM(AD15+Z15+V15+R15+N15+J15)</f>
        <v>48.699999999999996</v>
      </c>
      <c r="AF15" s="4684">
        <v>1964</v>
      </c>
      <c r="AG15" s="4684"/>
      <c r="AH15" s="4692"/>
    </row>
    <row r="16" spans="1:35" ht="39.75" customHeight="1">
      <c r="B16" s="4780">
        <v>1965</v>
      </c>
      <c r="C16" s="4694"/>
      <c r="D16" s="4694"/>
      <c r="E16" s="1138" t="s">
        <v>77</v>
      </c>
      <c r="F16" s="1424" t="s">
        <v>77</v>
      </c>
      <c r="G16" s="4254">
        <v>1.3</v>
      </c>
      <c r="H16" s="4254">
        <v>0</v>
      </c>
      <c r="I16" s="4254">
        <v>0.7</v>
      </c>
      <c r="J16" s="4183">
        <f t="shared" si="0"/>
        <v>2</v>
      </c>
      <c r="K16" s="4254">
        <v>0.1</v>
      </c>
      <c r="L16" s="4254">
        <v>0</v>
      </c>
      <c r="M16" s="4254">
        <v>1.3</v>
      </c>
      <c r="N16" s="4255">
        <f t="shared" si="1"/>
        <v>1.4000000000000001</v>
      </c>
      <c r="O16" s="4254">
        <v>1.3</v>
      </c>
      <c r="P16" s="4254">
        <v>0</v>
      </c>
      <c r="Q16" s="4254">
        <v>1.7</v>
      </c>
      <c r="R16" s="4255">
        <f t="shared" ref="R16:R43" si="6">SUM(O16:Q16)</f>
        <v>3</v>
      </c>
      <c r="S16" s="4255">
        <v>0.1</v>
      </c>
      <c r="T16" s="4255">
        <v>0</v>
      </c>
      <c r="U16" s="4255">
        <v>0.4</v>
      </c>
      <c r="V16" s="4255">
        <f t="shared" si="2"/>
        <v>0.5</v>
      </c>
      <c r="W16" s="4254">
        <v>0.5</v>
      </c>
      <c r="X16" s="4254">
        <v>0</v>
      </c>
      <c r="Y16" s="4254">
        <v>1</v>
      </c>
      <c r="Z16" s="4255">
        <f t="shared" si="3"/>
        <v>1.5</v>
      </c>
      <c r="AA16" s="4255">
        <v>12.5</v>
      </c>
      <c r="AB16" s="4255">
        <v>3.9</v>
      </c>
      <c r="AC16" s="4255">
        <v>19.3</v>
      </c>
      <c r="AD16" s="4255">
        <f t="shared" si="4"/>
        <v>35.700000000000003</v>
      </c>
      <c r="AE16" s="1424">
        <f t="shared" si="5"/>
        <v>44.1</v>
      </c>
      <c r="AF16" s="4694">
        <v>1965</v>
      </c>
      <c r="AG16" s="4694"/>
      <c r="AH16" s="4781"/>
    </row>
    <row r="17" spans="2:34" ht="39.75" customHeight="1">
      <c r="B17" s="4790">
        <v>1966</v>
      </c>
      <c r="C17" s="4684"/>
      <c r="D17" s="4684"/>
      <c r="E17" s="4275" t="s">
        <v>77</v>
      </c>
      <c r="F17" s="1345" t="s">
        <v>77</v>
      </c>
      <c r="G17" s="4184">
        <v>1.1000000000000001</v>
      </c>
      <c r="H17" s="4184">
        <v>0</v>
      </c>
      <c r="I17" s="4184">
        <v>1.1000000000000001</v>
      </c>
      <c r="J17" s="4184">
        <f t="shared" si="0"/>
        <v>2.2000000000000002</v>
      </c>
      <c r="K17" s="4184">
        <v>0.2</v>
      </c>
      <c r="L17" s="4184">
        <v>0</v>
      </c>
      <c r="M17" s="4184">
        <v>2.6</v>
      </c>
      <c r="N17" s="4190">
        <f t="shared" si="1"/>
        <v>2.8000000000000003</v>
      </c>
      <c r="O17" s="4184">
        <v>0.8</v>
      </c>
      <c r="P17" s="4184">
        <v>0</v>
      </c>
      <c r="Q17" s="4184">
        <v>1.6</v>
      </c>
      <c r="R17" s="4190">
        <f t="shared" si="6"/>
        <v>2.4000000000000004</v>
      </c>
      <c r="S17" s="4190">
        <v>0.1</v>
      </c>
      <c r="T17" s="4190">
        <v>0</v>
      </c>
      <c r="U17" s="4190">
        <v>0.4</v>
      </c>
      <c r="V17" s="4190">
        <f t="shared" si="2"/>
        <v>0.5</v>
      </c>
      <c r="W17" s="4184">
        <v>0.1</v>
      </c>
      <c r="X17" s="4184">
        <v>0</v>
      </c>
      <c r="Y17" s="4184">
        <v>0.4</v>
      </c>
      <c r="Z17" s="4190">
        <f t="shared" si="3"/>
        <v>0.5</v>
      </c>
      <c r="AA17" s="4190">
        <v>15.4</v>
      </c>
      <c r="AB17" s="4190">
        <v>4.0999999999999996</v>
      </c>
      <c r="AC17" s="4190">
        <v>24.9</v>
      </c>
      <c r="AD17" s="4190">
        <f t="shared" si="4"/>
        <v>44.4</v>
      </c>
      <c r="AE17" s="1345">
        <f t="shared" si="5"/>
        <v>52.8</v>
      </c>
      <c r="AF17" s="4684">
        <v>1966</v>
      </c>
      <c r="AG17" s="4684"/>
      <c r="AH17" s="4692"/>
    </row>
    <row r="18" spans="2:34" ht="39.75" customHeight="1">
      <c r="B18" s="4780">
        <v>1967</v>
      </c>
      <c r="C18" s="4694"/>
      <c r="D18" s="4694"/>
      <c r="E18" s="1138" t="s">
        <v>77</v>
      </c>
      <c r="F18" s="1424" t="s">
        <v>77</v>
      </c>
      <c r="G18" s="4254">
        <v>0.5</v>
      </c>
      <c r="H18" s="4254">
        <v>0</v>
      </c>
      <c r="I18" s="4254">
        <v>1.6</v>
      </c>
      <c r="J18" s="4183">
        <f t="shared" si="0"/>
        <v>2.1</v>
      </c>
      <c r="K18" s="4254">
        <v>1.2</v>
      </c>
      <c r="L18" s="4254">
        <v>0</v>
      </c>
      <c r="M18" s="4254">
        <v>5.2</v>
      </c>
      <c r="N18" s="4255">
        <f t="shared" si="1"/>
        <v>6.4</v>
      </c>
      <c r="O18" s="4254">
        <v>1.4</v>
      </c>
      <c r="P18" s="4254">
        <v>0</v>
      </c>
      <c r="Q18" s="4254">
        <v>1.1000000000000001</v>
      </c>
      <c r="R18" s="4255">
        <f t="shared" si="6"/>
        <v>2.5</v>
      </c>
      <c r="S18" s="4255">
        <v>0.2</v>
      </c>
      <c r="T18" s="4255">
        <v>0</v>
      </c>
      <c r="U18" s="4255">
        <v>0.5</v>
      </c>
      <c r="V18" s="4255">
        <f t="shared" si="2"/>
        <v>0.7</v>
      </c>
      <c r="W18" s="4254">
        <v>0.3</v>
      </c>
      <c r="X18" s="4254">
        <v>0</v>
      </c>
      <c r="Y18" s="4254">
        <v>0.8</v>
      </c>
      <c r="Z18" s="4255">
        <f t="shared" si="3"/>
        <v>1.1000000000000001</v>
      </c>
      <c r="AA18" s="4255">
        <v>14.6</v>
      </c>
      <c r="AB18" s="4255">
        <v>3.6</v>
      </c>
      <c r="AC18" s="4255">
        <v>22.4</v>
      </c>
      <c r="AD18" s="4255">
        <f t="shared" si="4"/>
        <v>40.599999999999994</v>
      </c>
      <c r="AE18" s="1424">
        <f t="shared" si="5"/>
        <v>53.4</v>
      </c>
      <c r="AF18" s="4694">
        <v>1967</v>
      </c>
      <c r="AG18" s="4694"/>
      <c r="AH18" s="4781"/>
    </row>
    <row r="19" spans="2:34" ht="39.75" customHeight="1">
      <c r="B19" s="4790">
        <v>1968</v>
      </c>
      <c r="C19" s="4684"/>
      <c r="D19" s="4684"/>
      <c r="E19" s="4275" t="s">
        <v>77</v>
      </c>
      <c r="F19" s="1345" t="s">
        <v>77</v>
      </c>
      <c r="G19" s="4184">
        <v>0.4</v>
      </c>
      <c r="H19" s="4184">
        <v>0</v>
      </c>
      <c r="I19" s="4184">
        <v>1.5</v>
      </c>
      <c r="J19" s="4184">
        <f t="shared" si="0"/>
        <v>1.9</v>
      </c>
      <c r="K19" s="4184">
        <v>1.5</v>
      </c>
      <c r="L19" s="4184">
        <v>0</v>
      </c>
      <c r="M19" s="4184">
        <v>3.9</v>
      </c>
      <c r="N19" s="4190">
        <f t="shared" si="1"/>
        <v>5.4</v>
      </c>
      <c r="O19" s="4184">
        <v>1</v>
      </c>
      <c r="P19" s="4184">
        <v>0</v>
      </c>
      <c r="Q19" s="4184">
        <v>1</v>
      </c>
      <c r="R19" s="4190">
        <f t="shared" si="6"/>
        <v>2</v>
      </c>
      <c r="S19" s="4190">
        <v>0.3</v>
      </c>
      <c r="T19" s="4190">
        <v>0</v>
      </c>
      <c r="U19" s="4190">
        <v>0.6</v>
      </c>
      <c r="V19" s="4190">
        <f t="shared" si="2"/>
        <v>0.89999999999999991</v>
      </c>
      <c r="W19" s="4184">
        <v>0</v>
      </c>
      <c r="X19" s="4184">
        <v>0</v>
      </c>
      <c r="Y19" s="4184">
        <v>1.1000000000000001</v>
      </c>
      <c r="Z19" s="4190">
        <f t="shared" si="3"/>
        <v>1.1000000000000001</v>
      </c>
      <c r="AA19" s="4190">
        <v>16.3</v>
      </c>
      <c r="AB19" s="4190">
        <v>3.9</v>
      </c>
      <c r="AC19" s="4190">
        <v>22.7</v>
      </c>
      <c r="AD19" s="4190">
        <f t="shared" si="4"/>
        <v>42.9</v>
      </c>
      <c r="AE19" s="1345">
        <f t="shared" si="5"/>
        <v>54.199999999999996</v>
      </c>
      <c r="AF19" s="4684">
        <v>1968</v>
      </c>
      <c r="AG19" s="4684"/>
      <c r="AH19" s="4692"/>
    </row>
    <row r="20" spans="2:34" ht="39.75" customHeight="1">
      <c r="B20" s="4780">
        <v>1969</v>
      </c>
      <c r="C20" s="4694"/>
      <c r="D20" s="4694"/>
      <c r="E20" s="1138" t="s">
        <v>77</v>
      </c>
      <c r="F20" s="1424" t="s">
        <v>77</v>
      </c>
      <c r="G20" s="4254">
        <v>0.9</v>
      </c>
      <c r="H20" s="4254">
        <v>0</v>
      </c>
      <c r="I20" s="4254">
        <v>1.6</v>
      </c>
      <c r="J20" s="4183">
        <f t="shared" si="0"/>
        <v>2.5</v>
      </c>
      <c r="K20" s="4254">
        <v>1.2</v>
      </c>
      <c r="L20" s="4254">
        <v>0</v>
      </c>
      <c r="M20" s="4254">
        <v>4.9000000000000004</v>
      </c>
      <c r="N20" s="4255">
        <f t="shared" si="1"/>
        <v>6.1000000000000005</v>
      </c>
      <c r="O20" s="4254">
        <v>0.4</v>
      </c>
      <c r="P20" s="4254">
        <v>0</v>
      </c>
      <c r="Q20" s="4254">
        <v>1</v>
      </c>
      <c r="R20" s="4255">
        <f t="shared" si="6"/>
        <v>1.4</v>
      </c>
      <c r="S20" s="4255">
        <v>0.3</v>
      </c>
      <c r="T20" s="4255">
        <v>0</v>
      </c>
      <c r="U20" s="4255">
        <v>0.4</v>
      </c>
      <c r="V20" s="4255">
        <f t="shared" si="2"/>
        <v>0.7</v>
      </c>
      <c r="W20" s="4254">
        <v>0.1</v>
      </c>
      <c r="X20" s="4254">
        <v>0</v>
      </c>
      <c r="Y20" s="4254">
        <v>1.3</v>
      </c>
      <c r="Z20" s="4255">
        <f t="shared" si="3"/>
        <v>1.4000000000000001</v>
      </c>
      <c r="AA20" s="4255">
        <v>17.3</v>
      </c>
      <c r="AB20" s="4255">
        <v>4.8</v>
      </c>
      <c r="AC20" s="4255">
        <v>23.2</v>
      </c>
      <c r="AD20" s="4255">
        <f t="shared" si="4"/>
        <v>45.3</v>
      </c>
      <c r="AE20" s="1424">
        <f t="shared" si="5"/>
        <v>57.4</v>
      </c>
      <c r="AF20" s="4694">
        <v>1969</v>
      </c>
      <c r="AG20" s="4694"/>
      <c r="AH20" s="4781"/>
    </row>
    <row r="21" spans="2:34" ht="39.75" customHeight="1">
      <c r="B21" s="4790">
        <v>1970</v>
      </c>
      <c r="C21" s="4684"/>
      <c r="D21" s="4684"/>
      <c r="E21" s="4275" t="s">
        <v>77</v>
      </c>
      <c r="F21" s="1345" t="s">
        <v>77</v>
      </c>
      <c r="G21" s="4184">
        <v>0.8</v>
      </c>
      <c r="H21" s="4184">
        <v>0</v>
      </c>
      <c r="I21" s="4184">
        <v>1.7</v>
      </c>
      <c r="J21" s="4184">
        <f t="shared" si="0"/>
        <v>2.5</v>
      </c>
      <c r="K21" s="4184">
        <v>2.4</v>
      </c>
      <c r="L21" s="4184">
        <v>0</v>
      </c>
      <c r="M21" s="4184">
        <v>4.7</v>
      </c>
      <c r="N21" s="4190">
        <f t="shared" si="1"/>
        <v>7.1</v>
      </c>
      <c r="O21" s="4184">
        <v>0.3</v>
      </c>
      <c r="P21" s="4184">
        <v>0</v>
      </c>
      <c r="Q21" s="4184">
        <v>1.4</v>
      </c>
      <c r="R21" s="4190">
        <f t="shared" si="6"/>
        <v>1.7</v>
      </c>
      <c r="S21" s="4190">
        <v>0.1</v>
      </c>
      <c r="T21" s="4190">
        <v>0</v>
      </c>
      <c r="U21" s="4190">
        <v>0.8</v>
      </c>
      <c r="V21" s="4190">
        <f t="shared" si="2"/>
        <v>0.9</v>
      </c>
      <c r="W21" s="4184">
        <v>0.6</v>
      </c>
      <c r="X21" s="4184">
        <v>0</v>
      </c>
      <c r="Y21" s="4184">
        <v>1.5</v>
      </c>
      <c r="Z21" s="4190">
        <f t="shared" si="3"/>
        <v>2.1</v>
      </c>
      <c r="AA21" s="4190">
        <v>16.8</v>
      </c>
      <c r="AB21" s="4190">
        <v>5.8</v>
      </c>
      <c r="AC21" s="4190">
        <v>20.8</v>
      </c>
      <c r="AD21" s="4190">
        <f t="shared" si="4"/>
        <v>43.400000000000006</v>
      </c>
      <c r="AE21" s="1345">
        <f t="shared" si="5"/>
        <v>57.70000000000001</v>
      </c>
      <c r="AF21" s="4684">
        <v>1970</v>
      </c>
      <c r="AG21" s="4684"/>
      <c r="AH21" s="4692"/>
    </row>
    <row r="22" spans="2:34" ht="39.75" customHeight="1">
      <c r="B22" s="4780">
        <v>1971</v>
      </c>
      <c r="C22" s="4694"/>
      <c r="D22" s="4694"/>
      <c r="E22" s="1138" t="s">
        <v>77</v>
      </c>
      <c r="F22" s="1424" t="s">
        <v>77</v>
      </c>
      <c r="G22" s="4254">
        <v>0.7</v>
      </c>
      <c r="H22" s="4254">
        <v>0</v>
      </c>
      <c r="I22" s="4254">
        <v>1.4</v>
      </c>
      <c r="J22" s="4183">
        <f t="shared" si="0"/>
        <v>2.0999999999999996</v>
      </c>
      <c r="K22" s="4254">
        <v>1.5</v>
      </c>
      <c r="L22" s="4254">
        <v>0</v>
      </c>
      <c r="M22" s="4254">
        <v>2.9</v>
      </c>
      <c r="N22" s="4255">
        <f t="shared" si="1"/>
        <v>4.4000000000000004</v>
      </c>
      <c r="O22" s="4254">
        <v>0.5</v>
      </c>
      <c r="P22" s="4254">
        <v>0</v>
      </c>
      <c r="Q22" s="4254">
        <v>1.2</v>
      </c>
      <c r="R22" s="4255">
        <f t="shared" si="6"/>
        <v>1.7</v>
      </c>
      <c r="S22" s="4255">
        <v>0.1</v>
      </c>
      <c r="T22" s="4255">
        <v>0</v>
      </c>
      <c r="U22" s="4255">
        <v>0.5</v>
      </c>
      <c r="V22" s="4255">
        <f t="shared" si="2"/>
        <v>0.6</v>
      </c>
      <c r="W22" s="4254">
        <v>0.5</v>
      </c>
      <c r="X22" s="4254">
        <v>0</v>
      </c>
      <c r="Y22" s="4254">
        <v>1.6</v>
      </c>
      <c r="Z22" s="4255">
        <f t="shared" si="3"/>
        <v>2.1</v>
      </c>
      <c r="AA22" s="4255">
        <v>18.600000000000001</v>
      </c>
      <c r="AB22" s="4255">
        <v>7.3</v>
      </c>
      <c r="AC22" s="4255">
        <v>22.9</v>
      </c>
      <c r="AD22" s="4255">
        <f t="shared" si="4"/>
        <v>48.8</v>
      </c>
      <c r="AE22" s="1424">
        <f t="shared" si="5"/>
        <v>59.7</v>
      </c>
      <c r="AF22" s="4694">
        <v>1971</v>
      </c>
      <c r="AG22" s="4694"/>
      <c r="AH22" s="4781"/>
    </row>
    <row r="23" spans="2:34" ht="39.75" customHeight="1">
      <c r="B23" s="4790">
        <v>1972</v>
      </c>
      <c r="C23" s="4684"/>
      <c r="D23" s="4684"/>
      <c r="E23" s="4275" t="s">
        <v>77</v>
      </c>
      <c r="F23" s="1345" t="s">
        <v>77</v>
      </c>
      <c r="G23" s="4184">
        <v>0.7</v>
      </c>
      <c r="H23" s="4184">
        <v>0</v>
      </c>
      <c r="I23" s="4184">
        <v>1.3</v>
      </c>
      <c r="J23" s="4184">
        <f t="shared" si="0"/>
        <v>2</v>
      </c>
      <c r="K23" s="4184">
        <v>1.1000000000000001</v>
      </c>
      <c r="L23" s="4184">
        <v>0</v>
      </c>
      <c r="M23" s="4184">
        <v>3.7</v>
      </c>
      <c r="N23" s="4190">
        <f t="shared" si="1"/>
        <v>4.8000000000000007</v>
      </c>
      <c r="O23" s="4184">
        <v>0.5</v>
      </c>
      <c r="P23" s="4184">
        <v>0</v>
      </c>
      <c r="Q23" s="4184">
        <v>0.9</v>
      </c>
      <c r="R23" s="4190">
        <f t="shared" si="6"/>
        <v>1.4</v>
      </c>
      <c r="S23" s="4190">
        <v>0.1</v>
      </c>
      <c r="T23" s="4190">
        <v>0</v>
      </c>
      <c r="U23" s="4190">
        <v>0.5</v>
      </c>
      <c r="V23" s="4190">
        <f t="shared" si="2"/>
        <v>0.6</v>
      </c>
      <c r="W23" s="4184">
        <v>0.74</v>
      </c>
      <c r="X23" s="4184">
        <v>0</v>
      </c>
      <c r="Y23" s="4184">
        <v>2.1</v>
      </c>
      <c r="Z23" s="4190">
        <f t="shared" si="3"/>
        <v>2.84</v>
      </c>
      <c r="AA23" s="4190">
        <v>20.8</v>
      </c>
      <c r="AB23" s="4190">
        <v>9.5</v>
      </c>
      <c r="AC23" s="4190">
        <v>31</v>
      </c>
      <c r="AD23" s="4190">
        <f t="shared" si="4"/>
        <v>61.3</v>
      </c>
      <c r="AE23" s="1345">
        <f t="shared" si="5"/>
        <v>72.94</v>
      </c>
      <c r="AF23" s="4684">
        <v>1972</v>
      </c>
      <c r="AG23" s="4684"/>
      <c r="AH23" s="4692"/>
    </row>
    <row r="24" spans="2:34" ht="39.75" customHeight="1">
      <c r="B24" s="4780">
        <v>1973</v>
      </c>
      <c r="C24" s="4694"/>
      <c r="D24" s="4694"/>
      <c r="E24" s="1138" t="s">
        <v>77</v>
      </c>
      <c r="F24" s="1424" t="s">
        <v>77</v>
      </c>
      <c r="G24" s="4254">
        <v>0.7</v>
      </c>
      <c r="H24" s="4254">
        <v>0</v>
      </c>
      <c r="I24" s="4254">
        <v>1.4</v>
      </c>
      <c r="J24" s="4183">
        <f t="shared" si="0"/>
        <v>2.0999999999999996</v>
      </c>
      <c r="K24" s="4254">
        <v>0.8</v>
      </c>
      <c r="L24" s="4254">
        <v>0</v>
      </c>
      <c r="M24" s="4254">
        <v>4.3</v>
      </c>
      <c r="N24" s="4255">
        <f t="shared" si="1"/>
        <v>5.0999999999999996</v>
      </c>
      <c r="O24" s="4254">
        <v>0.2</v>
      </c>
      <c r="P24" s="4254">
        <v>0</v>
      </c>
      <c r="Q24" s="4254">
        <v>0.9</v>
      </c>
      <c r="R24" s="4255">
        <f t="shared" si="6"/>
        <v>1.1000000000000001</v>
      </c>
      <c r="S24" s="4255">
        <v>0.1</v>
      </c>
      <c r="T24" s="4255">
        <v>0</v>
      </c>
      <c r="U24" s="4255">
        <v>0.6</v>
      </c>
      <c r="V24" s="4255">
        <f t="shared" si="2"/>
        <v>0.7</v>
      </c>
      <c r="W24" s="4254">
        <v>0.9</v>
      </c>
      <c r="X24" s="4254">
        <v>0</v>
      </c>
      <c r="Y24" s="4254">
        <v>2.6</v>
      </c>
      <c r="Z24" s="4255">
        <f t="shared" si="3"/>
        <v>3.5</v>
      </c>
      <c r="AA24" s="4255">
        <v>23.2</v>
      </c>
      <c r="AB24" s="4255">
        <v>12.4</v>
      </c>
      <c r="AC24" s="4255">
        <v>37.700000000000003</v>
      </c>
      <c r="AD24" s="4255">
        <f t="shared" si="4"/>
        <v>73.300000000000011</v>
      </c>
      <c r="AE24" s="1424">
        <f t="shared" si="5"/>
        <v>85.8</v>
      </c>
      <c r="AF24" s="4694">
        <v>1973</v>
      </c>
      <c r="AG24" s="4694"/>
      <c r="AH24" s="4781"/>
    </row>
    <row r="25" spans="2:34" ht="39.75" customHeight="1">
      <c r="B25" s="4790">
        <v>1974</v>
      </c>
      <c r="C25" s="4684"/>
      <c r="D25" s="4684"/>
      <c r="E25" s="4275" t="s">
        <v>77</v>
      </c>
      <c r="F25" s="1345" t="s">
        <v>77</v>
      </c>
      <c r="G25" s="4184">
        <v>1.8</v>
      </c>
      <c r="H25" s="4184">
        <v>0</v>
      </c>
      <c r="I25" s="4184">
        <v>1.8</v>
      </c>
      <c r="J25" s="4184">
        <f t="shared" si="0"/>
        <v>3.6</v>
      </c>
      <c r="K25" s="4184">
        <v>0.8</v>
      </c>
      <c r="L25" s="4184">
        <v>0</v>
      </c>
      <c r="M25" s="4184">
        <v>5.9</v>
      </c>
      <c r="N25" s="4190">
        <f t="shared" si="1"/>
        <v>6.7</v>
      </c>
      <c r="O25" s="4184">
        <v>0.4</v>
      </c>
      <c r="P25" s="4184">
        <v>0</v>
      </c>
      <c r="Q25" s="4184">
        <v>1.3</v>
      </c>
      <c r="R25" s="4190">
        <f t="shared" si="6"/>
        <v>1.7000000000000002</v>
      </c>
      <c r="S25" s="4190">
        <v>0.1</v>
      </c>
      <c r="T25" s="4190">
        <v>0</v>
      </c>
      <c r="U25" s="4190">
        <v>0.6</v>
      </c>
      <c r="V25" s="4190">
        <f t="shared" si="2"/>
        <v>0.7</v>
      </c>
      <c r="W25" s="4184">
        <v>0.9</v>
      </c>
      <c r="X25" s="4184">
        <v>0</v>
      </c>
      <c r="Y25" s="4184">
        <v>2.8</v>
      </c>
      <c r="Z25" s="4190">
        <f t="shared" si="3"/>
        <v>3.6999999999999997</v>
      </c>
      <c r="AA25" s="4190">
        <v>30</v>
      </c>
      <c r="AB25" s="4190">
        <v>16.3</v>
      </c>
      <c r="AC25" s="4190">
        <v>52.4</v>
      </c>
      <c r="AD25" s="4190">
        <f t="shared" si="4"/>
        <v>98.699999999999989</v>
      </c>
      <c r="AE25" s="1345">
        <f t="shared" si="5"/>
        <v>115.1</v>
      </c>
      <c r="AF25" s="4684">
        <v>1974</v>
      </c>
      <c r="AG25" s="4684"/>
      <c r="AH25" s="4692"/>
    </row>
    <row r="26" spans="2:34" ht="39.75" customHeight="1">
      <c r="B26" s="4780">
        <v>1975</v>
      </c>
      <c r="C26" s="4694"/>
      <c r="D26" s="4694"/>
      <c r="E26" s="1138" t="s">
        <v>77</v>
      </c>
      <c r="F26" s="1424" t="s">
        <v>77</v>
      </c>
      <c r="G26" s="4254">
        <v>3.4</v>
      </c>
      <c r="H26" s="4254">
        <v>0.1</v>
      </c>
      <c r="I26" s="4254">
        <v>5.0999999999999996</v>
      </c>
      <c r="J26" s="4183">
        <f t="shared" si="0"/>
        <v>8.6</v>
      </c>
      <c r="K26" s="4254">
        <v>0.7</v>
      </c>
      <c r="L26" s="4254">
        <v>0</v>
      </c>
      <c r="M26" s="4254">
        <v>5.0999999999999996</v>
      </c>
      <c r="N26" s="4255">
        <f t="shared" si="1"/>
        <v>5.8</v>
      </c>
      <c r="O26" s="4254">
        <v>2.2000000000000002</v>
      </c>
      <c r="P26" s="4254">
        <v>0</v>
      </c>
      <c r="Q26" s="4254">
        <v>4</v>
      </c>
      <c r="R26" s="4255">
        <f t="shared" si="6"/>
        <v>6.2</v>
      </c>
      <c r="S26" s="4255">
        <v>0.1</v>
      </c>
      <c r="T26" s="4255">
        <v>0</v>
      </c>
      <c r="U26" s="4255">
        <v>1</v>
      </c>
      <c r="V26" s="4255">
        <f t="shared" si="2"/>
        <v>1.1000000000000001</v>
      </c>
      <c r="W26" s="4254">
        <v>0.5</v>
      </c>
      <c r="X26" s="4254">
        <v>0</v>
      </c>
      <c r="Y26" s="4254">
        <v>2.9</v>
      </c>
      <c r="Z26" s="4255">
        <f t="shared" si="3"/>
        <v>3.4</v>
      </c>
      <c r="AA26" s="4255">
        <v>38.5</v>
      </c>
      <c r="AB26" s="4255">
        <v>24.5</v>
      </c>
      <c r="AC26" s="4255">
        <v>80.599999999999994</v>
      </c>
      <c r="AD26" s="4255">
        <f t="shared" si="4"/>
        <v>143.6</v>
      </c>
      <c r="AE26" s="1424">
        <f t="shared" si="5"/>
        <v>168.7</v>
      </c>
      <c r="AF26" s="4694">
        <v>1975</v>
      </c>
      <c r="AG26" s="4694"/>
      <c r="AH26" s="4781"/>
    </row>
    <row r="27" spans="2:34" ht="39.75" customHeight="1">
      <c r="B27" s="4790">
        <v>1976</v>
      </c>
      <c r="C27" s="4684"/>
      <c r="D27" s="4684"/>
      <c r="E27" s="4275" t="s">
        <v>77</v>
      </c>
      <c r="F27" s="1345" t="s">
        <v>77</v>
      </c>
      <c r="G27" s="4184">
        <v>6.5</v>
      </c>
      <c r="H27" s="4184">
        <v>0.7</v>
      </c>
      <c r="I27" s="4184">
        <v>13.2</v>
      </c>
      <c r="J27" s="4184">
        <f t="shared" si="0"/>
        <v>20.399999999999999</v>
      </c>
      <c r="K27" s="4184">
        <v>1</v>
      </c>
      <c r="L27" s="4184">
        <v>0.21</v>
      </c>
      <c r="M27" s="4184">
        <v>9.1</v>
      </c>
      <c r="N27" s="4190">
        <f t="shared" si="1"/>
        <v>10.31</v>
      </c>
      <c r="O27" s="4184">
        <v>2.4</v>
      </c>
      <c r="P27" s="4184">
        <v>0</v>
      </c>
      <c r="Q27" s="4184">
        <v>3.9</v>
      </c>
      <c r="R27" s="4190">
        <f t="shared" si="6"/>
        <v>6.3</v>
      </c>
      <c r="S27" s="4190">
        <v>0</v>
      </c>
      <c r="T27" s="4190">
        <v>0</v>
      </c>
      <c r="U27" s="4190">
        <v>4.5999999999999996</v>
      </c>
      <c r="V27" s="4190">
        <f t="shared" si="2"/>
        <v>4.5999999999999996</v>
      </c>
      <c r="W27" s="4184">
        <v>0.9</v>
      </c>
      <c r="X27" s="4184">
        <v>0.1</v>
      </c>
      <c r="Y27" s="4184">
        <v>2.8</v>
      </c>
      <c r="Z27" s="4190">
        <f t="shared" si="3"/>
        <v>3.8</v>
      </c>
      <c r="AA27" s="4190">
        <v>49.7</v>
      </c>
      <c r="AB27" s="4190">
        <v>48.3</v>
      </c>
      <c r="AC27" s="4190">
        <v>106.6</v>
      </c>
      <c r="AD27" s="4190">
        <f t="shared" si="4"/>
        <v>204.6</v>
      </c>
      <c r="AE27" s="1345">
        <f t="shared" si="5"/>
        <v>250.01000000000002</v>
      </c>
      <c r="AF27" s="4684">
        <v>1976</v>
      </c>
      <c r="AG27" s="4684"/>
      <c r="AH27" s="4692"/>
    </row>
    <row r="28" spans="2:34" ht="39.75" customHeight="1">
      <c r="B28" s="4780">
        <v>1977</v>
      </c>
      <c r="C28" s="4694"/>
      <c r="D28" s="4694"/>
      <c r="E28" s="1138" t="s">
        <v>77</v>
      </c>
      <c r="F28" s="1424" t="s">
        <v>77</v>
      </c>
      <c r="G28" s="4254">
        <v>7.3</v>
      </c>
      <c r="H28" s="4254">
        <v>1</v>
      </c>
      <c r="I28" s="4254">
        <v>10.6</v>
      </c>
      <c r="J28" s="4183">
        <f t="shared" si="0"/>
        <v>18.899999999999999</v>
      </c>
      <c r="K28" s="4254">
        <v>2.2000000000000002</v>
      </c>
      <c r="L28" s="4254">
        <v>0</v>
      </c>
      <c r="M28" s="4254">
        <v>9.3000000000000007</v>
      </c>
      <c r="N28" s="4255">
        <f t="shared" si="1"/>
        <v>11.5</v>
      </c>
      <c r="O28" s="4254">
        <v>3.4</v>
      </c>
      <c r="P28" s="4254">
        <v>0</v>
      </c>
      <c r="Q28" s="4254">
        <v>6.1</v>
      </c>
      <c r="R28" s="4255">
        <f t="shared" si="6"/>
        <v>9.5</v>
      </c>
      <c r="S28" s="4255">
        <v>0.5</v>
      </c>
      <c r="T28" s="4255">
        <v>0</v>
      </c>
      <c r="U28" s="4255">
        <v>2.7</v>
      </c>
      <c r="V28" s="4255">
        <f t="shared" si="2"/>
        <v>3.2</v>
      </c>
      <c r="W28" s="4254">
        <v>0.2</v>
      </c>
      <c r="X28" s="4254">
        <v>0.3</v>
      </c>
      <c r="Y28" s="4254">
        <v>3.7</v>
      </c>
      <c r="Z28" s="4255">
        <f t="shared" si="3"/>
        <v>4.2</v>
      </c>
      <c r="AA28" s="4255">
        <v>73.3</v>
      </c>
      <c r="AB28" s="4255">
        <v>60.8</v>
      </c>
      <c r="AC28" s="4255">
        <v>133.4</v>
      </c>
      <c r="AD28" s="4255">
        <f t="shared" si="4"/>
        <v>267.5</v>
      </c>
      <c r="AE28" s="1424">
        <f t="shared" si="5"/>
        <v>314.79999999999995</v>
      </c>
      <c r="AF28" s="4694">
        <v>1977</v>
      </c>
      <c r="AG28" s="4694"/>
      <c r="AH28" s="4781"/>
    </row>
    <row r="29" spans="2:34" ht="39.75" customHeight="1">
      <c r="B29" s="4790">
        <v>1978</v>
      </c>
      <c r="C29" s="4684"/>
      <c r="D29" s="4684"/>
      <c r="E29" s="4275" t="s">
        <v>77</v>
      </c>
      <c r="F29" s="1345" t="s">
        <v>77</v>
      </c>
      <c r="G29" s="4184">
        <v>31.8</v>
      </c>
      <c r="H29" s="4184">
        <v>1.6</v>
      </c>
      <c r="I29" s="4184">
        <v>14.1</v>
      </c>
      <c r="J29" s="4184">
        <f t="shared" si="0"/>
        <v>47.5</v>
      </c>
      <c r="K29" s="4184">
        <v>2.7</v>
      </c>
      <c r="L29" s="4184">
        <v>0</v>
      </c>
      <c r="M29" s="4184">
        <v>5.2</v>
      </c>
      <c r="N29" s="4190">
        <f t="shared" si="1"/>
        <v>7.9</v>
      </c>
      <c r="O29" s="4184">
        <v>13</v>
      </c>
      <c r="P29" s="4184">
        <v>0.1</v>
      </c>
      <c r="Q29" s="4184">
        <v>3.3</v>
      </c>
      <c r="R29" s="4190">
        <f t="shared" si="6"/>
        <v>16.399999999999999</v>
      </c>
      <c r="S29" s="4190">
        <v>0.4</v>
      </c>
      <c r="T29" s="4190">
        <v>0.1</v>
      </c>
      <c r="U29" s="4190">
        <v>3</v>
      </c>
      <c r="V29" s="4190">
        <f t="shared" si="2"/>
        <v>3.5</v>
      </c>
      <c r="W29" s="4184">
        <v>5.5</v>
      </c>
      <c r="X29" s="4184">
        <v>0</v>
      </c>
      <c r="Y29" s="4184">
        <v>3.1</v>
      </c>
      <c r="Z29" s="4190">
        <f t="shared" si="3"/>
        <v>8.6</v>
      </c>
      <c r="AA29" s="4190">
        <v>137.5</v>
      </c>
      <c r="AB29" s="4190">
        <v>83.2</v>
      </c>
      <c r="AC29" s="4190">
        <v>143.9</v>
      </c>
      <c r="AD29" s="4190">
        <f t="shared" si="4"/>
        <v>364.6</v>
      </c>
      <c r="AE29" s="1345">
        <f t="shared" si="5"/>
        <v>448.5</v>
      </c>
      <c r="AF29" s="4684">
        <v>1978</v>
      </c>
      <c r="AG29" s="4684"/>
      <c r="AH29" s="4692"/>
    </row>
    <row r="30" spans="2:34" ht="39.75" customHeight="1">
      <c r="B30" s="4780">
        <v>1979</v>
      </c>
      <c r="C30" s="4694"/>
      <c r="D30" s="4694"/>
      <c r="E30" s="1138" t="s">
        <v>77</v>
      </c>
      <c r="F30" s="1424" t="s">
        <v>77</v>
      </c>
      <c r="G30" s="4254">
        <v>48.1</v>
      </c>
      <c r="H30" s="4254">
        <v>2.1</v>
      </c>
      <c r="I30" s="4254">
        <v>16.899999999999999</v>
      </c>
      <c r="J30" s="4183">
        <f t="shared" si="0"/>
        <v>67.099999999999994</v>
      </c>
      <c r="K30" s="4254">
        <v>6.9</v>
      </c>
      <c r="L30" s="4254">
        <v>0</v>
      </c>
      <c r="M30" s="4254">
        <v>5.5</v>
      </c>
      <c r="N30" s="4255">
        <f t="shared" si="1"/>
        <v>12.4</v>
      </c>
      <c r="O30" s="4254">
        <v>24.7</v>
      </c>
      <c r="P30" s="4254">
        <v>0</v>
      </c>
      <c r="Q30" s="4254">
        <v>8.6999999999999993</v>
      </c>
      <c r="R30" s="4255">
        <f t="shared" si="6"/>
        <v>33.4</v>
      </c>
      <c r="S30" s="4255">
        <v>2.6</v>
      </c>
      <c r="T30" s="4255">
        <v>0</v>
      </c>
      <c r="U30" s="4255">
        <v>4.5999999999999996</v>
      </c>
      <c r="V30" s="4255">
        <f t="shared" si="2"/>
        <v>7.1999999999999993</v>
      </c>
      <c r="W30" s="4254">
        <v>3.8</v>
      </c>
      <c r="X30" s="4254">
        <v>0.2</v>
      </c>
      <c r="Y30" s="4254">
        <v>3.6</v>
      </c>
      <c r="Z30" s="4255">
        <f t="shared" si="3"/>
        <v>7.6</v>
      </c>
      <c r="AA30" s="4255">
        <v>184.9</v>
      </c>
      <c r="AB30" s="4255">
        <v>106.7</v>
      </c>
      <c r="AC30" s="4255">
        <v>173.8</v>
      </c>
      <c r="AD30" s="4255">
        <f t="shared" si="4"/>
        <v>465.40000000000003</v>
      </c>
      <c r="AE30" s="1424">
        <f t="shared" si="5"/>
        <v>593.1</v>
      </c>
      <c r="AF30" s="4694">
        <v>1979</v>
      </c>
      <c r="AG30" s="4694"/>
      <c r="AH30" s="4781"/>
    </row>
    <row r="31" spans="2:34" ht="39.75" customHeight="1">
      <c r="B31" s="4790">
        <v>1980</v>
      </c>
      <c r="C31" s="4684"/>
      <c r="D31" s="4684"/>
      <c r="E31" s="4275" t="s">
        <v>77</v>
      </c>
      <c r="F31" s="1345" t="s">
        <v>77</v>
      </c>
      <c r="G31" s="4184">
        <v>81.5</v>
      </c>
      <c r="H31" s="4184">
        <v>2.2000000000000002</v>
      </c>
      <c r="I31" s="4184">
        <v>49.5</v>
      </c>
      <c r="J31" s="4184">
        <f t="shared" si="0"/>
        <v>133.19999999999999</v>
      </c>
      <c r="K31" s="4184">
        <v>14</v>
      </c>
      <c r="L31" s="4184">
        <v>0</v>
      </c>
      <c r="M31" s="4184">
        <v>6.6</v>
      </c>
      <c r="N31" s="4190">
        <f t="shared" si="1"/>
        <v>20.6</v>
      </c>
      <c r="O31" s="4184">
        <v>36</v>
      </c>
      <c r="P31" s="4184">
        <v>0.2</v>
      </c>
      <c r="Q31" s="4184">
        <v>6.8</v>
      </c>
      <c r="R31" s="4190">
        <f t="shared" si="6"/>
        <v>43</v>
      </c>
      <c r="S31" s="4190">
        <v>2.7</v>
      </c>
      <c r="T31" s="4190">
        <v>0</v>
      </c>
      <c r="U31" s="4190">
        <v>3.7</v>
      </c>
      <c r="V31" s="4190">
        <f t="shared" si="2"/>
        <v>6.4</v>
      </c>
      <c r="W31" s="4184">
        <v>21.8</v>
      </c>
      <c r="X31" s="4184">
        <v>0.3</v>
      </c>
      <c r="Y31" s="4184">
        <v>2.6</v>
      </c>
      <c r="Z31" s="4190">
        <f t="shared" si="3"/>
        <v>24.700000000000003</v>
      </c>
      <c r="AA31" s="4190">
        <v>235.5</v>
      </c>
      <c r="AB31" s="4190">
        <v>126.2</v>
      </c>
      <c r="AC31" s="4190">
        <v>218.9</v>
      </c>
      <c r="AD31" s="4190">
        <f t="shared" si="4"/>
        <v>580.6</v>
      </c>
      <c r="AE31" s="1345">
        <f t="shared" si="5"/>
        <v>808.5</v>
      </c>
      <c r="AF31" s="4684">
        <v>1980</v>
      </c>
      <c r="AG31" s="4684"/>
      <c r="AH31" s="4692"/>
    </row>
    <row r="32" spans="2:34" ht="39.75" customHeight="1">
      <c r="B32" s="4780">
        <v>1981</v>
      </c>
      <c r="C32" s="4694"/>
      <c r="D32" s="4694"/>
      <c r="E32" s="1138" t="s">
        <v>77</v>
      </c>
      <c r="F32" s="1424" t="s">
        <v>77</v>
      </c>
      <c r="G32" s="4254">
        <v>113.1</v>
      </c>
      <c r="H32" s="4254">
        <v>6.5</v>
      </c>
      <c r="I32" s="4254">
        <v>24</v>
      </c>
      <c r="J32" s="4183">
        <f t="shared" si="0"/>
        <v>143.6</v>
      </c>
      <c r="K32" s="4254">
        <v>12.2</v>
      </c>
      <c r="L32" s="4254">
        <v>0.1</v>
      </c>
      <c r="M32" s="4254">
        <v>7</v>
      </c>
      <c r="N32" s="4255">
        <f t="shared" si="1"/>
        <v>19.299999999999997</v>
      </c>
      <c r="O32" s="4254">
        <v>51.5</v>
      </c>
      <c r="P32" s="4254">
        <v>1</v>
      </c>
      <c r="Q32" s="4254">
        <v>5.4</v>
      </c>
      <c r="R32" s="4255">
        <f t="shared" si="6"/>
        <v>57.9</v>
      </c>
      <c r="S32" s="4255">
        <v>4.0999999999999996</v>
      </c>
      <c r="T32" s="4255">
        <v>0.2</v>
      </c>
      <c r="U32" s="4255">
        <v>4.5999999999999996</v>
      </c>
      <c r="V32" s="4255">
        <f t="shared" si="2"/>
        <v>8.8999999999999986</v>
      </c>
      <c r="W32" s="4254">
        <v>38</v>
      </c>
      <c r="X32" s="4254">
        <v>0.1</v>
      </c>
      <c r="Y32" s="4254">
        <v>3.5</v>
      </c>
      <c r="Z32" s="4255">
        <f t="shared" si="3"/>
        <v>41.6</v>
      </c>
      <c r="AA32" s="4255">
        <v>281.10000000000002</v>
      </c>
      <c r="AB32" s="4255">
        <v>153.30000000000001</v>
      </c>
      <c r="AC32" s="4255">
        <v>272</v>
      </c>
      <c r="AD32" s="4255">
        <f t="shared" si="4"/>
        <v>706.40000000000009</v>
      </c>
      <c r="AE32" s="1424">
        <f t="shared" si="5"/>
        <v>977.7</v>
      </c>
      <c r="AF32" s="4694">
        <v>1981</v>
      </c>
      <c r="AG32" s="4694"/>
      <c r="AH32" s="4781"/>
    </row>
    <row r="33" spans="1:35" ht="39.75" customHeight="1">
      <c r="B33" s="4790">
        <v>1982</v>
      </c>
      <c r="C33" s="4684"/>
      <c r="D33" s="4684"/>
      <c r="E33" s="4275" t="s">
        <v>77</v>
      </c>
      <c r="F33" s="1345" t="s">
        <v>77</v>
      </c>
      <c r="G33" s="4184">
        <v>130.9</v>
      </c>
      <c r="H33" s="4184">
        <v>6.9</v>
      </c>
      <c r="I33" s="4184">
        <v>33.799999999999997</v>
      </c>
      <c r="J33" s="4184">
        <f t="shared" si="0"/>
        <v>171.6</v>
      </c>
      <c r="K33" s="4184">
        <v>20.5</v>
      </c>
      <c r="L33" s="4184">
        <v>0.1</v>
      </c>
      <c r="M33" s="4184">
        <v>9.3000000000000007</v>
      </c>
      <c r="N33" s="4190">
        <f t="shared" si="1"/>
        <v>29.9</v>
      </c>
      <c r="O33" s="4184">
        <v>41.9</v>
      </c>
      <c r="P33" s="4184">
        <v>0.2</v>
      </c>
      <c r="Q33" s="4184">
        <v>6.3</v>
      </c>
      <c r="R33" s="4190">
        <f t="shared" si="6"/>
        <v>48.4</v>
      </c>
      <c r="S33" s="4190">
        <v>4.3</v>
      </c>
      <c r="T33" s="4190">
        <v>0.3</v>
      </c>
      <c r="U33" s="4190">
        <v>3.6</v>
      </c>
      <c r="V33" s="4190">
        <f t="shared" si="2"/>
        <v>8.1999999999999993</v>
      </c>
      <c r="W33" s="4184">
        <v>22.7</v>
      </c>
      <c r="X33" s="4184">
        <v>0.2</v>
      </c>
      <c r="Y33" s="4184">
        <v>5.0999999999999996</v>
      </c>
      <c r="Z33" s="4190">
        <f t="shared" si="3"/>
        <v>28</v>
      </c>
      <c r="AA33" s="4190">
        <v>406.4</v>
      </c>
      <c r="AB33" s="4190">
        <v>180.6</v>
      </c>
      <c r="AC33" s="4190">
        <v>296.39999999999998</v>
      </c>
      <c r="AD33" s="4190">
        <f t="shared" si="4"/>
        <v>883.4</v>
      </c>
      <c r="AE33" s="1345">
        <f t="shared" si="5"/>
        <v>1169.5</v>
      </c>
      <c r="AF33" s="4684">
        <v>1982</v>
      </c>
      <c r="AG33" s="4684"/>
      <c r="AH33" s="4692"/>
    </row>
    <row r="34" spans="1:35" ht="39.75" customHeight="1">
      <c r="B34" s="4780">
        <v>1983</v>
      </c>
      <c r="C34" s="4694"/>
      <c r="D34" s="4694"/>
      <c r="E34" s="1138" t="s">
        <v>77</v>
      </c>
      <c r="F34" s="1424" t="s">
        <v>77</v>
      </c>
      <c r="G34" s="4254">
        <v>177.1</v>
      </c>
      <c r="H34" s="4254">
        <v>7.5</v>
      </c>
      <c r="I34" s="4254">
        <v>32.1</v>
      </c>
      <c r="J34" s="4183">
        <f t="shared" si="0"/>
        <v>216.7</v>
      </c>
      <c r="K34" s="4254">
        <v>25.2</v>
      </c>
      <c r="L34" s="4254">
        <v>0.1</v>
      </c>
      <c r="M34" s="4254">
        <v>11.5</v>
      </c>
      <c r="N34" s="4255">
        <f t="shared" si="1"/>
        <v>36.799999999999997</v>
      </c>
      <c r="O34" s="4254">
        <v>54.5</v>
      </c>
      <c r="P34" s="4254">
        <v>0.5</v>
      </c>
      <c r="Q34" s="4254">
        <v>5.4</v>
      </c>
      <c r="R34" s="4255">
        <f t="shared" si="6"/>
        <v>60.4</v>
      </c>
      <c r="S34" s="4255">
        <v>5.5</v>
      </c>
      <c r="T34" s="4255">
        <v>0.3</v>
      </c>
      <c r="U34" s="4255">
        <v>6.8</v>
      </c>
      <c r="V34" s="4255">
        <f t="shared" si="2"/>
        <v>12.6</v>
      </c>
      <c r="W34" s="4254">
        <v>28.5</v>
      </c>
      <c r="X34" s="4254">
        <v>0.5</v>
      </c>
      <c r="Y34" s="4254">
        <v>6.9</v>
      </c>
      <c r="Z34" s="4255">
        <f t="shared" si="3"/>
        <v>35.9</v>
      </c>
      <c r="AA34" s="4255">
        <v>503.3</v>
      </c>
      <c r="AB34" s="4255">
        <v>207.1</v>
      </c>
      <c r="AC34" s="4255">
        <v>325</v>
      </c>
      <c r="AD34" s="4255">
        <f t="shared" si="4"/>
        <v>1035.4000000000001</v>
      </c>
      <c r="AE34" s="1424">
        <f t="shared" si="5"/>
        <v>1397.8000000000002</v>
      </c>
      <c r="AF34" s="4694">
        <v>1983</v>
      </c>
      <c r="AG34" s="4694"/>
      <c r="AH34" s="4781"/>
    </row>
    <row r="35" spans="1:35" ht="39.75" customHeight="1">
      <c r="B35" s="4790">
        <v>1984</v>
      </c>
      <c r="C35" s="4684"/>
      <c r="D35" s="4684"/>
      <c r="E35" s="1141">
        <v>303.89999999999998</v>
      </c>
      <c r="F35" s="1172">
        <v>1299.2</v>
      </c>
      <c r="G35" s="4184">
        <v>218.4</v>
      </c>
      <c r="H35" s="4184">
        <v>8.5</v>
      </c>
      <c r="I35" s="4184">
        <v>50</v>
      </c>
      <c r="J35" s="4184">
        <f t="shared" si="0"/>
        <v>276.89999999999998</v>
      </c>
      <c r="K35" s="4184">
        <v>29.7</v>
      </c>
      <c r="L35" s="4184">
        <v>0.1</v>
      </c>
      <c r="M35" s="4184">
        <v>16.8</v>
      </c>
      <c r="N35" s="4190">
        <f t="shared" si="1"/>
        <v>46.6</v>
      </c>
      <c r="O35" s="4184">
        <v>59</v>
      </c>
      <c r="P35" s="4184">
        <v>0.2</v>
      </c>
      <c r="Q35" s="4184">
        <v>6.1</v>
      </c>
      <c r="R35" s="4190">
        <f t="shared" si="6"/>
        <v>65.3</v>
      </c>
      <c r="S35" s="4190">
        <v>5</v>
      </c>
      <c r="T35" s="4190">
        <v>0.1</v>
      </c>
      <c r="U35" s="4190">
        <v>6</v>
      </c>
      <c r="V35" s="4190">
        <f t="shared" si="2"/>
        <v>11.1</v>
      </c>
      <c r="W35" s="4184">
        <v>28.1</v>
      </c>
      <c r="X35" s="4184">
        <v>0.3</v>
      </c>
      <c r="Y35" s="4184">
        <v>5</v>
      </c>
      <c r="Z35" s="4190">
        <f t="shared" si="3"/>
        <v>33.400000000000006</v>
      </c>
      <c r="AA35" s="4190">
        <v>618</v>
      </c>
      <c r="AB35" s="4190">
        <v>226</v>
      </c>
      <c r="AC35" s="4190">
        <v>325.8</v>
      </c>
      <c r="AD35" s="4190">
        <f t="shared" si="4"/>
        <v>1169.8</v>
      </c>
      <c r="AE35" s="1345">
        <f t="shared" si="5"/>
        <v>1603.1</v>
      </c>
      <c r="AF35" s="4684">
        <v>1984</v>
      </c>
      <c r="AG35" s="4684"/>
      <c r="AH35" s="4692"/>
      <c r="AI35" s="1963"/>
    </row>
    <row r="36" spans="1:35" ht="39.75" customHeight="1">
      <c r="B36" s="4780">
        <v>1985</v>
      </c>
      <c r="C36" s="4694"/>
      <c r="D36" s="4694"/>
      <c r="E36" s="4172">
        <v>331.9</v>
      </c>
      <c r="F36" s="2534">
        <v>1415.3</v>
      </c>
      <c r="G36" s="4254">
        <v>246.2</v>
      </c>
      <c r="H36" s="4254">
        <v>8.1999999999999993</v>
      </c>
      <c r="I36" s="4254">
        <v>39.9</v>
      </c>
      <c r="J36" s="4183">
        <f t="shared" si="0"/>
        <v>294.29999999999995</v>
      </c>
      <c r="K36" s="4254">
        <v>36.700000000000003</v>
      </c>
      <c r="L36" s="4254">
        <v>0</v>
      </c>
      <c r="M36" s="4254">
        <v>19.8</v>
      </c>
      <c r="N36" s="4255">
        <f t="shared" si="1"/>
        <v>56.5</v>
      </c>
      <c r="O36" s="4254">
        <v>58</v>
      </c>
      <c r="P36" s="4254">
        <v>0.4</v>
      </c>
      <c r="Q36" s="4254">
        <v>6.4</v>
      </c>
      <c r="R36" s="4255">
        <f t="shared" si="6"/>
        <v>64.8</v>
      </c>
      <c r="S36" s="4255">
        <v>8.1</v>
      </c>
      <c r="T36" s="4255">
        <v>0.1</v>
      </c>
      <c r="U36" s="4255">
        <v>5.0999999999999996</v>
      </c>
      <c r="V36" s="4255">
        <f t="shared" si="2"/>
        <v>13.299999999999999</v>
      </c>
      <c r="W36" s="4254">
        <v>32.9</v>
      </c>
      <c r="X36" s="4254">
        <v>0.3</v>
      </c>
      <c r="Y36" s="4254">
        <v>10.7</v>
      </c>
      <c r="Z36" s="4255">
        <f t="shared" si="3"/>
        <v>43.899999999999991</v>
      </c>
      <c r="AA36" s="4255">
        <v>752.1</v>
      </c>
      <c r="AB36" s="4255">
        <v>229.7</v>
      </c>
      <c r="AC36" s="4255">
        <v>292.60000000000002</v>
      </c>
      <c r="AD36" s="4255">
        <f t="shared" si="4"/>
        <v>1274.4000000000001</v>
      </c>
      <c r="AE36" s="1424">
        <f t="shared" si="5"/>
        <v>1747.2</v>
      </c>
      <c r="AF36" s="4694">
        <v>1985</v>
      </c>
      <c r="AG36" s="4694"/>
      <c r="AH36" s="4781"/>
      <c r="AI36" s="1963"/>
    </row>
    <row r="37" spans="1:35" ht="39.75" customHeight="1">
      <c r="B37" s="4790">
        <v>1986</v>
      </c>
      <c r="C37" s="4684"/>
      <c r="D37" s="4684"/>
      <c r="E37" s="1141">
        <v>349.5</v>
      </c>
      <c r="F37" s="1172">
        <v>1596.8</v>
      </c>
      <c r="G37" s="4184">
        <v>265.5</v>
      </c>
      <c r="H37" s="4184">
        <v>7.7</v>
      </c>
      <c r="I37" s="4184">
        <v>32.299999999999997</v>
      </c>
      <c r="J37" s="4184">
        <f t="shared" si="0"/>
        <v>305.5</v>
      </c>
      <c r="K37" s="4184">
        <v>55.7</v>
      </c>
      <c r="L37" s="4184">
        <v>0.2</v>
      </c>
      <c r="M37" s="4184">
        <v>19.5</v>
      </c>
      <c r="N37" s="4190">
        <f t="shared" si="1"/>
        <v>75.400000000000006</v>
      </c>
      <c r="O37" s="4184">
        <v>72.099999999999994</v>
      </c>
      <c r="P37" s="4184">
        <v>0.6</v>
      </c>
      <c r="Q37" s="4184">
        <v>8.1</v>
      </c>
      <c r="R37" s="4190">
        <f t="shared" si="6"/>
        <v>80.799999999999983</v>
      </c>
      <c r="S37" s="4190">
        <v>13.4</v>
      </c>
      <c r="T37" s="4190">
        <v>0.3</v>
      </c>
      <c r="U37" s="4190">
        <v>4.7</v>
      </c>
      <c r="V37" s="4190">
        <f t="shared" si="2"/>
        <v>18.400000000000002</v>
      </c>
      <c r="W37" s="4184">
        <v>34.6</v>
      </c>
      <c r="X37" s="4184">
        <v>0.5</v>
      </c>
      <c r="Y37" s="4184">
        <v>6.1</v>
      </c>
      <c r="Z37" s="4190">
        <f t="shared" si="3"/>
        <v>41.2</v>
      </c>
      <c r="AA37" s="4190">
        <v>878.6</v>
      </c>
      <c r="AB37" s="4190">
        <v>246.5</v>
      </c>
      <c r="AC37" s="4190">
        <v>299.89999999999998</v>
      </c>
      <c r="AD37" s="4190">
        <f t="shared" si="4"/>
        <v>1425</v>
      </c>
      <c r="AE37" s="1345">
        <f t="shared" si="5"/>
        <v>1946.3000000000002</v>
      </c>
      <c r="AF37" s="4684">
        <v>1986</v>
      </c>
      <c r="AG37" s="4684"/>
      <c r="AH37" s="4692"/>
      <c r="AI37" s="1963"/>
    </row>
    <row r="38" spans="1:35" ht="39.75" customHeight="1">
      <c r="B38" s="4780">
        <v>1987</v>
      </c>
      <c r="C38" s="4694"/>
      <c r="D38" s="4694"/>
      <c r="E38" s="4172">
        <v>384.2</v>
      </c>
      <c r="F38" s="2534">
        <v>1758.2</v>
      </c>
      <c r="G38" s="4254">
        <v>259.5</v>
      </c>
      <c r="H38" s="4254">
        <v>8.5</v>
      </c>
      <c r="I38" s="4254">
        <v>32.799999999999997</v>
      </c>
      <c r="J38" s="4183">
        <f t="shared" si="0"/>
        <v>300.8</v>
      </c>
      <c r="K38" s="4254">
        <v>60.4</v>
      </c>
      <c r="L38" s="4254">
        <v>0.1</v>
      </c>
      <c r="M38" s="4254">
        <v>19</v>
      </c>
      <c r="N38" s="4255">
        <f t="shared" si="1"/>
        <v>79.5</v>
      </c>
      <c r="O38" s="4254">
        <v>42.4</v>
      </c>
      <c r="P38" s="4254">
        <v>0.1</v>
      </c>
      <c r="Q38" s="4254">
        <v>5.3</v>
      </c>
      <c r="R38" s="4255">
        <f t="shared" si="6"/>
        <v>47.8</v>
      </c>
      <c r="S38" s="4255">
        <v>2.6</v>
      </c>
      <c r="T38" s="4255">
        <v>0.4</v>
      </c>
      <c r="U38" s="4255">
        <v>2.9</v>
      </c>
      <c r="V38" s="4255">
        <f t="shared" si="2"/>
        <v>5.9</v>
      </c>
      <c r="W38" s="4254">
        <v>36.9</v>
      </c>
      <c r="X38" s="4254">
        <v>0.2</v>
      </c>
      <c r="Y38" s="4254">
        <v>7.3</v>
      </c>
      <c r="Z38" s="4255">
        <f t="shared" si="3"/>
        <v>44.4</v>
      </c>
      <c r="AA38" s="4255">
        <v>1077.3</v>
      </c>
      <c r="AB38" s="4255">
        <v>274</v>
      </c>
      <c r="AC38" s="4255">
        <v>312.7</v>
      </c>
      <c r="AD38" s="4255">
        <f t="shared" si="4"/>
        <v>1664</v>
      </c>
      <c r="AE38" s="1424">
        <f t="shared" si="5"/>
        <v>2142.4</v>
      </c>
      <c r="AF38" s="4694">
        <v>1987</v>
      </c>
      <c r="AG38" s="4694"/>
      <c r="AH38" s="4781"/>
      <c r="AI38" s="1963"/>
    </row>
    <row r="39" spans="1:35" ht="39.75" customHeight="1">
      <c r="B39" s="4790">
        <v>1988</v>
      </c>
      <c r="C39" s="4684"/>
      <c r="D39" s="4684"/>
      <c r="E39" s="1141">
        <v>535</v>
      </c>
      <c r="F39" s="1172">
        <v>1811.1</v>
      </c>
      <c r="G39" s="4184">
        <v>358.2</v>
      </c>
      <c r="H39" s="4184">
        <v>8.6</v>
      </c>
      <c r="I39" s="4184">
        <v>55.7</v>
      </c>
      <c r="J39" s="4184">
        <f t="shared" si="0"/>
        <v>422.5</v>
      </c>
      <c r="K39" s="4184">
        <v>43.7</v>
      </c>
      <c r="L39" s="4184">
        <v>0.1</v>
      </c>
      <c r="M39" s="4184">
        <v>20.5</v>
      </c>
      <c r="N39" s="4190">
        <f t="shared" si="1"/>
        <v>64.300000000000011</v>
      </c>
      <c r="O39" s="4184">
        <v>41</v>
      </c>
      <c r="P39" s="4184">
        <v>0.2</v>
      </c>
      <c r="Q39" s="4184">
        <v>5.0999999999999996</v>
      </c>
      <c r="R39" s="4190">
        <f t="shared" si="6"/>
        <v>46.300000000000004</v>
      </c>
      <c r="S39" s="4190">
        <v>5.2</v>
      </c>
      <c r="T39" s="4190">
        <v>0</v>
      </c>
      <c r="U39" s="4190">
        <v>4.0999999999999996</v>
      </c>
      <c r="V39" s="4190">
        <f t="shared" si="2"/>
        <v>9.3000000000000007</v>
      </c>
      <c r="W39" s="4184">
        <v>51</v>
      </c>
      <c r="X39" s="4184">
        <v>0.2</v>
      </c>
      <c r="Y39" s="4184">
        <v>5.2</v>
      </c>
      <c r="Z39" s="4190">
        <f t="shared" si="3"/>
        <v>56.400000000000006</v>
      </c>
      <c r="AA39" s="4190">
        <v>1102.0999999999999</v>
      </c>
      <c r="AB39" s="4190">
        <v>300.8</v>
      </c>
      <c r="AC39" s="4190">
        <v>344.4</v>
      </c>
      <c r="AD39" s="4190">
        <f t="shared" si="4"/>
        <v>1747.2999999999997</v>
      </c>
      <c r="AE39" s="1345">
        <f t="shared" si="5"/>
        <v>2346.0999999999995</v>
      </c>
      <c r="AF39" s="4684">
        <v>1988</v>
      </c>
      <c r="AG39" s="4684"/>
      <c r="AH39" s="4692"/>
      <c r="AI39" s="1963"/>
    </row>
    <row r="40" spans="1:35" ht="39.75" customHeight="1">
      <c r="B40" s="4780">
        <v>1989</v>
      </c>
      <c r="C40" s="4694"/>
      <c r="D40" s="4694"/>
      <c r="E40" s="4172">
        <v>646.70000000000005</v>
      </c>
      <c r="F40" s="2534">
        <v>1978.7</v>
      </c>
      <c r="G40" s="4254">
        <v>332.9</v>
      </c>
      <c r="H40" s="4254">
        <v>8.1</v>
      </c>
      <c r="I40" s="4254">
        <v>59.4</v>
      </c>
      <c r="J40" s="4183">
        <f t="shared" si="0"/>
        <v>400.4</v>
      </c>
      <c r="K40" s="4254">
        <v>57.4</v>
      </c>
      <c r="L40" s="4254">
        <v>0.1</v>
      </c>
      <c r="M40" s="4254">
        <v>17.399999999999999</v>
      </c>
      <c r="N40" s="4255">
        <f t="shared" si="1"/>
        <v>74.900000000000006</v>
      </c>
      <c r="O40" s="4254">
        <v>79.099999999999994</v>
      </c>
      <c r="P40" s="4254">
        <v>0</v>
      </c>
      <c r="Q40" s="4254">
        <v>7.1</v>
      </c>
      <c r="R40" s="4255">
        <f t="shared" si="6"/>
        <v>86.199999999999989</v>
      </c>
      <c r="S40" s="4255">
        <v>5.9</v>
      </c>
      <c r="T40" s="4255">
        <v>0</v>
      </c>
      <c r="U40" s="4255">
        <v>2.7</v>
      </c>
      <c r="V40" s="4255">
        <f t="shared" si="2"/>
        <v>8.6000000000000014</v>
      </c>
      <c r="W40" s="4254">
        <v>66.099999999999994</v>
      </c>
      <c r="X40" s="4254">
        <v>0.4</v>
      </c>
      <c r="Y40" s="4254">
        <v>9.5</v>
      </c>
      <c r="Z40" s="4255">
        <f t="shared" si="3"/>
        <v>76</v>
      </c>
      <c r="AA40" s="4255">
        <v>1228.7</v>
      </c>
      <c r="AB40" s="4255">
        <v>337.4</v>
      </c>
      <c r="AC40" s="4255">
        <v>413.2</v>
      </c>
      <c r="AD40" s="4255">
        <f t="shared" si="4"/>
        <v>1979.3</v>
      </c>
      <c r="AE40" s="1424">
        <f t="shared" si="5"/>
        <v>2625.4</v>
      </c>
      <c r="AF40" s="4694">
        <v>1989</v>
      </c>
      <c r="AG40" s="4694"/>
      <c r="AH40" s="4781"/>
      <c r="AI40" s="1963"/>
    </row>
    <row r="41" spans="1:35" ht="39.75" customHeight="1">
      <c r="B41" s="4790">
        <v>1990</v>
      </c>
      <c r="C41" s="4684"/>
      <c r="D41" s="4684"/>
      <c r="E41" s="1141">
        <v>712.4</v>
      </c>
      <c r="F41" s="1172">
        <v>1930.2</v>
      </c>
      <c r="G41" s="4184">
        <v>274.60000000000002</v>
      </c>
      <c r="H41" s="4184">
        <v>11.8</v>
      </c>
      <c r="I41" s="4184">
        <v>100.5</v>
      </c>
      <c r="J41" s="4184">
        <f t="shared" si="0"/>
        <v>386.90000000000003</v>
      </c>
      <c r="K41" s="4184">
        <v>59.5</v>
      </c>
      <c r="L41" s="4184">
        <v>0.1</v>
      </c>
      <c r="M41" s="4184">
        <v>18.399999999999999</v>
      </c>
      <c r="N41" s="4190">
        <f t="shared" si="1"/>
        <v>78</v>
      </c>
      <c r="O41" s="4184">
        <v>84.9</v>
      </c>
      <c r="P41" s="4184">
        <v>0</v>
      </c>
      <c r="Q41" s="4184">
        <v>5.9</v>
      </c>
      <c r="R41" s="4190">
        <f t="shared" si="6"/>
        <v>90.800000000000011</v>
      </c>
      <c r="S41" s="4190">
        <v>10.5</v>
      </c>
      <c r="T41" s="4190">
        <v>0</v>
      </c>
      <c r="U41" s="4190">
        <v>2.7</v>
      </c>
      <c r="V41" s="4190">
        <f t="shared" si="2"/>
        <v>13.2</v>
      </c>
      <c r="W41" s="4184">
        <v>106.5</v>
      </c>
      <c r="X41" s="4184">
        <v>0.8</v>
      </c>
      <c r="Y41" s="4184">
        <v>10.1</v>
      </c>
      <c r="Z41" s="4190">
        <f t="shared" si="3"/>
        <v>117.39999999999999</v>
      </c>
      <c r="AA41" s="4190">
        <v>1244.7</v>
      </c>
      <c r="AB41" s="4190">
        <v>310.60000000000002</v>
      </c>
      <c r="AC41" s="4190">
        <v>401.1</v>
      </c>
      <c r="AD41" s="4190">
        <f t="shared" si="4"/>
        <v>1956.4</v>
      </c>
      <c r="AE41" s="1345">
        <f t="shared" si="5"/>
        <v>2642.7000000000003</v>
      </c>
      <c r="AF41" s="4684">
        <v>1990</v>
      </c>
      <c r="AG41" s="4684"/>
      <c r="AH41" s="4692"/>
      <c r="AI41" s="1963"/>
    </row>
    <row r="42" spans="1:35" ht="39.75" customHeight="1">
      <c r="B42" s="4780">
        <v>1991</v>
      </c>
      <c r="C42" s="4694"/>
      <c r="D42" s="4694"/>
      <c r="E42" s="4172">
        <v>1573.3</v>
      </c>
      <c r="F42" s="2534">
        <v>2448.8000000000002</v>
      </c>
      <c r="G42" s="4254">
        <v>836.7</v>
      </c>
      <c r="H42" s="4254">
        <v>78.099999999999994</v>
      </c>
      <c r="I42" s="4254">
        <v>231</v>
      </c>
      <c r="J42" s="4183">
        <f t="shared" si="0"/>
        <v>1145.8000000000002</v>
      </c>
      <c r="K42" s="4254">
        <v>83.5</v>
      </c>
      <c r="L42" s="4254">
        <v>0.1</v>
      </c>
      <c r="M42" s="4254">
        <v>25.2</v>
      </c>
      <c r="N42" s="4255">
        <f t="shared" si="1"/>
        <v>108.8</v>
      </c>
      <c r="O42" s="4254">
        <v>96.9</v>
      </c>
      <c r="P42" s="4254">
        <v>0.1</v>
      </c>
      <c r="Q42" s="4254">
        <v>6.6</v>
      </c>
      <c r="R42" s="4255">
        <f t="shared" si="6"/>
        <v>103.6</v>
      </c>
      <c r="S42" s="4255">
        <v>15.9</v>
      </c>
      <c r="T42" s="4255">
        <v>0</v>
      </c>
      <c r="U42" s="4255">
        <v>3.4</v>
      </c>
      <c r="V42" s="4255">
        <f t="shared" si="2"/>
        <v>19.3</v>
      </c>
      <c r="W42" s="4254">
        <v>79</v>
      </c>
      <c r="X42" s="4254">
        <v>1.4</v>
      </c>
      <c r="Y42" s="4254">
        <v>7.2</v>
      </c>
      <c r="Z42" s="4255">
        <f t="shared" si="3"/>
        <v>87.600000000000009</v>
      </c>
      <c r="AA42" s="4255">
        <v>1553.8</v>
      </c>
      <c r="AB42" s="4255">
        <v>430</v>
      </c>
      <c r="AC42" s="4255">
        <v>573.20000000000005</v>
      </c>
      <c r="AD42" s="4255">
        <f t="shared" si="4"/>
        <v>2557</v>
      </c>
      <c r="AE42" s="1424">
        <f t="shared" si="5"/>
        <v>4022.1000000000004</v>
      </c>
      <c r="AF42" s="4694">
        <v>1991</v>
      </c>
      <c r="AG42" s="4694"/>
      <c r="AH42" s="4781"/>
      <c r="AI42" s="1963"/>
    </row>
    <row r="43" spans="1:35" ht="39.75" customHeight="1">
      <c r="B43" s="4790">
        <v>1992</v>
      </c>
      <c r="C43" s="4684"/>
      <c r="D43" s="4684"/>
      <c r="E43" s="1141">
        <v>1964</v>
      </c>
      <c r="F43" s="1172">
        <v>2785</v>
      </c>
      <c r="G43" s="4184">
        <v>1028.8</v>
      </c>
      <c r="H43" s="4184">
        <v>96.9</v>
      </c>
      <c r="I43" s="4184">
        <v>397.2</v>
      </c>
      <c r="J43" s="4184">
        <f t="shared" si="0"/>
        <v>1522.9</v>
      </c>
      <c r="K43" s="4184">
        <v>63.9</v>
      </c>
      <c r="L43" s="4184">
        <v>0.1</v>
      </c>
      <c r="M43" s="4184">
        <v>23.8</v>
      </c>
      <c r="N43" s="4190">
        <f t="shared" si="1"/>
        <v>87.8</v>
      </c>
      <c r="O43" s="4184">
        <v>2.8</v>
      </c>
      <c r="P43" s="4184">
        <v>0.1</v>
      </c>
      <c r="Q43" s="4184">
        <v>0.7</v>
      </c>
      <c r="R43" s="4190">
        <f t="shared" si="6"/>
        <v>3.5999999999999996</v>
      </c>
      <c r="S43" s="4190">
        <v>2.2999999999999998</v>
      </c>
      <c r="T43" s="4190">
        <v>0</v>
      </c>
      <c r="U43" s="4190">
        <v>3.8</v>
      </c>
      <c r="V43" s="4190">
        <f t="shared" si="2"/>
        <v>6.1</v>
      </c>
      <c r="W43" s="4184">
        <v>327.39999999999998</v>
      </c>
      <c r="X43" s="4184">
        <v>1.4</v>
      </c>
      <c r="Y43" s="4184">
        <v>28.1</v>
      </c>
      <c r="Z43" s="4190">
        <f t="shared" si="3"/>
        <v>356.9</v>
      </c>
      <c r="AA43" s="4190">
        <v>1615.3</v>
      </c>
      <c r="AB43" s="4190">
        <v>502.4</v>
      </c>
      <c r="AC43" s="4190">
        <v>654</v>
      </c>
      <c r="AD43" s="4190">
        <f>AA43+AB43+AC43</f>
        <v>2771.7</v>
      </c>
      <c r="AE43" s="1345">
        <f t="shared" si="5"/>
        <v>4749</v>
      </c>
      <c r="AF43" s="4684">
        <v>1992</v>
      </c>
      <c r="AG43" s="4684"/>
      <c r="AH43" s="4692"/>
      <c r="AI43" s="1963"/>
    </row>
    <row r="44" spans="1:35" s="1801" customFormat="1" ht="6" customHeight="1">
      <c r="A44" s="1808"/>
      <c r="B44" s="1640"/>
      <c r="C44" s="4182"/>
      <c r="D44" s="2329"/>
      <c r="E44" s="1137"/>
      <c r="F44" s="2535"/>
      <c r="G44" s="4195"/>
      <c r="H44" s="4195"/>
      <c r="I44" s="4195"/>
      <c r="J44" s="4273"/>
      <c r="K44" s="4195"/>
      <c r="L44" s="4195"/>
      <c r="M44" s="4195"/>
      <c r="N44" s="4273"/>
      <c r="O44" s="4195"/>
      <c r="P44" s="4195"/>
      <c r="Q44" s="4195"/>
      <c r="R44" s="4273"/>
      <c r="S44" s="4195"/>
      <c r="T44" s="4195"/>
      <c r="U44" s="4195"/>
      <c r="V44" s="4273"/>
      <c r="W44" s="4195"/>
      <c r="X44" s="4195"/>
      <c r="Y44" s="4195"/>
      <c r="Z44" s="4273"/>
      <c r="AA44" s="4195"/>
      <c r="AB44" s="4195"/>
      <c r="AC44" s="4195"/>
      <c r="AD44" s="4273"/>
      <c r="AE44" s="1346"/>
      <c r="AF44" s="4182"/>
      <c r="AG44" s="4182"/>
      <c r="AH44" s="1644"/>
      <c r="AI44" s="1963"/>
    </row>
    <row r="45" spans="1:35" s="1801" customFormat="1" ht="28.35" customHeight="1">
      <c r="A45" s="1808"/>
      <c r="B45" s="2126"/>
      <c r="C45" s="2536"/>
      <c r="D45" s="2126"/>
      <c r="E45" s="2537"/>
      <c r="F45" s="2537"/>
      <c r="G45" s="2125"/>
      <c r="H45" s="2125"/>
      <c r="I45" s="2125"/>
      <c r="J45" s="2538"/>
      <c r="K45" s="2125"/>
      <c r="L45" s="2125"/>
      <c r="M45" s="2125"/>
      <c r="N45" s="2538"/>
      <c r="O45" s="2125"/>
      <c r="P45" s="2125"/>
      <c r="Q45" s="2125"/>
      <c r="R45" s="2538"/>
      <c r="S45" s="2125"/>
      <c r="T45" s="2125"/>
      <c r="U45" s="2125"/>
      <c r="V45" s="2538"/>
      <c r="W45" s="2125"/>
      <c r="X45" s="2125"/>
      <c r="Y45" s="2125"/>
      <c r="Z45" s="2538"/>
      <c r="AA45" s="2125"/>
      <c r="AB45" s="2125"/>
      <c r="AC45" s="2125"/>
      <c r="AD45" s="2538"/>
      <c r="AE45" s="2538"/>
      <c r="AF45" s="2126"/>
      <c r="AG45" s="2126"/>
      <c r="AH45" s="2127"/>
      <c r="AI45" s="1963"/>
    </row>
    <row r="46" spans="1:35" s="1801" customFormat="1" ht="28.35" customHeight="1">
      <c r="A46" s="1808"/>
      <c r="B46" s="4639" t="s">
        <v>639</v>
      </c>
      <c r="C46" s="4639"/>
      <c r="D46" s="4639"/>
      <c r="E46" s="4639"/>
      <c r="F46" s="4639"/>
      <c r="G46" s="4639"/>
      <c r="H46" s="4639"/>
      <c r="I46" s="4639"/>
      <c r="J46" s="4639"/>
      <c r="K46" s="4639"/>
      <c r="L46" s="4639"/>
      <c r="M46" s="4639"/>
      <c r="N46" s="4639"/>
      <c r="O46" s="4639"/>
      <c r="P46" s="4639"/>
      <c r="Q46" s="4639"/>
      <c r="R46" s="4639"/>
      <c r="S46" s="4602" t="s">
        <v>640</v>
      </c>
      <c r="T46" s="4602"/>
      <c r="U46" s="4602"/>
      <c r="V46" s="4602"/>
      <c r="W46" s="4602"/>
      <c r="X46" s="4602"/>
      <c r="Y46" s="4602"/>
      <c r="Z46" s="4602"/>
      <c r="AA46" s="4602"/>
      <c r="AB46" s="4602"/>
      <c r="AC46" s="4602"/>
      <c r="AD46" s="4602"/>
      <c r="AE46" s="4602"/>
      <c r="AF46" s="4602"/>
      <c r="AG46" s="4602"/>
      <c r="AH46" s="4602"/>
      <c r="AI46" s="1963"/>
    </row>
    <row r="47" spans="1:35" s="1801" customFormat="1" ht="28.35" customHeight="1">
      <c r="A47" s="1808"/>
      <c r="B47" s="4713" t="s">
        <v>613</v>
      </c>
      <c r="C47" s="4713"/>
      <c r="D47" s="4713"/>
      <c r="E47" s="4713"/>
      <c r="F47" s="4713"/>
      <c r="G47" s="4713"/>
      <c r="H47" s="4713"/>
      <c r="I47" s="4713"/>
      <c r="J47" s="4713"/>
      <c r="K47" s="4713"/>
      <c r="L47" s="4713"/>
      <c r="M47" s="4713"/>
      <c r="N47" s="4713"/>
      <c r="O47" s="4713"/>
      <c r="P47" s="4713"/>
      <c r="Q47" s="4713"/>
      <c r="R47" s="4713"/>
      <c r="S47" s="4713" t="s">
        <v>613</v>
      </c>
      <c r="T47" s="4713"/>
      <c r="U47" s="4713"/>
      <c r="V47" s="4713"/>
      <c r="W47" s="4713"/>
      <c r="X47" s="4713"/>
      <c r="Y47" s="4713"/>
      <c r="Z47" s="4713"/>
      <c r="AA47" s="4713"/>
      <c r="AB47" s="4713"/>
      <c r="AC47" s="4713"/>
      <c r="AD47" s="4713"/>
      <c r="AE47" s="4713"/>
      <c r="AF47" s="4713"/>
      <c r="AG47" s="4713"/>
      <c r="AH47" s="4713"/>
      <c r="AI47" s="1963"/>
    </row>
    <row r="48" spans="1:35" s="1845" customFormat="1" ht="28.35" customHeight="1">
      <c r="A48" s="2096"/>
      <c r="B48" s="2500" t="s">
        <v>90</v>
      </c>
      <c r="C48" s="4169"/>
      <c r="D48" s="1268"/>
      <c r="E48" s="1268"/>
      <c r="F48" s="1268"/>
      <c r="G48" s="2262"/>
      <c r="H48" s="2262"/>
      <c r="I48" s="2158"/>
      <c r="J48" s="2158"/>
      <c r="K48" s="2501"/>
      <c r="L48" s="1317"/>
      <c r="M48" s="2158"/>
      <c r="N48" s="2262"/>
      <c r="O48" s="1318"/>
      <c r="P48" s="2262"/>
      <c r="Q48" s="2262"/>
      <c r="R48" s="1318"/>
      <c r="S48" s="1318"/>
      <c r="T48" s="1318"/>
      <c r="U48" s="1318"/>
      <c r="V48" s="1318"/>
      <c r="W48" s="1838"/>
      <c r="X48" s="2081"/>
      <c r="Y48" s="2502"/>
      <c r="Z48" s="1317"/>
      <c r="AA48" s="1318"/>
      <c r="AB48" s="1318"/>
      <c r="AC48" s="2262"/>
      <c r="AD48" s="2082"/>
      <c r="AE48" s="1318"/>
      <c r="AF48" s="2088"/>
      <c r="AG48" s="4248" t="s">
        <v>91</v>
      </c>
      <c r="AH48" s="1318"/>
    </row>
    <row r="49" spans="1:35" s="2498" customFormat="1" ht="3.95" customHeight="1">
      <c r="A49" s="1847"/>
      <c r="B49" s="1977"/>
      <c r="C49" s="1977"/>
      <c r="D49" s="2539"/>
      <c r="E49" s="2539"/>
      <c r="F49" s="2539"/>
      <c r="G49" s="2278"/>
      <c r="H49" s="2278"/>
      <c r="I49" s="2174"/>
      <c r="J49" s="2174"/>
      <c r="K49" s="2540"/>
      <c r="L49" s="2541"/>
      <c r="M49" s="2174"/>
      <c r="N49" s="2278"/>
      <c r="O49" s="1318"/>
      <c r="P49" s="2278"/>
      <c r="Q49" s="2278"/>
      <c r="R49" s="1850"/>
      <c r="S49" s="1850"/>
      <c r="T49" s="1850"/>
      <c r="U49" s="1850"/>
      <c r="V49" s="1850"/>
      <c r="W49" s="1852"/>
      <c r="X49" s="2542"/>
      <c r="Y49" s="2543"/>
      <c r="Z49" s="2541"/>
      <c r="AA49" s="1850"/>
      <c r="AB49" s="1850"/>
      <c r="AC49" s="2278"/>
      <c r="AD49" s="2172"/>
      <c r="AE49" s="1850"/>
      <c r="AF49" s="1990"/>
      <c r="AG49" s="2544"/>
      <c r="AH49" s="1318"/>
    </row>
    <row r="50" spans="1:35" s="1849" customFormat="1" ht="21.75" customHeight="1">
      <c r="A50" s="2545"/>
      <c r="B50" s="4791" t="s">
        <v>136</v>
      </c>
      <c r="C50" s="4792"/>
      <c r="D50" s="4793"/>
      <c r="E50" s="4808" t="s">
        <v>615</v>
      </c>
      <c r="F50" s="4809"/>
      <c r="G50" s="4808" t="s">
        <v>616</v>
      </c>
      <c r="H50" s="4810"/>
      <c r="I50" s="4810"/>
      <c r="J50" s="4810"/>
      <c r="K50" s="4810"/>
      <c r="L50" s="4810"/>
      <c r="M50" s="4810"/>
      <c r="N50" s="4810"/>
      <c r="O50" s="4810"/>
      <c r="P50" s="4810"/>
      <c r="Q50" s="4810"/>
      <c r="R50" s="4810"/>
      <c r="S50" s="4808" t="s">
        <v>617</v>
      </c>
      <c r="T50" s="4808"/>
      <c r="U50" s="4808"/>
      <c r="V50" s="4808"/>
      <c r="W50" s="4808"/>
      <c r="X50" s="4808"/>
      <c r="Y50" s="4808"/>
      <c r="Z50" s="4808"/>
      <c r="AA50" s="4808"/>
      <c r="AB50" s="4808"/>
      <c r="AC50" s="4808"/>
      <c r="AD50" s="4808"/>
      <c r="AE50" s="2510"/>
      <c r="AF50" s="4802" t="s">
        <v>107</v>
      </c>
      <c r="AG50" s="4792"/>
      <c r="AH50" s="4803"/>
    </row>
    <row r="51" spans="1:35" s="1849" customFormat="1" ht="22.5" customHeight="1">
      <c r="A51" s="2499"/>
      <c r="B51" s="4794"/>
      <c r="C51" s="4750"/>
      <c r="D51" s="4795"/>
      <c r="E51" s="4811" t="s">
        <v>641</v>
      </c>
      <c r="F51" s="4812"/>
      <c r="G51" s="2547" t="s">
        <v>619</v>
      </c>
      <c r="H51" s="2547"/>
      <c r="I51" s="2547"/>
      <c r="J51" s="2547"/>
      <c r="K51" s="4813" t="s">
        <v>642</v>
      </c>
      <c r="L51" s="4813"/>
      <c r="M51" s="4813"/>
      <c r="N51" s="4813"/>
      <c r="O51" s="4814" t="s">
        <v>643</v>
      </c>
      <c r="P51" s="4814"/>
      <c r="Q51" s="4814"/>
      <c r="R51" s="4805"/>
      <c r="S51" s="4807" t="s">
        <v>644</v>
      </c>
      <c r="T51" s="4814"/>
      <c r="U51" s="4814"/>
      <c r="V51" s="4814"/>
      <c r="W51" s="2549" t="s">
        <v>623</v>
      </c>
      <c r="X51" s="2549"/>
      <c r="Y51" s="2549"/>
      <c r="Z51" s="2549"/>
      <c r="AA51" s="2549" t="s">
        <v>645</v>
      </c>
      <c r="AB51" s="2549"/>
      <c r="AC51" s="2549"/>
      <c r="AD51" s="2547"/>
      <c r="AE51" s="2550" t="s">
        <v>8</v>
      </c>
      <c r="AF51" s="4749"/>
      <c r="AG51" s="4750"/>
      <c r="AH51" s="4751"/>
    </row>
    <row r="52" spans="1:35" ht="38.25" customHeight="1">
      <c r="B52" s="4794"/>
      <c r="C52" s="4750"/>
      <c r="D52" s="4795"/>
      <c r="E52" s="1385"/>
      <c r="F52" s="1385"/>
      <c r="G52" s="2197" t="s">
        <v>627</v>
      </c>
      <c r="H52" s="2197"/>
      <c r="I52" s="2197"/>
      <c r="J52" s="2197"/>
      <c r="K52" s="4815" t="s">
        <v>646</v>
      </c>
      <c r="L52" s="4815"/>
      <c r="M52" s="4815"/>
      <c r="N52" s="4815"/>
      <c r="O52" s="4682" t="s">
        <v>647</v>
      </c>
      <c r="P52" s="4682"/>
      <c r="Q52" s="4682"/>
      <c r="R52" s="4683"/>
      <c r="S52" s="4795" t="s">
        <v>648</v>
      </c>
      <c r="T52" s="4745"/>
      <c r="U52" s="4745"/>
      <c r="V52" s="4745"/>
      <c r="W52" s="1774" t="s">
        <v>360</v>
      </c>
      <c r="X52" s="1774"/>
      <c r="Y52" s="1774"/>
      <c r="Z52" s="1774"/>
      <c r="AA52" s="1774" t="s">
        <v>629</v>
      </c>
      <c r="AB52" s="1774"/>
      <c r="AC52" s="1774"/>
      <c r="AD52" s="2197"/>
      <c r="AE52" s="4204"/>
      <c r="AF52" s="4749"/>
      <c r="AG52" s="4750"/>
      <c r="AH52" s="4751"/>
      <c r="AI52" s="1801"/>
    </row>
    <row r="53" spans="1:35" ht="39.75" customHeight="1">
      <c r="B53" s="4794"/>
      <c r="C53" s="4750"/>
      <c r="D53" s="4795"/>
      <c r="E53" s="4198"/>
      <c r="F53" s="4229"/>
      <c r="G53" s="2141"/>
      <c r="H53" s="1240"/>
      <c r="I53" s="1240"/>
      <c r="J53" s="1239"/>
      <c r="K53" s="2141"/>
      <c r="L53" s="1240"/>
      <c r="M53" s="1240"/>
      <c r="N53" s="1239"/>
      <c r="O53" s="1284"/>
      <c r="P53" s="1240"/>
      <c r="Q53" s="1240"/>
      <c r="R53" s="1240"/>
      <c r="S53" s="1240"/>
      <c r="T53" s="1240"/>
      <c r="U53" s="1240"/>
      <c r="V53" s="1240"/>
      <c r="W53" s="1284"/>
      <c r="X53" s="1240"/>
      <c r="Y53" s="1240"/>
      <c r="Z53" s="2551"/>
      <c r="AA53" s="1284"/>
      <c r="AB53" s="1240"/>
      <c r="AC53" s="1240"/>
      <c r="AD53" s="2551"/>
      <c r="AE53" s="4204" t="s">
        <v>170</v>
      </c>
      <c r="AF53" s="4749"/>
      <c r="AG53" s="4750"/>
      <c r="AH53" s="4751"/>
      <c r="AI53" s="1801"/>
    </row>
    <row r="54" spans="1:35" ht="29.25" customHeight="1">
      <c r="B54" s="4782" t="s">
        <v>144</v>
      </c>
      <c r="C54" s="4783"/>
      <c r="D54" s="4784"/>
      <c r="E54" s="4198" t="s">
        <v>625</v>
      </c>
      <c r="F54" s="4229" t="s">
        <v>626</v>
      </c>
      <c r="G54" s="2552"/>
      <c r="H54" s="2553"/>
      <c r="I54" s="2553"/>
      <c r="J54" s="2554"/>
      <c r="K54" s="2553"/>
      <c r="L54" s="2553"/>
      <c r="M54" s="2553"/>
      <c r="N54" s="2555"/>
      <c r="O54" s="2556"/>
      <c r="P54" s="2556"/>
      <c r="Q54" s="2556"/>
      <c r="R54" s="2557"/>
      <c r="S54" s="2558"/>
      <c r="T54" s="2556"/>
      <c r="U54" s="2556"/>
      <c r="V54" s="2559" t="s">
        <v>8</v>
      </c>
      <c r="W54" s="2559"/>
      <c r="X54" s="2559"/>
      <c r="Y54" s="2559"/>
      <c r="Z54" s="2555" t="s">
        <v>8</v>
      </c>
      <c r="AA54" s="2560" t="s">
        <v>8</v>
      </c>
      <c r="AB54" s="2555"/>
      <c r="AC54" s="2560"/>
      <c r="AD54" s="2555" t="s">
        <v>8</v>
      </c>
      <c r="AE54" s="2561" t="s">
        <v>395</v>
      </c>
      <c r="AF54" s="4786" t="s">
        <v>116</v>
      </c>
      <c r="AG54" s="4783"/>
      <c r="AH54" s="4787"/>
      <c r="AI54" s="1801"/>
    </row>
    <row r="55" spans="1:35" s="1801" customFormat="1" ht="28.5" customHeight="1">
      <c r="A55" s="1808"/>
      <c r="B55" s="4782"/>
      <c r="C55" s="4783"/>
      <c r="D55" s="4784"/>
      <c r="E55" s="4198"/>
      <c r="F55" s="4229"/>
      <c r="G55" s="2562" t="s">
        <v>8</v>
      </c>
      <c r="H55" s="2563" t="s">
        <v>8</v>
      </c>
      <c r="I55" s="2563" t="s">
        <v>630</v>
      </c>
      <c r="J55" s="2564"/>
      <c r="K55" s="2563" t="s">
        <v>8</v>
      </c>
      <c r="L55" s="2563" t="s">
        <v>8</v>
      </c>
      <c r="M55" s="2563" t="s">
        <v>630</v>
      </c>
      <c r="N55" s="2565"/>
      <c r="O55" s="1603" t="s">
        <v>8</v>
      </c>
      <c r="P55" s="1603" t="s">
        <v>8</v>
      </c>
      <c r="Q55" s="1603" t="s">
        <v>630</v>
      </c>
      <c r="R55" s="2566" t="s">
        <v>170</v>
      </c>
      <c r="S55" s="2567" t="s">
        <v>8</v>
      </c>
      <c r="T55" s="1603" t="s">
        <v>8</v>
      </c>
      <c r="U55" s="1603" t="s">
        <v>630</v>
      </c>
      <c r="V55" s="2565"/>
      <c r="W55" s="1603" t="s">
        <v>8</v>
      </c>
      <c r="X55" s="1603" t="s">
        <v>8</v>
      </c>
      <c r="Y55" s="1603" t="s">
        <v>630</v>
      </c>
      <c r="Z55" s="1603"/>
      <c r="AA55" s="1603" t="s">
        <v>8</v>
      </c>
      <c r="AB55" s="1603" t="s">
        <v>8</v>
      </c>
      <c r="AC55" s="1603" t="s">
        <v>630</v>
      </c>
      <c r="AD55" s="1603"/>
      <c r="AE55" s="2561" t="s">
        <v>8</v>
      </c>
      <c r="AF55" s="4786"/>
      <c r="AG55" s="4783"/>
      <c r="AH55" s="4787"/>
    </row>
    <row r="56" spans="1:35" ht="22.5" customHeight="1">
      <c r="B56" s="4782"/>
      <c r="C56" s="4783"/>
      <c r="D56" s="4784"/>
      <c r="E56" s="4198" t="s">
        <v>421</v>
      </c>
      <c r="F56" s="4229"/>
      <c r="G56" s="1603" t="s">
        <v>631</v>
      </c>
      <c r="H56" s="2563" t="s">
        <v>632</v>
      </c>
      <c r="I56" s="2563" t="s">
        <v>633</v>
      </c>
      <c r="J56" s="2563" t="s">
        <v>170</v>
      </c>
      <c r="K56" s="1603" t="s">
        <v>631</v>
      </c>
      <c r="L56" s="2563" t="s">
        <v>632</v>
      </c>
      <c r="M56" s="2563" t="s">
        <v>633</v>
      </c>
      <c r="N56" s="1603" t="s">
        <v>170</v>
      </c>
      <c r="O56" s="1603" t="s">
        <v>631</v>
      </c>
      <c r="P56" s="1603" t="s">
        <v>632</v>
      </c>
      <c r="Q56" s="1603" t="s">
        <v>633</v>
      </c>
      <c r="R56" s="2566"/>
      <c r="S56" s="2567" t="s">
        <v>631</v>
      </c>
      <c r="T56" s="1603" t="s">
        <v>632</v>
      </c>
      <c r="U56" s="1603" t="s">
        <v>633</v>
      </c>
      <c r="V56" s="1603" t="s">
        <v>170</v>
      </c>
      <c r="W56" s="1603" t="s">
        <v>631</v>
      </c>
      <c r="X56" s="1603" t="s">
        <v>632</v>
      </c>
      <c r="Y56" s="1603" t="s">
        <v>633</v>
      </c>
      <c r="Z56" s="1603" t="s">
        <v>170</v>
      </c>
      <c r="AA56" s="1603" t="s">
        <v>631</v>
      </c>
      <c r="AB56" s="1603" t="s">
        <v>632</v>
      </c>
      <c r="AC56" s="1603" t="s">
        <v>633</v>
      </c>
      <c r="AD56" s="1603" t="s">
        <v>170</v>
      </c>
      <c r="AE56" s="2561" t="s">
        <v>634</v>
      </c>
      <c r="AF56" s="4786"/>
      <c r="AG56" s="4783"/>
      <c r="AH56" s="4787"/>
      <c r="AI56" s="1801"/>
    </row>
    <row r="57" spans="1:35" ht="22.5" customHeight="1">
      <c r="A57" s="1174"/>
      <c r="B57" s="4785"/>
      <c r="C57" s="4625"/>
      <c r="D57" s="4626"/>
      <c r="E57" s="4144" t="s">
        <v>604</v>
      </c>
      <c r="F57" s="4238" t="s">
        <v>635</v>
      </c>
      <c r="G57" s="2568" t="s">
        <v>636</v>
      </c>
      <c r="H57" s="2569" t="s">
        <v>637</v>
      </c>
      <c r="I57" s="2569" t="s">
        <v>638</v>
      </c>
      <c r="J57" s="2569" t="s">
        <v>187</v>
      </c>
      <c r="K57" s="2569" t="s">
        <v>636</v>
      </c>
      <c r="L57" s="2569" t="s">
        <v>637</v>
      </c>
      <c r="M57" s="2569" t="s">
        <v>638</v>
      </c>
      <c r="N57" s="2569" t="s">
        <v>187</v>
      </c>
      <c r="O57" s="2569" t="s">
        <v>636</v>
      </c>
      <c r="P57" s="2569" t="s">
        <v>637</v>
      </c>
      <c r="Q57" s="2569" t="s">
        <v>638</v>
      </c>
      <c r="R57" s="2570" t="s">
        <v>187</v>
      </c>
      <c r="S57" s="2571" t="s">
        <v>636</v>
      </c>
      <c r="T57" s="2569" t="s">
        <v>637</v>
      </c>
      <c r="U57" s="2569" t="s">
        <v>638</v>
      </c>
      <c r="V57" s="2569" t="s">
        <v>187</v>
      </c>
      <c r="W57" s="2569" t="s">
        <v>636</v>
      </c>
      <c r="X57" s="2569" t="s">
        <v>637</v>
      </c>
      <c r="Y57" s="2569" t="s">
        <v>638</v>
      </c>
      <c r="Z57" s="2569" t="s">
        <v>187</v>
      </c>
      <c r="AA57" s="2569" t="s">
        <v>636</v>
      </c>
      <c r="AB57" s="2569" t="s">
        <v>637</v>
      </c>
      <c r="AC57" s="2569" t="s">
        <v>638</v>
      </c>
      <c r="AD57" s="2569" t="s">
        <v>187</v>
      </c>
      <c r="AE57" s="2572" t="s">
        <v>187</v>
      </c>
      <c r="AF57" s="4788"/>
      <c r="AG57" s="4625"/>
      <c r="AH57" s="4789"/>
      <c r="AI57" s="1801"/>
    </row>
    <row r="58" spans="1:35" ht="39.75" customHeight="1">
      <c r="A58" s="1174"/>
      <c r="B58" s="1582"/>
      <c r="C58" s="4163" t="s">
        <v>649</v>
      </c>
      <c r="D58" s="1553"/>
      <c r="E58" s="1141">
        <v>1819.9</v>
      </c>
      <c r="F58" s="1172">
        <v>3119.5</v>
      </c>
      <c r="G58" s="4184">
        <v>993.5</v>
      </c>
      <c r="H58" s="4184">
        <v>114.1</v>
      </c>
      <c r="I58" s="4184">
        <v>227.4</v>
      </c>
      <c r="J58" s="4184">
        <f t="shared" ref="J58:J85" si="7">SUM(I58+H58+G58)</f>
        <v>1335</v>
      </c>
      <c r="K58" s="4184">
        <f>42.6+101.4</f>
        <v>144</v>
      </c>
      <c r="L58" s="4184">
        <v>0.1</v>
      </c>
      <c r="M58" s="4184">
        <f>27.1+9.7</f>
        <v>36.799999999999997</v>
      </c>
      <c r="N58" s="4190">
        <f>SUM(M58+L58+K58)</f>
        <v>180.9</v>
      </c>
      <c r="O58" s="4184">
        <v>34.700000000000003</v>
      </c>
      <c r="P58" s="4184">
        <v>0.6</v>
      </c>
      <c r="Q58" s="4184">
        <v>5.7</v>
      </c>
      <c r="R58" s="4190">
        <f t="shared" ref="R58:R76" si="8">SUM(O58:Q58)</f>
        <v>41.000000000000007</v>
      </c>
      <c r="S58" s="4190">
        <v>25.7</v>
      </c>
      <c r="T58" s="4190">
        <v>6.0000000000000001E-3</v>
      </c>
      <c r="U58" s="4190">
        <v>7.6</v>
      </c>
      <c r="V58" s="4190">
        <f t="shared" ref="V58:V85" si="9">SUM(S58:U58)</f>
        <v>33.305999999999997</v>
      </c>
      <c r="W58" s="4184">
        <v>266.89999999999998</v>
      </c>
      <c r="X58" s="4184">
        <v>0.5</v>
      </c>
      <c r="Y58" s="4184">
        <v>54.2</v>
      </c>
      <c r="Z58" s="4190">
        <f t="shared" ref="Z58:Z85" si="10">SUM(W58:Y58)</f>
        <v>321.59999999999997</v>
      </c>
      <c r="AA58" s="4190">
        <v>1738.9</v>
      </c>
      <c r="AB58" s="4190">
        <v>588.20000000000005</v>
      </c>
      <c r="AC58" s="4190">
        <v>700.5</v>
      </c>
      <c r="AD58" s="4190">
        <f t="shared" ref="AD58:AD85" si="11">SUM(AA58:AC58)</f>
        <v>3027.6000000000004</v>
      </c>
      <c r="AE58" s="1345">
        <f t="shared" ref="AE58:AE85" si="12">SUM(AD58+Z58+V58+R58+N58+J58)</f>
        <v>4939.4060000000009</v>
      </c>
      <c r="AF58" s="1553"/>
      <c r="AG58" s="1720" t="s">
        <v>425</v>
      </c>
      <c r="AH58" s="1261"/>
      <c r="AI58" s="1801"/>
    </row>
    <row r="59" spans="1:35" ht="39.75" customHeight="1">
      <c r="A59" s="1174"/>
      <c r="B59" s="1416"/>
      <c r="C59" s="4173">
        <v>1994</v>
      </c>
      <c r="D59" s="1415"/>
      <c r="E59" s="1156">
        <v>1995.4</v>
      </c>
      <c r="F59" s="1195">
        <v>3396.1</v>
      </c>
      <c r="G59" s="4183">
        <v>1127.4000000000001</v>
      </c>
      <c r="H59" s="4183">
        <v>117</v>
      </c>
      <c r="I59" s="4183">
        <v>199</v>
      </c>
      <c r="J59" s="4183">
        <f t="shared" si="7"/>
        <v>1443.4</v>
      </c>
      <c r="K59" s="4183">
        <f>39.7+107.9</f>
        <v>147.60000000000002</v>
      </c>
      <c r="L59" s="4183">
        <v>0.2</v>
      </c>
      <c r="M59" s="4183">
        <f>31.3+9.8</f>
        <v>41.1</v>
      </c>
      <c r="N59" s="4183">
        <f>SUM(M59+L59+K59)</f>
        <v>188.90000000000003</v>
      </c>
      <c r="O59" s="4183">
        <v>31.7</v>
      </c>
      <c r="P59" s="4183">
        <v>0.9</v>
      </c>
      <c r="Q59" s="4183">
        <v>6.4</v>
      </c>
      <c r="R59" s="4183">
        <f t="shared" si="8"/>
        <v>39</v>
      </c>
      <c r="S59" s="4183">
        <v>11.5</v>
      </c>
      <c r="T59" s="4183">
        <v>6.0000000000000001E-3</v>
      </c>
      <c r="U59" s="4183">
        <v>6.2</v>
      </c>
      <c r="V59" s="4183">
        <f t="shared" si="9"/>
        <v>17.706</v>
      </c>
      <c r="W59" s="4183">
        <v>363.3</v>
      </c>
      <c r="X59" s="4183">
        <v>1.3</v>
      </c>
      <c r="Y59" s="4183">
        <v>37.700000000000003</v>
      </c>
      <c r="Z59" s="4183">
        <f t="shared" si="10"/>
        <v>402.3</v>
      </c>
      <c r="AA59" s="4183">
        <v>1943.3</v>
      </c>
      <c r="AB59" s="4183">
        <v>636.29999999999995</v>
      </c>
      <c r="AC59" s="4183">
        <v>720.6</v>
      </c>
      <c r="AD59" s="4183">
        <f t="shared" si="11"/>
        <v>3300.2</v>
      </c>
      <c r="AE59" s="1343">
        <f t="shared" si="12"/>
        <v>5391.5060000000003</v>
      </c>
      <c r="AF59" s="1415"/>
      <c r="AG59" s="4173">
        <v>1994</v>
      </c>
      <c r="AH59" s="1258"/>
      <c r="AI59" s="1801"/>
    </row>
    <row r="60" spans="1:35" s="1801" customFormat="1" ht="39.75" customHeight="1">
      <c r="B60" s="1582"/>
      <c r="C60" s="4163">
        <v>1995</v>
      </c>
      <c r="D60" s="1553"/>
      <c r="E60" s="1141">
        <v>2277.9</v>
      </c>
      <c r="F60" s="1172">
        <v>3509.6</v>
      </c>
      <c r="G60" s="4184">
        <v>1212.2</v>
      </c>
      <c r="H60" s="4184">
        <v>117.8</v>
      </c>
      <c r="I60" s="4184">
        <v>201.5</v>
      </c>
      <c r="J60" s="4184">
        <f t="shared" si="7"/>
        <v>1531.5</v>
      </c>
      <c r="K60" s="4184">
        <f>39.9+101.2</f>
        <v>141.1</v>
      </c>
      <c r="L60" s="4184">
        <v>0.4</v>
      </c>
      <c r="M60" s="4184">
        <f>31.4+8.4</f>
        <v>39.799999999999997</v>
      </c>
      <c r="N60" s="4184">
        <f>SUM(M60+L60+K60)</f>
        <v>181.29999999999998</v>
      </c>
      <c r="O60" s="4184">
        <v>36.9</v>
      </c>
      <c r="P60" s="4184">
        <v>0.3</v>
      </c>
      <c r="Q60" s="4184">
        <v>4.9000000000000004</v>
      </c>
      <c r="R60" s="4184">
        <f t="shared" si="8"/>
        <v>42.099999999999994</v>
      </c>
      <c r="S60" s="4184">
        <v>12.7</v>
      </c>
      <c r="T60" s="4184">
        <v>0.1</v>
      </c>
      <c r="U60" s="4184">
        <v>8.5</v>
      </c>
      <c r="V60" s="4184">
        <f t="shared" si="9"/>
        <v>21.299999999999997</v>
      </c>
      <c r="W60" s="4184">
        <v>428.6</v>
      </c>
      <c r="X60" s="4184">
        <v>0.3</v>
      </c>
      <c r="Y60" s="4184">
        <v>44.4</v>
      </c>
      <c r="Z60" s="4184">
        <f t="shared" si="10"/>
        <v>473.3</v>
      </c>
      <c r="AA60" s="4184">
        <v>2133.3000000000002</v>
      </c>
      <c r="AB60" s="4184">
        <v>684.7</v>
      </c>
      <c r="AC60" s="4184">
        <v>720</v>
      </c>
      <c r="AD60" s="4184">
        <f t="shared" si="11"/>
        <v>3538</v>
      </c>
      <c r="AE60" s="1345">
        <f t="shared" si="12"/>
        <v>5787.5</v>
      </c>
      <c r="AF60" s="1553"/>
      <c r="AG60" s="4163">
        <v>1995</v>
      </c>
      <c r="AH60" s="1261"/>
    </row>
    <row r="61" spans="1:35" s="2149" customFormat="1" ht="39.75" customHeight="1">
      <c r="A61" s="2573"/>
      <c r="B61" s="1416"/>
      <c r="C61" s="4173">
        <v>1996</v>
      </c>
      <c r="D61" s="1415"/>
      <c r="E61" s="1156">
        <v>2352.5</v>
      </c>
      <c r="F61" s="1195">
        <v>3636.3</v>
      </c>
      <c r="G61" s="4183">
        <v>1250.2</v>
      </c>
      <c r="H61" s="4183">
        <v>116.5</v>
      </c>
      <c r="I61" s="4183">
        <v>199.7</v>
      </c>
      <c r="J61" s="4183">
        <f t="shared" si="7"/>
        <v>1566.4</v>
      </c>
      <c r="K61" s="4183">
        <f>65.4+100.1</f>
        <v>165.5</v>
      </c>
      <c r="L61" s="4183">
        <v>0.2</v>
      </c>
      <c r="M61" s="4183">
        <f>31+9</f>
        <v>40</v>
      </c>
      <c r="N61" s="4183">
        <f t="shared" ref="N61:N85" si="13">SUM(M61+L61+K61)</f>
        <v>205.7</v>
      </c>
      <c r="O61" s="4183">
        <v>46.1</v>
      </c>
      <c r="P61" s="4183">
        <v>0.3</v>
      </c>
      <c r="Q61" s="4183">
        <v>4.9000000000000004</v>
      </c>
      <c r="R61" s="4183">
        <f t="shared" si="8"/>
        <v>51.3</v>
      </c>
      <c r="S61" s="4183">
        <v>19.5</v>
      </c>
      <c r="T61" s="4183">
        <v>0</v>
      </c>
      <c r="U61" s="4183">
        <v>5.0999999999999996</v>
      </c>
      <c r="V61" s="4183">
        <f t="shared" si="9"/>
        <v>24.6</v>
      </c>
      <c r="W61" s="4183">
        <v>488.7</v>
      </c>
      <c r="X61" s="4183">
        <v>0.1</v>
      </c>
      <c r="Y61" s="4183">
        <v>32.799999999999997</v>
      </c>
      <c r="Z61" s="4183">
        <f t="shared" si="10"/>
        <v>521.6</v>
      </c>
      <c r="AA61" s="4183">
        <v>2311</v>
      </c>
      <c r="AB61" s="4183">
        <v>665.1</v>
      </c>
      <c r="AC61" s="4183">
        <v>643.1</v>
      </c>
      <c r="AD61" s="4183">
        <f t="shared" si="11"/>
        <v>3619.2</v>
      </c>
      <c r="AE61" s="1343">
        <f t="shared" si="12"/>
        <v>5988.8000000000011</v>
      </c>
      <c r="AF61" s="1415"/>
      <c r="AG61" s="4173">
        <v>1996</v>
      </c>
      <c r="AH61" s="1258"/>
      <c r="AI61" s="2148"/>
    </row>
    <row r="62" spans="1:35" ht="39.75" customHeight="1">
      <c r="A62" s="2573"/>
      <c r="B62" s="1582"/>
      <c r="C62" s="4163">
        <v>1997</v>
      </c>
      <c r="D62" s="1553"/>
      <c r="E62" s="1141">
        <v>2311.1999999999998</v>
      </c>
      <c r="F62" s="1172">
        <v>4076.7</v>
      </c>
      <c r="G62" s="4184">
        <v>1222.7</v>
      </c>
      <c r="H62" s="4184">
        <v>114.3</v>
      </c>
      <c r="I62" s="4184">
        <v>209.1</v>
      </c>
      <c r="J62" s="4184">
        <f t="shared" si="7"/>
        <v>1546.1</v>
      </c>
      <c r="K62" s="4184">
        <f>94.8+105.2</f>
        <v>200</v>
      </c>
      <c r="L62" s="4184">
        <f>0.2</f>
        <v>0.2</v>
      </c>
      <c r="M62" s="4184">
        <f>65.5+13.3</f>
        <v>78.8</v>
      </c>
      <c r="N62" s="4184">
        <f t="shared" si="13"/>
        <v>279</v>
      </c>
      <c r="O62" s="4184">
        <v>51.6</v>
      </c>
      <c r="P62" s="4184">
        <v>0.2</v>
      </c>
      <c r="Q62" s="4184">
        <v>4.7</v>
      </c>
      <c r="R62" s="4184">
        <f t="shared" si="8"/>
        <v>56.500000000000007</v>
      </c>
      <c r="S62" s="4184">
        <v>20</v>
      </c>
      <c r="T62" s="4184">
        <v>0</v>
      </c>
      <c r="U62" s="4184">
        <v>3.9</v>
      </c>
      <c r="V62" s="4184">
        <f t="shared" si="9"/>
        <v>23.9</v>
      </c>
      <c r="W62" s="4184">
        <f>57.4+451.4</f>
        <v>508.79999999999995</v>
      </c>
      <c r="X62" s="4184">
        <v>0.3</v>
      </c>
      <c r="Y62" s="4184">
        <f>36.8+6</f>
        <v>42.8</v>
      </c>
      <c r="Z62" s="4184">
        <f t="shared" si="10"/>
        <v>551.9</v>
      </c>
      <c r="AA62" s="4184">
        <v>2559.8000000000002</v>
      </c>
      <c r="AB62" s="4184">
        <v>672</v>
      </c>
      <c r="AC62" s="4184">
        <v>698.7</v>
      </c>
      <c r="AD62" s="4184">
        <f t="shared" si="11"/>
        <v>3930.5</v>
      </c>
      <c r="AE62" s="1345">
        <f t="shared" si="12"/>
        <v>6387.9</v>
      </c>
      <c r="AF62" s="1553"/>
      <c r="AG62" s="4163">
        <v>1997</v>
      </c>
      <c r="AH62" s="1261"/>
      <c r="AI62" s="2148"/>
    </row>
    <row r="63" spans="1:35" s="2127" customFormat="1" ht="39.75" customHeight="1">
      <c r="A63" s="2573"/>
      <c r="B63" s="1416"/>
      <c r="C63" s="4173" t="s">
        <v>650</v>
      </c>
      <c r="D63" s="1415"/>
      <c r="E63" s="1156">
        <v>2632.9</v>
      </c>
      <c r="F63" s="1195">
        <v>4178.5</v>
      </c>
      <c r="G63" s="4183">
        <v>1244.5999999999999</v>
      </c>
      <c r="H63" s="4183">
        <v>119.1</v>
      </c>
      <c r="I63" s="4183">
        <v>216.5</v>
      </c>
      <c r="J63" s="4183">
        <f t="shared" si="7"/>
        <v>1580.1999999999998</v>
      </c>
      <c r="K63" s="4183">
        <f>83.6+46.8</f>
        <v>130.39999999999998</v>
      </c>
      <c r="L63" s="4183">
        <v>0.2</v>
      </c>
      <c r="M63" s="4183">
        <f>35.1+16.8</f>
        <v>51.900000000000006</v>
      </c>
      <c r="N63" s="4183">
        <f t="shared" si="13"/>
        <v>182.5</v>
      </c>
      <c r="O63" s="4183">
        <v>29.4</v>
      </c>
      <c r="P63" s="4183">
        <v>0.2</v>
      </c>
      <c r="Q63" s="4183">
        <v>2</v>
      </c>
      <c r="R63" s="4183">
        <f t="shared" si="8"/>
        <v>31.599999999999998</v>
      </c>
      <c r="S63" s="4183">
        <v>16.600000000000001</v>
      </c>
      <c r="T63" s="4183">
        <v>0</v>
      </c>
      <c r="U63" s="4183">
        <v>3</v>
      </c>
      <c r="V63" s="4183">
        <f t="shared" si="9"/>
        <v>19.600000000000001</v>
      </c>
      <c r="W63" s="4183">
        <f>149.5+575.6</f>
        <v>725.1</v>
      </c>
      <c r="X63" s="4183">
        <f>0.5</f>
        <v>0.5</v>
      </c>
      <c r="Y63" s="4183">
        <f>43.7+12.6</f>
        <v>56.300000000000004</v>
      </c>
      <c r="Z63" s="4183">
        <f t="shared" si="10"/>
        <v>781.9</v>
      </c>
      <c r="AA63" s="4183">
        <v>2799.2</v>
      </c>
      <c r="AB63" s="4183">
        <v>673.6</v>
      </c>
      <c r="AC63" s="4183">
        <v>742.8</v>
      </c>
      <c r="AD63" s="4183">
        <f t="shared" si="11"/>
        <v>4215.5999999999995</v>
      </c>
      <c r="AE63" s="1343">
        <f t="shared" si="12"/>
        <v>6811.4</v>
      </c>
      <c r="AF63" s="1415"/>
      <c r="AG63" s="2574" t="s">
        <v>426</v>
      </c>
      <c r="AH63" s="1258"/>
      <c r="AI63" s="2148"/>
    </row>
    <row r="64" spans="1:35" s="1801" customFormat="1" ht="39.75" customHeight="1">
      <c r="A64" s="2573"/>
      <c r="B64" s="1582"/>
      <c r="C64" s="4163">
        <f>C62+2</f>
        <v>1999</v>
      </c>
      <c r="D64" s="1553"/>
      <c r="E64" s="1141">
        <v>2821</v>
      </c>
      <c r="F64" s="1172">
        <v>4681.3999999999996</v>
      </c>
      <c r="G64" s="4184">
        <v>1263.9000000000001</v>
      </c>
      <c r="H64" s="4184">
        <v>125.3</v>
      </c>
      <c r="I64" s="4184">
        <v>231.3</v>
      </c>
      <c r="J64" s="4184">
        <f t="shared" si="7"/>
        <v>1620.5</v>
      </c>
      <c r="K64" s="4184">
        <f>142.9+65.5</f>
        <v>208.4</v>
      </c>
      <c r="L64" s="4184">
        <f>0.2+0.1</f>
        <v>0.30000000000000004</v>
      </c>
      <c r="M64" s="4184">
        <f>36.2+18.1</f>
        <v>54.300000000000004</v>
      </c>
      <c r="N64" s="4184">
        <f t="shared" si="13"/>
        <v>263</v>
      </c>
      <c r="O64" s="4184">
        <v>36.200000000000003</v>
      </c>
      <c r="P64" s="4184">
        <v>0.2</v>
      </c>
      <c r="Q64" s="4184">
        <v>2.7</v>
      </c>
      <c r="R64" s="4184">
        <f t="shared" si="8"/>
        <v>39.100000000000009</v>
      </c>
      <c r="S64" s="4184">
        <v>15.6</v>
      </c>
      <c r="T64" s="4184">
        <v>0</v>
      </c>
      <c r="U64" s="4184">
        <v>4.5</v>
      </c>
      <c r="V64" s="4184">
        <f t="shared" si="9"/>
        <v>20.100000000000001</v>
      </c>
      <c r="W64" s="4184">
        <f>171.3+737.3</f>
        <v>908.59999999999991</v>
      </c>
      <c r="X64" s="4184">
        <v>0</v>
      </c>
      <c r="Y64" s="4184">
        <f>48.2+10.8</f>
        <v>59</v>
      </c>
      <c r="Z64" s="4184">
        <f t="shared" si="10"/>
        <v>967.59999999999991</v>
      </c>
      <c r="AA64" s="4184">
        <v>3117.2</v>
      </c>
      <c r="AB64" s="4184">
        <v>717.9</v>
      </c>
      <c r="AC64" s="4184">
        <v>757</v>
      </c>
      <c r="AD64" s="4184">
        <f t="shared" si="11"/>
        <v>4592.1000000000004</v>
      </c>
      <c r="AE64" s="1345">
        <f t="shared" si="12"/>
        <v>7502.4000000000015</v>
      </c>
      <c r="AF64" s="1553"/>
      <c r="AG64" s="4163">
        <f>AG62+2</f>
        <v>1999</v>
      </c>
      <c r="AH64" s="1261"/>
      <c r="AI64" s="2148"/>
    </row>
    <row r="65" spans="1:36" s="2127" customFormat="1" ht="39.75" customHeight="1">
      <c r="A65" s="2573"/>
      <c r="B65" s="1416"/>
      <c r="C65" s="4173">
        <f>C64+1</f>
        <v>2000</v>
      </c>
      <c r="D65" s="1415"/>
      <c r="E65" s="1156">
        <v>3224.3</v>
      </c>
      <c r="F65" s="1195">
        <v>5000.2</v>
      </c>
      <c r="G65" s="4183">
        <v>1314.5</v>
      </c>
      <c r="H65" s="4183">
        <v>129.5</v>
      </c>
      <c r="I65" s="4183">
        <v>291.7</v>
      </c>
      <c r="J65" s="4183">
        <f t="shared" si="7"/>
        <v>1735.7</v>
      </c>
      <c r="K65" s="4183">
        <f>156.9+89.2</f>
        <v>246.10000000000002</v>
      </c>
      <c r="L65" s="4183">
        <f>0.1</f>
        <v>0.1</v>
      </c>
      <c r="M65" s="4183">
        <f>42.8+27.7</f>
        <v>70.5</v>
      </c>
      <c r="N65" s="4183">
        <f t="shared" si="13"/>
        <v>316.70000000000005</v>
      </c>
      <c r="O65" s="4183">
        <v>54.2</v>
      </c>
      <c r="P65" s="4183">
        <v>0.2</v>
      </c>
      <c r="Q65" s="4183">
        <v>4.5999999999999996</v>
      </c>
      <c r="R65" s="4183">
        <f t="shared" si="8"/>
        <v>59.000000000000007</v>
      </c>
      <c r="S65" s="4183">
        <v>11</v>
      </c>
      <c r="T65" s="4183">
        <v>0</v>
      </c>
      <c r="U65" s="4183">
        <v>3.4</v>
      </c>
      <c r="V65" s="4183">
        <f t="shared" si="9"/>
        <v>14.4</v>
      </c>
      <c r="W65" s="4183">
        <f>224.5+736.8</f>
        <v>961.3</v>
      </c>
      <c r="X65" s="4183">
        <v>0</v>
      </c>
      <c r="Y65" s="4183">
        <f>53.1+9.3</f>
        <v>62.400000000000006</v>
      </c>
      <c r="Z65" s="4183">
        <f t="shared" si="10"/>
        <v>1023.6999999999999</v>
      </c>
      <c r="AA65" s="4183">
        <v>3352.9</v>
      </c>
      <c r="AB65" s="4183">
        <v>841</v>
      </c>
      <c r="AC65" s="4183">
        <v>881.1</v>
      </c>
      <c r="AD65" s="4183">
        <f t="shared" si="11"/>
        <v>5075</v>
      </c>
      <c r="AE65" s="1343">
        <f t="shared" si="12"/>
        <v>8224.5</v>
      </c>
      <c r="AF65" s="1415"/>
      <c r="AG65" s="4173">
        <f>AG64+1</f>
        <v>2000</v>
      </c>
      <c r="AH65" s="1258"/>
      <c r="AI65" s="2148"/>
    </row>
    <row r="66" spans="1:36" s="1801" customFormat="1" ht="39.75" customHeight="1">
      <c r="A66" s="2573"/>
      <c r="B66" s="1582"/>
      <c r="C66" s="4163">
        <f>C65+1</f>
        <v>2001</v>
      </c>
      <c r="D66" s="1553"/>
      <c r="E66" s="1141">
        <v>3517.6</v>
      </c>
      <c r="F66" s="1172">
        <v>5203.7</v>
      </c>
      <c r="G66" s="4184">
        <v>1353.9</v>
      </c>
      <c r="H66" s="4184">
        <v>139</v>
      </c>
      <c r="I66" s="4184">
        <v>305.3</v>
      </c>
      <c r="J66" s="4184">
        <f t="shared" si="7"/>
        <v>1798.2</v>
      </c>
      <c r="K66" s="4184">
        <f>153.7+61.2</f>
        <v>214.89999999999998</v>
      </c>
      <c r="L66" s="4184">
        <v>0.5</v>
      </c>
      <c r="M66" s="4184">
        <f>43.8+26</f>
        <v>69.8</v>
      </c>
      <c r="N66" s="4184">
        <f t="shared" si="13"/>
        <v>285.2</v>
      </c>
      <c r="O66" s="4184">
        <v>66</v>
      </c>
      <c r="P66" s="4184">
        <v>0.1</v>
      </c>
      <c r="Q66" s="4184">
        <v>4.5</v>
      </c>
      <c r="R66" s="4184">
        <f t="shared" si="8"/>
        <v>70.599999999999994</v>
      </c>
      <c r="S66" s="4184">
        <v>9.4</v>
      </c>
      <c r="T66" s="4184">
        <v>0</v>
      </c>
      <c r="U66" s="4184">
        <v>2.2999999999999998</v>
      </c>
      <c r="V66" s="4184">
        <f t="shared" si="9"/>
        <v>11.7</v>
      </c>
      <c r="W66" s="4184">
        <f>174+761.4</f>
        <v>935.4</v>
      </c>
      <c r="X66" s="4184">
        <v>0.3</v>
      </c>
      <c r="Y66" s="4184">
        <f>85.7+24.9</f>
        <v>110.6</v>
      </c>
      <c r="Z66" s="4184">
        <f t="shared" si="10"/>
        <v>1046.3</v>
      </c>
      <c r="AA66" s="4184">
        <v>3545.2</v>
      </c>
      <c r="AB66" s="4184">
        <v>927.3</v>
      </c>
      <c r="AC66" s="4184">
        <v>1036.8</v>
      </c>
      <c r="AD66" s="4184">
        <f t="shared" si="11"/>
        <v>5509.3</v>
      </c>
      <c r="AE66" s="1345">
        <f t="shared" si="12"/>
        <v>8721.3000000000011</v>
      </c>
      <c r="AF66" s="1553"/>
      <c r="AG66" s="4163">
        <f>AG65+1</f>
        <v>2001</v>
      </c>
      <c r="AH66" s="1261"/>
      <c r="AI66" s="2148"/>
    </row>
    <row r="67" spans="1:36" s="2127" customFormat="1" ht="39.75" customHeight="1">
      <c r="A67" s="2573"/>
      <c r="B67" s="1416"/>
      <c r="C67" s="4173">
        <f>C66+1</f>
        <v>2002</v>
      </c>
      <c r="D67" s="1415"/>
      <c r="E67" s="1156">
        <v>3835.1</v>
      </c>
      <c r="F67" s="1195">
        <v>5532.6</v>
      </c>
      <c r="G67" s="4183">
        <v>1346.9</v>
      </c>
      <c r="H67" s="4183">
        <v>160.69999999999999</v>
      </c>
      <c r="I67" s="4183">
        <v>495.9</v>
      </c>
      <c r="J67" s="4183">
        <f t="shared" si="7"/>
        <v>2003.5</v>
      </c>
      <c r="K67" s="4183">
        <f>149.1+46</f>
        <v>195.1</v>
      </c>
      <c r="L67" s="4183">
        <v>0.7</v>
      </c>
      <c r="M67" s="4183">
        <f>29.5+30</f>
        <v>59.5</v>
      </c>
      <c r="N67" s="4183">
        <f t="shared" si="13"/>
        <v>255.3</v>
      </c>
      <c r="O67" s="4183">
        <v>63.4</v>
      </c>
      <c r="P67" s="4183">
        <v>0.1</v>
      </c>
      <c r="Q67" s="4183">
        <v>7.1</v>
      </c>
      <c r="R67" s="4183">
        <f t="shared" si="8"/>
        <v>70.599999999999994</v>
      </c>
      <c r="S67" s="4183">
        <v>15.8</v>
      </c>
      <c r="T67" s="4183">
        <v>0</v>
      </c>
      <c r="U67" s="4183">
        <v>7</v>
      </c>
      <c r="V67" s="4183">
        <f t="shared" si="9"/>
        <v>22.8</v>
      </c>
      <c r="W67" s="4183">
        <f>163.3+646.9</f>
        <v>810.2</v>
      </c>
      <c r="X67" s="4183">
        <v>0.2</v>
      </c>
      <c r="Y67" s="4183">
        <f>97.7+12.6</f>
        <v>110.3</v>
      </c>
      <c r="Z67" s="4183">
        <f t="shared" si="10"/>
        <v>920.7</v>
      </c>
      <c r="AA67" s="4183">
        <v>3782.1</v>
      </c>
      <c r="AB67" s="4183">
        <v>1072.0999999999999</v>
      </c>
      <c r="AC67" s="4183">
        <v>1240.5999999999999</v>
      </c>
      <c r="AD67" s="4183">
        <f t="shared" si="11"/>
        <v>6094.7999999999993</v>
      </c>
      <c r="AE67" s="1343">
        <f t="shared" si="12"/>
        <v>9367.7000000000007</v>
      </c>
      <c r="AF67" s="1415"/>
      <c r="AG67" s="4173">
        <f>AG66+1</f>
        <v>2002</v>
      </c>
      <c r="AH67" s="1258"/>
      <c r="AI67" s="2148"/>
    </row>
    <row r="68" spans="1:36" s="1801" customFormat="1" ht="39.75" customHeight="1">
      <c r="A68" s="2573"/>
      <c r="B68" s="1582"/>
      <c r="C68" s="4163">
        <f>C67+1</f>
        <v>2003</v>
      </c>
      <c r="D68" s="1553"/>
      <c r="E68" s="1141">
        <v>3886.5</v>
      </c>
      <c r="F68" s="1172">
        <v>6082.9</v>
      </c>
      <c r="G68" s="4184">
        <v>1251.0999999999999</v>
      </c>
      <c r="H68" s="4184">
        <v>186.1</v>
      </c>
      <c r="I68" s="4184">
        <v>371.7</v>
      </c>
      <c r="J68" s="4184">
        <f t="shared" si="7"/>
        <v>1808.8999999999999</v>
      </c>
      <c r="K68" s="4184">
        <f>133.3+48.3</f>
        <v>181.60000000000002</v>
      </c>
      <c r="L68" s="4184">
        <v>2</v>
      </c>
      <c r="M68" s="4184">
        <f>50.4+35.9</f>
        <v>86.3</v>
      </c>
      <c r="N68" s="4184">
        <f>SUM(M68+L68+K68)</f>
        <v>269.90000000000003</v>
      </c>
      <c r="O68" s="4184">
        <v>75.8</v>
      </c>
      <c r="P68" s="4184">
        <v>0.3</v>
      </c>
      <c r="Q68" s="4184">
        <v>10.4</v>
      </c>
      <c r="R68" s="4184">
        <f t="shared" si="8"/>
        <v>86.5</v>
      </c>
      <c r="S68" s="4184">
        <v>11.9</v>
      </c>
      <c r="T68" s="4184">
        <v>0</v>
      </c>
      <c r="U68" s="4184">
        <v>15.8</v>
      </c>
      <c r="V68" s="4184">
        <f t="shared" si="9"/>
        <v>27.700000000000003</v>
      </c>
      <c r="W68" s="4184">
        <f>260.5+398.1</f>
        <v>658.6</v>
      </c>
      <c r="X68" s="4184">
        <v>0.6</v>
      </c>
      <c r="Y68" s="4184">
        <f>119.5+24.5</f>
        <v>144</v>
      </c>
      <c r="Z68" s="4184">
        <f t="shared" si="10"/>
        <v>803.2</v>
      </c>
      <c r="AA68" s="4184">
        <v>3941</v>
      </c>
      <c r="AB68" s="4184">
        <v>1321.6</v>
      </c>
      <c r="AC68" s="4184">
        <v>1710.6</v>
      </c>
      <c r="AD68" s="4184">
        <f t="shared" si="11"/>
        <v>6973.2000000000007</v>
      </c>
      <c r="AE68" s="1345">
        <f t="shared" si="12"/>
        <v>9969.4</v>
      </c>
      <c r="AF68" s="1553"/>
      <c r="AG68" s="4163">
        <f>AG67+1</f>
        <v>2003</v>
      </c>
      <c r="AH68" s="1261"/>
      <c r="AI68" s="2148"/>
    </row>
    <row r="69" spans="1:36" s="2127" customFormat="1" ht="39.75" customHeight="1">
      <c r="A69" s="2573"/>
      <c r="B69" s="1416"/>
      <c r="C69" s="4173">
        <v>2004</v>
      </c>
      <c r="D69" s="1415"/>
      <c r="E69" s="1156">
        <v>4685.3999999999996</v>
      </c>
      <c r="F69" s="1195">
        <v>6878.7</v>
      </c>
      <c r="G69" s="4183">
        <v>1182.3</v>
      </c>
      <c r="H69" s="4183">
        <v>257.10000000000002</v>
      </c>
      <c r="I69" s="4183">
        <v>723.6</v>
      </c>
      <c r="J69" s="4183">
        <f>SUM(I69+H69+G69)</f>
        <v>2163</v>
      </c>
      <c r="K69" s="4183">
        <f>70.3+130.5</f>
        <v>200.8</v>
      </c>
      <c r="L69" s="4183">
        <v>0.8</v>
      </c>
      <c r="M69" s="4183">
        <f>83.9+50.8</f>
        <v>134.69999999999999</v>
      </c>
      <c r="N69" s="4183">
        <f>SUM(M69+L69+K69)</f>
        <v>336.3</v>
      </c>
      <c r="O69" s="4183">
        <v>87.4</v>
      </c>
      <c r="P69" s="4183">
        <v>0.7</v>
      </c>
      <c r="Q69" s="4183">
        <v>9.6</v>
      </c>
      <c r="R69" s="4183">
        <f>SUM(O69:Q69)</f>
        <v>97.7</v>
      </c>
      <c r="S69" s="4183">
        <v>13.3</v>
      </c>
      <c r="T69" s="4183">
        <v>0</v>
      </c>
      <c r="U69" s="4183">
        <v>19</v>
      </c>
      <c r="V69" s="4183">
        <f>SUM(S69:U69)</f>
        <v>32.299999999999997</v>
      </c>
      <c r="W69" s="4183">
        <f>317.4+366.5</f>
        <v>683.9</v>
      </c>
      <c r="X69" s="4183">
        <v>1</v>
      </c>
      <c r="Y69" s="4183">
        <f>97.7+54.4</f>
        <v>152.1</v>
      </c>
      <c r="Z69" s="4183">
        <f>SUM(W69:Y69)</f>
        <v>837</v>
      </c>
      <c r="AA69" s="4183">
        <v>4323.7</v>
      </c>
      <c r="AB69" s="4183">
        <v>1569</v>
      </c>
      <c r="AC69" s="4183">
        <v>2205.1</v>
      </c>
      <c r="AD69" s="4183">
        <f>SUM(AA69:AC69)</f>
        <v>8097.7999999999993</v>
      </c>
      <c r="AE69" s="1343">
        <f>SUM(AD69+Z69+V69+R69+N69+J69)</f>
        <v>11564.099999999999</v>
      </c>
      <c r="AF69" s="1415"/>
      <c r="AG69" s="4173">
        <v>2004</v>
      </c>
      <c r="AH69" s="1258"/>
      <c r="AI69" s="2148"/>
    </row>
    <row r="70" spans="1:36" s="1801" customFormat="1" ht="39.75" customHeight="1">
      <c r="A70" s="2573"/>
      <c r="B70" s="1582"/>
      <c r="C70" s="4163">
        <v>2005</v>
      </c>
      <c r="D70" s="1553"/>
      <c r="E70" s="1141">
        <v>4754.8</v>
      </c>
      <c r="F70" s="1172">
        <v>8364.5</v>
      </c>
      <c r="G70" s="4184">
        <v>1225.7</v>
      </c>
      <c r="H70" s="4184">
        <v>260.60000000000002</v>
      </c>
      <c r="I70" s="4184">
        <v>509.2</v>
      </c>
      <c r="J70" s="4184">
        <f t="shared" si="7"/>
        <v>1995.5</v>
      </c>
      <c r="K70" s="4184">
        <v>295.3</v>
      </c>
      <c r="L70" s="4184">
        <v>0.5</v>
      </c>
      <c r="M70" s="4184">
        <v>148.69999999999999</v>
      </c>
      <c r="N70" s="4184">
        <f t="shared" si="13"/>
        <v>444.5</v>
      </c>
      <c r="O70" s="4184">
        <v>66</v>
      </c>
      <c r="P70" s="4184">
        <v>0.2</v>
      </c>
      <c r="Q70" s="4184">
        <v>11</v>
      </c>
      <c r="R70" s="4184">
        <f t="shared" si="8"/>
        <v>77.2</v>
      </c>
      <c r="S70" s="4184">
        <v>9.6</v>
      </c>
      <c r="T70" s="4184">
        <v>0</v>
      </c>
      <c r="U70" s="4184">
        <v>17.600000000000001</v>
      </c>
      <c r="V70" s="4184">
        <f t="shared" si="9"/>
        <v>27.200000000000003</v>
      </c>
      <c r="W70" s="4184">
        <v>707.1</v>
      </c>
      <c r="X70" s="4184">
        <v>0.6</v>
      </c>
      <c r="Y70" s="4184">
        <v>130.5</v>
      </c>
      <c r="Z70" s="4184">
        <f t="shared" si="10"/>
        <v>838.2</v>
      </c>
      <c r="AA70" s="4184">
        <v>5184.6000000000004</v>
      </c>
      <c r="AB70" s="4184">
        <v>1694.7</v>
      </c>
      <c r="AC70" s="4184">
        <v>2857.4</v>
      </c>
      <c r="AD70" s="4184">
        <f t="shared" si="11"/>
        <v>9736.7000000000007</v>
      </c>
      <c r="AE70" s="1345">
        <f t="shared" si="12"/>
        <v>13119.300000000003</v>
      </c>
      <c r="AF70" s="1553"/>
      <c r="AG70" s="4163">
        <v>2005</v>
      </c>
      <c r="AH70" s="1261"/>
      <c r="AI70" s="2148"/>
    </row>
    <row r="71" spans="1:36" s="2127" customFormat="1" ht="39.75" customHeight="1">
      <c r="A71" s="2573"/>
      <c r="B71" s="1416"/>
      <c r="C71" s="4173">
        <v>2006</v>
      </c>
      <c r="D71" s="1415"/>
      <c r="E71" s="1156">
        <v>5164.8</v>
      </c>
      <c r="F71" s="1195">
        <v>9427.1</v>
      </c>
      <c r="G71" s="4183">
        <v>1347.9</v>
      </c>
      <c r="H71" s="4183">
        <v>234.1</v>
      </c>
      <c r="I71" s="4183">
        <v>472</v>
      </c>
      <c r="J71" s="4183">
        <f t="shared" si="7"/>
        <v>2054</v>
      </c>
      <c r="K71" s="4183">
        <f>146.1+185.2</f>
        <v>331.29999999999995</v>
      </c>
      <c r="L71" s="4183">
        <v>0.8</v>
      </c>
      <c r="M71" s="4183">
        <f>87.7+58</f>
        <v>145.69999999999999</v>
      </c>
      <c r="N71" s="4183">
        <f t="shared" si="13"/>
        <v>477.79999999999995</v>
      </c>
      <c r="O71" s="4183">
        <v>83.8</v>
      </c>
      <c r="P71" s="4183">
        <v>0.3</v>
      </c>
      <c r="Q71" s="4183">
        <v>9.6999999999999993</v>
      </c>
      <c r="R71" s="4183">
        <f t="shared" si="8"/>
        <v>93.8</v>
      </c>
      <c r="S71" s="4183">
        <v>8.9</v>
      </c>
      <c r="T71" s="4183">
        <v>0</v>
      </c>
      <c r="U71" s="4183">
        <v>15.3</v>
      </c>
      <c r="V71" s="4183">
        <f t="shared" si="9"/>
        <v>24.200000000000003</v>
      </c>
      <c r="W71" s="4183">
        <f>101.9+463.9</f>
        <v>565.79999999999995</v>
      </c>
      <c r="X71" s="4183">
        <v>0.7</v>
      </c>
      <c r="Y71" s="4183">
        <f>64.3+44.6</f>
        <v>108.9</v>
      </c>
      <c r="Z71" s="4183">
        <f t="shared" si="10"/>
        <v>675.4</v>
      </c>
      <c r="AA71" s="4183">
        <v>6421.7</v>
      </c>
      <c r="AB71" s="4183">
        <v>1761.2</v>
      </c>
      <c r="AC71" s="4183">
        <v>3083.8</v>
      </c>
      <c r="AD71" s="4183">
        <f t="shared" si="11"/>
        <v>11266.7</v>
      </c>
      <c r="AE71" s="1343">
        <f t="shared" si="12"/>
        <v>14591.9</v>
      </c>
      <c r="AF71" s="1415"/>
      <c r="AG71" s="4173">
        <v>2006</v>
      </c>
      <c r="AH71" s="1258"/>
      <c r="AI71" s="2148"/>
    </row>
    <row r="72" spans="1:36" s="1801" customFormat="1" ht="39.75" customHeight="1">
      <c r="A72" s="2573"/>
      <c r="B72" s="1582"/>
      <c r="C72" s="4163">
        <v>2007</v>
      </c>
      <c r="D72" s="1553"/>
      <c r="E72" s="1141">
        <v>5370.1</v>
      </c>
      <c r="F72" s="1172">
        <v>10618</v>
      </c>
      <c r="G72" s="4184">
        <v>1399.9</v>
      </c>
      <c r="H72" s="4184">
        <v>197.3</v>
      </c>
      <c r="I72" s="4184">
        <v>491.8</v>
      </c>
      <c r="J72" s="4184">
        <f>SUM(I72+H72+G72)</f>
        <v>2089</v>
      </c>
      <c r="K72" s="4184">
        <f>240.1+148.8</f>
        <v>388.9</v>
      </c>
      <c r="L72" s="4184">
        <v>0.2</v>
      </c>
      <c r="M72" s="4184">
        <f>84.9+52.6</f>
        <v>137.5</v>
      </c>
      <c r="N72" s="4184">
        <f t="shared" si="13"/>
        <v>526.59999999999991</v>
      </c>
      <c r="O72" s="4184">
        <v>84.9</v>
      </c>
      <c r="P72" s="4184">
        <v>0.8</v>
      </c>
      <c r="Q72" s="4184">
        <v>15.3</v>
      </c>
      <c r="R72" s="4184">
        <f t="shared" si="8"/>
        <v>101</v>
      </c>
      <c r="S72" s="4184">
        <v>42.6</v>
      </c>
      <c r="T72" s="4184">
        <v>0.5</v>
      </c>
      <c r="U72" s="4184">
        <v>20.7</v>
      </c>
      <c r="V72" s="4184">
        <f t="shared" si="9"/>
        <v>63.8</v>
      </c>
      <c r="W72" s="4184">
        <f>591.2+50.3</f>
        <v>641.5</v>
      </c>
      <c r="X72" s="4184">
        <v>1.3</v>
      </c>
      <c r="Y72" s="4184">
        <f>39.3+26.5</f>
        <v>65.8</v>
      </c>
      <c r="Z72" s="4184">
        <f t="shared" si="10"/>
        <v>708.59999999999991</v>
      </c>
      <c r="AA72" s="4184">
        <v>7425.5</v>
      </c>
      <c r="AB72" s="4184">
        <v>1802.8</v>
      </c>
      <c r="AC72" s="4184">
        <v>3270.8</v>
      </c>
      <c r="AD72" s="4184">
        <f t="shared" si="11"/>
        <v>12499.099999999999</v>
      </c>
      <c r="AE72" s="1345">
        <f t="shared" si="12"/>
        <v>15988.099999999999</v>
      </c>
      <c r="AF72" s="1553"/>
      <c r="AG72" s="4163">
        <v>2007</v>
      </c>
      <c r="AH72" s="1261"/>
      <c r="AI72" s="2148"/>
    </row>
    <row r="73" spans="1:36" s="2127" customFormat="1" ht="39.75" customHeight="1">
      <c r="A73" s="2573"/>
      <c r="B73" s="1416"/>
      <c r="C73" s="4173">
        <v>2008</v>
      </c>
      <c r="D73" s="1415"/>
      <c r="E73" s="1156">
        <v>4754.1000000000004</v>
      </c>
      <c r="F73" s="1195">
        <v>13348.5</v>
      </c>
      <c r="G73" s="4183">
        <v>1312.2</v>
      </c>
      <c r="H73" s="4183">
        <v>220.8</v>
      </c>
      <c r="I73" s="4183">
        <v>584</v>
      </c>
      <c r="J73" s="4183">
        <f>SUM(I73+H73+G73)</f>
        <v>2117</v>
      </c>
      <c r="K73" s="4183">
        <f>145.6+272.3</f>
        <v>417.9</v>
      </c>
      <c r="L73" s="4183">
        <v>0.3</v>
      </c>
      <c r="M73" s="4183">
        <f>91.2+51.7</f>
        <v>142.9</v>
      </c>
      <c r="N73" s="4183">
        <f t="shared" si="13"/>
        <v>561.1</v>
      </c>
      <c r="O73" s="4183">
        <v>85</v>
      </c>
      <c r="P73" s="4183">
        <v>0.3</v>
      </c>
      <c r="Q73" s="4183">
        <v>51.1</v>
      </c>
      <c r="R73" s="4183">
        <f t="shared" si="8"/>
        <v>136.4</v>
      </c>
      <c r="S73" s="4183">
        <v>3.3</v>
      </c>
      <c r="T73" s="4183">
        <v>0.2</v>
      </c>
      <c r="U73" s="4183">
        <v>16.399999999999999</v>
      </c>
      <c r="V73" s="4183">
        <f t="shared" si="9"/>
        <v>19.899999999999999</v>
      </c>
      <c r="W73" s="4183">
        <f>595.1+262.8</f>
        <v>857.90000000000009</v>
      </c>
      <c r="X73" s="4183">
        <v>0.3</v>
      </c>
      <c r="Y73" s="4183">
        <f>69.7+48.3</f>
        <v>118</v>
      </c>
      <c r="Z73" s="4183">
        <f t="shared" si="10"/>
        <v>976.2</v>
      </c>
      <c r="AA73" s="4183">
        <v>8770.7000000000007</v>
      </c>
      <c r="AB73" s="4183">
        <v>1921.7</v>
      </c>
      <c r="AC73" s="4183">
        <v>3599.6</v>
      </c>
      <c r="AD73" s="4183">
        <f t="shared" si="11"/>
        <v>14292.000000000002</v>
      </c>
      <c r="AE73" s="1343">
        <f>SUM(AD73+Z73+V73+R73+N73+J73)</f>
        <v>18102.600000000002</v>
      </c>
      <c r="AF73" s="1415"/>
      <c r="AG73" s="4173">
        <v>2008</v>
      </c>
      <c r="AH73" s="1258"/>
      <c r="AI73" s="2148"/>
    </row>
    <row r="74" spans="1:36" s="1801" customFormat="1" ht="39.75" customHeight="1">
      <c r="A74" s="2573"/>
      <c r="B74" s="1582"/>
      <c r="C74" s="4163">
        <v>2009</v>
      </c>
      <c r="D74" s="1553"/>
      <c r="E74" s="1141">
        <v>4433.3999999999996</v>
      </c>
      <c r="F74" s="1172">
        <v>15865</v>
      </c>
      <c r="G74" s="4184">
        <v>1240.2</v>
      </c>
      <c r="H74" s="4184">
        <v>338.5</v>
      </c>
      <c r="I74" s="4184">
        <v>685.6</v>
      </c>
      <c r="J74" s="4184">
        <f>SUM(I74+H74+G74)</f>
        <v>2264.3000000000002</v>
      </c>
      <c r="K74" s="4184">
        <f>181.5+414.1</f>
        <v>595.6</v>
      </c>
      <c r="L74" s="4184">
        <f>0.1+0.1</f>
        <v>0.2</v>
      </c>
      <c r="M74" s="4184">
        <f>126.3+58.8</f>
        <v>185.1</v>
      </c>
      <c r="N74" s="4184">
        <f t="shared" si="13"/>
        <v>780.9</v>
      </c>
      <c r="O74" s="4184">
        <v>115.1</v>
      </c>
      <c r="P74" s="4184">
        <v>0.6</v>
      </c>
      <c r="Q74" s="4184">
        <v>33.5</v>
      </c>
      <c r="R74" s="4184">
        <f t="shared" si="8"/>
        <v>149.19999999999999</v>
      </c>
      <c r="S74" s="4184">
        <v>6.8</v>
      </c>
      <c r="T74" s="4184">
        <v>0.5</v>
      </c>
      <c r="U74" s="4184">
        <v>35.299999999999997</v>
      </c>
      <c r="V74" s="4184">
        <f t="shared" si="9"/>
        <v>42.599999999999994</v>
      </c>
      <c r="W74" s="4184">
        <f>445.4+284.6</f>
        <v>730</v>
      </c>
      <c r="X74" s="4184">
        <f>0.3</f>
        <v>0.3</v>
      </c>
      <c r="Y74" s="4184">
        <f>16.4+58</f>
        <v>74.400000000000006</v>
      </c>
      <c r="Z74" s="4184">
        <f t="shared" si="10"/>
        <v>804.69999999999993</v>
      </c>
      <c r="AA74" s="4184">
        <v>9736.9</v>
      </c>
      <c r="AB74" s="4184">
        <v>2226.3000000000002</v>
      </c>
      <c r="AC74" s="4184">
        <v>4293.5</v>
      </c>
      <c r="AD74" s="4184">
        <f>SUM(AA74:AC74)</f>
        <v>16256.7</v>
      </c>
      <c r="AE74" s="1345">
        <f t="shared" si="12"/>
        <v>20298.400000000001</v>
      </c>
      <c r="AF74" s="1553"/>
      <c r="AG74" s="4163">
        <v>2009</v>
      </c>
      <c r="AH74" s="1261"/>
      <c r="AI74" s="2148"/>
    </row>
    <row r="75" spans="1:36" s="2127" customFormat="1" ht="39.75" customHeight="1">
      <c r="A75" s="2573"/>
      <c r="B75" s="1416"/>
      <c r="C75" s="4173">
        <v>2010</v>
      </c>
      <c r="D75" s="1415"/>
      <c r="E75" s="1156">
        <v>4887.6000000000004</v>
      </c>
      <c r="F75" s="1195">
        <v>17617.2</v>
      </c>
      <c r="G75" s="4183">
        <v>1182.3</v>
      </c>
      <c r="H75" s="4183">
        <v>413.1</v>
      </c>
      <c r="I75" s="4183">
        <v>812.5</v>
      </c>
      <c r="J75" s="4183">
        <f t="shared" si="7"/>
        <v>2407.8999999999996</v>
      </c>
      <c r="K75" s="4183">
        <f>397.8+162.6</f>
        <v>560.4</v>
      </c>
      <c r="L75" s="4183">
        <f>0.4+0.1</f>
        <v>0.5</v>
      </c>
      <c r="M75" s="4183">
        <f>59.6+45.4</f>
        <v>105</v>
      </c>
      <c r="N75" s="4183">
        <f t="shared" si="13"/>
        <v>665.9</v>
      </c>
      <c r="O75" s="4183">
        <v>144.5</v>
      </c>
      <c r="P75" s="4183">
        <v>0.4</v>
      </c>
      <c r="Q75" s="4183">
        <v>57.8</v>
      </c>
      <c r="R75" s="4183">
        <f t="shared" si="8"/>
        <v>202.7</v>
      </c>
      <c r="S75" s="4183">
        <v>14.7</v>
      </c>
      <c r="T75" s="4183">
        <v>0.6</v>
      </c>
      <c r="U75" s="4183">
        <v>20.100000000000001</v>
      </c>
      <c r="V75" s="4183">
        <f t="shared" si="9"/>
        <v>35.4</v>
      </c>
      <c r="W75" s="4183">
        <f>275.3+501.5</f>
        <v>776.8</v>
      </c>
      <c r="X75" s="4183">
        <v>1.4</v>
      </c>
      <c r="Y75" s="4183">
        <f>25.2+45.6</f>
        <v>70.8</v>
      </c>
      <c r="Z75" s="4183">
        <f t="shared" si="10"/>
        <v>848.99999999999989</v>
      </c>
      <c r="AA75" s="4183">
        <v>10878.1</v>
      </c>
      <c r="AB75" s="4183">
        <v>2560.9</v>
      </c>
      <c r="AC75" s="4183">
        <v>4904.8999999999996</v>
      </c>
      <c r="AD75" s="4183">
        <f t="shared" si="11"/>
        <v>18343.900000000001</v>
      </c>
      <c r="AE75" s="1343">
        <f t="shared" si="12"/>
        <v>22504.800000000003</v>
      </c>
      <c r="AF75" s="1415"/>
      <c r="AG75" s="4173">
        <v>2010</v>
      </c>
      <c r="AH75" s="1258"/>
      <c r="AI75" s="2148"/>
    </row>
    <row r="76" spans="1:36" s="1801" customFormat="1" ht="39.75" customHeight="1">
      <c r="A76" s="2573"/>
      <c r="B76" s="1582"/>
      <c r="C76" s="4163">
        <v>2011</v>
      </c>
      <c r="D76" s="1553"/>
      <c r="E76" s="1141">
        <v>5258.8</v>
      </c>
      <c r="F76" s="1172">
        <v>19119.099999999999</v>
      </c>
      <c r="G76" s="4184">
        <v>1267.5</v>
      </c>
      <c r="H76" s="4184">
        <v>485.5</v>
      </c>
      <c r="I76" s="4184">
        <v>908.3</v>
      </c>
      <c r="J76" s="4184">
        <f t="shared" si="7"/>
        <v>2661.3</v>
      </c>
      <c r="K76" s="4184">
        <f>331.7+143.8</f>
        <v>475.5</v>
      </c>
      <c r="L76" s="4184">
        <f>0.4+0.1</f>
        <v>0.5</v>
      </c>
      <c r="M76" s="4184">
        <f>101.1+60.3</f>
        <v>161.39999999999998</v>
      </c>
      <c r="N76" s="4184">
        <f t="shared" si="13"/>
        <v>637.4</v>
      </c>
      <c r="O76" s="4184">
        <v>188.7</v>
      </c>
      <c r="P76" s="4184">
        <v>0.3</v>
      </c>
      <c r="Q76" s="4184">
        <v>88</v>
      </c>
      <c r="R76" s="4184">
        <f t="shared" si="8"/>
        <v>277</v>
      </c>
      <c r="S76" s="4184">
        <v>12.8</v>
      </c>
      <c r="T76" s="4184">
        <v>0.1</v>
      </c>
      <c r="U76" s="4184">
        <v>3.4</v>
      </c>
      <c r="V76" s="4184">
        <f t="shared" si="9"/>
        <v>16.3</v>
      </c>
      <c r="W76" s="4184">
        <f>298.2+507.9</f>
        <v>806.09999999999991</v>
      </c>
      <c r="X76" s="4184">
        <v>0.8</v>
      </c>
      <c r="Y76" s="4184">
        <f>29.7+43.5</f>
        <v>73.2</v>
      </c>
      <c r="Z76" s="4184">
        <f t="shared" si="10"/>
        <v>880.09999999999991</v>
      </c>
      <c r="AA76" s="4184">
        <v>11375.8</v>
      </c>
      <c r="AB76" s="4184">
        <v>2887.5</v>
      </c>
      <c r="AC76" s="4184">
        <v>5642.5</v>
      </c>
      <c r="AD76" s="4184">
        <f t="shared" si="11"/>
        <v>19905.8</v>
      </c>
      <c r="AE76" s="1345">
        <f t="shared" si="12"/>
        <v>24377.899999999998</v>
      </c>
      <c r="AF76" s="1553"/>
      <c r="AG76" s="4163">
        <v>2011</v>
      </c>
      <c r="AH76" s="1261"/>
      <c r="AI76" s="2148"/>
      <c r="AJ76" s="1964"/>
    </row>
    <row r="77" spans="1:36" s="1801" customFormat="1" ht="39.75" customHeight="1">
      <c r="A77" s="2573"/>
      <c r="B77" s="1416"/>
      <c r="C77" s="4173">
        <v>2012</v>
      </c>
      <c r="D77" s="1415"/>
      <c r="E77" s="1156">
        <v>7258.6</v>
      </c>
      <c r="F77" s="1195">
        <v>17711.099999999999</v>
      </c>
      <c r="G77" s="4183">
        <v>1162.7</v>
      </c>
      <c r="H77" s="4183">
        <v>419.7</v>
      </c>
      <c r="I77" s="4183">
        <v>1029.3</v>
      </c>
      <c r="J77" s="4183">
        <f t="shared" si="7"/>
        <v>2611.6999999999998</v>
      </c>
      <c r="K77" s="4183">
        <v>507.8</v>
      </c>
      <c r="L77" s="4183">
        <v>0.3</v>
      </c>
      <c r="M77" s="4183">
        <v>138.6</v>
      </c>
      <c r="N77" s="4183">
        <f t="shared" si="13"/>
        <v>646.70000000000005</v>
      </c>
      <c r="O77" s="4183">
        <v>204.6</v>
      </c>
      <c r="P77" s="4183">
        <v>0.9</v>
      </c>
      <c r="Q77" s="4183">
        <v>69.400000000000006</v>
      </c>
      <c r="R77" s="4183">
        <f t="shared" ref="R77:R85" si="14">SUM(O77:Q77)</f>
        <v>274.89999999999998</v>
      </c>
      <c r="S77" s="4183">
        <v>15.7</v>
      </c>
      <c r="T77" s="4183">
        <v>0</v>
      </c>
      <c r="U77" s="4183">
        <v>3.5</v>
      </c>
      <c r="V77" s="4183">
        <f t="shared" si="9"/>
        <v>19.2</v>
      </c>
      <c r="W77" s="4183">
        <v>932</v>
      </c>
      <c r="X77" s="4183">
        <v>0.2</v>
      </c>
      <c r="Y77" s="4183">
        <v>98</v>
      </c>
      <c r="Z77" s="4183">
        <f t="shared" si="10"/>
        <v>1030.2</v>
      </c>
      <c r="AA77" s="4183">
        <v>10979.7</v>
      </c>
      <c r="AB77" s="4183">
        <v>3293.3</v>
      </c>
      <c r="AC77" s="4183">
        <v>6114</v>
      </c>
      <c r="AD77" s="4183">
        <f t="shared" si="11"/>
        <v>20387</v>
      </c>
      <c r="AE77" s="1343">
        <f t="shared" si="12"/>
        <v>24969.700000000004</v>
      </c>
      <c r="AF77" s="1415"/>
      <c r="AG77" s="4173">
        <v>2012</v>
      </c>
      <c r="AH77" s="1258"/>
      <c r="AI77" s="2148"/>
      <c r="AJ77" s="1964"/>
    </row>
    <row r="78" spans="1:36" s="1801" customFormat="1" ht="39.75" customHeight="1">
      <c r="A78" s="2573"/>
      <c r="B78" s="1582"/>
      <c r="C78" s="4163">
        <v>2013</v>
      </c>
      <c r="D78" s="1553"/>
      <c r="E78" s="1141">
        <v>6590.2</v>
      </c>
      <c r="F78" s="1172">
        <v>21003</v>
      </c>
      <c r="G78" s="4184">
        <v>1317.8</v>
      </c>
      <c r="H78" s="4184">
        <v>663.1</v>
      </c>
      <c r="I78" s="4184">
        <v>1132.0999999999999</v>
      </c>
      <c r="J78" s="4184">
        <f t="shared" si="7"/>
        <v>3113</v>
      </c>
      <c r="K78" s="4184">
        <v>594.1</v>
      </c>
      <c r="L78" s="4184">
        <v>0.8</v>
      </c>
      <c r="M78" s="4184">
        <v>149</v>
      </c>
      <c r="N78" s="4184">
        <f t="shared" si="13"/>
        <v>743.90000000000009</v>
      </c>
      <c r="O78" s="4184">
        <v>207.6</v>
      </c>
      <c r="P78" s="4184">
        <v>1.4</v>
      </c>
      <c r="Q78" s="4184">
        <v>68.8</v>
      </c>
      <c r="R78" s="4184">
        <f t="shared" si="14"/>
        <v>277.8</v>
      </c>
      <c r="S78" s="4184">
        <v>17.3</v>
      </c>
      <c r="T78" s="4184">
        <v>0</v>
      </c>
      <c r="U78" s="4184">
        <v>4.5999999999999996</v>
      </c>
      <c r="V78" s="4184">
        <f t="shared" si="9"/>
        <v>21.9</v>
      </c>
      <c r="W78" s="4184">
        <v>1122.8</v>
      </c>
      <c r="X78" s="4184">
        <v>0.3</v>
      </c>
      <c r="Y78" s="4184">
        <v>117.7</v>
      </c>
      <c r="Z78" s="4184">
        <f t="shared" si="10"/>
        <v>1240.8</v>
      </c>
      <c r="AA78" s="4184">
        <v>12195.3</v>
      </c>
      <c r="AB78" s="4184">
        <v>3234.8</v>
      </c>
      <c r="AC78" s="4184">
        <v>6765.7</v>
      </c>
      <c r="AD78" s="4184">
        <f t="shared" si="11"/>
        <v>22195.8</v>
      </c>
      <c r="AE78" s="1345">
        <f t="shared" si="12"/>
        <v>27593.200000000001</v>
      </c>
      <c r="AF78" s="1553"/>
      <c r="AG78" s="4163">
        <v>2013</v>
      </c>
      <c r="AH78" s="1261"/>
      <c r="AI78" s="2148"/>
      <c r="AJ78" s="1964"/>
    </row>
    <row r="79" spans="1:36" s="1801" customFormat="1" ht="39.75" customHeight="1">
      <c r="A79" s="2573"/>
      <c r="B79" s="1416"/>
      <c r="C79" s="4173">
        <v>2014</v>
      </c>
      <c r="D79" s="1415"/>
      <c r="E79" s="1156">
        <v>6247.9</v>
      </c>
      <c r="F79" s="1195">
        <v>24013.1</v>
      </c>
      <c r="G79" s="4183">
        <v>1731.7</v>
      </c>
      <c r="H79" s="4183">
        <v>533.6</v>
      </c>
      <c r="I79" s="4183">
        <v>1187.3</v>
      </c>
      <c r="J79" s="4183">
        <f t="shared" si="7"/>
        <v>3452.6000000000004</v>
      </c>
      <c r="K79" s="4183">
        <v>1241.0999999999999</v>
      </c>
      <c r="L79" s="4183">
        <v>0.79999999999999993</v>
      </c>
      <c r="M79" s="4183">
        <v>138.1</v>
      </c>
      <c r="N79" s="4183">
        <f t="shared" si="13"/>
        <v>1380</v>
      </c>
      <c r="O79" s="4183">
        <v>271.7</v>
      </c>
      <c r="P79" s="4183">
        <v>1.6</v>
      </c>
      <c r="Q79" s="4183">
        <v>87.1</v>
      </c>
      <c r="R79" s="4183">
        <f t="shared" si="14"/>
        <v>360.4</v>
      </c>
      <c r="S79" s="4183">
        <v>29.1</v>
      </c>
      <c r="T79" s="4183">
        <v>0</v>
      </c>
      <c r="U79" s="4183">
        <v>24.2</v>
      </c>
      <c r="V79" s="4183">
        <f t="shared" si="9"/>
        <v>53.3</v>
      </c>
      <c r="W79" s="4183">
        <v>905.09999999999991</v>
      </c>
      <c r="X79" s="4183">
        <v>1.1000000000000001</v>
      </c>
      <c r="Y79" s="4183">
        <v>131.6</v>
      </c>
      <c r="Z79" s="4183">
        <f t="shared" si="10"/>
        <v>1037.8</v>
      </c>
      <c r="AA79" s="4183">
        <v>12906.3</v>
      </c>
      <c r="AB79" s="4183">
        <v>3651.6</v>
      </c>
      <c r="AC79" s="4183">
        <v>7419</v>
      </c>
      <c r="AD79" s="4183">
        <f t="shared" si="11"/>
        <v>23976.899999999998</v>
      </c>
      <c r="AE79" s="1343">
        <f t="shared" si="12"/>
        <v>30261</v>
      </c>
      <c r="AF79" s="1415"/>
      <c r="AG79" s="4173">
        <v>2014</v>
      </c>
      <c r="AH79" s="1258"/>
      <c r="AI79" s="2148"/>
      <c r="AJ79" s="1964"/>
    </row>
    <row r="80" spans="1:36" s="1801" customFormat="1" ht="39.75" customHeight="1">
      <c r="A80" s="2573"/>
      <c r="B80" s="1582"/>
      <c r="C80" s="4163">
        <v>2015</v>
      </c>
      <c r="D80" s="1553"/>
      <c r="E80" s="1141">
        <v>6583.9999999999991</v>
      </c>
      <c r="F80" s="1172">
        <v>26014.5</v>
      </c>
      <c r="G80" s="4184">
        <v>1779.6</v>
      </c>
      <c r="H80" s="4184">
        <v>550.1</v>
      </c>
      <c r="I80" s="4184">
        <v>1308.8</v>
      </c>
      <c r="J80" s="4184">
        <f t="shared" si="7"/>
        <v>3638.5</v>
      </c>
      <c r="K80" s="4184">
        <v>1105.1000000000001</v>
      </c>
      <c r="L80" s="4184">
        <v>0.6</v>
      </c>
      <c r="M80" s="4184">
        <v>187.60000000000002</v>
      </c>
      <c r="N80" s="4184">
        <f t="shared" si="13"/>
        <v>1293.3000000000002</v>
      </c>
      <c r="O80" s="4184">
        <v>344.6</v>
      </c>
      <c r="P80" s="4184">
        <v>1</v>
      </c>
      <c r="Q80" s="4184">
        <v>97.6</v>
      </c>
      <c r="R80" s="4184">
        <f t="shared" si="14"/>
        <v>443.20000000000005</v>
      </c>
      <c r="S80" s="4184">
        <v>37.299999999999997</v>
      </c>
      <c r="T80" s="4184">
        <v>0</v>
      </c>
      <c r="U80" s="4184">
        <v>17.2</v>
      </c>
      <c r="V80" s="4184">
        <f t="shared" si="9"/>
        <v>54.5</v>
      </c>
      <c r="W80" s="4184">
        <v>1196.0999999999999</v>
      </c>
      <c r="X80" s="4184">
        <v>0</v>
      </c>
      <c r="Y80" s="4184">
        <v>173.2</v>
      </c>
      <c r="Z80" s="4184">
        <f t="shared" si="10"/>
        <v>1369.3</v>
      </c>
      <c r="AA80" s="4184">
        <v>13601</v>
      </c>
      <c r="AB80" s="4184">
        <v>4034.9</v>
      </c>
      <c r="AC80" s="4184">
        <v>8163.8</v>
      </c>
      <c r="AD80" s="4184">
        <f t="shared" si="11"/>
        <v>25799.7</v>
      </c>
      <c r="AE80" s="1345">
        <f t="shared" si="12"/>
        <v>32598.5</v>
      </c>
      <c r="AF80" s="1553"/>
      <c r="AG80" s="4163">
        <v>2015</v>
      </c>
      <c r="AH80" s="1261"/>
      <c r="AI80" s="2148"/>
      <c r="AJ80" s="1964"/>
    </row>
    <row r="81" spans="1:39" s="1801" customFormat="1" ht="39.75" customHeight="1">
      <c r="A81" s="2573"/>
      <c r="B81" s="1416"/>
      <c r="C81" s="4173">
        <v>2016</v>
      </c>
      <c r="D81" s="1415"/>
      <c r="E81" s="1156">
        <v>6931.8</v>
      </c>
      <c r="F81" s="1195">
        <v>25968.2</v>
      </c>
      <c r="G81" s="4183">
        <v>1467</v>
      </c>
      <c r="H81" s="4183">
        <v>488.8</v>
      </c>
      <c r="I81" s="4183">
        <v>1135.5999999999999</v>
      </c>
      <c r="J81" s="4183">
        <f t="shared" si="7"/>
        <v>3091.3999999999996</v>
      </c>
      <c r="K81" s="4183">
        <v>916.69999999999993</v>
      </c>
      <c r="L81" s="4183">
        <v>2.5</v>
      </c>
      <c r="M81" s="4183">
        <v>211.10000000000002</v>
      </c>
      <c r="N81" s="4183">
        <f t="shared" si="13"/>
        <v>1130.3</v>
      </c>
      <c r="O81" s="4183">
        <v>316.8</v>
      </c>
      <c r="P81" s="4183">
        <v>1.3</v>
      </c>
      <c r="Q81" s="4183">
        <v>67.400000000000006</v>
      </c>
      <c r="R81" s="4183">
        <f t="shared" si="14"/>
        <v>385.5</v>
      </c>
      <c r="S81" s="4183">
        <v>38.200000000000003</v>
      </c>
      <c r="T81" s="4183">
        <v>0</v>
      </c>
      <c r="U81" s="4183">
        <v>24.2</v>
      </c>
      <c r="V81" s="4183">
        <f t="shared" si="9"/>
        <v>62.400000000000006</v>
      </c>
      <c r="W81" s="4183">
        <v>1050.5999999999999</v>
      </c>
      <c r="X81" s="4183">
        <v>0.30000000000000004</v>
      </c>
      <c r="Y81" s="4183">
        <v>226.60000000000002</v>
      </c>
      <c r="Z81" s="4183">
        <f t="shared" si="10"/>
        <v>1277.5</v>
      </c>
      <c r="AA81" s="4183">
        <v>13580</v>
      </c>
      <c r="AB81" s="4183">
        <v>4725.2</v>
      </c>
      <c r="AC81" s="4183">
        <v>8647.7000000000007</v>
      </c>
      <c r="AD81" s="4183">
        <f t="shared" si="11"/>
        <v>26952.9</v>
      </c>
      <c r="AE81" s="1343">
        <f t="shared" si="12"/>
        <v>32900</v>
      </c>
      <c r="AF81" s="1415"/>
      <c r="AG81" s="4173">
        <v>2016</v>
      </c>
      <c r="AH81" s="1258"/>
      <c r="AI81" s="2148"/>
      <c r="AJ81" s="1964"/>
    </row>
    <row r="82" spans="1:39" s="1801" customFormat="1" ht="39.75" customHeight="1">
      <c r="A82" s="2573"/>
      <c r="B82" s="1582"/>
      <c r="C82" s="4163">
        <v>2017</v>
      </c>
      <c r="D82" s="1553"/>
      <c r="E82" s="1141">
        <v>7555.5</v>
      </c>
      <c r="F82" s="1172">
        <v>25642.2</v>
      </c>
      <c r="G82" s="4184">
        <v>1776.6</v>
      </c>
      <c r="H82" s="4184">
        <v>603.29999999999995</v>
      </c>
      <c r="I82" s="4184">
        <v>1255.7</v>
      </c>
      <c r="J82" s="4184">
        <f>SUM(I82+H82+G82)</f>
        <v>3635.6</v>
      </c>
      <c r="K82" s="4184">
        <v>807.2</v>
      </c>
      <c r="L82" s="4184">
        <v>15.7</v>
      </c>
      <c r="M82" s="4184">
        <v>133</v>
      </c>
      <c r="N82" s="4184">
        <f>SUM(M82+L82+K82)</f>
        <v>955.90000000000009</v>
      </c>
      <c r="O82" s="4184">
        <v>245.2</v>
      </c>
      <c r="P82" s="4184">
        <v>0.2</v>
      </c>
      <c r="Q82" s="4184">
        <v>64.2</v>
      </c>
      <c r="R82" s="4184">
        <f>SUM(O82:Q82)</f>
        <v>309.59999999999997</v>
      </c>
      <c r="S82" s="4184">
        <v>57.9</v>
      </c>
      <c r="T82" s="4184">
        <v>0.3</v>
      </c>
      <c r="U82" s="4184">
        <v>21.6</v>
      </c>
      <c r="V82" s="4184">
        <f>SUM(S82:U82)</f>
        <v>79.8</v>
      </c>
      <c r="W82" s="4184">
        <v>1200.7</v>
      </c>
      <c r="X82" s="4184">
        <v>2.9</v>
      </c>
      <c r="Y82" s="4184">
        <v>96.9</v>
      </c>
      <c r="Z82" s="4184">
        <f>SUM(W82:Y82)</f>
        <v>1300.5000000000002</v>
      </c>
      <c r="AA82" s="4184">
        <v>13537.6</v>
      </c>
      <c r="AB82" s="4184">
        <v>5116.8999999999996</v>
      </c>
      <c r="AC82" s="4184">
        <v>8261.7999999999993</v>
      </c>
      <c r="AD82" s="4184">
        <f>SUM(AA82:AC82)</f>
        <v>26916.3</v>
      </c>
      <c r="AE82" s="1345">
        <f>SUM(AD82+Z82+V82+R82+N82+J82)</f>
        <v>33197.699999999997</v>
      </c>
      <c r="AF82" s="1553"/>
      <c r="AG82" s="4163">
        <v>2017</v>
      </c>
      <c r="AH82" s="1261"/>
      <c r="AI82" s="2148"/>
      <c r="AJ82" s="1964"/>
    </row>
    <row r="83" spans="1:39" s="1801" customFormat="1" ht="39.75" customHeight="1">
      <c r="A83" s="2573"/>
      <c r="B83" s="1416"/>
      <c r="C83" s="4173">
        <v>2018</v>
      </c>
      <c r="D83" s="1415"/>
      <c r="E83" s="1156">
        <v>8180.5</v>
      </c>
      <c r="F83" s="1195">
        <v>25667.599999999999</v>
      </c>
      <c r="G83" s="4183">
        <v>1987.7</v>
      </c>
      <c r="H83" s="4183">
        <v>625.4</v>
      </c>
      <c r="I83" s="4183">
        <v>1229.2</v>
      </c>
      <c r="J83" s="4183">
        <f t="shared" ref="J83:J84" si="15">SUM(I83+H83+G83)</f>
        <v>3842.3</v>
      </c>
      <c r="K83" s="4183">
        <v>762.5</v>
      </c>
      <c r="L83" s="4183">
        <v>2</v>
      </c>
      <c r="M83" s="4183">
        <v>182.3</v>
      </c>
      <c r="N83" s="4183">
        <f t="shared" ref="N83:N84" si="16">SUM(M83+L83+K83)</f>
        <v>946.8</v>
      </c>
      <c r="O83" s="4183">
        <v>278</v>
      </c>
      <c r="P83" s="4183">
        <v>1.2</v>
      </c>
      <c r="Q83" s="4183">
        <v>110.9</v>
      </c>
      <c r="R83" s="4183">
        <f t="shared" ref="R83:R84" si="17">SUM(O83:Q83)</f>
        <v>390.1</v>
      </c>
      <c r="S83" s="4183">
        <v>49.8</v>
      </c>
      <c r="T83" s="4183">
        <v>0.9</v>
      </c>
      <c r="U83" s="4183">
        <v>25.3</v>
      </c>
      <c r="V83" s="4183">
        <f t="shared" ref="V83:V84" si="18">SUM(S83:U83)</f>
        <v>76</v>
      </c>
      <c r="W83" s="4183">
        <v>1548.1</v>
      </c>
      <c r="X83" s="4183">
        <v>0.2</v>
      </c>
      <c r="Y83" s="4183">
        <v>100.1</v>
      </c>
      <c r="Z83" s="4183">
        <f t="shared" ref="Z83:Z84" si="19">SUM(W83:Y83)</f>
        <v>1648.3999999999999</v>
      </c>
      <c r="AA83" s="4183">
        <v>14186.4</v>
      </c>
      <c r="AB83" s="4183">
        <v>5041.8</v>
      </c>
      <c r="AC83" s="4183">
        <v>7716.3</v>
      </c>
      <c r="AD83" s="4183">
        <f t="shared" ref="AD83:AD84" si="20">SUM(AA83:AC83)</f>
        <v>26944.5</v>
      </c>
      <c r="AE83" s="1343">
        <f t="shared" ref="AE83:AE84" si="21">SUM(AD83+Z83+V83+R83+N83+J83)</f>
        <v>33848.1</v>
      </c>
      <c r="AF83" s="1415"/>
      <c r="AG83" s="4173">
        <v>2018</v>
      </c>
      <c r="AH83" s="1258"/>
      <c r="AI83" s="2148"/>
      <c r="AJ83" s="1964"/>
    </row>
    <row r="84" spans="1:39" s="1801" customFormat="1" ht="39.75" customHeight="1">
      <c r="A84" s="2573"/>
      <c r="B84" s="1582"/>
      <c r="C84" s="4163">
        <v>2019</v>
      </c>
      <c r="D84" s="1553"/>
      <c r="E84" s="1141">
        <v>8198</v>
      </c>
      <c r="F84" s="1172">
        <v>27107.3</v>
      </c>
      <c r="G84" s="4184">
        <v>2212.6</v>
      </c>
      <c r="H84" s="4184">
        <v>663.1</v>
      </c>
      <c r="I84" s="4184">
        <v>1180.4000000000001</v>
      </c>
      <c r="J84" s="4184">
        <f t="shared" si="15"/>
        <v>4056.1</v>
      </c>
      <c r="K84" s="4184">
        <v>717</v>
      </c>
      <c r="L84" s="4184">
        <v>4.0999999999999996</v>
      </c>
      <c r="M84" s="4184">
        <v>191.3</v>
      </c>
      <c r="N84" s="4184">
        <f t="shared" si="16"/>
        <v>912.4</v>
      </c>
      <c r="O84" s="4184">
        <v>308.3</v>
      </c>
      <c r="P84" s="4184">
        <v>1.3</v>
      </c>
      <c r="Q84" s="4184">
        <v>69.5</v>
      </c>
      <c r="R84" s="4184">
        <f t="shared" si="17"/>
        <v>379.1</v>
      </c>
      <c r="S84" s="4184">
        <v>38.200000000000003</v>
      </c>
      <c r="T84" s="4184">
        <v>0.2</v>
      </c>
      <c r="U84" s="4184">
        <v>12.7</v>
      </c>
      <c r="V84" s="4184">
        <f t="shared" si="18"/>
        <v>51.100000000000009</v>
      </c>
      <c r="W84" s="4184">
        <v>1531.5</v>
      </c>
      <c r="X84" s="4184">
        <v>0.2</v>
      </c>
      <c r="Y84" s="4184">
        <v>82.8</v>
      </c>
      <c r="Z84" s="4184">
        <f t="shared" si="19"/>
        <v>1614.5</v>
      </c>
      <c r="AA84" s="4184">
        <v>15165.1</v>
      </c>
      <c r="AB84" s="4184">
        <v>5166.1000000000004</v>
      </c>
      <c r="AC84" s="4184">
        <v>7960.9</v>
      </c>
      <c r="AD84" s="4184">
        <f t="shared" si="20"/>
        <v>28292.1</v>
      </c>
      <c r="AE84" s="1345">
        <f t="shared" si="21"/>
        <v>35305.299999999996</v>
      </c>
      <c r="AF84" s="1553"/>
      <c r="AG84" s="4163">
        <v>2019</v>
      </c>
      <c r="AH84" s="1261"/>
      <c r="AI84" s="2148"/>
      <c r="AJ84" s="1964"/>
    </row>
    <row r="85" spans="1:39" s="1801" customFormat="1" ht="39.75" customHeight="1">
      <c r="A85" s="2573"/>
      <c r="B85" s="4328"/>
      <c r="C85" s="4306">
        <v>2020</v>
      </c>
      <c r="D85" s="4311"/>
      <c r="E85" s="4329">
        <v>8555.2000000000007</v>
      </c>
      <c r="F85" s="1166">
        <v>28233.899999999998</v>
      </c>
      <c r="G85" s="4237">
        <v>2552.9</v>
      </c>
      <c r="H85" s="4237">
        <v>793.4</v>
      </c>
      <c r="I85" s="4237">
        <v>1430.2</v>
      </c>
      <c r="J85" s="4237">
        <f t="shared" si="7"/>
        <v>4776.5</v>
      </c>
      <c r="K85" s="4237">
        <v>819.1</v>
      </c>
      <c r="L85" s="4237">
        <v>3.8000000000000003</v>
      </c>
      <c r="M85" s="4237">
        <v>122</v>
      </c>
      <c r="N85" s="4237">
        <f t="shared" si="13"/>
        <v>944.9</v>
      </c>
      <c r="O85" s="4237">
        <v>338.6</v>
      </c>
      <c r="P85" s="4237">
        <v>1.8</v>
      </c>
      <c r="Q85" s="4237">
        <v>70.900000000000006</v>
      </c>
      <c r="R85" s="4237">
        <f t="shared" si="14"/>
        <v>411.30000000000007</v>
      </c>
      <c r="S85" s="4237">
        <v>18.399999999999999</v>
      </c>
      <c r="T85" s="4237">
        <v>0.4</v>
      </c>
      <c r="U85" s="4237">
        <v>9.8000000000000007</v>
      </c>
      <c r="V85" s="4237">
        <f t="shared" si="9"/>
        <v>28.599999999999998</v>
      </c>
      <c r="W85" s="4237">
        <v>1573.5</v>
      </c>
      <c r="X85" s="4237">
        <v>0.7</v>
      </c>
      <c r="Y85" s="4237">
        <v>202.5</v>
      </c>
      <c r="Z85" s="4237">
        <f t="shared" si="10"/>
        <v>1776.7</v>
      </c>
      <c r="AA85" s="4237">
        <v>14751.3</v>
      </c>
      <c r="AB85" s="4237">
        <v>5426.8</v>
      </c>
      <c r="AC85" s="4237">
        <v>8673</v>
      </c>
      <c r="AD85" s="4237">
        <f t="shared" si="11"/>
        <v>28851.1</v>
      </c>
      <c r="AE85" s="1694">
        <f t="shared" si="12"/>
        <v>36789.1</v>
      </c>
      <c r="AF85" s="4311"/>
      <c r="AG85" s="4306">
        <v>2020</v>
      </c>
      <c r="AH85" s="4330"/>
      <c r="AI85" s="2148"/>
      <c r="AJ85" s="1964"/>
    </row>
    <row r="86" spans="1:39" s="1801" customFormat="1" ht="8.1" customHeight="1">
      <c r="A86" s="2573"/>
      <c r="B86" s="1645"/>
      <c r="C86" s="2575"/>
      <c r="D86" s="2575"/>
      <c r="E86" s="2575"/>
      <c r="F86" s="2576"/>
      <c r="G86" s="2577"/>
      <c r="H86" s="1647"/>
      <c r="I86" s="2249"/>
      <c r="J86" s="2249"/>
      <c r="K86" s="2249"/>
      <c r="L86" s="2249"/>
      <c r="M86" s="2249"/>
      <c r="N86" s="2249"/>
      <c r="O86" s="2249"/>
      <c r="P86" s="2249"/>
      <c r="Q86" s="2249"/>
      <c r="R86" s="2250"/>
      <c r="S86" s="2078"/>
      <c r="T86" s="2078"/>
      <c r="U86" s="1798"/>
      <c r="V86" s="2249"/>
      <c r="W86" s="2249"/>
      <c r="X86" s="2249"/>
      <c r="Y86" s="2249"/>
      <c r="Z86" s="2249"/>
      <c r="AA86" s="2249"/>
      <c r="AB86" s="2249"/>
      <c r="AC86" s="2249"/>
      <c r="AD86" s="2151"/>
      <c r="AE86" s="2256"/>
      <c r="AF86" s="2153"/>
      <c r="AG86" s="2249"/>
      <c r="AH86" s="1645"/>
      <c r="AI86" s="2148"/>
      <c r="AJ86" s="1964"/>
    </row>
    <row r="87" spans="1:39" s="1801" customFormat="1" ht="20.100000000000001" customHeight="1">
      <c r="A87" s="2573"/>
      <c r="B87" s="2157" t="s">
        <v>651</v>
      </c>
      <c r="C87" s="2157"/>
      <c r="D87" s="2575"/>
      <c r="E87" s="2575"/>
      <c r="F87" s="2575"/>
      <c r="G87" s="2576"/>
      <c r="H87" s="2577"/>
      <c r="I87" s="1647"/>
      <c r="J87" s="2249"/>
      <c r="K87" s="2249"/>
      <c r="L87" s="2249"/>
      <c r="M87" s="2249"/>
      <c r="N87" s="2249"/>
      <c r="O87" s="2249"/>
      <c r="P87" s="2249"/>
      <c r="Q87" s="2249"/>
      <c r="R87" s="2249"/>
      <c r="S87" s="2250" t="s">
        <v>8</v>
      </c>
      <c r="T87" s="2078" t="s">
        <v>8</v>
      </c>
      <c r="U87" s="2078" t="s">
        <v>8</v>
      </c>
      <c r="V87" s="1798"/>
      <c r="W87" s="2249"/>
      <c r="X87" s="2249"/>
      <c r="Y87" s="2249"/>
      <c r="Z87" s="2249"/>
      <c r="AA87" s="2249"/>
      <c r="AB87" s="2249"/>
      <c r="AC87" s="2249"/>
      <c r="AD87" s="2249"/>
      <c r="AE87" s="2151"/>
      <c r="AF87" s="2256"/>
      <c r="AG87" s="2156" t="s">
        <v>652</v>
      </c>
      <c r="AH87" s="2249"/>
      <c r="AI87" s="2148"/>
      <c r="AJ87" s="1964"/>
    </row>
    <row r="88" spans="1:39" s="1801" customFormat="1" ht="20.100000000000001" customHeight="1">
      <c r="A88" s="2573"/>
      <c r="B88" s="2159" t="s">
        <v>306</v>
      </c>
      <c r="C88" s="2159"/>
      <c r="D88" s="1646"/>
      <c r="E88" s="1646"/>
      <c r="F88" s="1646"/>
      <c r="G88" s="1646"/>
      <c r="H88" s="2578"/>
      <c r="I88" s="1646"/>
      <c r="J88" s="2249"/>
      <c r="K88" s="2249"/>
      <c r="L88" s="2249"/>
      <c r="M88" s="2249"/>
      <c r="N88" s="2249"/>
      <c r="O88" s="2249"/>
      <c r="P88" s="2249"/>
      <c r="Q88" s="2249"/>
      <c r="R88" s="2249"/>
      <c r="S88" s="2250"/>
      <c r="T88" s="2078"/>
      <c r="U88" s="2579"/>
      <c r="V88" s="1798"/>
      <c r="W88" s="2249"/>
      <c r="X88" s="2249"/>
      <c r="Y88" s="2249"/>
      <c r="Z88" s="2249"/>
      <c r="AA88" s="2249"/>
      <c r="AB88" s="2249"/>
      <c r="AC88" s="2249"/>
      <c r="AD88" s="2249"/>
      <c r="AE88" s="2151"/>
      <c r="AF88" s="1648"/>
      <c r="AG88" s="2088" t="s">
        <v>653</v>
      </c>
      <c r="AH88" s="2580"/>
      <c r="AI88" s="2148"/>
      <c r="AJ88" s="1964"/>
    </row>
    <row r="89" spans="1:39" s="2251" customFormat="1" ht="20.100000000000001" customHeight="1">
      <c r="B89" s="2157" t="s">
        <v>654</v>
      </c>
      <c r="C89" s="2157"/>
      <c r="D89" s="1645"/>
      <c r="E89" s="1645"/>
      <c r="F89" s="1645"/>
      <c r="G89" s="2074"/>
      <c r="H89" s="2581"/>
      <c r="I89" s="1646"/>
      <c r="J89" s="2582"/>
      <c r="K89" s="2582"/>
      <c r="L89" s="2582"/>
      <c r="M89" s="2582"/>
      <c r="N89" s="2582"/>
      <c r="O89" s="1482"/>
      <c r="P89" s="1482"/>
      <c r="Q89" s="1482"/>
      <c r="R89" s="2249"/>
      <c r="S89" s="1482"/>
      <c r="T89" s="2078"/>
      <c r="U89" s="2579"/>
      <c r="V89" s="2580"/>
      <c r="W89" s="2580"/>
      <c r="X89" s="2580"/>
      <c r="Y89" s="2580"/>
      <c r="Z89" s="2580"/>
      <c r="AA89" s="2580"/>
      <c r="AB89" s="2580"/>
      <c r="AC89" s="2580"/>
      <c r="AD89" s="2580"/>
      <c r="AE89" s="2151"/>
      <c r="AF89" s="2256"/>
      <c r="AG89" s="2156" t="s">
        <v>655</v>
      </c>
      <c r="AH89" s="2583"/>
      <c r="AK89" s="1191"/>
      <c r="AL89" s="1191"/>
      <c r="AM89" s="1191"/>
    </row>
    <row r="90" spans="1:39" s="2255" customFormat="1">
      <c r="A90" s="2584"/>
      <c r="B90" s="1844"/>
      <c r="C90" s="2495"/>
      <c r="D90" s="1844"/>
      <c r="E90" s="1844"/>
      <c r="F90" s="1844"/>
      <c r="G90" s="2496"/>
      <c r="H90" s="2496"/>
      <c r="I90" s="2496"/>
      <c r="J90" s="2496"/>
      <c r="K90" s="2496"/>
      <c r="L90" s="2496"/>
      <c r="M90" s="2496"/>
      <c r="N90" s="1760"/>
      <c r="O90" s="1760"/>
      <c r="P90" s="1760"/>
      <c r="Q90" s="1760"/>
      <c r="R90" s="1760"/>
      <c r="S90" s="1760"/>
      <c r="T90" s="1760"/>
      <c r="U90" s="1760"/>
      <c r="V90" s="1760"/>
      <c r="W90" s="1760"/>
      <c r="X90" s="1760"/>
      <c r="Y90" s="1760"/>
      <c r="Z90" s="1760"/>
      <c r="AA90" s="1760"/>
      <c r="AB90" s="1760"/>
      <c r="AC90" s="2260"/>
      <c r="AD90" s="2166"/>
      <c r="AE90" s="1760"/>
      <c r="AF90" s="2259"/>
      <c r="AG90" s="2260"/>
      <c r="AH90" s="1192"/>
      <c r="AI90" s="2584"/>
      <c r="AK90" s="1980"/>
      <c r="AL90" s="2585" t="s">
        <v>502</v>
      </c>
    </row>
    <row r="91" spans="1:39" s="1801" customFormat="1">
      <c r="A91" s="1808"/>
      <c r="B91" s="1844"/>
      <c r="C91" s="2495"/>
      <c r="D91" s="1844"/>
      <c r="E91" s="1844"/>
      <c r="F91" s="1844"/>
      <c r="G91" s="2496"/>
      <c r="H91" s="2496"/>
      <c r="I91" s="2496"/>
      <c r="J91" s="2496"/>
      <c r="K91" s="2496"/>
      <c r="L91" s="2496"/>
      <c r="M91" s="2496"/>
      <c r="N91" s="1760"/>
      <c r="O91" s="1760"/>
      <c r="P91" s="1760"/>
      <c r="Q91" s="1760"/>
      <c r="R91" s="1760"/>
      <c r="S91" s="1760"/>
      <c r="T91" s="1760"/>
      <c r="U91" s="1760"/>
      <c r="V91" s="1760"/>
      <c r="W91" s="1760"/>
      <c r="X91" s="1760"/>
      <c r="Y91" s="1760"/>
      <c r="Z91" s="1760"/>
      <c r="AA91" s="1760"/>
      <c r="AB91" s="1760"/>
      <c r="AC91" s="2260"/>
      <c r="AD91" s="2166"/>
      <c r="AE91" s="1760"/>
      <c r="AF91" s="2259"/>
      <c r="AG91" s="2260"/>
      <c r="AH91" s="1192"/>
    </row>
    <row r="92" spans="1:39" s="1801" customFormat="1" ht="18" customHeight="1">
      <c r="A92" s="1808"/>
      <c r="B92" s="1844"/>
      <c r="C92" s="2495"/>
      <c r="D92" s="1844"/>
      <c r="E92" s="1844"/>
      <c r="F92" s="1844"/>
      <c r="G92" s="2496"/>
      <c r="H92" s="2496"/>
      <c r="I92" s="2496"/>
      <c r="J92" s="2496"/>
      <c r="K92" s="2496"/>
      <c r="L92" s="2496"/>
      <c r="M92" s="2496"/>
      <c r="N92" s="1760"/>
      <c r="O92" s="1760"/>
      <c r="P92" s="1760"/>
      <c r="Q92" s="1760"/>
      <c r="R92" s="1760"/>
      <c r="S92" s="1760"/>
      <c r="T92" s="1760"/>
      <c r="U92" s="1760"/>
      <c r="V92" s="1760"/>
      <c r="W92" s="1760"/>
      <c r="X92" s="1760"/>
      <c r="Y92" s="1760"/>
      <c r="Z92" s="1760"/>
      <c r="AA92" s="1760"/>
      <c r="AB92" s="1760"/>
      <c r="AC92" s="2260"/>
      <c r="AD92" s="2166"/>
      <c r="AE92" s="1760"/>
      <c r="AF92" s="2259"/>
      <c r="AG92" s="2260"/>
      <c r="AH92" s="1192"/>
    </row>
    <row r="93" spans="1:39" s="1801" customFormat="1" ht="18" customHeight="1">
      <c r="A93" s="1808"/>
      <c r="B93" s="1844"/>
      <c r="C93" s="2495"/>
      <c r="D93" s="1844"/>
      <c r="E93" s="1844"/>
      <c r="F93" s="1844"/>
      <c r="G93" s="2496"/>
      <c r="H93" s="2496"/>
      <c r="I93" s="2496"/>
      <c r="J93" s="2496"/>
      <c r="K93" s="2496"/>
      <c r="L93" s="2496"/>
      <c r="M93" s="2496"/>
      <c r="N93" s="1760"/>
      <c r="O93" s="1760"/>
      <c r="P93" s="1760"/>
      <c r="Q93" s="1760"/>
      <c r="R93" s="1760"/>
      <c r="S93" s="1760"/>
      <c r="T93" s="1760"/>
      <c r="U93" s="1760"/>
      <c r="V93" s="1760"/>
      <c r="W93" s="1760"/>
      <c r="X93" s="1760"/>
      <c r="Y93" s="1760"/>
      <c r="Z93" s="1760"/>
      <c r="AA93" s="1760"/>
      <c r="AB93" s="1760"/>
      <c r="AC93" s="2260"/>
      <c r="AD93" s="2166"/>
      <c r="AE93" s="1760"/>
      <c r="AF93" s="2259"/>
      <c r="AG93" s="2260"/>
      <c r="AH93" s="1192"/>
    </row>
    <row r="94" spans="1:39" s="1801" customFormat="1" ht="18" customHeight="1">
      <c r="A94" s="1808"/>
      <c r="B94" s="1844"/>
      <c r="C94" s="2495"/>
      <c r="D94" s="1844"/>
      <c r="E94" s="1844"/>
      <c r="F94" s="1844"/>
      <c r="G94" s="2496"/>
      <c r="H94" s="2496"/>
      <c r="I94" s="2496"/>
      <c r="J94" s="2496"/>
      <c r="K94" s="2496"/>
      <c r="L94" s="2496"/>
      <c r="M94" s="2496"/>
      <c r="N94" s="1760"/>
      <c r="O94" s="1760"/>
      <c r="P94" s="1760"/>
      <c r="Q94" s="1760"/>
      <c r="R94" s="1760"/>
      <c r="S94" s="1760"/>
      <c r="T94" s="1760"/>
      <c r="U94" s="1760"/>
      <c r="V94" s="1760"/>
      <c r="W94" s="1760"/>
      <c r="X94" s="1760"/>
      <c r="Y94" s="1760"/>
      <c r="Z94" s="1760"/>
      <c r="AA94" s="1760"/>
      <c r="AB94" s="1760"/>
      <c r="AC94" s="2260"/>
      <c r="AD94" s="2166"/>
      <c r="AE94" s="1760"/>
      <c r="AF94" s="2259"/>
      <c r="AG94" s="2260"/>
      <c r="AH94" s="1192"/>
    </row>
    <row r="95" spans="1:39" s="1801" customFormat="1" ht="18" customHeight="1">
      <c r="A95" s="1808"/>
      <c r="B95" s="1844"/>
      <c r="C95" s="2495"/>
      <c r="D95" s="1844"/>
      <c r="E95" s="1844"/>
      <c r="F95" s="1844"/>
      <c r="G95" s="2496"/>
      <c r="H95" s="2496"/>
      <c r="I95" s="2496"/>
      <c r="J95" s="2496"/>
      <c r="K95" s="2496"/>
      <c r="L95" s="2496"/>
      <c r="M95" s="2496"/>
      <c r="N95" s="1760"/>
      <c r="O95" s="1760"/>
      <c r="P95" s="1760"/>
      <c r="Q95" s="1760"/>
      <c r="R95" s="1760"/>
      <c r="S95" s="1760"/>
      <c r="T95" s="1760"/>
      <c r="U95" s="1760"/>
      <c r="V95" s="1760"/>
      <c r="W95" s="1760"/>
      <c r="X95" s="1760"/>
      <c r="Y95" s="1760"/>
      <c r="Z95" s="1760"/>
      <c r="AA95" s="1760"/>
      <c r="AB95" s="1760"/>
      <c r="AC95" s="2260"/>
      <c r="AD95" s="2166"/>
      <c r="AE95" s="1760"/>
      <c r="AF95" s="2259"/>
      <c r="AG95" s="2260"/>
      <c r="AH95" s="1192"/>
    </row>
    <row r="96" spans="1:39" s="2586" customFormat="1">
      <c r="B96" s="1844"/>
      <c r="C96" s="2495"/>
      <c r="D96" s="1844"/>
      <c r="E96" s="1844"/>
      <c r="F96" s="1844"/>
      <c r="G96" s="2496"/>
      <c r="H96" s="2496"/>
      <c r="I96" s="2496"/>
      <c r="J96" s="2496"/>
      <c r="K96" s="2496"/>
      <c r="L96" s="2496"/>
      <c r="M96" s="2496"/>
      <c r="N96" s="1760"/>
      <c r="O96" s="1760"/>
      <c r="P96" s="1760"/>
      <c r="Q96" s="1760"/>
      <c r="R96" s="1760"/>
      <c r="S96" s="1760"/>
      <c r="T96" s="1760"/>
      <c r="U96" s="1760"/>
      <c r="V96" s="1760"/>
      <c r="W96" s="1760"/>
      <c r="X96" s="1760"/>
      <c r="Y96" s="1760"/>
      <c r="Z96" s="1760"/>
      <c r="AA96" s="1760"/>
      <c r="AB96" s="1760"/>
      <c r="AC96" s="2260"/>
      <c r="AD96" s="2166"/>
      <c r="AE96" s="1760"/>
      <c r="AF96" s="2259"/>
      <c r="AG96" s="2260"/>
      <c r="AH96" s="1192"/>
      <c r="AK96" s="2086"/>
      <c r="AL96" s="2086"/>
      <c r="AM96" s="2086"/>
    </row>
    <row r="97" spans="1:38" s="2584" customFormat="1">
      <c r="B97" s="1844"/>
      <c r="C97" s="2495"/>
      <c r="D97" s="1844"/>
      <c r="E97" s="1844"/>
      <c r="F97" s="1844"/>
      <c r="G97" s="2496"/>
      <c r="H97" s="2496"/>
      <c r="I97" s="2496"/>
      <c r="J97" s="2496"/>
      <c r="K97" s="2496"/>
      <c r="L97" s="2496"/>
      <c r="M97" s="2496"/>
      <c r="N97" s="1760"/>
      <c r="O97" s="1760"/>
      <c r="P97" s="1760"/>
      <c r="Q97" s="1760"/>
      <c r="R97" s="1760"/>
      <c r="S97" s="1760"/>
      <c r="T97" s="1760"/>
      <c r="U97" s="1760"/>
      <c r="V97" s="1760"/>
      <c r="W97" s="1760"/>
      <c r="X97" s="1760"/>
      <c r="Y97" s="1760"/>
      <c r="Z97" s="1760"/>
      <c r="AA97" s="1760"/>
      <c r="AB97" s="1760"/>
      <c r="AC97" s="2260"/>
      <c r="AD97" s="2166"/>
      <c r="AE97" s="1760"/>
      <c r="AF97" s="2259"/>
      <c r="AG97" s="2260"/>
      <c r="AH97" s="1192"/>
      <c r="AK97" s="2085"/>
      <c r="AL97" s="2585"/>
    </row>
    <row r="98" spans="1:38" s="1801" customFormat="1">
      <c r="A98" s="1808"/>
      <c r="B98" s="1844"/>
      <c r="C98" s="2495"/>
      <c r="D98" s="1844"/>
      <c r="E98" s="1844"/>
      <c r="F98" s="1844"/>
      <c r="G98" s="2496"/>
      <c r="H98" s="2496"/>
      <c r="I98" s="2496"/>
      <c r="J98" s="2496"/>
      <c r="K98" s="2496"/>
      <c r="L98" s="2496"/>
      <c r="M98" s="2496"/>
      <c r="N98" s="1760"/>
      <c r="O98" s="1760"/>
      <c r="P98" s="1760"/>
      <c r="Q98" s="1760"/>
      <c r="R98" s="1760"/>
      <c r="S98" s="1760"/>
      <c r="T98" s="1760"/>
      <c r="U98" s="1760"/>
      <c r="V98" s="1760"/>
      <c r="W98" s="1760"/>
      <c r="X98" s="1760"/>
      <c r="Y98" s="1760"/>
      <c r="Z98" s="1760"/>
      <c r="AA98" s="1760"/>
      <c r="AB98" s="1760"/>
      <c r="AC98" s="2260"/>
      <c r="AD98" s="2166"/>
      <c r="AE98" s="1760"/>
      <c r="AF98" s="2259"/>
      <c r="AG98" s="2260"/>
      <c r="AH98" s="1192"/>
    </row>
  </sheetData>
  <mergeCells count="92">
    <mergeCell ref="AF54:AH57"/>
    <mergeCell ref="B47:R47"/>
    <mergeCell ref="S47:AH47"/>
    <mergeCell ref="B50:D53"/>
    <mergeCell ref="E50:F50"/>
    <mergeCell ref="G50:R50"/>
    <mergeCell ref="S50:AD50"/>
    <mergeCell ref="AF50:AH53"/>
    <mergeCell ref="E51:F51"/>
    <mergeCell ref="K51:N51"/>
    <mergeCell ref="O51:R51"/>
    <mergeCell ref="S51:V51"/>
    <mergeCell ref="K52:N52"/>
    <mergeCell ref="O52:R52"/>
    <mergeCell ref="S52:V52"/>
    <mergeCell ref="W8:Z8"/>
    <mergeCell ref="AA8:AD8"/>
    <mergeCell ref="W9:Z9"/>
    <mergeCell ref="AA9:AD9"/>
    <mergeCell ref="B54:D57"/>
    <mergeCell ref="B46:R46"/>
    <mergeCell ref="S46:AH46"/>
    <mergeCell ref="B38:D38"/>
    <mergeCell ref="AF38:AH38"/>
    <mergeCell ref="B39:D39"/>
    <mergeCell ref="AF39:AH39"/>
    <mergeCell ref="B40:D40"/>
    <mergeCell ref="AF40:AH40"/>
    <mergeCell ref="B41:D41"/>
    <mergeCell ref="AF41:AH41"/>
    <mergeCell ref="B42:D42"/>
    <mergeCell ref="AF42:AH42"/>
    <mergeCell ref="B43:D43"/>
    <mergeCell ref="AF43:AH43"/>
    <mergeCell ref="B35:D35"/>
    <mergeCell ref="AF35:AH35"/>
    <mergeCell ref="B36:D36"/>
    <mergeCell ref="AF36:AH36"/>
    <mergeCell ref="B37:D37"/>
    <mergeCell ref="AF37:AH37"/>
    <mergeCell ref="B32:D32"/>
    <mergeCell ref="AF32:AH32"/>
    <mergeCell ref="B33:D33"/>
    <mergeCell ref="AF33:AH33"/>
    <mergeCell ref="B34:D34"/>
    <mergeCell ref="AF34:AH34"/>
    <mergeCell ref="B29:D29"/>
    <mergeCell ref="AF29:AH29"/>
    <mergeCell ref="B30:D30"/>
    <mergeCell ref="AF30:AH30"/>
    <mergeCell ref="B31:D31"/>
    <mergeCell ref="AF31:AH31"/>
    <mergeCell ref="B26:D26"/>
    <mergeCell ref="AF26:AH26"/>
    <mergeCell ref="B27:D27"/>
    <mergeCell ref="AF27:AH27"/>
    <mergeCell ref="B28:D28"/>
    <mergeCell ref="AF28:AH28"/>
    <mergeCell ref="B23:D23"/>
    <mergeCell ref="AF23:AH23"/>
    <mergeCell ref="B24:D24"/>
    <mergeCell ref="AF24:AH24"/>
    <mergeCell ref="B25:D25"/>
    <mergeCell ref="AF25:AH25"/>
    <mergeCell ref="B20:D20"/>
    <mergeCell ref="AF20:AH20"/>
    <mergeCell ref="B21:D21"/>
    <mergeCell ref="AF21:AH21"/>
    <mergeCell ref="B22:D22"/>
    <mergeCell ref="AF22:AH22"/>
    <mergeCell ref="B17:D17"/>
    <mergeCell ref="AF17:AH17"/>
    <mergeCell ref="B18:D18"/>
    <mergeCell ref="AF18:AH18"/>
    <mergeCell ref="B19:D19"/>
    <mergeCell ref="AF19:AH19"/>
    <mergeCell ref="B16:D16"/>
    <mergeCell ref="AF16:AH16"/>
    <mergeCell ref="B3:R3"/>
    <mergeCell ref="S3:AH3"/>
    <mergeCell ref="B11:D14"/>
    <mergeCell ref="AF11:AH14"/>
    <mergeCell ref="B15:D15"/>
    <mergeCell ref="AF15:AH15"/>
    <mergeCell ref="B4:R4"/>
    <mergeCell ref="S4:AH4"/>
    <mergeCell ref="B7:D10"/>
    <mergeCell ref="E7:F7"/>
    <mergeCell ref="G7:R7"/>
    <mergeCell ref="S7:AD7"/>
    <mergeCell ref="AF7:AH10"/>
    <mergeCell ref="E8:F8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8" pageOrder="overThenDown" orientation="portrait" r:id="rId1"/>
  <headerFooter alignWithMargins="0">
    <oddFooter>&amp;C&amp;"Times New Roman (Arabic),Regular"&amp;22-20-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102"/>
  <sheetViews>
    <sheetView topLeftCell="A49" zoomScale="75" zoomScaleNormal="75" workbookViewId="0">
      <selection activeCell="T52" sqref="T52"/>
    </sheetView>
  </sheetViews>
  <sheetFormatPr defaultColWidth="10.7109375" defaultRowHeight="20.25"/>
  <cols>
    <col min="1" max="1" width="10.7109375" style="1192" customWidth="1"/>
    <col min="2" max="4" width="13.28515625" style="1192" customWidth="1"/>
    <col min="5" max="5" width="12.140625" style="1192" customWidth="1"/>
    <col min="6" max="6" width="13.28515625" style="1192" customWidth="1"/>
    <col min="7" max="7" width="13.85546875" style="1192" customWidth="1"/>
    <col min="8" max="8" width="17.7109375" style="1192" customWidth="1"/>
    <col min="9" max="9" width="13.7109375" style="1192" bestFit="1" customWidth="1"/>
    <col min="10" max="10" width="11.42578125" style="1843" bestFit="1" customWidth="1"/>
    <col min="11" max="11" width="10.28515625" style="1192" bestFit="1" customWidth="1"/>
    <col min="12" max="12" width="11.28515625" style="1192" bestFit="1" customWidth="1"/>
    <col min="13" max="13" width="14.7109375" style="1192" bestFit="1" customWidth="1"/>
    <col min="14" max="14" width="3" style="1844" customWidth="1"/>
    <col min="15" max="15" width="8.42578125" style="1793" customWidth="1"/>
    <col min="16" max="16" width="3" style="1793" customWidth="1"/>
    <col min="17" max="20" width="10.7109375" style="1192" customWidth="1"/>
    <col min="21" max="21" width="11.28515625" style="1192" customWidth="1"/>
    <col min="22" max="16384" width="10.7109375" style="1192"/>
  </cols>
  <sheetData>
    <row r="1" spans="2:23" ht="28.35" customHeight="1"/>
    <row r="2" spans="2:23" ht="28.35" customHeight="1"/>
    <row r="3" spans="2:23" ht="28.35" customHeight="1">
      <c r="B3" s="4816" t="s">
        <v>656</v>
      </c>
      <c r="C3" s="4816"/>
      <c r="D3" s="4816"/>
      <c r="E3" s="4816"/>
      <c r="F3" s="4816"/>
      <c r="G3" s="4816"/>
      <c r="H3" s="4816"/>
      <c r="I3" s="4816"/>
      <c r="J3" s="4816"/>
      <c r="K3" s="4816"/>
      <c r="L3" s="4816"/>
      <c r="M3" s="4816"/>
      <c r="N3" s="4816"/>
      <c r="O3" s="4816"/>
      <c r="P3" s="4816"/>
      <c r="R3" s="1793"/>
      <c r="S3" s="1793"/>
      <c r="T3" s="1793"/>
      <c r="U3" s="1793"/>
      <c r="V3" s="1793"/>
      <c r="W3" s="1793"/>
    </row>
    <row r="4" spans="2:23" ht="28.35" customHeight="1">
      <c r="B4" s="4713" t="s">
        <v>657</v>
      </c>
      <c r="C4" s="4713"/>
      <c r="D4" s="4713"/>
      <c r="E4" s="4713"/>
      <c r="F4" s="4713"/>
      <c r="G4" s="4713"/>
      <c r="H4" s="4713"/>
      <c r="I4" s="4713"/>
      <c r="J4" s="4713"/>
      <c r="K4" s="4713"/>
      <c r="L4" s="4713"/>
      <c r="M4" s="4713"/>
      <c r="N4" s="4713"/>
      <c r="O4" s="4713"/>
      <c r="P4" s="4713"/>
      <c r="R4" s="1793"/>
      <c r="S4" s="1793"/>
      <c r="T4" s="1793"/>
      <c r="U4" s="1793"/>
      <c r="V4" s="1793"/>
      <c r="W4" s="1793"/>
    </row>
    <row r="5" spans="2:23" s="2264" customFormat="1" ht="17.100000000000001" customHeight="1">
      <c r="B5" s="1315" t="s">
        <v>90</v>
      </c>
      <c r="C5" s="1850"/>
      <c r="D5" s="1850"/>
      <c r="E5" s="1850"/>
      <c r="F5" s="1851"/>
      <c r="G5" s="1852"/>
      <c r="H5" s="1318"/>
      <c r="I5" s="1318"/>
      <c r="J5" s="1853"/>
      <c r="K5" s="1854"/>
      <c r="L5" s="1855"/>
      <c r="M5" s="1855"/>
      <c r="N5" s="1856"/>
      <c r="O5" s="2587" t="s">
        <v>91</v>
      </c>
      <c r="P5" s="1318"/>
      <c r="R5" s="2588"/>
      <c r="S5" s="2588"/>
      <c r="T5" s="2588"/>
      <c r="U5" s="2588"/>
      <c r="V5" s="2588"/>
      <c r="W5" s="2588"/>
    </row>
    <row r="6" spans="2:23" ht="4.3499999999999996" customHeight="1">
      <c r="B6" s="1324"/>
      <c r="C6" s="1858"/>
      <c r="D6" s="1858"/>
      <c r="E6" s="1858"/>
      <c r="F6" s="1858"/>
      <c r="G6" s="1858"/>
      <c r="H6" s="1859"/>
      <c r="I6" s="1859"/>
      <c r="J6" s="1860"/>
      <c r="K6" s="1858"/>
      <c r="L6" s="1858"/>
      <c r="M6" s="1858"/>
      <c r="N6" s="1858"/>
      <c r="O6" s="1858"/>
      <c r="P6" s="1862"/>
      <c r="R6" s="1793"/>
      <c r="S6" s="1793"/>
      <c r="T6" s="1793"/>
      <c r="U6" s="1793"/>
      <c r="V6" s="1793"/>
      <c r="W6" s="1793"/>
    </row>
    <row r="7" spans="2:23" s="1760" customFormat="1" ht="5.25" customHeight="1">
      <c r="B7" s="1991"/>
      <c r="C7" s="1329"/>
      <c r="D7" s="1329"/>
      <c r="E7" s="1329"/>
      <c r="F7" s="1329"/>
      <c r="G7" s="1329"/>
      <c r="H7" s="1329"/>
      <c r="I7" s="1329"/>
      <c r="J7" s="2268"/>
      <c r="K7" s="1329"/>
      <c r="L7" s="2589"/>
      <c r="M7" s="2590"/>
      <c r="N7" s="2591"/>
      <c r="O7" s="2591"/>
      <c r="P7" s="2592"/>
      <c r="R7" s="1844"/>
      <c r="S7" s="1844"/>
      <c r="T7" s="1844"/>
      <c r="U7" s="1844"/>
      <c r="V7" s="1844"/>
      <c r="W7" s="1844"/>
    </row>
    <row r="8" spans="2:23" s="1844" customFormat="1">
      <c r="B8" s="2316"/>
      <c r="C8" s="1235"/>
      <c r="D8" s="1235"/>
      <c r="E8" s="1235"/>
      <c r="F8" s="1235"/>
      <c r="G8" s="1235"/>
      <c r="H8" s="1235"/>
      <c r="I8" s="1235"/>
      <c r="J8" s="2195"/>
      <c r="K8" s="1235"/>
      <c r="L8" s="4229" t="s">
        <v>96</v>
      </c>
      <c r="M8" s="2522" t="s">
        <v>8</v>
      </c>
      <c r="N8" s="2591"/>
      <c r="O8" s="2591"/>
      <c r="P8" s="2593"/>
    </row>
    <row r="9" spans="2:23" s="1760" customFormat="1" ht="18.95" customHeight="1">
      <c r="B9" s="4205" t="s">
        <v>8</v>
      </c>
      <c r="C9" s="4170" t="s">
        <v>658</v>
      </c>
      <c r="D9" s="4170" t="s">
        <v>8</v>
      </c>
      <c r="E9" s="4170" t="s">
        <v>659</v>
      </c>
      <c r="F9" s="4170" t="s">
        <v>8</v>
      </c>
      <c r="G9" s="4170" t="s">
        <v>8</v>
      </c>
      <c r="H9" s="4170" t="s">
        <v>8</v>
      </c>
      <c r="I9" s="4170" t="s">
        <v>8</v>
      </c>
      <c r="J9" s="2120"/>
      <c r="K9" s="4170"/>
      <c r="L9" s="4170" t="s">
        <v>511</v>
      </c>
      <c r="M9" s="2594"/>
      <c r="N9" s="2591"/>
      <c r="O9" s="4198"/>
      <c r="P9" s="4199"/>
      <c r="R9" s="1844"/>
      <c r="S9" s="1844"/>
      <c r="T9" s="1844"/>
      <c r="U9" s="1844"/>
      <c r="V9" s="1844"/>
      <c r="W9" s="1844"/>
    </row>
    <row r="10" spans="2:23" s="1760" customFormat="1" ht="18.95" customHeight="1">
      <c r="B10" s="4205"/>
      <c r="C10" s="4170" t="s">
        <v>660</v>
      </c>
      <c r="D10" s="1387" t="s">
        <v>661</v>
      </c>
      <c r="E10" s="4170" t="s">
        <v>662</v>
      </c>
      <c r="F10" s="4170" t="s">
        <v>663</v>
      </c>
      <c r="G10" s="4170" t="s">
        <v>8</v>
      </c>
      <c r="H10" s="4170" t="s">
        <v>664</v>
      </c>
      <c r="I10" s="4170" t="s">
        <v>8</v>
      </c>
      <c r="J10" s="2120" t="s">
        <v>8</v>
      </c>
      <c r="K10" s="4170" t="s">
        <v>8</v>
      </c>
      <c r="L10" s="4170" t="s">
        <v>165</v>
      </c>
      <c r="M10" s="1387"/>
      <c r="N10" s="4166"/>
      <c r="O10" s="4198" t="s">
        <v>107</v>
      </c>
      <c r="P10" s="4199"/>
      <c r="R10" s="1844"/>
      <c r="S10" s="1844"/>
      <c r="T10" s="1844"/>
      <c r="U10" s="1844"/>
      <c r="V10" s="1844"/>
      <c r="W10" s="1844"/>
    </row>
    <row r="11" spans="2:23" s="1760" customFormat="1">
      <c r="B11" s="4205" t="s">
        <v>665</v>
      </c>
      <c r="C11" s="4170" t="s">
        <v>666</v>
      </c>
      <c r="D11" s="4170" t="s">
        <v>279</v>
      </c>
      <c r="E11" s="4170" t="s">
        <v>667</v>
      </c>
      <c r="F11" s="4170" t="s">
        <v>668</v>
      </c>
      <c r="G11" s="4170" t="s">
        <v>669</v>
      </c>
      <c r="H11" s="4170" t="s">
        <v>670</v>
      </c>
      <c r="I11" s="4170" t="s">
        <v>671</v>
      </c>
      <c r="J11" s="2120" t="s">
        <v>672</v>
      </c>
      <c r="K11" s="4170" t="s">
        <v>673</v>
      </c>
      <c r="L11" s="4170" t="s">
        <v>331</v>
      </c>
      <c r="M11" s="1242" t="s">
        <v>170</v>
      </c>
      <c r="N11" s="4672" t="s">
        <v>116</v>
      </c>
      <c r="O11" s="4672"/>
      <c r="P11" s="4752"/>
      <c r="R11" s="1844"/>
      <c r="S11" s="1844"/>
      <c r="T11" s="1844"/>
      <c r="U11" s="1844"/>
      <c r="V11" s="1844"/>
      <c r="W11" s="1844"/>
    </row>
    <row r="12" spans="2:23" s="1780" customFormat="1" ht="20.100000000000001" customHeight="1">
      <c r="B12" s="4205"/>
      <c r="C12" s="4170" t="s">
        <v>674</v>
      </c>
      <c r="D12" s="4170"/>
      <c r="E12" s="4170" t="s">
        <v>675</v>
      </c>
      <c r="F12" s="4170"/>
      <c r="G12" s="4170"/>
      <c r="H12" s="4170" t="s">
        <v>8</v>
      </c>
      <c r="I12" s="4170"/>
      <c r="J12" s="2120"/>
      <c r="K12" s="4170"/>
      <c r="L12" s="4170" t="s">
        <v>676</v>
      </c>
      <c r="M12" s="1242"/>
      <c r="N12" s="4672"/>
      <c r="O12" s="4672"/>
      <c r="P12" s="4752"/>
      <c r="R12" s="1781"/>
      <c r="S12" s="1781"/>
      <c r="T12" s="1781"/>
      <c r="U12" s="1781"/>
      <c r="V12" s="1781"/>
      <c r="W12" s="1781"/>
    </row>
    <row r="13" spans="2:23" s="1780" customFormat="1" ht="20.100000000000001" customHeight="1">
      <c r="B13" s="4205"/>
      <c r="C13" s="4170" t="s">
        <v>677</v>
      </c>
      <c r="D13" s="4170"/>
      <c r="E13" s="4170" t="s">
        <v>678</v>
      </c>
      <c r="F13" s="4170"/>
      <c r="G13" s="4170"/>
      <c r="H13" s="4170" t="s">
        <v>401</v>
      </c>
      <c r="I13" s="4170"/>
      <c r="J13" s="2120"/>
      <c r="K13" s="4170"/>
      <c r="L13" s="4170" t="s">
        <v>679</v>
      </c>
      <c r="M13" s="2594"/>
      <c r="N13" s="1234"/>
      <c r="O13" s="2591"/>
      <c r="P13" s="4199"/>
      <c r="R13" s="1781"/>
      <c r="S13" s="1781"/>
      <c r="T13" s="1781"/>
      <c r="U13" s="1781"/>
      <c r="V13" s="1781"/>
      <c r="W13" s="1781"/>
    </row>
    <row r="14" spans="2:23" s="1780" customFormat="1" ht="18.95" customHeight="1">
      <c r="B14" s="4205"/>
      <c r="C14" s="4170" t="s">
        <v>125</v>
      </c>
      <c r="D14" s="4170" t="s">
        <v>180</v>
      </c>
      <c r="E14" s="4170" t="s">
        <v>127</v>
      </c>
      <c r="F14" s="4170"/>
      <c r="G14" s="4170"/>
      <c r="H14" s="4170" t="s">
        <v>680</v>
      </c>
      <c r="I14" s="4170"/>
      <c r="J14" s="2120"/>
      <c r="K14" s="4170"/>
      <c r="L14" s="4170" t="s">
        <v>127</v>
      </c>
      <c r="M14" s="2594"/>
      <c r="N14" s="4750"/>
      <c r="O14" s="4817"/>
      <c r="P14" s="4751"/>
      <c r="Q14" s="2595"/>
      <c r="R14" s="1781"/>
      <c r="S14" s="1781"/>
      <c r="T14" s="1781"/>
      <c r="U14" s="1781"/>
      <c r="V14" s="1781"/>
      <c r="W14" s="1781"/>
    </row>
    <row r="15" spans="2:23" s="1780" customFormat="1" ht="18" customHeight="1">
      <c r="B15" s="4205" t="s">
        <v>8</v>
      </c>
      <c r="C15" s="4170" t="s">
        <v>681</v>
      </c>
      <c r="D15" s="4170" t="s">
        <v>682</v>
      </c>
      <c r="E15" s="4170" t="s">
        <v>683</v>
      </c>
      <c r="F15" s="4170" t="s">
        <v>684</v>
      </c>
      <c r="G15" s="4170" t="s">
        <v>685</v>
      </c>
      <c r="H15" s="4170" t="s">
        <v>127</v>
      </c>
      <c r="I15" s="4170"/>
      <c r="J15" s="2120" t="s">
        <v>8</v>
      </c>
      <c r="K15" s="4170" t="s">
        <v>686</v>
      </c>
      <c r="L15" s="4170" t="s">
        <v>181</v>
      </c>
      <c r="M15" s="2596"/>
      <c r="N15" s="4750" t="s">
        <v>136</v>
      </c>
      <c r="O15" s="4817"/>
      <c r="P15" s="4751"/>
      <c r="R15" s="1781"/>
      <c r="S15" s="1781"/>
      <c r="T15" s="1781"/>
      <c r="U15" s="1781"/>
      <c r="V15" s="1781"/>
      <c r="W15" s="1781"/>
    </row>
    <row r="16" spans="2:23" s="1780" customFormat="1" ht="20.100000000000001" customHeight="1">
      <c r="B16" s="4206" t="s">
        <v>119</v>
      </c>
      <c r="C16" s="4207" t="s">
        <v>687</v>
      </c>
      <c r="D16" s="4207" t="s">
        <v>688</v>
      </c>
      <c r="E16" s="4207" t="s">
        <v>689</v>
      </c>
      <c r="F16" s="4207" t="s">
        <v>690</v>
      </c>
      <c r="G16" s="4207" t="s">
        <v>691</v>
      </c>
      <c r="H16" s="4207" t="s">
        <v>692</v>
      </c>
      <c r="I16" s="4207" t="s">
        <v>693</v>
      </c>
      <c r="J16" s="2122" t="s">
        <v>694</v>
      </c>
      <c r="K16" s="4207" t="s">
        <v>695</v>
      </c>
      <c r="L16" s="4207" t="s">
        <v>228</v>
      </c>
      <c r="M16" s="4219" t="s">
        <v>187</v>
      </c>
      <c r="N16" s="4611" t="s">
        <v>144</v>
      </c>
      <c r="O16" s="4612"/>
      <c r="P16" s="4759"/>
      <c r="R16" s="1781"/>
      <c r="S16" s="1781"/>
      <c r="T16" s="1781"/>
      <c r="U16" s="1781"/>
    </row>
    <row r="17" spans="2:16" ht="39.75" customHeight="1">
      <c r="B17" s="4251">
        <v>1.5</v>
      </c>
      <c r="C17" s="4184">
        <v>1.5</v>
      </c>
      <c r="D17" s="4184">
        <v>0.2</v>
      </c>
      <c r="E17" s="4184">
        <v>0.8</v>
      </c>
      <c r="F17" s="4184">
        <v>2.6</v>
      </c>
      <c r="G17" s="4184">
        <v>2.2000000000000002</v>
      </c>
      <c r="H17" s="4190">
        <v>14.4</v>
      </c>
      <c r="I17" s="4190">
        <v>3.3</v>
      </c>
      <c r="J17" s="4190">
        <v>0.2</v>
      </c>
      <c r="K17" s="4190">
        <v>0.9</v>
      </c>
      <c r="L17" s="4190">
        <v>1.6</v>
      </c>
      <c r="M17" s="1345">
        <f t="shared" ref="M17:M45" si="0">SUM(L17+K17+J17+I17+H17+G17+F17+E17+D17+C17+B17)</f>
        <v>29.2</v>
      </c>
      <c r="N17" s="1757"/>
      <c r="O17" s="1757">
        <v>1964</v>
      </c>
      <c r="P17" s="1261"/>
    </row>
    <row r="18" spans="2:16" ht="39.75" customHeight="1">
      <c r="B18" s="4253">
        <v>1.6</v>
      </c>
      <c r="C18" s="4254">
        <v>1.7</v>
      </c>
      <c r="D18" s="4254">
        <v>0.1</v>
      </c>
      <c r="E18" s="4254">
        <v>1</v>
      </c>
      <c r="F18" s="4254">
        <v>2.2999999999999998</v>
      </c>
      <c r="G18" s="4254">
        <v>2.4</v>
      </c>
      <c r="H18" s="4255">
        <v>17.100000000000001</v>
      </c>
      <c r="I18" s="4255">
        <v>4.3</v>
      </c>
      <c r="J18" s="4255">
        <v>0</v>
      </c>
      <c r="K18" s="4255">
        <v>0.7</v>
      </c>
      <c r="L18" s="4255">
        <v>2.1</v>
      </c>
      <c r="M18" s="1424">
        <f t="shared" si="0"/>
        <v>33.300000000000004</v>
      </c>
      <c r="N18" s="2598"/>
      <c r="O18" s="2598">
        <f>O17+1</f>
        <v>1965</v>
      </c>
      <c r="P18" s="2599"/>
    </row>
    <row r="19" spans="2:16" ht="39.75" customHeight="1">
      <c r="B19" s="4251">
        <v>1.7</v>
      </c>
      <c r="C19" s="4184">
        <v>2.2999999999999998</v>
      </c>
      <c r="D19" s="4184">
        <v>0.3</v>
      </c>
      <c r="E19" s="4184">
        <v>1</v>
      </c>
      <c r="F19" s="4184">
        <v>2.2000000000000002</v>
      </c>
      <c r="G19" s="4184">
        <v>3.3</v>
      </c>
      <c r="H19" s="4190">
        <v>20.3</v>
      </c>
      <c r="I19" s="4190">
        <v>4.7</v>
      </c>
      <c r="J19" s="4190">
        <v>0</v>
      </c>
      <c r="K19" s="4190">
        <v>0.6</v>
      </c>
      <c r="L19" s="4190">
        <v>2.6</v>
      </c>
      <c r="M19" s="1345">
        <f t="shared" si="0"/>
        <v>39</v>
      </c>
      <c r="N19" s="1757"/>
      <c r="O19" s="1757">
        <f t="shared" ref="O19:O45" si="1">O18+1</f>
        <v>1966</v>
      </c>
      <c r="P19" s="1261"/>
    </row>
    <row r="20" spans="2:16" ht="39.75" customHeight="1">
      <c r="B20" s="4253">
        <v>3.4</v>
      </c>
      <c r="C20" s="4254">
        <v>2.1</v>
      </c>
      <c r="D20" s="4254">
        <v>0.2</v>
      </c>
      <c r="E20" s="4254">
        <v>1.1000000000000001</v>
      </c>
      <c r="F20" s="4254">
        <v>1.8</v>
      </c>
      <c r="G20" s="4254">
        <v>5</v>
      </c>
      <c r="H20" s="4255">
        <v>17.399999999999999</v>
      </c>
      <c r="I20" s="4255">
        <v>4.2</v>
      </c>
      <c r="J20" s="4255">
        <v>0</v>
      </c>
      <c r="K20" s="4255">
        <v>0.8</v>
      </c>
      <c r="L20" s="4255">
        <v>2.9</v>
      </c>
      <c r="M20" s="1424">
        <f t="shared" si="0"/>
        <v>38.9</v>
      </c>
      <c r="N20" s="2598"/>
      <c r="O20" s="2598">
        <f t="shared" si="1"/>
        <v>1967</v>
      </c>
      <c r="P20" s="2599"/>
    </row>
    <row r="21" spans="2:16" ht="39.75" customHeight="1">
      <c r="B21" s="4251">
        <v>4</v>
      </c>
      <c r="C21" s="4184">
        <v>2.4</v>
      </c>
      <c r="D21" s="4184">
        <v>0.2</v>
      </c>
      <c r="E21" s="4184">
        <v>1</v>
      </c>
      <c r="F21" s="4184">
        <v>1.8</v>
      </c>
      <c r="G21" s="4184">
        <v>6.1</v>
      </c>
      <c r="H21" s="4190">
        <v>17.100000000000001</v>
      </c>
      <c r="I21" s="4190">
        <v>4</v>
      </c>
      <c r="J21" s="4190">
        <v>0</v>
      </c>
      <c r="K21" s="4190">
        <v>0.7</v>
      </c>
      <c r="L21" s="4190">
        <v>3.7</v>
      </c>
      <c r="M21" s="1345">
        <f t="shared" si="0"/>
        <v>41</v>
      </c>
      <c r="N21" s="1757"/>
      <c r="O21" s="1757">
        <f t="shared" si="1"/>
        <v>1968</v>
      </c>
      <c r="P21" s="1261"/>
    </row>
    <row r="22" spans="2:16" ht="39.75" customHeight="1">
      <c r="B22" s="4253">
        <v>5.6</v>
      </c>
      <c r="C22" s="4254">
        <v>3.1</v>
      </c>
      <c r="D22" s="4254">
        <v>0.2</v>
      </c>
      <c r="E22" s="4254">
        <v>1</v>
      </c>
      <c r="F22" s="4254">
        <v>1.6</v>
      </c>
      <c r="G22" s="4254">
        <v>7.1</v>
      </c>
      <c r="H22" s="4255">
        <v>19.100000000000001</v>
      </c>
      <c r="I22" s="4255">
        <v>4</v>
      </c>
      <c r="J22" s="4255">
        <v>0.1</v>
      </c>
      <c r="K22" s="4255">
        <v>0.7</v>
      </c>
      <c r="L22" s="4255">
        <v>2.9</v>
      </c>
      <c r="M22" s="1424">
        <f t="shared" si="0"/>
        <v>45.400000000000006</v>
      </c>
      <c r="N22" s="2598"/>
      <c r="O22" s="2598">
        <f t="shared" si="1"/>
        <v>1969</v>
      </c>
      <c r="P22" s="2599"/>
    </row>
    <row r="23" spans="2:16" ht="39.75" customHeight="1">
      <c r="B23" s="4251">
        <v>1.5</v>
      </c>
      <c r="C23" s="4184">
        <v>4.2</v>
      </c>
      <c r="D23" s="4184">
        <v>0.2</v>
      </c>
      <c r="E23" s="4184">
        <v>1</v>
      </c>
      <c r="F23" s="4184">
        <v>2.4</v>
      </c>
      <c r="G23" s="4184">
        <v>11.2</v>
      </c>
      <c r="H23" s="4190">
        <v>16.899999999999999</v>
      </c>
      <c r="I23" s="4190">
        <v>4</v>
      </c>
      <c r="J23" s="4190">
        <v>0.7</v>
      </c>
      <c r="K23" s="4190">
        <v>0.6</v>
      </c>
      <c r="L23" s="4190">
        <v>2.8</v>
      </c>
      <c r="M23" s="1345">
        <f t="shared" si="0"/>
        <v>45.500000000000007</v>
      </c>
      <c r="N23" s="1757"/>
      <c r="O23" s="1757">
        <f t="shared" si="1"/>
        <v>1970</v>
      </c>
      <c r="P23" s="1261"/>
    </row>
    <row r="24" spans="2:16" ht="39.75" customHeight="1">
      <c r="B24" s="4253">
        <v>2</v>
      </c>
      <c r="C24" s="4254">
        <v>3.3</v>
      </c>
      <c r="D24" s="4254">
        <v>0.2</v>
      </c>
      <c r="E24" s="4254">
        <v>0.9</v>
      </c>
      <c r="F24" s="4254">
        <v>2.6</v>
      </c>
      <c r="G24" s="4254">
        <v>10.5</v>
      </c>
      <c r="H24" s="4255">
        <v>19</v>
      </c>
      <c r="I24" s="4255">
        <v>3.9</v>
      </c>
      <c r="J24" s="4255">
        <v>0.7</v>
      </c>
      <c r="K24" s="4255">
        <v>0.8</v>
      </c>
      <c r="L24" s="4255">
        <v>3</v>
      </c>
      <c r="M24" s="1424">
        <f t="shared" si="0"/>
        <v>46.9</v>
      </c>
      <c r="N24" s="2598"/>
      <c r="O24" s="2598">
        <f t="shared" si="1"/>
        <v>1971</v>
      </c>
      <c r="P24" s="2599"/>
    </row>
    <row r="25" spans="2:16" ht="39.75" customHeight="1">
      <c r="B25" s="4251">
        <v>1.8</v>
      </c>
      <c r="C25" s="4184">
        <v>3.9</v>
      </c>
      <c r="D25" s="4184">
        <v>0.3</v>
      </c>
      <c r="E25" s="4184">
        <v>0.9</v>
      </c>
      <c r="F25" s="4184">
        <v>2.4</v>
      </c>
      <c r="G25" s="4184">
        <v>10.7</v>
      </c>
      <c r="H25" s="4190">
        <v>21.5</v>
      </c>
      <c r="I25" s="4190">
        <v>4.4000000000000004</v>
      </c>
      <c r="J25" s="4190">
        <v>0.3</v>
      </c>
      <c r="K25" s="4190">
        <v>0.8</v>
      </c>
      <c r="L25" s="4190">
        <v>3.6</v>
      </c>
      <c r="M25" s="1345">
        <f t="shared" si="0"/>
        <v>50.599999999999987</v>
      </c>
      <c r="N25" s="1757"/>
      <c r="O25" s="1757">
        <f t="shared" si="1"/>
        <v>1972</v>
      </c>
      <c r="P25" s="1261"/>
    </row>
    <row r="26" spans="2:16" ht="39.75" customHeight="1">
      <c r="B26" s="4253">
        <v>1.6</v>
      </c>
      <c r="C26" s="4254">
        <v>4.5</v>
      </c>
      <c r="D26" s="4254">
        <v>0.6</v>
      </c>
      <c r="E26" s="4254">
        <v>1.4</v>
      </c>
      <c r="F26" s="4254">
        <v>2.2000000000000002</v>
      </c>
      <c r="G26" s="4254">
        <v>14.4</v>
      </c>
      <c r="H26" s="4255">
        <v>25.1</v>
      </c>
      <c r="I26" s="4255">
        <v>5.9</v>
      </c>
      <c r="J26" s="4255">
        <v>0.4</v>
      </c>
      <c r="K26" s="4255">
        <v>2</v>
      </c>
      <c r="L26" s="4255">
        <v>3.7</v>
      </c>
      <c r="M26" s="1424">
        <f t="shared" si="0"/>
        <v>61.800000000000004</v>
      </c>
      <c r="N26" s="2598"/>
      <c r="O26" s="2598">
        <f t="shared" si="1"/>
        <v>1973</v>
      </c>
      <c r="P26" s="2599"/>
    </row>
    <row r="27" spans="2:16" ht="39.75" customHeight="1">
      <c r="B27" s="4251">
        <v>2.6</v>
      </c>
      <c r="C27" s="4184">
        <v>5.8</v>
      </c>
      <c r="D27" s="4184">
        <v>0.7</v>
      </c>
      <c r="E27" s="4184">
        <v>1.5</v>
      </c>
      <c r="F27" s="4184">
        <v>5.3</v>
      </c>
      <c r="G27" s="4184">
        <v>19.5</v>
      </c>
      <c r="H27" s="4190">
        <v>30.3</v>
      </c>
      <c r="I27" s="4190">
        <v>10.1</v>
      </c>
      <c r="J27" s="4190">
        <v>0.4</v>
      </c>
      <c r="K27" s="4190">
        <v>3.8</v>
      </c>
      <c r="L27" s="4190">
        <v>5</v>
      </c>
      <c r="M27" s="1345">
        <f t="shared" si="0"/>
        <v>84.999999999999986</v>
      </c>
      <c r="N27" s="1757"/>
      <c r="O27" s="1757">
        <f t="shared" si="1"/>
        <v>1974</v>
      </c>
      <c r="P27" s="1261"/>
    </row>
    <row r="28" spans="2:16" ht="39.75" customHeight="1">
      <c r="B28" s="4253">
        <v>4.7</v>
      </c>
      <c r="C28" s="4254">
        <v>7.4</v>
      </c>
      <c r="D28" s="4254">
        <v>0.4</v>
      </c>
      <c r="E28" s="4254">
        <v>1.8</v>
      </c>
      <c r="F28" s="4254">
        <v>3.4</v>
      </c>
      <c r="G28" s="4254">
        <v>31.5</v>
      </c>
      <c r="H28" s="4255">
        <v>51.4</v>
      </c>
      <c r="I28" s="4255">
        <v>14.9</v>
      </c>
      <c r="J28" s="4255">
        <v>0.3</v>
      </c>
      <c r="K28" s="4255">
        <v>3.6</v>
      </c>
      <c r="L28" s="4255">
        <v>7.3</v>
      </c>
      <c r="M28" s="1424">
        <f t="shared" si="0"/>
        <v>126.70000000000002</v>
      </c>
      <c r="N28" s="2598"/>
      <c r="O28" s="2598">
        <f t="shared" si="1"/>
        <v>1975</v>
      </c>
      <c r="P28" s="2599"/>
    </row>
    <row r="29" spans="2:16" ht="39.75" customHeight="1">
      <c r="B29" s="4251">
        <v>13.6</v>
      </c>
      <c r="C29" s="4184">
        <v>11.4</v>
      </c>
      <c r="D29" s="4184">
        <v>0.6</v>
      </c>
      <c r="E29" s="4184">
        <v>2.5</v>
      </c>
      <c r="F29" s="4184">
        <v>7.8</v>
      </c>
      <c r="G29" s="4184">
        <v>50</v>
      </c>
      <c r="H29" s="4190">
        <v>81.599999999999994</v>
      </c>
      <c r="I29" s="4190">
        <v>21.8</v>
      </c>
      <c r="J29" s="4190">
        <v>0.3</v>
      </c>
      <c r="K29" s="4190">
        <v>5.2</v>
      </c>
      <c r="L29" s="4190">
        <v>12.3</v>
      </c>
      <c r="M29" s="1345">
        <f t="shared" si="0"/>
        <v>207.1</v>
      </c>
      <c r="N29" s="1757"/>
      <c r="O29" s="1757">
        <f t="shared" si="1"/>
        <v>1976</v>
      </c>
      <c r="P29" s="1261"/>
    </row>
    <row r="30" spans="2:16" ht="39.75" customHeight="1">
      <c r="B30" s="4253">
        <v>15.6</v>
      </c>
      <c r="C30" s="4254">
        <v>13.1</v>
      </c>
      <c r="D30" s="4254">
        <v>0.6</v>
      </c>
      <c r="E30" s="4254">
        <v>3.4</v>
      </c>
      <c r="F30" s="4254">
        <v>11.1</v>
      </c>
      <c r="G30" s="4254">
        <v>65.8</v>
      </c>
      <c r="H30" s="4255">
        <v>81.400000000000006</v>
      </c>
      <c r="I30" s="4255">
        <v>26.6</v>
      </c>
      <c r="J30" s="4255">
        <v>0.2</v>
      </c>
      <c r="K30" s="4255">
        <v>8.3000000000000007</v>
      </c>
      <c r="L30" s="4255">
        <v>17.899999999999999</v>
      </c>
      <c r="M30" s="1424">
        <f t="shared" si="0"/>
        <v>243.99999999999997</v>
      </c>
      <c r="N30" s="2598"/>
      <c r="O30" s="2598">
        <f t="shared" si="1"/>
        <v>1977</v>
      </c>
      <c r="P30" s="2599"/>
    </row>
    <row r="31" spans="2:16" ht="39.75" customHeight="1">
      <c r="B31" s="4251">
        <v>19.3</v>
      </c>
      <c r="C31" s="4184">
        <v>21.2</v>
      </c>
      <c r="D31" s="4184">
        <v>1.2</v>
      </c>
      <c r="E31" s="4184">
        <v>6.6</v>
      </c>
      <c r="F31" s="4184">
        <v>8.4</v>
      </c>
      <c r="G31" s="4184">
        <v>100.6</v>
      </c>
      <c r="H31" s="4190">
        <v>100.5</v>
      </c>
      <c r="I31" s="4190">
        <v>36.6</v>
      </c>
      <c r="J31" s="4190">
        <v>1.7</v>
      </c>
      <c r="K31" s="4190">
        <v>12.7</v>
      </c>
      <c r="L31" s="4190">
        <v>24</v>
      </c>
      <c r="M31" s="1345">
        <f t="shared" si="0"/>
        <v>332.8</v>
      </c>
      <c r="N31" s="1757"/>
      <c r="O31" s="1757">
        <f t="shared" si="1"/>
        <v>1978</v>
      </c>
      <c r="P31" s="1261"/>
    </row>
    <row r="32" spans="2:16" ht="39.75" customHeight="1">
      <c r="B32" s="4253">
        <v>17.100000000000001</v>
      </c>
      <c r="C32" s="4254">
        <v>29.7</v>
      </c>
      <c r="D32" s="4254">
        <v>4.8</v>
      </c>
      <c r="E32" s="4254">
        <v>9.6999999999999993</v>
      </c>
      <c r="F32" s="4254">
        <v>13</v>
      </c>
      <c r="G32" s="4254">
        <v>151</v>
      </c>
      <c r="H32" s="4255">
        <v>134.19999999999999</v>
      </c>
      <c r="I32" s="4255">
        <v>56.5</v>
      </c>
      <c r="J32" s="4255">
        <v>4</v>
      </c>
      <c r="K32" s="4255">
        <v>17.399999999999999</v>
      </c>
      <c r="L32" s="4255">
        <v>27.7</v>
      </c>
      <c r="M32" s="1424">
        <f t="shared" si="0"/>
        <v>465.09999999999997</v>
      </c>
      <c r="N32" s="2598"/>
      <c r="O32" s="2598">
        <f t="shared" si="1"/>
        <v>1979</v>
      </c>
      <c r="P32" s="2599"/>
    </row>
    <row r="33" spans="2:16" ht="39.75" customHeight="1">
      <c r="B33" s="4251">
        <v>20.3</v>
      </c>
      <c r="C33" s="4184">
        <v>38.700000000000003</v>
      </c>
      <c r="D33" s="4184">
        <v>8.6999999999999993</v>
      </c>
      <c r="E33" s="4184">
        <v>11.8</v>
      </c>
      <c r="F33" s="4184">
        <v>14.54</v>
      </c>
      <c r="G33" s="4184">
        <v>180.8</v>
      </c>
      <c r="H33" s="4190">
        <v>167</v>
      </c>
      <c r="I33" s="4190">
        <v>68.7</v>
      </c>
      <c r="J33" s="4190">
        <v>4.4000000000000004</v>
      </c>
      <c r="K33" s="4190">
        <v>17.2</v>
      </c>
      <c r="L33" s="4190">
        <v>31.8</v>
      </c>
      <c r="M33" s="1345">
        <f t="shared" si="0"/>
        <v>563.94000000000005</v>
      </c>
      <c r="N33" s="1757"/>
      <c r="O33" s="1757">
        <f t="shared" si="1"/>
        <v>1980</v>
      </c>
      <c r="P33" s="1261"/>
    </row>
    <row r="34" spans="2:16" ht="39.75" customHeight="1">
      <c r="B34" s="4253">
        <v>31.5</v>
      </c>
      <c r="C34" s="4254">
        <v>60.8</v>
      </c>
      <c r="D34" s="4254">
        <v>9.4</v>
      </c>
      <c r="E34" s="4254">
        <v>15.9</v>
      </c>
      <c r="F34" s="4254">
        <v>23.3</v>
      </c>
      <c r="G34" s="4254">
        <v>201</v>
      </c>
      <c r="H34" s="4255">
        <v>225.8</v>
      </c>
      <c r="I34" s="4255">
        <v>82.4</v>
      </c>
      <c r="J34" s="4255">
        <v>6.8</v>
      </c>
      <c r="K34" s="4255">
        <v>19.399999999999999</v>
      </c>
      <c r="L34" s="4255">
        <v>45</v>
      </c>
      <c r="M34" s="1424">
        <f t="shared" si="0"/>
        <v>721.3</v>
      </c>
      <c r="N34" s="2598"/>
      <c r="O34" s="2598">
        <f t="shared" si="1"/>
        <v>1981</v>
      </c>
      <c r="P34" s="2599"/>
    </row>
    <row r="35" spans="2:16" ht="39.75" customHeight="1">
      <c r="B35" s="4251">
        <v>41.2</v>
      </c>
      <c r="C35" s="4184">
        <v>69.599999999999994</v>
      </c>
      <c r="D35" s="4184">
        <v>19.600000000000001</v>
      </c>
      <c r="E35" s="4184">
        <v>20.5</v>
      </c>
      <c r="F35" s="4184">
        <v>32.9</v>
      </c>
      <c r="G35" s="4184">
        <v>216.8</v>
      </c>
      <c r="H35" s="4190">
        <v>284.89999999999998</v>
      </c>
      <c r="I35" s="4190">
        <v>98.5</v>
      </c>
      <c r="J35" s="4190">
        <v>14.1</v>
      </c>
      <c r="K35" s="4190">
        <v>24.6</v>
      </c>
      <c r="L35" s="4190">
        <v>64.5</v>
      </c>
      <c r="M35" s="1345">
        <f t="shared" si="0"/>
        <v>887.2</v>
      </c>
      <c r="N35" s="1757"/>
      <c r="O35" s="1757">
        <f t="shared" si="1"/>
        <v>1982</v>
      </c>
      <c r="P35" s="1261"/>
    </row>
    <row r="36" spans="2:16" ht="39.75" customHeight="1">
      <c r="B36" s="4253">
        <v>43</v>
      </c>
      <c r="C36" s="4254">
        <v>108.1</v>
      </c>
      <c r="D36" s="4254">
        <v>25.6</v>
      </c>
      <c r="E36" s="4254">
        <v>25.7</v>
      </c>
      <c r="F36" s="4254">
        <v>50.5</v>
      </c>
      <c r="G36" s="4254">
        <v>271.3</v>
      </c>
      <c r="H36" s="4255">
        <v>276.7</v>
      </c>
      <c r="I36" s="4255">
        <v>118.4</v>
      </c>
      <c r="J36" s="4255">
        <v>20.5</v>
      </c>
      <c r="K36" s="4255">
        <v>25.6</v>
      </c>
      <c r="L36" s="4255">
        <v>65.5</v>
      </c>
      <c r="M36" s="1424">
        <f t="shared" si="0"/>
        <v>1030.9000000000001</v>
      </c>
      <c r="N36" s="2598"/>
      <c r="O36" s="2598">
        <f t="shared" si="1"/>
        <v>1983</v>
      </c>
      <c r="P36" s="2599"/>
    </row>
    <row r="37" spans="2:16" ht="39.75" customHeight="1">
      <c r="B37" s="4251">
        <v>50.9</v>
      </c>
      <c r="C37" s="4184">
        <v>121.5</v>
      </c>
      <c r="D37" s="4184">
        <v>29.6</v>
      </c>
      <c r="E37" s="4184">
        <v>23.7</v>
      </c>
      <c r="F37" s="4184">
        <v>58.5</v>
      </c>
      <c r="G37" s="4184">
        <v>324</v>
      </c>
      <c r="H37" s="4190">
        <v>296.10000000000002</v>
      </c>
      <c r="I37" s="4190">
        <v>142.4</v>
      </c>
      <c r="J37" s="4190">
        <v>27.4</v>
      </c>
      <c r="K37" s="4190">
        <v>25.6</v>
      </c>
      <c r="L37" s="4190">
        <v>85.1</v>
      </c>
      <c r="M37" s="1345">
        <f t="shared" si="0"/>
        <v>1184.8000000000002</v>
      </c>
      <c r="N37" s="1757"/>
      <c r="O37" s="1757">
        <f t="shared" si="1"/>
        <v>1984</v>
      </c>
      <c r="P37" s="1261"/>
    </row>
    <row r="38" spans="2:16" ht="39.75" customHeight="1">
      <c r="B38" s="4253">
        <v>53.2</v>
      </c>
      <c r="C38" s="4254">
        <v>127.6</v>
      </c>
      <c r="D38" s="4254">
        <v>26.89</v>
      </c>
      <c r="E38" s="4254">
        <v>29.8</v>
      </c>
      <c r="F38" s="4254">
        <v>64</v>
      </c>
      <c r="G38" s="4254">
        <v>331.6</v>
      </c>
      <c r="H38" s="4255">
        <v>308.5</v>
      </c>
      <c r="I38" s="4255">
        <v>157.19999999999999</v>
      </c>
      <c r="J38" s="4255">
        <v>32.1</v>
      </c>
      <c r="K38" s="4255">
        <v>26.3</v>
      </c>
      <c r="L38" s="4255">
        <v>117.2</v>
      </c>
      <c r="M38" s="1424">
        <f t="shared" si="0"/>
        <v>1274.3900000000001</v>
      </c>
      <c r="N38" s="2598"/>
      <c r="O38" s="2598">
        <f t="shared" si="1"/>
        <v>1985</v>
      </c>
      <c r="P38" s="2599"/>
    </row>
    <row r="39" spans="2:16" ht="39.75" customHeight="1">
      <c r="B39" s="4251">
        <v>53.4</v>
      </c>
      <c r="C39" s="4184">
        <v>137.30000000000001</v>
      </c>
      <c r="D39" s="4184">
        <v>29.2</v>
      </c>
      <c r="E39" s="4184">
        <v>37.5</v>
      </c>
      <c r="F39" s="4184">
        <v>49.4</v>
      </c>
      <c r="G39" s="4184">
        <v>353.7</v>
      </c>
      <c r="H39" s="4190">
        <v>338.7</v>
      </c>
      <c r="I39" s="4190">
        <v>176.7</v>
      </c>
      <c r="J39" s="4190">
        <v>44.3</v>
      </c>
      <c r="K39" s="4190">
        <v>32.700000000000003</v>
      </c>
      <c r="L39" s="4190">
        <v>142.5</v>
      </c>
      <c r="M39" s="1345">
        <f t="shared" si="0"/>
        <v>1395.4</v>
      </c>
      <c r="N39" s="1757"/>
      <c r="O39" s="1757">
        <f t="shared" si="1"/>
        <v>1986</v>
      </c>
      <c r="P39" s="1261"/>
    </row>
    <row r="40" spans="2:16" ht="39.75" customHeight="1">
      <c r="B40" s="4253">
        <v>64.5</v>
      </c>
      <c r="C40" s="4254">
        <v>159.30000000000001</v>
      </c>
      <c r="D40" s="4254">
        <v>31.5</v>
      </c>
      <c r="E40" s="4254">
        <v>32.5</v>
      </c>
      <c r="F40" s="4254">
        <v>38.799999999999997</v>
      </c>
      <c r="G40" s="4254">
        <v>358.2</v>
      </c>
      <c r="H40" s="4255">
        <v>363.7</v>
      </c>
      <c r="I40" s="4255">
        <v>175.3</v>
      </c>
      <c r="J40" s="4255">
        <v>45.4</v>
      </c>
      <c r="K40" s="4255">
        <v>40</v>
      </c>
      <c r="L40" s="4255">
        <v>203.8</v>
      </c>
      <c r="M40" s="1424">
        <f t="shared" si="0"/>
        <v>1513</v>
      </c>
      <c r="N40" s="2598"/>
      <c r="O40" s="2598">
        <f t="shared" si="1"/>
        <v>1987</v>
      </c>
      <c r="P40" s="2599"/>
    </row>
    <row r="41" spans="2:16" ht="39.75" customHeight="1">
      <c r="B41" s="4251">
        <v>61.4</v>
      </c>
      <c r="C41" s="4184">
        <v>203</v>
      </c>
      <c r="D41" s="4184">
        <v>29.3</v>
      </c>
      <c r="E41" s="4184">
        <v>27</v>
      </c>
      <c r="F41" s="4184">
        <v>52</v>
      </c>
      <c r="G41" s="4184">
        <v>374.5</v>
      </c>
      <c r="H41" s="4190">
        <v>402.5</v>
      </c>
      <c r="I41" s="4190">
        <v>188.2</v>
      </c>
      <c r="J41" s="4190">
        <v>33.299999999999997</v>
      </c>
      <c r="K41" s="4190">
        <v>47.1</v>
      </c>
      <c r="L41" s="4190">
        <v>215.7</v>
      </c>
      <c r="M41" s="1345">
        <f t="shared" si="0"/>
        <v>1634</v>
      </c>
      <c r="N41" s="1757"/>
      <c r="O41" s="1757">
        <f t="shared" si="1"/>
        <v>1988</v>
      </c>
      <c r="P41" s="1261"/>
    </row>
    <row r="42" spans="2:16" ht="39.75" customHeight="1">
      <c r="B42" s="4253">
        <v>75.7</v>
      </c>
      <c r="C42" s="4254">
        <v>253.8</v>
      </c>
      <c r="D42" s="4254">
        <v>31.3</v>
      </c>
      <c r="E42" s="4254">
        <v>30.8</v>
      </c>
      <c r="F42" s="4254">
        <v>42.9</v>
      </c>
      <c r="G42" s="4254">
        <v>399.1</v>
      </c>
      <c r="H42" s="4255">
        <v>391.5</v>
      </c>
      <c r="I42" s="4255">
        <v>219.7</v>
      </c>
      <c r="J42" s="4255">
        <v>19.3</v>
      </c>
      <c r="K42" s="4255">
        <v>47.4</v>
      </c>
      <c r="L42" s="4255">
        <v>217.7</v>
      </c>
      <c r="M42" s="1424">
        <f t="shared" si="0"/>
        <v>1729.1999999999998</v>
      </c>
      <c r="N42" s="2598"/>
      <c r="O42" s="2598">
        <f t="shared" si="1"/>
        <v>1989</v>
      </c>
      <c r="P42" s="2599"/>
    </row>
    <row r="43" spans="2:16" ht="39.75" customHeight="1">
      <c r="B43" s="4251">
        <v>110.8</v>
      </c>
      <c r="C43" s="4184">
        <v>288.5</v>
      </c>
      <c r="D43" s="4184">
        <v>45.5</v>
      </c>
      <c r="E43" s="4184">
        <v>33.299999999999997</v>
      </c>
      <c r="F43" s="4184">
        <v>45.5</v>
      </c>
      <c r="G43" s="4184">
        <v>422.7</v>
      </c>
      <c r="H43" s="4190">
        <v>407.8</v>
      </c>
      <c r="I43" s="4190">
        <v>224.6</v>
      </c>
      <c r="J43" s="4190">
        <v>12.3</v>
      </c>
      <c r="K43" s="4190">
        <v>53.7</v>
      </c>
      <c r="L43" s="4190">
        <v>218.8</v>
      </c>
      <c r="M43" s="1345">
        <f t="shared" si="0"/>
        <v>1863.5</v>
      </c>
      <c r="N43" s="1757"/>
      <c r="O43" s="1757">
        <f t="shared" si="1"/>
        <v>1990</v>
      </c>
      <c r="P43" s="1261"/>
    </row>
    <row r="44" spans="2:16" ht="39.75" customHeight="1">
      <c r="B44" s="4253">
        <v>110.1</v>
      </c>
      <c r="C44" s="4254">
        <v>318.8</v>
      </c>
      <c r="D44" s="4254">
        <v>35.6</v>
      </c>
      <c r="E44" s="4254">
        <v>31.8</v>
      </c>
      <c r="F44" s="4254">
        <v>65.5</v>
      </c>
      <c r="G44" s="4254">
        <v>436.3</v>
      </c>
      <c r="H44" s="4255">
        <v>465.9</v>
      </c>
      <c r="I44" s="4255">
        <v>245.3</v>
      </c>
      <c r="J44" s="4255">
        <v>5.2</v>
      </c>
      <c r="K44" s="4255">
        <v>49.8</v>
      </c>
      <c r="L44" s="4255">
        <v>201.5</v>
      </c>
      <c r="M44" s="1424">
        <f t="shared" si="0"/>
        <v>1965.7999999999997</v>
      </c>
      <c r="N44" s="2598"/>
      <c r="O44" s="2598">
        <f t="shared" si="1"/>
        <v>1991</v>
      </c>
      <c r="P44" s="2599"/>
    </row>
    <row r="45" spans="2:16" ht="39.75" customHeight="1">
      <c r="B45" s="4251">
        <v>160.80000000000001</v>
      </c>
      <c r="C45" s="4184">
        <v>375.3</v>
      </c>
      <c r="D45" s="4184">
        <v>48.8</v>
      </c>
      <c r="E45" s="4184">
        <v>37.299999999999997</v>
      </c>
      <c r="F45" s="4184">
        <v>54</v>
      </c>
      <c r="G45" s="4184">
        <v>463.2</v>
      </c>
      <c r="H45" s="4190">
        <v>525.1</v>
      </c>
      <c r="I45" s="4190">
        <v>265.8</v>
      </c>
      <c r="J45" s="4190">
        <v>20</v>
      </c>
      <c r="K45" s="4190">
        <v>54.4</v>
      </c>
      <c r="L45" s="4190">
        <v>213.6</v>
      </c>
      <c r="M45" s="1345">
        <f t="shared" si="0"/>
        <v>2218.3000000000002</v>
      </c>
      <c r="N45" s="1757"/>
      <c r="O45" s="1757">
        <f t="shared" si="1"/>
        <v>1992</v>
      </c>
      <c r="P45" s="1261"/>
    </row>
    <row r="46" spans="2:16" s="1793" customFormat="1" ht="6" customHeight="1">
      <c r="B46" s="4260"/>
      <c r="C46" s="4195"/>
      <c r="D46" s="4195"/>
      <c r="E46" s="4195"/>
      <c r="F46" s="4195"/>
      <c r="G46" s="4195"/>
      <c r="H46" s="4195"/>
      <c r="I46" s="4195"/>
      <c r="J46" s="4195"/>
      <c r="K46" s="4195"/>
      <c r="L46" s="4195"/>
      <c r="M46" s="1346"/>
      <c r="N46" s="1660"/>
      <c r="O46" s="1660"/>
      <c r="P46" s="1644"/>
    </row>
    <row r="47" spans="2:16" s="1174" customFormat="1" ht="28.35" customHeight="1">
      <c r="B47" s="4259"/>
      <c r="C47" s="4259"/>
      <c r="D47" s="4259"/>
      <c r="E47" s="4259"/>
      <c r="F47" s="4259"/>
      <c r="G47" s="4259"/>
      <c r="H47" s="4259"/>
      <c r="I47" s="4259"/>
      <c r="J47" s="4259"/>
      <c r="K47" s="4259"/>
      <c r="L47" s="4259"/>
      <c r="M47" s="2600"/>
      <c r="N47" s="2601"/>
      <c r="O47" s="2601"/>
      <c r="P47" s="2602"/>
    </row>
    <row r="48" spans="2:16" s="1174" customFormat="1" ht="28.35" customHeight="1">
      <c r="B48" s="4259"/>
      <c r="C48" s="4259"/>
      <c r="D48" s="4259"/>
      <c r="E48" s="4259"/>
      <c r="F48" s="4259"/>
      <c r="G48" s="4259"/>
      <c r="H48" s="4259"/>
      <c r="I48" s="4259"/>
      <c r="J48" s="4259"/>
      <c r="K48" s="4259"/>
      <c r="L48" s="4259"/>
      <c r="M48" s="2600"/>
      <c r="N48" s="2601"/>
      <c r="O48" s="2601"/>
      <c r="P48" s="2602"/>
    </row>
    <row r="49" spans="2:27" s="1174" customFormat="1" ht="28.35" customHeight="1">
      <c r="B49" s="4259"/>
      <c r="C49" s="4259"/>
      <c r="D49" s="4259"/>
      <c r="E49" s="4259"/>
      <c r="F49" s="4259"/>
      <c r="G49" s="4259"/>
      <c r="H49" s="4259"/>
      <c r="I49" s="4259"/>
      <c r="J49" s="4259"/>
      <c r="K49" s="4259"/>
      <c r="L49" s="4259"/>
      <c r="M49" s="2600"/>
      <c r="N49" s="2601"/>
      <c r="O49" s="2601"/>
      <c r="P49" s="2602"/>
    </row>
    <row r="50" spans="2:27" ht="28.35" customHeight="1">
      <c r="B50" s="4816" t="s">
        <v>696</v>
      </c>
      <c r="C50" s="4816"/>
      <c r="D50" s="4816"/>
      <c r="E50" s="4816"/>
      <c r="F50" s="4816"/>
      <c r="G50" s="4816"/>
      <c r="H50" s="4816"/>
      <c r="I50" s="4816"/>
      <c r="J50" s="4816"/>
      <c r="K50" s="4816"/>
      <c r="L50" s="4816"/>
      <c r="M50" s="4816"/>
      <c r="N50" s="4816"/>
      <c r="O50" s="4816"/>
      <c r="P50" s="4816"/>
      <c r="R50" s="1793"/>
      <c r="S50" s="1793"/>
      <c r="T50" s="1793"/>
      <c r="U50" s="1793"/>
      <c r="V50" s="1793"/>
      <c r="W50" s="1793"/>
    </row>
    <row r="51" spans="2:27" ht="28.35" customHeight="1">
      <c r="B51" s="4713" t="s">
        <v>697</v>
      </c>
      <c r="C51" s="4713"/>
      <c r="D51" s="4713"/>
      <c r="E51" s="4713"/>
      <c r="F51" s="4713"/>
      <c r="G51" s="4713"/>
      <c r="H51" s="4713"/>
      <c r="I51" s="4713"/>
      <c r="J51" s="4713"/>
      <c r="K51" s="4713"/>
      <c r="L51" s="4713"/>
      <c r="M51" s="4713"/>
      <c r="N51" s="4713"/>
      <c r="O51" s="4713"/>
      <c r="P51" s="4713"/>
      <c r="R51" s="1793"/>
      <c r="S51" s="1793"/>
      <c r="T51" s="1793"/>
      <c r="U51" s="1793"/>
      <c r="V51" s="1793"/>
      <c r="W51" s="1793"/>
    </row>
    <row r="52" spans="2:27" s="2264" customFormat="1" ht="17.100000000000001" customHeight="1">
      <c r="B52" s="1315" t="s">
        <v>90</v>
      </c>
      <c r="C52" s="1850"/>
      <c r="D52" s="1850"/>
      <c r="E52" s="1850"/>
      <c r="F52" s="1851"/>
      <c r="G52" s="1852"/>
      <c r="H52" s="1318"/>
      <c r="I52" s="1318"/>
      <c r="J52" s="1853"/>
      <c r="K52" s="1854"/>
      <c r="L52" s="1855"/>
      <c r="M52" s="1855"/>
      <c r="N52" s="4653" t="s">
        <v>91</v>
      </c>
      <c r="O52" s="4653"/>
      <c r="P52" s="4653"/>
      <c r="R52" s="2588"/>
      <c r="S52" s="2588"/>
      <c r="T52" s="2588"/>
      <c r="U52" s="2588"/>
      <c r="V52" s="2588"/>
      <c r="W52" s="2588"/>
    </row>
    <row r="53" spans="2:27" ht="4.3499999999999996" customHeight="1">
      <c r="B53" s="2044"/>
      <c r="C53" s="2044"/>
      <c r="D53" s="2044"/>
      <c r="E53" s="2044"/>
      <c r="F53" s="2044"/>
      <c r="G53" s="2044"/>
      <c r="H53" s="2043"/>
      <c r="I53" s="2043"/>
      <c r="J53" s="2043"/>
      <c r="K53" s="2043"/>
      <c r="L53" s="2043"/>
      <c r="M53" s="1161"/>
      <c r="N53" s="2281"/>
      <c r="O53" s="2312"/>
      <c r="P53" s="2104"/>
    </row>
    <row r="54" spans="2:27" ht="3" customHeight="1">
      <c r="B54" s="2603"/>
      <c r="C54" s="2604"/>
      <c r="D54" s="2604"/>
      <c r="E54" s="2605"/>
      <c r="F54" s="2606"/>
      <c r="G54" s="2606"/>
      <c r="H54" s="2606"/>
      <c r="I54" s="2607"/>
      <c r="J54" s="2608"/>
      <c r="K54" s="2606"/>
      <c r="L54" s="2606"/>
      <c r="M54" s="2609" t="s">
        <v>8</v>
      </c>
      <c r="N54" s="2604"/>
      <c r="O54" s="2604"/>
      <c r="P54" s="2592"/>
      <c r="Q54" s="2091"/>
      <c r="R54" s="2091"/>
      <c r="S54" s="2091"/>
      <c r="T54" s="2091"/>
      <c r="U54" s="2091"/>
      <c r="V54" s="2091"/>
      <c r="W54" s="1807"/>
      <c r="X54" s="2091"/>
      <c r="Y54" s="2091"/>
      <c r="Z54" s="2091"/>
      <c r="AA54" s="1793"/>
    </row>
    <row r="55" spans="2:27" ht="20.100000000000001" customHeight="1">
      <c r="B55" s="2610"/>
      <c r="C55" s="1774" t="s">
        <v>8</v>
      </c>
      <c r="D55" s="1284" t="s">
        <v>663</v>
      </c>
      <c r="E55" s="1239"/>
      <c r="F55" s="4229" t="s">
        <v>659</v>
      </c>
      <c r="G55" s="4229" t="s">
        <v>8</v>
      </c>
      <c r="H55" s="4229" t="s">
        <v>8</v>
      </c>
      <c r="I55" s="4229" t="s">
        <v>8</v>
      </c>
      <c r="J55" s="4228" t="s">
        <v>8</v>
      </c>
      <c r="K55" s="4229"/>
      <c r="L55" s="4229"/>
      <c r="M55" s="2522"/>
      <c r="N55" s="1284"/>
      <c r="O55" s="1240"/>
      <c r="P55" s="4199"/>
      <c r="Q55" s="1793"/>
      <c r="R55" s="1793"/>
      <c r="S55" s="1793"/>
      <c r="T55" s="1793"/>
      <c r="U55" s="1793"/>
      <c r="V55" s="1793"/>
      <c r="W55" s="2091"/>
      <c r="X55" s="1793"/>
      <c r="Y55" s="1793"/>
      <c r="Z55" s="1793"/>
      <c r="AA55" s="1793"/>
    </row>
    <row r="56" spans="2:27" ht="20.100000000000001" customHeight="1">
      <c r="B56" s="2610"/>
      <c r="C56" s="1774" t="s">
        <v>663</v>
      </c>
      <c r="D56" s="1284" t="s">
        <v>698</v>
      </c>
      <c r="E56" s="1239"/>
      <c r="F56" s="4229" t="s">
        <v>662</v>
      </c>
      <c r="G56" s="4229" t="s">
        <v>663</v>
      </c>
      <c r="H56" s="4229" t="s">
        <v>8</v>
      </c>
      <c r="I56" s="4229" t="s">
        <v>664</v>
      </c>
      <c r="J56" s="4228" t="s">
        <v>8</v>
      </c>
      <c r="K56" s="4229" t="s">
        <v>8</v>
      </c>
      <c r="L56" s="4229" t="s">
        <v>8</v>
      </c>
      <c r="M56" s="2611"/>
      <c r="N56" s="4197"/>
      <c r="O56" s="4198" t="s">
        <v>107</v>
      </c>
      <c r="P56" s="4199"/>
    </row>
    <row r="57" spans="2:27">
      <c r="B57" s="2612" t="s">
        <v>665</v>
      </c>
      <c r="C57" s="1774" t="s">
        <v>279</v>
      </c>
      <c r="D57" s="1284" t="s">
        <v>218</v>
      </c>
      <c r="E57" s="1239"/>
      <c r="F57" s="4229" t="s">
        <v>667</v>
      </c>
      <c r="G57" s="4229" t="s">
        <v>668</v>
      </c>
      <c r="H57" s="4229" t="s">
        <v>669</v>
      </c>
      <c r="I57" s="4229" t="s">
        <v>670</v>
      </c>
      <c r="J57" s="4228" t="s">
        <v>671</v>
      </c>
      <c r="K57" s="4229" t="s">
        <v>699</v>
      </c>
      <c r="L57" s="4229" t="s">
        <v>673</v>
      </c>
      <c r="M57" s="1249" t="s">
        <v>170</v>
      </c>
      <c r="N57" s="4745" t="s">
        <v>116</v>
      </c>
      <c r="O57" s="4745"/>
      <c r="P57" s="4746"/>
    </row>
    <row r="58" spans="2:27" s="2613" customFormat="1" ht="20.100000000000001" customHeight="1">
      <c r="B58" s="2612"/>
      <c r="C58" s="1774"/>
      <c r="D58" s="1284"/>
      <c r="E58" s="1239"/>
      <c r="F58" s="4229" t="s">
        <v>675</v>
      </c>
      <c r="G58" s="4229"/>
      <c r="H58" s="4229"/>
      <c r="I58" s="4229" t="s">
        <v>8</v>
      </c>
      <c r="J58" s="4228"/>
      <c r="K58" s="4229"/>
      <c r="L58" s="4229"/>
      <c r="M58" s="1249"/>
      <c r="N58" s="4745"/>
      <c r="O58" s="4745"/>
      <c r="P58" s="4746"/>
    </row>
    <row r="59" spans="2:27" s="2613" customFormat="1" ht="20.100000000000001" customHeight="1">
      <c r="B59" s="2612"/>
      <c r="C59" s="1774"/>
      <c r="D59" s="2614"/>
      <c r="E59" s="2615"/>
      <c r="F59" s="4229" t="s">
        <v>678</v>
      </c>
      <c r="G59" s="4229"/>
      <c r="H59" s="4229"/>
      <c r="I59" s="4229" t="s">
        <v>401</v>
      </c>
      <c r="J59" s="4228"/>
      <c r="K59" s="4229"/>
      <c r="L59" s="4229"/>
      <c r="M59" s="2522"/>
      <c r="N59" s="1284"/>
      <c r="O59" s="1240"/>
      <c r="P59" s="2273"/>
    </row>
    <row r="60" spans="2:27" s="2613" customFormat="1" ht="20.100000000000001" customHeight="1">
      <c r="B60" s="2612"/>
      <c r="C60" s="1774"/>
      <c r="D60" s="1284" t="s">
        <v>700</v>
      </c>
      <c r="E60" s="1239"/>
      <c r="F60" s="4229" t="s">
        <v>127</v>
      </c>
      <c r="G60" s="4229" t="s">
        <v>701</v>
      </c>
      <c r="H60" s="4229"/>
      <c r="I60" s="4229" t="s">
        <v>680</v>
      </c>
      <c r="J60" s="4228"/>
      <c r="K60" s="4229"/>
      <c r="L60" s="4229"/>
      <c r="M60" s="2522"/>
      <c r="N60" s="4745"/>
      <c r="O60" s="4745"/>
      <c r="P60" s="4746"/>
    </row>
    <row r="61" spans="2:27" s="2613" customFormat="1" ht="20.100000000000001" customHeight="1">
      <c r="B61" s="2612"/>
      <c r="C61" s="1774" t="s">
        <v>180</v>
      </c>
      <c r="D61" s="1284" t="s">
        <v>127</v>
      </c>
      <c r="E61" s="1239"/>
      <c r="F61" s="4229" t="s">
        <v>683</v>
      </c>
      <c r="G61" s="4229" t="s">
        <v>702</v>
      </c>
      <c r="H61" s="4229"/>
      <c r="I61" s="4229" t="s">
        <v>127</v>
      </c>
      <c r="J61" s="4228"/>
      <c r="K61" s="4229" t="s">
        <v>8</v>
      </c>
      <c r="L61" s="4229" t="s">
        <v>686</v>
      </c>
      <c r="M61" s="2616"/>
      <c r="N61" s="4745" t="s">
        <v>136</v>
      </c>
      <c r="O61" s="4745"/>
      <c r="P61" s="4746"/>
    </row>
    <row r="62" spans="2:27" s="2613" customFormat="1" ht="20.100000000000001" customHeight="1">
      <c r="B62" s="2617" t="s">
        <v>119</v>
      </c>
      <c r="C62" s="2320" t="s">
        <v>703</v>
      </c>
      <c r="D62" s="1285" t="s">
        <v>704</v>
      </c>
      <c r="E62" s="1289"/>
      <c r="F62" s="4238" t="s">
        <v>689</v>
      </c>
      <c r="G62" s="4238" t="s">
        <v>703</v>
      </c>
      <c r="H62" s="4238" t="s">
        <v>705</v>
      </c>
      <c r="I62" s="4238" t="s">
        <v>692</v>
      </c>
      <c r="J62" s="2203" t="s">
        <v>693</v>
      </c>
      <c r="K62" s="4238" t="s">
        <v>694</v>
      </c>
      <c r="L62" s="4238" t="s">
        <v>695</v>
      </c>
      <c r="M62" s="2533" t="s">
        <v>187</v>
      </c>
      <c r="N62" s="4611" t="s">
        <v>144</v>
      </c>
      <c r="O62" s="4612"/>
      <c r="P62" s="4759"/>
    </row>
    <row r="63" spans="2:27" s="1174" customFormat="1" ht="49.5" customHeight="1">
      <c r="B63" s="1430">
        <v>884</v>
      </c>
      <c r="C63" s="2015">
        <v>174.8</v>
      </c>
      <c r="D63" s="4725">
        <v>43.6</v>
      </c>
      <c r="E63" s="4725"/>
      <c r="F63" s="4190">
        <v>32.799999999999997</v>
      </c>
      <c r="G63" s="4190">
        <v>65</v>
      </c>
      <c r="H63" s="4190">
        <v>458.1</v>
      </c>
      <c r="I63" s="4190">
        <v>631.79999999999995</v>
      </c>
      <c r="J63" s="4190">
        <v>329.6</v>
      </c>
      <c r="K63" s="4190">
        <v>56.2</v>
      </c>
      <c r="L63" s="4190">
        <v>65.400000000000006</v>
      </c>
      <c r="M63" s="1345">
        <f t="shared" ref="M63:M82" si="2">SUM(L63+K63+J63+I63+H63+G63+F63+D63+C63+B63)</f>
        <v>2741.2999999999997</v>
      </c>
      <c r="N63" s="1555"/>
      <c r="O63" s="1555" t="s">
        <v>425</v>
      </c>
      <c r="P63" s="1261"/>
    </row>
    <row r="64" spans="2:27" ht="49.5" customHeight="1">
      <c r="B64" s="1419">
        <v>653.5</v>
      </c>
      <c r="C64" s="1431">
        <v>175.3</v>
      </c>
      <c r="D64" s="4726">
        <v>150.5</v>
      </c>
      <c r="E64" s="4726"/>
      <c r="F64" s="1432">
        <v>38.1</v>
      </c>
      <c r="G64" s="1432">
        <v>198.3</v>
      </c>
      <c r="H64" s="1432">
        <v>687</v>
      </c>
      <c r="I64" s="1432">
        <v>798.6</v>
      </c>
      <c r="J64" s="1432">
        <v>419.9</v>
      </c>
      <c r="K64" s="1432">
        <v>51.7</v>
      </c>
      <c r="L64" s="1432">
        <v>75.5</v>
      </c>
      <c r="M64" s="1343">
        <f t="shared" si="2"/>
        <v>3248.4</v>
      </c>
      <c r="N64" s="1418"/>
      <c r="O64" s="1418">
        <v>1994</v>
      </c>
      <c r="P64" s="1258"/>
    </row>
    <row r="65" spans="2:22" s="1174" customFormat="1" ht="49.5" customHeight="1">
      <c r="B65" s="1430">
        <v>752.6</v>
      </c>
      <c r="C65" s="2015">
        <v>159.5</v>
      </c>
      <c r="D65" s="4725">
        <v>199.8</v>
      </c>
      <c r="E65" s="4725"/>
      <c r="F65" s="4190">
        <v>46.4</v>
      </c>
      <c r="G65" s="4190">
        <v>195.6</v>
      </c>
      <c r="H65" s="4190">
        <v>757.4</v>
      </c>
      <c r="I65" s="4190">
        <v>970.4</v>
      </c>
      <c r="J65" s="4190">
        <v>494.8</v>
      </c>
      <c r="K65" s="4190">
        <v>53.5</v>
      </c>
      <c r="L65" s="4190">
        <v>75.7</v>
      </c>
      <c r="M65" s="1345">
        <f t="shared" si="2"/>
        <v>3705.7000000000003</v>
      </c>
      <c r="N65" s="1555"/>
      <c r="O65" s="1555">
        <v>1995</v>
      </c>
      <c r="P65" s="1261"/>
      <c r="Q65" s="1963"/>
      <c r="R65" s="1963"/>
      <c r="S65" s="1963"/>
      <c r="T65" s="1963"/>
    </row>
    <row r="66" spans="2:22" ht="49.5" customHeight="1">
      <c r="B66" s="1419">
        <v>792</v>
      </c>
      <c r="C66" s="1431">
        <v>156.4</v>
      </c>
      <c r="D66" s="4726">
        <v>214.4</v>
      </c>
      <c r="E66" s="4726"/>
      <c r="F66" s="1432">
        <v>53.6</v>
      </c>
      <c r="G66" s="1432">
        <v>200.3</v>
      </c>
      <c r="H66" s="1432">
        <v>777.8</v>
      </c>
      <c r="I66" s="1432">
        <v>1035.7</v>
      </c>
      <c r="J66" s="1432">
        <v>505.9</v>
      </c>
      <c r="K66" s="1432">
        <v>104.7</v>
      </c>
      <c r="L66" s="1432">
        <v>79.5</v>
      </c>
      <c r="M66" s="1343">
        <f t="shared" si="2"/>
        <v>3920.3</v>
      </c>
      <c r="N66" s="1418"/>
      <c r="O66" s="1418">
        <v>1996</v>
      </c>
      <c r="P66" s="1258"/>
      <c r="Q66" s="1843"/>
      <c r="R66" s="1843"/>
      <c r="S66" s="1843"/>
      <c r="T66" s="1843"/>
    </row>
    <row r="67" spans="2:22" s="1174" customFormat="1" ht="49.5" customHeight="1">
      <c r="B67" s="1430">
        <v>794.2</v>
      </c>
      <c r="C67" s="2015">
        <v>154.1</v>
      </c>
      <c r="D67" s="4725">
        <v>220.2</v>
      </c>
      <c r="E67" s="4725"/>
      <c r="F67" s="4190">
        <v>70</v>
      </c>
      <c r="G67" s="4190">
        <v>217.7</v>
      </c>
      <c r="H67" s="4190">
        <v>775.2</v>
      </c>
      <c r="I67" s="4190">
        <v>1064.5</v>
      </c>
      <c r="J67" s="4190">
        <v>503.9</v>
      </c>
      <c r="K67" s="4190">
        <v>86.6</v>
      </c>
      <c r="L67" s="4190">
        <v>93.3</v>
      </c>
      <c r="M67" s="1345">
        <f t="shared" si="2"/>
        <v>3979.7</v>
      </c>
      <c r="N67" s="1555"/>
      <c r="O67" s="1555">
        <v>1997</v>
      </c>
      <c r="P67" s="1261"/>
      <c r="Q67" s="1963"/>
      <c r="R67" s="1963"/>
      <c r="S67" s="1963"/>
      <c r="T67" s="1963"/>
    </row>
    <row r="68" spans="2:22" ht="49.5" customHeight="1">
      <c r="B68" s="1419">
        <v>855.6</v>
      </c>
      <c r="C68" s="1431">
        <v>161.19999999999999</v>
      </c>
      <c r="D68" s="4726">
        <v>223</v>
      </c>
      <c r="E68" s="4726"/>
      <c r="F68" s="1432">
        <v>108.7</v>
      </c>
      <c r="G68" s="1432">
        <v>223.6</v>
      </c>
      <c r="H68" s="1432">
        <v>791.4</v>
      </c>
      <c r="I68" s="1432">
        <v>1104.7</v>
      </c>
      <c r="J68" s="1432">
        <v>615.9</v>
      </c>
      <c r="K68" s="1432">
        <v>85.9</v>
      </c>
      <c r="L68" s="1432">
        <v>115.3</v>
      </c>
      <c r="M68" s="1343">
        <f t="shared" si="2"/>
        <v>4285.2999999999993</v>
      </c>
      <c r="N68" s="1418"/>
      <c r="O68" s="1418" t="s">
        <v>426</v>
      </c>
      <c r="P68" s="1258"/>
      <c r="Q68" s="1843"/>
      <c r="R68" s="1843"/>
      <c r="S68" s="1843"/>
      <c r="T68" s="1843"/>
      <c r="V68" s="1192" t="s">
        <v>706</v>
      </c>
    </row>
    <row r="69" spans="2:22" s="1174" customFormat="1" ht="49.5" customHeight="1">
      <c r="B69" s="1430">
        <v>953.3</v>
      </c>
      <c r="C69" s="2015">
        <v>174</v>
      </c>
      <c r="D69" s="4725">
        <v>232</v>
      </c>
      <c r="E69" s="4725"/>
      <c r="F69" s="4190">
        <v>140.5</v>
      </c>
      <c r="G69" s="4190">
        <v>197</v>
      </c>
      <c r="H69" s="4190">
        <v>758.7</v>
      </c>
      <c r="I69" s="4190">
        <v>1127</v>
      </c>
      <c r="J69" s="4190">
        <v>663.3</v>
      </c>
      <c r="K69" s="4190">
        <v>102.9</v>
      </c>
      <c r="L69" s="4190">
        <v>117.3</v>
      </c>
      <c r="M69" s="1345">
        <f t="shared" si="2"/>
        <v>4466</v>
      </c>
      <c r="N69" s="1555"/>
      <c r="O69" s="1555">
        <v>1999</v>
      </c>
      <c r="P69" s="1261"/>
      <c r="Q69" s="1963"/>
      <c r="R69" s="1963"/>
      <c r="S69" s="1963"/>
      <c r="T69" s="1963"/>
    </row>
    <row r="70" spans="2:22" ht="49.5" customHeight="1">
      <c r="B70" s="1419">
        <v>1094.8</v>
      </c>
      <c r="C70" s="1431">
        <v>152.80000000000001</v>
      </c>
      <c r="D70" s="4726">
        <v>240</v>
      </c>
      <c r="E70" s="4726"/>
      <c r="F70" s="1432">
        <v>155.19999999999999</v>
      </c>
      <c r="G70" s="1432">
        <v>134.19999999999999</v>
      </c>
      <c r="H70" s="1432">
        <v>744.9</v>
      </c>
      <c r="I70" s="1432">
        <v>1112.5</v>
      </c>
      <c r="J70" s="1432">
        <v>683.4</v>
      </c>
      <c r="K70" s="1432">
        <v>100.7</v>
      </c>
      <c r="L70" s="1432">
        <v>128</v>
      </c>
      <c r="M70" s="1343">
        <f t="shared" si="2"/>
        <v>4546.5</v>
      </c>
      <c r="N70" s="1418"/>
      <c r="O70" s="1418">
        <v>2000</v>
      </c>
      <c r="P70" s="1258"/>
      <c r="Q70" s="1843"/>
      <c r="R70" s="1843"/>
      <c r="S70" s="1843"/>
      <c r="T70" s="1843"/>
    </row>
    <row r="71" spans="2:22" s="1174" customFormat="1" ht="49.5" customHeight="1">
      <c r="B71" s="1430">
        <v>1321.7</v>
      </c>
      <c r="C71" s="2015">
        <v>150.9</v>
      </c>
      <c r="D71" s="4725">
        <v>326.39999999999998</v>
      </c>
      <c r="E71" s="4725"/>
      <c r="F71" s="4190">
        <v>171</v>
      </c>
      <c r="G71" s="4190">
        <v>132.1</v>
      </c>
      <c r="H71" s="4190">
        <v>728.9</v>
      </c>
      <c r="I71" s="4190">
        <v>1206.0999999999999</v>
      </c>
      <c r="J71" s="4190">
        <v>728.6</v>
      </c>
      <c r="K71" s="4190">
        <v>77.7</v>
      </c>
      <c r="L71" s="4190">
        <v>105.5</v>
      </c>
      <c r="M71" s="1345">
        <f t="shared" si="2"/>
        <v>4948.8999999999996</v>
      </c>
      <c r="N71" s="1555"/>
      <c r="O71" s="1555">
        <v>2001</v>
      </c>
      <c r="P71" s="1261"/>
      <c r="Q71" s="1963"/>
      <c r="R71" s="1963"/>
      <c r="S71" s="1963"/>
      <c r="T71" s="1963"/>
    </row>
    <row r="72" spans="2:22" ht="49.5" customHeight="1">
      <c r="B72" s="1419">
        <v>1299.7</v>
      </c>
      <c r="C72" s="1431">
        <v>139.69999999999999</v>
      </c>
      <c r="D72" s="4726">
        <v>349.7</v>
      </c>
      <c r="E72" s="4726"/>
      <c r="F72" s="1432">
        <v>173.5</v>
      </c>
      <c r="G72" s="1432">
        <v>163.6</v>
      </c>
      <c r="H72" s="1432">
        <v>764.9</v>
      </c>
      <c r="I72" s="1432">
        <v>1250.9000000000001</v>
      </c>
      <c r="J72" s="1432">
        <v>789.8</v>
      </c>
      <c r="K72" s="1432">
        <v>95.3</v>
      </c>
      <c r="L72" s="1432">
        <v>102.9</v>
      </c>
      <c r="M72" s="1343">
        <f t="shared" si="2"/>
        <v>5130</v>
      </c>
      <c r="N72" s="1418"/>
      <c r="O72" s="1418">
        <v>2002</v>
      </c>
      <c r="P72" s="1258"/>
      <c r="Q72" s="1843"/>
      <c r="R72" s="1843"/>
      <c r="S72" s="1843"/>
      <c r="T72" s="1843"/>
    </row>
    <row r="73" spans="2:22" s="1174" customFormat="1" ht="49.5" customHeight="1">
      <c r="B73" s="1430">
        <v>1330.9</v>
      </c>
      <c r="C73" s="2015">
        <v>133.1</v>
      </c>
      <c r="D73" s="4725">
        <v>349</v>
      </c>
      <c r="E73" s="4725"/>
      <c r="F73" s="4190">
        <v>172.8</v>
      </c>
      <c r="G73" s="4190">
        <v>166.6</v>
      </c>
      <c r="H73" s="4190">
        <v>804.5</v>
      </c>
      <c r="I73" s="4190">
        <v>1327.3</v>
      </c>
      <c r="J73" s="4190">
        <v>801.4</v>
      </c>
      <c r="K73" s="4190">
        <v>78</v>
      </c>
      <c r="L73" s="4190">
        <v>98.8</v>
      </c>
      <c r="M73" s="1345">
        <f t="shared" si="2"/>
        <v>5262.4</v>
      </c>
      <c r="N73" s="1555"/>
      <c r="O73" s="1555">
        <v>2003</v>
      </c>
      <c r="P73" s="1261"/>
      <c r="Q73" s="1963"/>
      <c r="R73" s="1963"/>
      <c r="S73" s="1963"/>
      <c r="T73" s="1963"/>
    </row>
    <row r="74" spans="2:22" s="1174" customFormat="1" ht="49.5" customHeight="1">
      <c r="B74" s="1419">
        <v>1756</v>
      </c>
      <c r="C74" s="1431">
        <v>97.2</v>
      </c>
      <c r="D74" s="4726">
        <v>494.3</v>
      </c>
      <c r="E74" s="4726"/>
      <c r="F74" s="1432">
        <v>154.9</v>
      </c>
      <c r="G74" s="1432">
        <v>174.1</v>
      </c>
      <c r="H74" s="1432">
        <v>953.2</v>
      </c>
      <c r="I74" s="1432">
        <v>1472.9</v>
      </c>
      <c r="J74" s="1432">
        <v>895.3</v>
      </c>
      <c r="K74" s="1432">
        <v>77.7</v>
      </c>
      <c r="L74" s="1432">
        <v>113.6</v>
      </c>
      <c r="M74" s="1343">
        <f>SUM(L74+K74+J74+I74+H74+G74+F74+D74+C74+B74)</f>
        <v>6189.2</v>
      </c>
      <c r="N74" s="1418"/>
      <c r="O74" s="1418">
        <v>2004</v>
      </c>
      <c r="P74" s="1258"/>
      <c r="Q74" s="1963"/>
      <c r="R74" s="1963"/>
      <c r="S74" s="1963"/>
      <c r="T74" s="1963"/>
    </row>
    <row r="75" spans="2:22" s="1174" customFormat="1" ht="49.5" customHeight="1">
      <c r="B75" s="1430">
        <v>2717.2</v>
      </c>
      <c r="C75" s="2015">
        <v>176.1</v>
      </c>
      <c r="D75" s="4725">
        <v>554.1</v>
      </c>
      <c r="E75" s="4725"/>
      <c r="F75" s="4190">
        <v>181.2</v>
      </c>
      <c r="G75" s="4190">
        <v>219.6</v>
      </c>
      <c r="H75" s="4190">
        <v>1162.0999999999999</v>
      </c>
      <c r="I75" s="4190">
        <v>1585</v>
      </c>
      <c r="J75" s="4190">
        <v>981.6</v>
      </c>
      <c r="K75" s="4190">
        <v>56.5</v>
      </c>
      <c r="L75" s="4190">
        <v>110.9</v>
      </c>
      <c r="M75" s="1345">
        <f t="shared" si="2"/>
        <v>7744.3</v>
      </c>
      <c r="N75" s="1555"/>
      <c r="O75" s="1555">
        <v>2005</v>
      </c>
      <c r="P75" s="1261"/>
      <c r="Q75" s="1963"/>
      <c r="R75" s="1963"/>
      <c r="S75" s="1963"/>
      <c r="T75" s="1963"/>
    </row>
    <row r="76" spans="2:22" s="1174" customFormat="1" ht="49.5" customHeight="1">
      <c r="B76" s="1419">
        <v>3642.2</v>
      </c>
      <c r="C76" s="1431">
        <v>242.1</v>
      </c>
      <c r="D76" s="4726">
        <v>637.29999999999995</v>
      </c>
      <c r="E76" s="4726"/>
      <c r="F76" s="1432">
        <v>195.1</v>
      </c>
      <c r="G76" s="1432">
        <v>291</v>
      </c>
      <c r="H76" s="1432">
        <v>1560.8</v>
      </c>
      <c r="I76" s="1432">
        <v>1916.6</v>
      </c>
      <c r="J76" s="1432">
        <v>1093.0999999999999</v>
      </c>
      <c r="K76" s="1432">
        <v>42.8</v>
      </c>
      <c r="L76" s="1432">
        <v>140.9</v>
      </c>
      <c r="M76" s="1343">
        <f t="shared" si="2"/>
        <v>9761.9000000000015</v>
      </c>
      <c r="N76" s="1418"/>
      <c r="O76" s="1418">
        <v>2006</v>
      </c>
      <c r="P76" s="1258"/>
      <c r="Q76" s="1963"/>
      <c r="R76" s="1963"/>
      <c r="S76" s="1963"/>
      <c r="T76" s="1963"/>
    </row>
    <row r="77" spans="2:22" s="1174" customFormat="1" ht="49.5" customHeight="1">
      <c r="B77" s="1430">
        <v>3616.9</v>
      </c>
      <c r="C77" s="2015">
        <v>390.1</v>
      </c>
      <c r="D77" s="4725">
        <v>733.7</v>
      </c>
      <c r="E77" s="4725"/>
      <c r="F77" s="4190">
        <v>255.8</v>
      </c>
      <c r="G77" s="4190">
        <v>352.3</v>
      </c>
      <c r="H77" s="4190">
        <v>1942.1</v>
      </c>
      <c r="I77" s="4190">
        <v>2434.6999999999998</v>
      </c>
      <c r="J77" s="4190">
        <v>1348.1</v>
      </c>
      <c r="K77" s="4190">
        <v>65.7</v>
      </c>
      <c r="L77" s="4190">
        <v>156.19999999999999</v>
      </c>
      <c r="M77" s="1345">
        <f t="shared" si="2"/>
        <v>11295.6</v>
      </c>
      <c r="N77" s="1555"/>
      <c r="O77" s="1555">
        <v>2007</v>
      </c>
      <c r="P77" s="1261"/>
      <c r="Q77" s="1963"/>
      <c r="R77" s="1963"/>
      <c r="S77" s="1963"/>
      <c r="T77" s="1963"/>
    </row>
    <row r="78" spans="2:22" s="1793" customFormat="1" ht="49.5" customHeight="1">
      <c r="B78" s="1419">
        <v>3952.7</v>
      </c>
      <c r="C78" s="1431">
        <v>437.7</v>
      </c>
      <c r="D78" s="4726">
        <v>870.3</v>
      </c>
      <c r="E78" s="4726"/>
      <c r="F78" s="1432">
        <v>366.6</v>
      </c>
      <c r="G78" s="1432">
        <v>370.5</v>
      </c>
      <c r="H78" s="1432">
        <v>2293.1</v>
      </c>
      <c r="I78" s="1432">
        <v>2897.5</v>
      </c>
      <c r="J78" s="1432">
        <v>1597.6</v>
      </c>
      <c r="K78" s="1432">
        <v>48.3</v>
      </c>
      <c r="L78" s="1432">
        <v>210</v>
      </c>
      <c r="M78" s="1343">
        <f t="shared" si="2"/>
        <v>13044.3</v>
      </c>
      <c r="N78" s="1418"/>
      <c r="O78" s="1418">
        <v>2008</v>
      </c>
      <c r="P78" s="1258"/>
      <c r="Q78" s="2618"/>
      <c r="R78" s="2618"/>
      <c r="S78" s="2618"/>
      <c r="T78" s="2618"/>
    </row>
    <row r="79" spans="2:22" s="1801" customFormat="1" ht="49.5" customHeight="1">
      <c r="B79" s="1430">
        <v>3392.1</v>
      </c>
      <c r="C79" s="1168">
        <v>434.1</v>
      </c>
      <c r="D79" s="4725">
        <v>909.5</v>
      </c>
      <c r="E79" s="4725"/>
      <c r="F79" s="4184">
        <v>427.9</v>
      </c>
      <c r="G79" s="4184">
        <v>453.1</v>
      </c>
      <c r="H79" s="4184">
        <v>2582.5</v>
      </c>
      <c r="I79" s="4184">
        <v>3195.4</v>
      </c>
      <c r="J79" s="4184">
        <v>1631.2</v>
      </c>
      <c r="K79" s="4184">
        <v>60.2</v>
      </c>
      <c r="L79" s="4184">
        <v>231.2</v>
      </c>
      <c r="M79" s="1345">
        <f t="shared" si="2"/>
        <v>13317.2</v>
      </c>
      <c r="N79" s="1555"/>
      <c r="O79" s="1555">
        <v>2009</v>
      </c>
      <c r="P79" s="1261"/>
      <c r="Q79" s="1964"/>
      <c r="R79" s="1964"/>
      <c r="S79" s="1964"/>
      <c r="T79" s="1964"/>
    </row>
    <row r="80" spans="2:22" s="1801" customFormat="1" ht="49.5" customHeight="1">
      <c r="B80" s="1419">
        <v>3093.8</v>
      </c>
      <c r="C80" s="1431">
        <v>408.3</v>
      </c>
      <c r="D80" s="4726">
        <v>1050</v>
      </c>
      <c r="E80" s="4726"/>
      <c r="F80" s="1432">
        <v>457.3</v>
      </c>
      <c r="G80" s="1432">
        <v>484.1</v>
      </c>
      <c r="H80" s="1432">
        <v>3167.7</v>
      </c>
      <c r="I80" s="1432">
        <v>3594</v>
      </c>
      <c r="J80" s="1432">
        <v>1929</v>
      </c>
      <c r="K80" s="1432">
        <v>55.4</v>
      </c>
      <c r="L80" s="1432">
        <v>211.8</v>
      </c>
      <c r="M80" s="1343">
        <f t="shared" si="2"/>
        <v>14451.399999999998</v>
      </c>
      <c r="N80" s="1418"/>
      <c r="O80" s="1418">
        <v>2010</v>
      </c>
      <c r="P80" s="1258"/>
      <c r="Q80" s="1964"/>
      <c r="R80" s="1964"/>
      <c r="S80" s="1964"/>
      <c r="T80" s="1964"/>
    </row>
    <row r="81" spans="2:33" s="1801" customFormat="1" ht="49.5" customHeight="1">
      <c r="B81" s="1430">
        <v>3411.6</v>
      </c>
      <c r="C81" s="1168">
        <v>430.5</v>
      </c>
      <c r="D81" s="4725">
        <v>1135.3</v>
      </c>
      <c r="E81" s="4725"/>
      <c r="F81" s="4184">
        <v>493.7</v>
      </c>
      <c r="G81" s="4184">
        <v>531.6</v>
      </c>
      <c r="H81" s="4184">
        <v>3463.6</v>
      </c>
      <c r="I81" s="4184">
        <v>3779</v>
      </c>
      <c r="J81" s="4184">
        <v>2297.1999999999998</v>
      </c>
      <c r="K81" s="4184">
        <v>79.5</v>
      </c>
      <c r="L81" s="4184">
        <v>229.2</v>
      </c>
      <c r="M81" s="1345">
        <f t="shared" si="2"/>
        <v>15851.2</v>
      </c>
      <c r="N81" s="1555"/>
      <c r="O81" s="1555">
        <v>2011</v>
      </c>
      <c r="P81" s="1261"/>
      <c r="Q81" s="1964"/>
      <c r="R81" s="1964"/>
      <c r="S81" s="1964"/>
      <c r="T81" s="1964"/>
    </row>
    <row r="82" spans="2:33" s="1801" customFormat="1" ht="49.5" customHeight="1">
      <c r="B82" s="1419">
        <v>3830.5</v>
      </c>
      <c r="C82" s="1431">
        <v>486.1</v>
      </c>
      <c r="D82" s="4726">
        <v>2172</v>
      </c>
      <c r="E82" s="4726"/>
      <c r="F82" s="1432">
        <v>505.6</v>
      </c>
      <c r="G82" s="1432">
        <v>554.5</v>
      </c>
      <c r="H82" s="1432">
        <v>3682.6</v>
      </c>
      <c r="I82" s="1432">
        <v>3754.9</v>
      </c>
      <c r="J82" s="1432">
        <v>2515.6999999999998</v>
      </c>
      <c r="K82" s="1432">
        <v>73</v>
      </c>
      <c r="L82" s="1432">
        <v>254.9</v>
      </c>
      <c r="M82" s="1343">
        <f t="shared" si="2"/>
        <v>17829.800000000003</v>
      </c>
      <c r="N82" s="1418"/>
      <c r="O82" s="1418">
        <v>2012</v>
      </c>
      <c r="P82" s="1258"/>
      <c r="Q82" s="1964"/>
      <c r="R82" s="1964"/>
      <c r="S82" s="1964"/>
      <c r="T82" s="1964"/>
    </row>
    <row r="83" spans="2:33" s="1801" customFormat="1" ht="49.5" customHeight="1">
      <c r="B83" s="1430">
        <v>4145.1000000000004</v>
      </c>
      <c r="C83" s="1168">
        <v>508.8</v>
      </c>
      <c r="D83" s="4725">
        <v>2172.6</v>
      </c>
      <c r="E83" s="4725"/>
      <c r="F83" s="4184">
        <v>503.5</v>
      </c>
      <c r="G83" s="4184">
        <v>536.70000000000005</v>
      </c>
      <c r="H83" s="4184">
        <v>4086.4</v>
      </c>
      <c r="I83" s="4184">
        <v>3937.3</v>
      </c>
      <c r="J83" s="4184">
        <v>2649.6</v>
      </c>
      <c r="K83" s="4184">
        <v>164.1</v>
      </c>
      <c r="L83" s="4184">
        <v>235.7</v>
      </c>
      <c r="M83" s="1345">
        <f>SUM(B83:L83)-0.1</f>
        <v>18939.7</v>
      </c>
      <c r="N83" s="1555"/>
      <c r="O83" s="1555">
        <v>2013</v>
      </c>
      <c r="P83" s="1261"/>
      <c r="Q83" s="1964"/>
      <c r="R83" s="1964"/>
      <c r="S83" s="1964"/>
      <c r="T83" s="1964"/>
    </row>
    <row r="84" spans="2:33" s="1801" customFormat="1" ht="49.5" customHeight="1">
      <c r="B84" s="1419">
        <v>4493.5</v>
      </c>
      <c r="C84" s="1412">
        <v>539.5</v>
      </c>
      <c r="D84" s="4726">
        <v>2170</v>
      </c>
      <c r="E84" s="4726"/>
      <c r="F84" s="4183">
        <v>571.5</v>
      </c>
      <c r="G84" s="4183">
        <v>292.7</v>
      </c>
      <c r="H84" s="4183">
        <v>4552.8</v>
      </c>
      <c r="I84" s="4183">
        <v>3683.8</v>
      </c>
      <c r="J84" s="4183">
        <v>2531.1999999999998</v>
      </c>
      <c r="K84" s="4183">
        <v>196.1</v>
      </c>
      <c r="L84" s="4183">
        <v>243.4</v>
      </c>
      <c r="M84" s="1343">
        <f t="shared" ref="M84:M90" si="3">SUM(L84+K84+J84+I84+H84+G84+F84+D84+C84+B84)</f>
        <v>19274.5</v>
      </c>
      <c r="N84" s="1418"/>
      <c r="O84" s="1418">
        <v>2014</v>
      </c>
      <c r="P84" s="1258"/>
      <c r="Q84" s="1964"/>
      <c r="R84" s="1964"/>
      <c r="S84" s="1964"/>
      <c r="T84" s="1964"/>
    </row>
    <row r="85" spans="2:33" s="1801" customFormat="1" ht="49.5" customHeight="1">
      <c r="B85" s="1430">
        <v>5182</v>
      </c>
      <c r="C85" s="1168">
        <v>515.20000000000005</v>
      </c>
      <c r="D85" s="4725">
        <v>3232</v>
      </c>
      <c r="E85" s="4725"/>
      <c r="F85" s="4184">
        <v>593.1</v>
      </c>
      <c r="G85" s="4184">
        <v>259.8</v>
      </c>
      <c r="H85" s="4184">
        <v>4904.5</v>
      </c>
      <c r="I85" s="4184">
        <v>3883.8</v>
      </c>
      <c r="J85" s="4184">
        <v>2145.8000000000002</v>
      </c>
      <c r="K85" s="4184">
        <v>170.2</v>
      </c>
      <c r="L85" s="4184">
        <v>217.1</v>
      </c>
      <c r="M85" s="1345">
        <f t="shared" si="3"/>
        <v>21103.5</v>
      </c>
      <c r="N85" s="1555"/>
      <c r="O85" s="1555">
        <v>2015</v>
      </c>
      <c r="P85" s="1261"/>
      <c r="Q85" s="1964"/>
      <c r="R85" s="1964"/>
      <c r="S85" s="1964"/>
      <c r="T85" s="1964"/>
    </row>
    <row r="86" spans="2:33" s="1801" customFormat="1" ht="49.5" customHeight="1">
      <c r="B86" s="1419">
        <v>5379.4</v>
      </c>
      <c r="C86" s="1412">
        <v>577.20000000000005</v>
      </c>
      <c r="D86" s="4726">
        <v>3296.2</v>
      </c>
      <c r="E86" s="4726"/>
      <c r="F86" s="4183">
        <v>597.70000000000005</v>
      </c>
      <c r="G86" s="4183">
        <v>355.8</v>
      </c>
      <c r="H86" s="4183">
        <v>5827.7</v>
      </c>
      <c r="I86" s="4183">
        <v>4075.5</v>
      </c>
      <c r="J86" s="4183">
        <v>2203.4</v>
      </c>
      <c r="K86" s="4183">
        <v>288.39999999999998</v>
      </c>
      <c r="L86" s="4183">
        <v>304.5</v>
      </c>
      <c r="M86" s="1343">
        <f t="shared" si="3"/>
        <v>22905.800000000003</v>
      </c>
      <c r="N86" s="1418"/>
      <c r="O86" s="1418">
        <v>2016</v>
      </c>
      <c r="P86" s="1258"/>
      <c r="Q86" s="1964"/>
      <c r="R86" s="1964"/>
      <c r="S86" s="1964"/>
      <c r="T86" s="1964"/>
    </row>
    <row r="87" spans="2:33" s="1801" customFormat="1" ht="49.5" customHeight="1">
      <c r="B87" s="1430">
        <v>5274.5</v>
      </c>
      <c r="C87" s="1168">
        <v>632.5</v>
      </c>
      <c r="D87" s="4725">
        <v>3707.2</v>
      </c>
      <c r="E87" s="4725"/>
      <c r="F87" s="4184">
        <v>619.70000000000005</v>
      </c>
      <c r="G87" s="4184">
        <v>354.3</v>
      </c>
      <c r="H87" s="4184">
        <v>6601</v>
      </c>
      <c r="I87" s="4184">
        <v>4230.8999999999996</v>
      </c>
      <c r="J87" s="4184">
        <v>2724.2</v>
      </c>
      <c r="K87" s="4184">
        <v>255.2</v>
      </c>
      <c r="L87" s="4184">
        <v>337.3</v>
      </c>
      <c r="M87" s="1345">
        <f t="shared" si="3"/>
        <v>24736.799999999999</v>
      </c>
      <c r="N87" s="1555"/>
      <c r="O87" s="1555">
        <v>2017</v>
      </c>
      <c r="P87" s="1261"/>
      <c r="Q87" s="1964"/>
      <c r="R87" s="1964"/>
      <c r="S87" s="1964"/>
      <c r="T87" s="1964"/>
    </row>
    <row r="88" spans="2:33" s="1801" customFormat="1" ht="49.5" customHeight="1">
      <c r="B88" s="4271">
        <v>5511.5</v>
      </c>
      <c r="C88" s="4183">
        <v>768.2</v>
      </c>
      <c r="D88" s="4726">
        <v>3852.9</v>
      </c>
      <c r="E88" s="4726"/>
      <c r="F88" s="4183">
        <v>592.1</v>
      </c>
      <c r="G88" s="4183">
        <v>328.9</v>
      </c>
      <c r="H88" s="4183">
        <v>6830.9</v>
      </c>
      <c r="I88" s="4183">
        <v>4470.6000000000004</v>
      </c>
      <c r="J88" s="4183">
        <v>3064.3</v>
      </c>
      <c r="K88" s="4183">
        <v>355.7</v>
      </c>
      <c r="L88" s="4183">
        <v>336.7</v>
      </c>
      <c r="M88" s="1343">
        <f t="shared" si="3"/>
        <v>26111.800000000003</v>
      </c>
      <c r="N88" s="1418"/>
      <c r="O88" s="1418">
        <v>2018</v>
      </c>
      <c r="P88" s="1258"/>
      <c r="Q88" s="1964"/>
      <c r="R88" s="1964"/>
      <c r="S88" s="1964"/>
      <c r="T88" s="1964"/>
    </row>
    <row r="89" spans="2:33" s="1801" customFormat="1" ht="49.5" customHeight="1">
      <c r="B89" s="1430">
        <v>6004.3</v>
      </c>
      <c r="C89" s="1168">
        <v>634.79999999999995</v>
      </c>
      <c r="D89" s="4725">
        <v>4269</v>
      </c>
      <c r="E89" s="4725"/>
      <c r="F89" s="4184">
        <v>638</v>
      </c>
      <c r="G89" s="4184">
        <v>343.1</v>
      </c>
      <c r="H89" s="4184">
        <v>6975.4</v>
      </c>
      <c r="I89" s="4184">
        <v>4231.1000000000004</v>
      </c>
      <c r="J89" s="4184">
        <v>3353.6</v>
      </c>
      <c r="K89" s="4184">
        <v>296.39999999999998</v>
      </c>
      <c r="L89" s="4184">
        <v>336.5</v>
      </c>
      <c r="M89" s="1345">
        <f t="shared" si="3"/>
        <v>27082.199999999997</v>
      </c>
      <c r="N89" s="1555"/>
      <c r="O89" s="1555">
        <v>2019</v>
      </c>
      <c r="P89" s="1261"/>
      <c r="Q89" s="1964"/>
      <c r="R89" s="1964"/>
      <c r="S89" s="1964"/>
      <c r="T89" s="1964"/>
    </row>
    <row r="90" spans="2:33" s="1801" customFormat="1" ht="49.5" customHeight="1">
      <c r="B90" s="4270">
        <v>6536.7</v>
      </c>
      <c r="C90" s="4237">
        <v>655.7</v>
      </c>
      <c r="D90" s="4733">
        <v>4360.8999999999996</v>
      </c>
      <c r="E90" s="4733"/>
      <c r="F90" s="4237">
        <v>735.6</v>
      </c>
      <c r="G90" s="4237">
        <v>385.6</v>
      </c>
      <c r="H90" s="4237">
        <v>7261.5</v>
      </c>
      <c r="I90" s="4237">
        <v>4524.3</v>
      </c>
      <c r="J90" s="4237">
        <v>3525.4</v>
      </c>
      <c r="K90" s="4237">
        <v>236.6</v>
      </c>
      <c r="L90" s="4237">
        <v>416.8</v>
      </c>
      <c r="M90" s="1694">
        <f t="shared" si="3"/>
        <v>28639.1</v>
      </c>
      <c r="N90" s="4331"/>
      <c r="O90" s="4331">
        <v>2020</v>
      </c>
      <c r="P90" s="4330"/>
      <c r="Q90" s="1964"/>
      <c r="R90" s="1964"/>
      <c r="S90" s="1964"/>
      <c r="T90" s="1964"/>
    </row>
    <row r="91" spans="2:33" s="1801" customFormat="1" ht="6.95" customHeight="1">
      <c r="B91" s="2619"/>
      <c r="C91" s="2620"/>
      <c r="D91" s="2621"/>
      <c r="E91" s="2622"/>
      <c r="F91" s="2622"/>
      <c r="G91" s="2622"/>
      <c r="H91" s="2622"/>
      <c r="I91" s="2622"/>
      <c r="J91" s="2622"/>
      <c r="K91" s="2622"/>
      <c r="L91" s="2622"/>
      <c r="M91" s="2623"/>
      <c r="N91" s="2624"/>
      <c r="O91" s="2625"/>
      <c r="P91" s="2626"/>
      <c r="Q91" s="1964"/>
      <c r="R91" s="1964"/>
      <c r="S91" s="1964"/>
      <c r="T91" s="1964"/>
    </row>
    <row r="92" spans="2:33" s="2627" customFormat="1" ht="18">
      <c r="B92" s="2157" t="s">
        <v>707</v>
      </c>
      <c r="C92" s="2159"/>
      <c r="D92" s="4169"/>
      <c r="E92" s="2253"/>
      <c r="F92" s="2253"/>
      <c r="G92" s="2253"/>
      <c r="H92" s="2253"/>
      <c r="I92" s="2253"/>
      <c r="J92" s="2253"/>
      <c r="K92" s="2253"/>
      <c r="L92" s="2253"/>
      <c r="M92" s="2628"/>
      <c r="N92" s="2629"/>
      <c r="O92" s="4160" t="s">
        <v>539</v>
      </c>
      <c r="P92" s="1798"/>
      <c r="AB92" s="1398"/>
      <c r="AC92" s="1398"/>
      <c r="AD92" s="1398"/>
      <c r="AE92" s="1398"/>
      <c r="AF92" s="1398"/>
      <c r="AG92" s="1398"/>
    </row>
    <row r="93" spans="2:33" s="2630" customFormat="1" ht="18">
      <c r="B93" s="2159" t="s">
        <v>306</v>
      </c>
      <c r="C93" s="1977"/>
      <c r="D93" s="2253"/>
      <c r="E93" s="2253"/>
      <c r="F93" s="2253"/>
      <c r="G93" s="2253"/>
      <c r="H93" s="2253"/>
      <c r="I93" s="2253"/>
      <c r="J93" s="2253"/>
      <c r="K93" s="2253"/>
      <c r="L93" s="2253"/>
      <c r="M93" s="2628"/>
      <c r="N93" s="2629"/>
      <c r="O93" s="4158" t="s">
        <v>708</v>
      </c>
      <c r="P93" s="2582"/>
      <c r="AB93" s="1398"/>
      <c r="AC93" s="1398"/>
      <c r="AD93" s="1398"/>
      <c r="AE93" s="1398"/>
      <c r="AF93" s="1398"/>
    </row>
    <row r="94" spans="2:33" s="1398" customFormat="1" ht="18">
      <c r="B94" s="2157" t="s">
        <v>709</v>
      </c>
      <c r="C94" s="2159"/>
      <c r="D94" s="2159"/>
      <c r="E94" s="2172"/>
      <c r="F94" s="2172"/>
      <c r="G94" s="2172"/>
      <c r="H94" s="2172"/>
      <c r="I94" s="2172"/>
      <c r="J94" s="2172"/>
      <c r="K94" s="2172"/>
      <c r="L94" s="2172"/>
      <c r="M94" s="2628"/>
      <c r="N94" s="2088"/>
      <c r="O94" s="4261" t="s">
        <v>433</v>
      </c>
      <c r="P94" s="2076"/>
      <c r="Q94" s="2631"/>
      <c r="R94" s="2631"/>
      <c r="S94" s="2631"/>
      <c r="T94" s="2631"/>
      <c r="U94" s="2631"/>
      <c r="V94" s="2631"/>
      <c r="W94" s="2631"/>
      <c r="X94" s="2631"/>
      <c r="Y94" s="2631"/>
      <c r="Z94" s="2631"/>
      <c r="AA94" s="2631"/>
      <c r="AB94" s="2631"/>
      <c r="AC94" s="2631"/>
      <c r="AD94" s="2632"/>
    </row>
    <row r="95" spans="2:33" s="1398" customFormat="1" ht="15.75">
      <c r="J95" s="2631"/>
      <c r="M95" s="2633"/>
      <c r="N95" s="2634"/>
      <c r="O95" s="2635"/>
      <c r="P95" s="2635"/>
      <c r="Q95" s="2635"/>
    </row>
    <row r="96" spans="2:33">
      <c r="M96" s="2600"/>
      <c r="Q96" s="1793"/>
    </row>
    <row r="97" spans="17:21">
      <c r="Q97" s="1793"/>
      <c r="T97" s="1843"/>
    </row>
    <row r="98" spans="17:21">
      <c r="T98" s="1843"/>
      <c r="U98" s="1843"/>
    </row>
    <row r="99" spans="17:21">
      <c r="T99" s="1843"/>
      <c r="U99" s="1843"/>
    </row>
    <row r="100" spans="17:21">
      <c r="T100" s="1843"/>
      <c r="U100" s="1843"/>
    </row>
    <row r="101" spans="17:21">
      <c r="T101" s="1843"/>
      <c r="U101" s="1843"/>
    </row>
    <row r="102" spans="17:21">
      <c r="T102" s="1843"/>
      <c r="U102" s="1843"/>
    </row>
  </sheetData>
  <mergeCells count="43">
    <mergeCell ref="D90:E90"/>
    <mergeCell ref="B3:P3"/>
    <mergeCell ref="B4:P4"/>
    <mergeCell ref="N11:P11"/>
    <mergeCell ref="N12:P12"/>
    <mergeCell ref="N14:P14"/>
    <mergeCell ref="N15:P15"/>
    <mergeCell ref="N16:P16"/>
    <mergeCell ref="B50:P50"/>
    <mergeCell ref="B51:P51"/>
    <mergeCell ref="N52:P52"/>
    <mergeCell ref="N57:P57"/>
    <mergeCell ref="N58:P58"/>
    <mergeCell ref="N60:P60"/>
    <mergeCell ref="N61:P61"/>
    <mergeCell ref="N62:P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73:E73"/>
    <mergeCell ref="D74:E74"/>
    <mergeCell ref="D75:E75"/>
    <mergeCell ref="D76:E76"/>
    <mergeCell ref="D77:E77"/>
    <mergeCell ref="D78:E78"/>
    <mergeCell ref="D79:E79"/>
    <mergeCell ref="D80:E80"/>
    <mergeCell ref="D81:E81"/>
    <mergeCell ref="D82:E82"/>
    <mergeCell ref="D88:E88"/>
    <mergeCell ref="D89:E89"/>
    <mergeCell ref="D83:E83"/>
    <mergeCell ref="D84:E84"/>
    <mergeCell ref="D85:E85"/>
    <mergeCell ref="D86:E86"/>
    <mergeCell ref="D87:E87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2" orientation="portrait" r:id="rId1"/>
  <headerFooter alignWithMargins="0">
    <oddFooter>&amp;C&amp;"Times New Roman (Arabic),Regular"&amp;22-25-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4"/>
  <sheetViews>
    <sheetView zoomScale="75" zoomScaleNormal="75" workbookViewId="0">
      <selection activeCell="P11" sqref="P11"/>
    </sheetView>
  </sheetViews>
  <sheetFormatPr defaultColWidth="2.42578125" defaultRowHeight="20.25"/>
  <cols>
    <col min="1" max="1" width="10.7109375" style="1192" customWidth="1"/>
    <col min="2" max="3" width="18" style="1192" customWidth="1"/>
    <col min="4" max="4" width="21.85546875" style="1192" customWidth="1"/>
    <col min="5" max="5" width="18.42578125" style="1192" bestFit="1" customWidth="1"/>
    <col min="6" max="6" width="24.5703125" style="1843" customWidth="1"/>
    <col min="7" max="7" width="19" style="1192" bestFit="1" customWidth="1"/>
    <col min="8" max="8" width="19.140625" style="1192" bestFit="1" customWidth="1"/>
    <col min="9" max="9" width="15.28515625" style="1192" customWidth="1"/>
    <col min="10" max="10" width="3.140625" style="1844" customWidth="1"/>
    <col min="11" max="11" width="8.42578125" style="1793" customWidth="1"/>
    <col min="12" max="12" width="3.140625" style="1793" customWidth="1"/>
    <col min="13" max="16" width="10.7109375" style="1192" customWidth="1"/>
    <col min="17" max="17" width="11.28515625" style="1192" customWidth="1"/>
    <col min="18" max="16384" width="2.42578125" style="1192"/>
  </cols>
  <sheetData>
    <row r="1" spans="2:19" ht="28.35" customHeight="1"/>
    <row r="2" spans="2:19" ht="28.35" customHeight="1"/>
    <row r="3" spans="2:19" ht="28.35" customHeight="1">
      <c r="B3" s="4816" t="s">
        <v>710</v>
      </c>
      <c r="C3" s="4816"/>
      <c r="D3" s="4816"/>
      <c r="E3" s="4816"/>
      <c r="F3" s="4816"/>
      <c r="G3" s="4816"/>
      <c r="H3" s="4816"/>
      <c r="I3" s="4816"/>
      <c r="J3" s="4816"/>
      <c r="K3" s="4816"/>
      <c r="L3" s="4816"/>
      <c r="N3" s="1793"/>
      <c r="O3" s="1793"/>
      <c r="P3" s="1793"/>
      <c r="Q3" s="1793"/>
      <c r="R3" s="1793"/>
      <c r="S3" s="1793"/>
    </row>
    <row r="4" spans="2:19" ht="43.5" customHeight="1">
      <c r="B4" s="4818" t="s">
        <v>711</v>
      </c>
      <c r="C4" s="4819"/>
      <c r="D4" s="4819"/>
      <c r="E4" s="4819"/>
      <c r="F4" s="4819"/>
      <c r="G4" s="4819"/>
      <c r="H4" s="4819"/>
      <c r="I4" s="4819"/>
      <c r="J4" s="4819"/>
      <c r="K4" s="4819"/>
      <c r="L4" s="4819"/>
      <c r="N4" s="1793"/>
      <c r="O4" s="1793"/>
      <c r="P4" s="1793"/>
      <c r="Q4" s="1793"/>
      <c r="R4" s="1793"/>
      <c r="S4" s="1793"/>
    </row>
    <row r="5" spans="2:19" s="2264" customFormat="1" ht="17.100000000000001" customHeight="1">
      <c r="B5" s="1315" t="s">
        <v>90</v>
      </c>
      <c r="C5" s="1852"/>
      <c r="D5" s="1318"/>
      <c r="E5" s="1318"/>
      <c r="F5" s="1853"/>
      <c r="G5" s="1854"/>
      <c r="H5" s="1855"/>
      <c r="I5" s="2636"/>
      <c r="J5" s="1856"/>
      <c r="K5" s="1318"/>
      <c r="L5" s="2587" t="s">
        <v>91</v>
      </c>
      <c r="N5" s="2588"/>
      <c r="O5" s="2588"/>
      <c r="P5" s="2588"/>
      <c r="Q5" s="2588"/>
      <c r="R5" s="2588"/>
      <c r="S5" s="2588"/>
    </row>
    <row r="6" spans="2:19" ht="4.3499999999999996" customHeight="1">
      <c r="B6" s="1858"/>
      <c r="C6" s="1858"/>
      <c r="D6" s="1859"/>
      <c r="E6" s="1859"/>
      <c r="F6" s="1860"/>
      <c r="G6" s="1858"/>
      <c r="H6" s="1858"/>
      <c r="I6" s="1858"/>
      <c r="J6" s="1858"/>
      <c r="K6" s="1858"/>
      <c r="L6" s="1862"/>
      <c r="N6" s="1793"/>
      <c r="O6" s="1793"/>
      <c r="P6" s="1793"/>
      <c r="Q6" s="1793"/>
      <c r="R6" s="1793"/>
      <c r="S6" s="1793"/>
    </row>
    <row r="7" spans="2:19" s="1760" customFormat="1" ht="5.25" customHeight="1">
      <c r="B7" s="4820" t="s">
        <v>712</v>
      </c>
      <c r="C7" s="4809"/>
      <c r="D7" s="4823" t="s">
        <v>713</v>
      </c>
      <c r="E7" s="4808"/>
      <c r="F7" s="4808"/>
      <c r="G7" s="4808"/>
      <c r="H7" s="4808"/>
      <c r="I7" s="4809"/>
      <c r="J7" s="2550"/>
      <c r="K7" s="2550"/>
      <c r="L7" s="2637"/>
      <c r="N7" s="1844"/>
      <c r="O7" s="1844"/>
      <c r="P7" s="1844"/>
      <c r="Q7" s="1844"/>
      <c r="R7" s="1844"/>
      <c r="S7" s="1844"/>
    </row>
    <row r="8" spans="2:19" s="1844" customFormat="1" ht="26.85" customHeight="1">
      <c r="B8" s="4821"/>
      <c r="C8" s="4822"/>
      <c r="D8" s="4824"/>
      <c r="E8" s="4825"/>
      <c r="F8" s="4825"/>
      <c r="G8" s="4825"/>
      <c r="H8" s="4825"/>
      <c r="I8" s="4822"/>
      <c r="J8" s="2550"/>
      <c r="K8" s="2550"/>
      <c r="L8" s="2638"/>
    </row>
    <row r="9" spans="2:19" s="1760" customFormat="1" ht="26.85" customHeight="1">
      <c r="B9" s="4826" t="s">
        <v>714</v>
      </c>
      <c r="C9" s="4812"/>
      <c r="D9" s="4811" t="s">
        <v>715</v>
      </c>
      <c r="E9" s="4827"/>
      <c r="F9" s="4827"/>
      <c r="G9" s="4827"/>
      <c r="H9" s="4827"/>
      <c r="I9" s="4812"/>
      <c r="J9" s="2591"/>
      <c r="K9" s="4198"/>
      <c r="L9" s="4199"/>
      <c r="N9" s="1844"/>
      <c r="O9" s="1844"/>
      <c r="P9" s="1844"/>
      <c r="Q9" s="1844"/>
      <c r="R9" s="1844"/>
      <c r="S9" s="1844"/>
    </row>
    <row r="10" spans="2:19" s="1760" customFormat="1" ht="26.85" customHeight="1">
      <c r="B10" s="2639"/>
      <c r="C10" s="4227"/>
      <c r="D10" s="4227"/>
      <c r="E10" s="4227"/>
      <c r="F10" s="4226"/>
      <c r="G10" s="4227"/>
      <c r="H10" s="4227"/>
      <c r="I10" s="1384"/>
      <c r="J10" s="4198"/>
      <c r="K10" s="4198"/>
      <c r="L10" s="4199"/>
      <c r="N10" s="1844"/>
      <c r="O10" s="1844"/>
      <c r="P10" s="1844"/>
      <c r="Q10" s="1844"/>
      <c r="R10" s="1844"/>
      <c r="S10" s="1844"/>
    </row>
    <row r="11" spans="2:19" s="1760" customFormat="1" ht="26.85" customHeight="1">
      <c r="B11" s="2612"/>
      <c r="C11" s="4229"/>
      <c r="D11" s="4229"/>
      <c r="E11" s="4229"/>
      <c r="F11" s="4228"/>
      <c r="G11" s="4229"/>
      <c r="H11" s="4229"/>
      <c r="I11" s="1235"/>
      <c r="J11" s="4750" t="s">
        <v>107</v>
      </c>
      <c r="K11" s="4750"/>
      <c r="L11" s="4751"/>
      <c r="M11" s="2640"/>
      <c r="N11" s="1844"/>
      <c r="O11" s="1844"/>
      <c r="P11" s="1844"/>
      <c r="Q11" s="1844"/>
      <c r="R11" s="1844"/>
      <c r="S11" s="1844"/>
    </row>
    <row r="12" spans="2:19" s="1780" customFormat="1" ht="26.85" customHeight="1">
      <c r="B12" s="2612" t="s">
        <v>625</v>
      </c>
      <c r="C12" s="4229" t="s">
        <v>626</v>
      </c>
      <c r="D12" s="4229" t="s">
        <v>716</v>
      </c>
      <c r="E12" s="4229" t="s">
        <v>716</v>
      </c>
      <c r="F12" s="4229" t="s">
        <v>717</v>
      </c>
      <c r="G12" s="4229" t="s">
        <v>718</v>
      </c>
      <c r="H12" s="4229" t="s">
        <v>719</v>
      </c>
      <c r="I12" s="1242" t="s">
        <v>170</v>
      </c>
      <c r="J12" s="4672" t="s">
        <v>116</v>
      </c>
      <c r="K12" s="4672"/>
      <c r="L12" s="4752"/>
      <c r="M12" s="2641"/>
      <c r="N12" s="1781"/>
      <c r="O12" s="1781"/>
      <c r="P12" s="1781"/>
      <c r="Q12" s="1781"/>
      <c r="R12" s="1781"/>
      <c r="S12" s="1781"/>
    </row>
    <row r="13" spans="2:19" s="1780" customFormat="1" ht="26.85" customHeight="1">
      <c r="B13" s="4256"/>
      <c r="C13" s="4170"/>
      <c r="D13" s="4229" t="s">
        <v>720</v>
      </c>
      <c r="E13" s="4229" t="s">
        <v>172</v>
      </c>
      <c r="F13" s="2120"/>
      <c r="G13" s="4170"/>
      <c r="H13" s="4170"/>
      <c r="I13" s="2061"/>
      <c r="J13" s="1234"/>
      <c r="K13" s="2591"/>
      <c r="L13" s="4199"/>
      <c r="N13" s="1781"/>
      <c r="O13" s="1781"/>
      <c r="P13" s="1781"/>
      <c r="Q13" s="1781"/>
      <c r="R13" s="1781"/>
      <c r="S13" s="1781"/>
    </row>
    <row r="14" spans="2:19" s="1780" customFormat="1" ht="26.85" customHeight="1">
      <c r="B14" s="4256" t="s">
        <v>721</v>
      </c>
      <c r="C14" s="4170"/>
      <c r="D14" s="4170" t="s">
        <v>722</v>
      </c>
      <c r="E14" s="4170" t="s">
        <v>722</v>
      </c>
      <c r="F14" s="2120"/>
      <c r="G14" s="4170"/>
      <c r="H14" s="4229" t="s">
        <v>723</v>
      </c>
      <c r="I14" s="2061"/>
      <c r="J14" s="4750" t="s">
        <v>136</v>
      </c>
      <c r="K14" s="4817"/>
      <c r="L14" s="4751"/>
      <c r="M14" s="2595"/>
      <c r="N14" s="2643"/>
      <c r="O14" s="1781"/>
      <c r="P14" s="1781"/>
      <c r="Q14" s="1781"/>
      <c r="R14" s="1781"/>
      <c r="S14" s="1781"/>
    </row>
    <row r="15" spans="2:19" s="1780" customFormat="1" ht="26.85" customHeight="1">
      <c r="B15" s="4252" t="s">
        <v>604</v>
      </c>
      <c r="C15" s="4207" t="s">
        <v>635</v>
      </c>
      <c r="D15" s="4207" t="s">
        <v>497</v>
      </c>
      <c r="E15" s="4207" t="s">
        <v>496</v>
      </c>
      <c r="F15" s="2122" t="s">
        <v>724</v>
      </c>
      <c r="G15" s="4207" t="s">
        <v>360</v>
      </c>
      <c r="H15" s="4207" t="s">
        <v>725</v>
      </c>
      <c r="I15" s="4219" t="s">
        <v>187</v>
      </c>
      <c r="J15" s="4612" t="s">
        <v>144</v>
      </c>
      <c r="K15" s="4612"/>
      <c r="L15" s="4759"/>
      <c r="N15" s="2643"/>
      <c r="O15" s="1781"/>
      <c r="P15" s="1781"/>
      <c r="Q15" s="1781"/>
      <c r="R15" s="1781"/>
      <c r="S15" s="1781"/>
    </row>
    <row r="16" spans="2:19" ht="45" customHeight="1">
      <c r="B16" s="4251" t="s">
        <v>726</v>
      </c>
      <c r="C16" s="4184" t="s">
        <v>726</v>
      </c>
      <c r="D16" s="1141">
        <v>161.4</v>
      </c>
      <c r="E16" s="4184">
        <v>2232.1999999999998</v>
      </c>
      <c r="F16" s="4184">
        <v>71.900000000000006</v>
      </c>
      <c r="G16" s="4184">
        <v>228.3</v>
      </c>
      <c r="H16" s="4184">
        <v>47.5</v>
      </c>
      <c r="I16" s="1433">
        <f>SUM(H16+G16+F16+E16+D16)</f>
        <v>2741.2999999999997</v>
      </c>
      <c r="J16" s="1587"/>
      <c r="K16" s="1588">
        <v>1993</v>
      </c>
      <c r="L16" s="1589"/>
    </row>
    <row r="17" spans="2:12" ht="45" customHeight="1">
      <c r="B17" s="4253" t="s">
        <v>726</v>
      </c>
      <c r="C17" s="4254" t="s">
        <v>726</v>
      </c>
      <c r="D17" s="1142">
        <v>157.1</v>
      </c>
      <c r="E17" s="4254">
        <v>2649.8</v>
      </c>
      <c r="F17" s="4254">
        <v>76.099999999999994</v>
      </c>
      <c r="G17" s="4254">
        <v>280.39999999999998</v>
      </c>
      <c r="H17" s="4254">
        <v>85</v>
      </c>
      <c r="I17" s="1422">
        <f>SUM(H17+G17+F17+E17+D17)</f>
        <v>3248.4</v>
      </c>
      <c r="J17" s="1420"/>
      <c r="K17" s="1421">
        <v>1994</v>
      </c>
      <c r="L17" s="1423"/>
    </row>
    <row r="18" spans="2:12" ht="45" customHeight="1">
      <c r="B18" s="4251" t="s">
        <v>726</v>
      </c>
      <c r="C18" s="4184" t="s">
        <v>726</v>
      </c>
      <c r="D18" s="1141">
        <v>159.6</v>
      </c>
      <c r="E18" s="4184">
        <v>3053.2</v>
      </c>
      <c r="F18" s="4184">
        <v>71</v>
      </c>
      <c r="G18" s="4184">
        <v>307.2</v>
      </c>
      <c r="H18" s="4184">
        <v>114.7</v>
      </c>
      <c r="I18" s="1433">
        <f>SUM(H18+G18+F18+E18+D18)</f>
        <v>3705.7</v>
      </c>
      <c r="J18" s="1587"/>
      <c r="K18" s="1588">
        <f t="shared" ref="K18:K37" si="0">K17+1</f>
        <v>1995</v>
      </c>
      <c r="L18" s="1589"/>
    </row>
    <row r="19" spans="2:12" ht="45" customHeight="1">
      <c r="B19" s="4253" t="s">
        <v>726</v>
      </c>
      <c r="C19" s="4254" t="s">
        <v>726</v>
      </c>
      <c r="D19" s="1142">
        <v>154.80000000000001</v>
      </c>
      <c r="E19" s="4254">
        <v>3196.5</v>
      </c>
      <c r="F19" s="4254">
        <v>69.400000000000006</v>
      </c>
      <c r="G19" s="4254">
        <v>357.5</v>
      </c>
      <c r="H19" s="4254">
        <v>142.1</v>
      </c>
      <c r="I19" s="1422">
        <f t="shared" ref="I19:I35" si="1">SUM(H19+G19+F19+E19+D19)</f>
        <v>3920.3</v>
      </c>
      <c r="J19" s="1420"/>
      <c r="K19" s="1421">
        <f t="shared" si="0"/>
        <v>1996</v>
      </c>
      <c r="L19" s="1423"/>
    </row>
    <row r="20" spans="2:12" ht="45" customHeight="1">
      <c r="B20" s="4251">
        <v>417</v>
      </c>
      <c r="C20" s="4184">
        <f>I20-B20</f>
        <v>3562.7</v>
      </c>
      <c r="D20" s="1141">
        <v>150.30000000000001</v>
      </c>
      <c r="E20" s="4184">
        <v>3377.1</v>
      </c>
      <c r="F20" s="4184">
        <v>63.9</v>
      </c>
      <c r="G20" s="4184">
        <v>355.2</v>
      </c>
      <c r="H20" s="4184">
        <v>33.200000000000003</v>
      </c>
      <c r="I20" s="1433">
        <f>SUM(H20+G20+F20+E20+D20)</f>
        <v>3979.7</v>
      </c>
      <c r="J20" s="1587"/>
      <c r="K20" s="1588">
        <f t="shared" si="0"/>
        <v>1997</v>
      </c>
      <c r="L20" s="1589"/>
    </row>
    <row r="21" spans="2:12" ht="45" customHeight="1">
      <c r="B21" s="4271">
        <v>539.20000000000005</v>
      </c>
      <c r="C21" s="4183">
        <f>I21-B21</f>
        <v>3746.1000000000004</v>
      </c>
      <c r="D21" s="1156">
        <v>200.1</v>
      </c>
      <c r="E21" s="4183">
        <v>3652.7</v>
      </c>
      <c r="F21" s="4183">
        <v>0.8</v>
      </c>
      <c r="G21" s="4183">
        <v>233.1</v>
      </c>
      <c r="H21" s="4183">
        <v>198.6</v>
      </c>
      <c r="I21" s="1583">
        <f>SUM(H21+G21+F21+E21+D21)</f>
        <v>4285.3</v>
      </c>
      <c r="J21" s="1584"/>
      <c r="K21" s="1585">
        <f t="shared" si="0"/>
        <v>1998</v>
      </c>
      <c r="L21" s="1586"/>
    </row>
    <row r="22" spans="2:12" ht="45" customHeight="1">
      <c r="B22" s="4251">
        <v>594.29999999999995</v>
      </c>
      <c r="C22" s="4184">
        <f t="shared" ref="C22:C35" si="2">I22-B22</f>
        <v>3871.7</v>
      </c>
      <c r="D22" s="1141">
        <v>217.8</v>
      </c>
      <c r="E22" s="4184">
        <v>3827.1</v>
      </c>
      <c r="F22" s="4184">
        <v>2</v>
      </c>
      <c r="G22" s="4184">
        <v>231.7</v>
      </c>
      <c r="H22" s="4184">
        <v>187.4</v>
      </c>
      <c r="I22" s="1433">
        <f>SUM(H22+G22+F22+E22+D22)</f>
        <v>4466</v>
      </c>
      <c r="J22" s="1587"/>
      <c r="K22" s="1588">
        <f>K21+1</f>
        <v>1999</v>
      </c>
      <c r="L22" s="1589"/>
    </row>
    <row r="23" spans="2:12" ht="45" customHeight="1">
      <c r="B23" s="4253">
        <v>609.70000000000005</v>
      </c>
      <c r="C23" s="4254">
        <f t="shared" si="2"/>
        <v>3936.8</v>
      </c>
      <c r="D23" s="1142">
        <v>220.4</v>
      </c>
      <c r="E23" s="4254">
        <v>3969</v>
      </c>
      <c r="F23" s="4254">
        <v>1.7</v>
      </c>
      <c r="G23" s="4254">
        <v>155.6</v>
      </c>
      <c r="H23" s="4254">
        <v>199.8</v>
      </c>
      <c r="I23" s="1422">
        <f t="shared" si="1"/>
        <v>4546.5</v>
      </c>
      <c r="J23" s="1420"/>
      <c r="K23" s="1421">
        <f>K22+1</f>
        <v>2000</v>
      </c>
      <c r="L23" s="1423"/>
    </row>
    <row r="24" spans="2:12" ht="45" customHeight="1">
      <c r="B24" s="4251">
        <v>697</v>
      </c>
      <c r="C24" s="4184">
        <f>I24-B24</f>
        <v>4251.8999999999996</v>
      </c>
      <c r="D24" s="1141">
        <v>234.6</v>
      </c>
      <c r="E24" s="4184">
        <v>4428.8999999999996</v>
      </c>
      <c r="F24" s="4184">
        <v>1.5</v>
      </c>
      <c r="G24" s="4184">
        <v>131.4</v>
      </c>
      <c r="H24" s="4184">
        <v>152.5</v>
      </c>
      <c r="I24" s="1433">
        <f t="shared" si="1"/>
        <v>4948.8999999999996</v>
      </c>
      <c r="J24" s="1587"/>
      <c r="K24" s="1588">
        <f>K23+1</f>
        <v>2001</v>
      </c>
      <c r="L24" s="1589"/>
    </row>
    <row r="25" spans="2:12" ht="45" customHeight="1">
      <c r="B25" s="4253">
        <v>818.1</v>
      </c>
      <c r="C25" s="4254">
        <f t="shared" si="2"/>
        <v>4311.8999999999996</v>
      </c>
      <c r="D25" s="1142">
        <v>263.39999999999998</v>
      </c>
      <c r="E25" s="4254">
        <v>4584.6000000000004</v>
      </c>
      <c r="F25" s="4254">
        <v>1.7</v>
      </c>
      <c r="G25" s="4254">
        <v>130.4</v>
      </c>
      <c r="H25" s="4254">
        <v>149.9</v>
      </c>
      <c r="I25" s="1422">
        <f t="shared" si="1"/>
        <v>5130</v>
      </c>
      <c r="J25" s="1420"/>
      <c r="K25" s="1421">
        <f t="shared" si="0"/>
        <v>2002</v>
      </c>
      <c r="L25" s="1423"/>
    </row>
    <row r="26" spans="2:12" ht="45" customHeight="1">
      <c r="B26" s="4251">
        <v>929.4</v>
      </c>
      <c r="C26" s="4184">
        <f t="shared" si="2"/>
        <v>4333.0000000000009</v>
      </c>
      <c r="D26" s="1141">
        <v>290</v>
      </c>
      <c r="E26" s="4184">
        <v>4667.3</v>
      </c>
      <c r="F26" s="4184">
        <v>2.4</v>
      </c>
      <c r="G26" s="4184">
        <v>156.1</v>
      </c>
      <c r="H26" s="4184">
        <v>146.6</v>
      </c>
      <c r="I26" s="1433">
        <f t="shared" si="1"/>
        <v>5262.4000000000005</v>
      </c>
      <c r="J26" s="1587"/>
      <c r="K26" s="1588">
        <f t="shared" si="0"/>
        <v>2003</v>
      </c>
      <c r="L26" s="1589"/>
    </row>
    <row r="27" spans="2:12" ht="45" customHeight="1">
      <c r="B27" s="4271">
        <v>961.3</v>
      </c>
      <c r="C27" s="4183">
        <f t="shared" si="2"/>
        <v>5227.8999999999996</v>
      </c>
      <c r="D27" s="1156">
        <v>254.2</v>
      </c>
      <c r="E27" s="4183">
        <v>5479</v>
      </c>
      <c r="F27" s="4183">
        <v>14.8</v>
      </c>
      <c r="G27" s="4183">
        <v>307.39999999999998</v>
      </c>
      <c r="H27" s="4183">
        <v>133.80000000000001</v>
      </c>
      <c r="I27" s="1583">
        <f t="shared" si="1"/>
        <v>6189.2</v>
      </c>
      <c r="J27" s="1584"/>
      <c r="K27" s="1585">
        <f t="shared" si="0"/>
        <v>2004</v>
      </c>
      <c r="L27" s="1586"/>
    </row>
    <row r="28" spans="2:12" ht="45" customHeight="1">
      <c r="B28" s="4251">
        <v>856.9</v>
      </c>
      <c r="C28" s="4184">
        <f t="shared" si="2"/>
        <v>6887.4000000000005</v>
      </c>
      <c r="D28" s="1141">
        <v>229.6</v>
      </c>
      <c r="E28" s="4184">
        <v>7097.4</v>
      </c>
      <c r="F28" s="4184">
        <v>20.5</v>
      </c>
      <c r="G28" s="4184">
        <v>358.5</v>
      </c>
      <c r="H28" s="4184">
        <v>38.299999999999997</v>
      </c>
      <c r="I28" s="1433">
        <f t="shared" si="1"/>
        <v>7744.3</v>
      </c>
      <c r="J28" s="1587"/>
      <c r="K28" s="1588">
        <f t="shared" si="0"/>
        <v>2005</v>
      </c>
      <c r="L28" s="1589"/>
    </row>
    <row r="29" spans="2:12" ht="45" customHeight="1">
      <c r="B29" s="4253">
        <v>1000.1</v>
      </c>
      <c r="C29" s="4254">
        <f t="shared" si="2"/>
        <v>8761.7999999999993</v>
      </c>
      <c r="D29" s="1142">
        <v>312.89999999999998</v>
      </c>
      <c r="E29" s="4254">
        <v>8981.9</v>
      </c>
      <c r="F29" s="4254">
        <v>7.5</v>
      </c>
      <c r="G29" s="4254">
        <v>423.2</v>
      </c>
      <c r="H29" s="4254">
        <v>36.4</v>
      </c>
      <c r="I29" s="1422">
        <f t="shared" si="1"/>
        <v>9761.9</v>
      </c>
      <c r="J29" s="1420"/>
      <c r="K29" s="1421">
        <f t="shared" si="0"/>
        <v>2006</v>
      </c>
      <c r="L29" s="1423"/>
    </row>
    <row r="30" spans="2:12" ht="45" customHeight="1">
      <c r="B30" s="4251">
        <v>1095.9000000000001</v>
      </c>
      <c r="C30" s="4184">
        <f t="shared" si="2"/>
        <v>10199.700000000001</v>
      </c>
      <c r="D30" s="1141">
        <v>309.7</v>
      </c>
      <c r="E30" s="4184">
        <v>10395.799999999999</v>
      </c>
      <c r="F30" s="4184">
        <v>16.899999999999999</v>
      </c>
      <c r="G30" s="4184">
        <v>530.70000000000005</v>
      </c>
      <c r="H30" s="4184">
        <v>42.5</v>
      </c>
      <c r="I30" s="1433">
        <f t="shared" si="1"/>
        <v>11295.6</v>
      </c>
      <c r="J30" s="1587"/>
      <c r="K30" s="1588">
        <f t="shared" si="0"/>
        <v>2007</v>
      </c>
      <c r="L30" s="1589"/>
    </row>
    <row r="31" spans="2:12" ht="45" customHeight="1">
      <c r="B31" s="4253">
        <v>1674.2</v>
      </c>
      <c r="C31" s="4254">
        <f t="shared" si="2"/>
        <v>11370.099999999999</v>
      </c>
      <c r="D31" s="1142">
        <v>536.4</v>
      </c>
      <c r="E31" s="4254">
        <v>11869.3</v>
      </c>
      <c r="F31" s="4254">
        <v>15.5</v>
      </c>
      <c r="G31" s="4254">
        <v>585.1</v>
      </c>
      <c r="H31" s="4254">
        <v>38</v>
      </c>
      <c r="I31" s="1422">
        <f t="shared" si="1"/>
        <v>13044.3</v>
      </c>
      <c r="J31" s="1420"/>
      <c r="K31" s="1421">
        <f t="shared" si="0"/>
        <v>2008</v>
      </c>
      <c r="L31" s="1423"/>
    </row>
    <row r="32" spans="2:12" ht="45" customHeight="1">
      <c r="B32" s="4251">
        <v>1545.5</v>
      </c>
      <c r="C32" s="4184">
        <f t="shared" si="2"/>
        <v>11771.699999999999</v>
      </c>
      <c r="D32" s="1141">
        <v>945.3</v>
      </c>
      <c r="E32" s="4184">
        <v>12041.3</v>
      </c>
      <c r="F32" s="4184">
        <v>4.5</v>
      </c>
      <c r="G32" s="4184">
        <v>283.8</v>
      </c>
      <c r="H32" s="4184">
        <v>42.3</v>
      </c>
      <c r="I32" s="1433">
        <f t="shared" si="1"/>
        <v>13317.199999999999</v>
      </c>
      <c r="J32" s="1587"/>
      <c r="K32" s="1588">
        <f t="shared" si="0"/>
        <v>2009</v>
      </c>
      <c r="L32" s="1589"/>
    </row>
    <row r="33" spans="2:29" ht="45" customHeight="1">
      <c r="B33" s="4271">
        <v>1700.7</v>
      </c>
      <c r="C33" s="4183">
        <f t="shared" si="2"/>
        <v>12750.7</v>
      </c>
      <c r="D33" s="1156">
        <v>1020.1</v>
      </c>
      <c r="E33" s="4183">
        <v>12979.1</v>
      </c>
      <c r="F33" s="4183">
        <v>4.4000000000000004</v>
      </c>
      <c r="G33" s="4183">
        <v>336.2</v>
      </c>
      <c r="H33" s="4183">
        <v>111.6</v>
      </c>
      <c r="I33" s="1583">
        <f t="shared" si="1"/>
        <v>14451.400000000001</v>
      </c>
      <c r="J33" s="1584"/>
      <c r="K33" s="1585">
        <f t="shared" si="0"/>
        <v>2010</v>
      </c>
      <c r="L33" s="1586"/>
    </row>
    <row r="34" spans="2:29" ht="45" customHeight="1">
      <c r="B34" s="4251">
        <v>1806.3</v>
      </c>
      <c r="C34" s="4184">
        <f t="shared" si="2"/>
        <v>14044.900000000001</v>
      </c>
      <c r="D34" s="1141">
        <v>974</v>
      </c>
      <c r="E34" s="4184">
        <v>14284</v>
      </c>
      <c r="F34" s="4184">
        <v>5</v>
      </c>
      <c r="G34" s="4184">
        <v>372.4</v>
      </c>
      <c r="H34" s="4184">
        <v>215.8</v>
      </c>
      <c r="I34" s="1433">
        <f t="shared" si="1"/>
        <v>15851.2</v>
      </c>
      <c r="J34" s="1587"/>
      <c r="K34" s="1588">
        <f t="shared" si="0"/>
        <v>2011</v>
      </c>
      <c r="L34" s="1589"/>
    </row>
    <row r="35" spans="2:29" ht="45" customHeight="1">
      <c r="B35" s="4253">
        <v>2297.6999999999998</v>
      </c>
      <c r="C35" s="4254">
        <f t="shared" si="2"/>
        <v>15532.100000000002</v>
      </c>
      <c r="D35" s="1142">
        <v>853.4</v>
      </c>
      <c r="E35" s="4254">
        <v>15375.6</v>
      </c>
      <c r="F35" s="4254">
        <v>9.1</v>
      </c>
      <c r="G35" s="4254">
        <v>357.2</v>
      </c>
      <c r="H35" s="4254">
        <v>1234.5</v>
      </c>
      <c r="I35" s="1422">
        <f t="shared" si="1"/>
        <v>17829.800000000003</v>
      </c>
      <c r="J35" s="1420"/>
      <c r="K35" s="1421">
        <f t="shared" si="0"/>
        <v>2012</v>
      </c>
      <c r="L35" s="1423"/>
    </row>
    <row r="36" spans="2:29" ht="45" customHeight="1">
      <c r="B36" s="4251">
        <v>2670.62</v>
      </c>
      <c r="C36" s="4184">
        <f>I36-B36</f>
        <v>16269.080000000002</v>
      </c>
      <c r="D36" s="1141">
        <v>818</v>
      </c>
      <c r="E36" s="4184">
        <v>16569.099999999999</v>
      </c>
      <c r="F36" s="4184">
        <v>9.5</v>
      </c>
      <c r="G36" s="4184">
        <v>320.89999999999998</v>
      </c>
      <c r="H36" s="4184">
        <v>1222.3</v>
      </c>
      <c r="I36" s="1433">
        <f>SUM(H36+G36+F36+E36+D36)-0.1</f>
        <v>18939.7</v>
      </c>
      <c r="J36" s="1587"/>
      <c r="K36" s="1588">
        <f t="shared" si="0"/>
        <v>2013</v>
      </c>
      <c r="L36" s="1589"/>
    </row>
    <row r="37" spans="2:29" ht="45" customHeight="1">
      <c r="B37" s="4253">
        <v>2567.6999999999998</v>
      </c>
      <c r="C37" s="4254">
        <f>I37-B37</f>
        <v>16706.8</v>
      </c>
      <c r="D37" s="1142">
        <v>482</v>
      </c>
      <c r="E37" s="4254">
        <v>17304.099999999999</v>
      </c>
      <c r="F37" s="4254">
        <v>6.6</v>
      </c>
      <c r="G37" s="4254">
        <v>348.6</v>
      </c>
      <c r="H37" s="4254">
        <v>1133.2</v>
      </c>
      <c r="I37" s="1422">
        <f t="shared" ref="I37:I43" si="3">SUM(H37+G37+F37+E37+D37)</f>
        <v>19274.5</v>
      </c>
      <c r="J37" s="1420"/>
      <c r="K37" s="1421">
        <f t="shared" si="0"/>
        <v>2014</v>
      </c>
      <c r="L37" s="1423"/>
    </row>
    <row r="38" spans="2:29" ht="45" customHeight="1">
      <c r="B38" s="4251">
        <v>2821.8</v>
      </c>
      <c r="C38" s="4184">
        <v>18281.699999999997</v>
      </c>
      <c r="D38" s="1141">
        <v>477.1</v>
      </c>
      <c r="E38" s="4184">
        <v>18098.099999999999</v>
      </c>
      <c r="F38" s="4184">
        <v>9</v>
      </c>
      <c r="G38" s="4184">
        <v>325.60000000000002</v>
      </c>
      <c r="H38" s="4184">
        <v>2193.6999999999998</v>
      </c>
      <c r="I38" s="1433">
        <f t="shared" si="3"/>
        <v>21103.499999999996</v>
      </c>
      <c r="J38" s="1587"/>
      <c r="K38" s="1588">
        <v>2015</v>
      </c>
      <c r="L38" s="1589"/>
    </row>
    <row r="39" spans="2:29" ht="45" customHeight="1">
      <c r="B39" s="4253">
        <v>2719.2</v>
      </c>
      <c r="C39" s="4254">
        <v>20186.600000000002</v>
      </c>
      <c r="D39" s="1142">
        <v>479.7</v>
      </c>
      <c r="E39" s="4254">
        <v>19901.400000000001</v>
      </c>
      <c r="F39" s="4254">
        <v>11.6</v>
      </c>
      <c r="G39" s="4254">
        <v>358.2</v>
      </c>
      <c r="H39" s="4254">
        <v>2154.9</v>
      </c>
      <c r="I39" s="1422">
        <f t="shared" si="3"/>
        <v>22905.800000000003</v>
      </c>
      <c r="J39" s="1420"/>
      <c r="K39" s="1421">
        <v>2016</v>
      </c>
      <c r="L39" s="1423"/>
    </row>
    <row r="40" spans="2:29" ht="45" customHeight="1">
      <c r="B40" s="4251">
        <v>2595.4</v>
      </c>
      <c r="C40" s="4184">
        <f>I40-B40</f>
        <v>22141.399999999998</v>
      </c>
      <c r="D40" s="1141">
        <v>500.3</v>
      </c>
      <c r="E40" s="4184">
        <v>21747.1</v>
      </c>
      <c r="F40" s="4184">
        <v>17</v>
      </c>
      <c r="G40" s="4184">
        <v>357.6</v>
      </c>
      <c r="H40" s="4184">
        <v>2114.8000000000002</v>
      </c>
      <c r="I40" s="1433">
        <f t="shared" si="3"/>
        <v>24736.799999999999</v>
      </c>
      <c r="J40" s="1587"/>
      <c r="K40" s="1588">
        <v>2017</v>
      </c>
      <c r="L40" s="1589"/>
    </row>
    <row r="41" spans="2:29" ht="45" customHeight="1">
      <c r="B41" s="4253">
        <v>2931.5</v>
      </c>
      <c r="C41" s="4254">
        <f>I41-B41</f>
        <v>23180.3</v>
      </c>
      <c r="D41" s="1142">
        <v>655.29999999999995</v>
      </c>
      <c r="E41" s="4254">
        <v>23011.3</v>
      </c>
      <c r="F41" s="4254">
        <v>21.5</v>
      </c>
      <c r="G41" s="4254">
        <v>429</v>
      </c>
      <c r="H41" s="4254">
        <v>1994.7</v>
      </c>
      <c r="I41" s="1422">
        <f t="shared" si="3"/>
        <v>26111.8</v>
      </c>
      <c r="J41" s="1420"/>
      <c r="K41" s="1421">
        <v>2018</v>
      </c>
      <c r="L41" s="1423"/>
    </row>
    <row r="42" spans="2:29" ht="45" customHeight="1">
      <c r="B42" s="4251">
        <v>3265.6</v>
      </c>
      <c r="C42" s="4184">
        <f>I42-B42</f>
        <v>23816.600000000002</v>
      </c>
      <c r="D42" s="1141">
        <v>674.4</v>
      </c>
      <c r="E42" s="4184">
        <v>23998.6</v>
      </c>
      <c r="F42" s="4184">
        <v>29.9</v>
      </c>
      <c r="G42" s="4184">
        <v>501.3</v>
      </c>
      <c r="H42" s="4184">
        <v>1878</v>
      </c>
      <c r="I42" s="1433">
        <f t="shared" ref="I42" si="4">SUM(H42+G42+F42+E42+D42)</f>
        <v>27082.2</v>
      </c>
      <c r="J42" s="1587"/>
      <c r="K42" s="1588">
        <v>2019</v>
      </c>
      <c r="L42" s="1589"/>
    </row>
    <row r="43" spans="2:29" ht="45" customHeight="1">
      <c r="B43" s="4316">
        <v>3496.8</v>
      </c>
      <c r="C43" s="2019">
        <f>I43-B43</f>
        <v>25142.3</v>
      </c>
      <c r="D43" s="4332">
        <v>612.79999999999995</v>
      </c>
      <c r="E43" s="2019">
        <v>25526.5</v>
      </c>
      <c r="F43" s="2019">
        <v>129.69999999999999</v>
      </c>
      <c r="G43" s="2019">
        <v>566</v>
      </c>
      <c r="H43" s="2019">
        <v>1804.1</v>
      </c>
      <c r="I43" s="4333">
        <f t="shared" si="3"/>
        <v>28639.1</v>
      </c>
      <c r="J43" s="4334"/>
      <c r="K43" s="4335">
        <v>2020</v>
      </c>
      <c r="L43" s="4336"/>
    </row>
    <row r="44" spans="2:29" s="2627" customFormat="1" ht="15.75">
      <c r="I44" s="2633"/>
      <c r="J44" s="2645"/>
      <c r="K44" s="4240"/>
      <c r="L44" s="2646"/>
      <c r="X44" s="1398"/>
      <c r="Y44" s="1398"/>
      <c r="Z44" s="1398"/>
      <c r="AA44" s="1398"/>
      <c r="AB44" s="1398"/>
      <c r="AC44" s="1398"/>
    </row>
    <row r="45" spans="2:29" s="2630" customFormat="1" ht="15.75">
      <c r="B45" s="2627"/>
      <c r="C45" s="2627"/>
      <c r="D45" s="2627"/>
      <c r="E45" s="2627"/>
      <c r="F45" s="2627"/>
      <c r="G45" s="2627"/>
      <c r="H45" s="2627"/>
      <c r="I45" s="2633"/>
      <c r="J45" s="2645"/>
      <c r="K45" s="2647"/>
      <c r="X45" s="1398"/>
      <c r="Y45" s="1398"/>
      <c r="Z45" s="1398"/>
      <c r="AA45" s="1398"/>
      <c r="AB45" s="1398"/>
    </row>
    <row r="46" spans="2:29" s="1398" customFormat="1" ht="15.75">
      <c r="B46" s="2630"/>
      <c r="C46" s="2630"/>
      <c r="D46" s="2630"/>
      <c r="E46" s="2630"/>
      <c r="F46" s="2630"/>
      <c r="G46" s="2630"/>
      <c r="H46" s="2630"/>
      <c r="I46" s="2633"/>
      <c r="J46" s="2036"/>
      <c r="K46" s="2040"/>
      <c r="L46" s="2631"/>
      <c r="M46" s="2631"/>
      <c r="N46" s="2631"/>
      <c r="O46" s="2631"/>
      <c r="P46" s="2631"/>
      <c r="Q46" s="2631"/>
      <c r="R46" s="2631"/>
      <c r="S46" s="2631"/>
      <c r="T46" s="2631"/>
      <c r="U46" s="2631"/>
      <c r="V46" s="2631"/>
      <c r="W46" s="2631"/>
      <c r="X46" s="2631"/>
      <c r="Y46" s="2631"/>
      <c r="Z46" s="2632"/>
    </row>
    <row r="47" spans="2:29" s="1398" customFormat="1" ht="15.75">
      <c r="F47" s="2631"/>
      <c r="I47" s="2633"/>
      <c r="J47" s="2634"/>
      <c r="K47" s="2635"/>
      <c r="L47" s="2635"/>
      <c r="M47" s="2635"/>
    </row>
    <row r="48" spans="2:29">
      <c r="I48" s="2600"/>
      <c r="M48" s="1793"/>
    </row>
    <row r="49" spans="13:17">
      <c r="M49" s="1793"/>
      <c r="P49" s="1843"/>
    </row>
    <row r="50" spans="13:17">
      <c r="P50" s="1843"/>
      <c r="Q50" s="1843"/>
    </row>
    <row r="51" spans="13:17">
      <c r="P51" s="1843"/>
      <c r="Q51" s="1843"/>
    </row>
    <row r="52" spans="13:17">
      <c r="P52" s="1843"/>
      <c r="Q52" s="1843"/>
    </row>
    <row r="53" spans="13:17">
      <c r="P53" s="1843"/>
      <c r="Q53" s="1843"/>
    </row>
    <row r="54" spans="13:17">
      <c r="P54" s="1843"/>
      <c r="Q54" s="1843"/>
    </row>
  </sheetData>
  <mergeCells count="10">
    <mergeCell ref="J11:L11"/>
    <mergeCell ref="J12:L12"/>
    <mergeCell ref="J14:L14"/>
    <mergeCell ref="J15:L15"/>
    <mergeCell ref="B3:L3"/>
    <mergeCell ref="B4:L4"/>
    <mergeCell ref="B7:C8"/>
    <mergeCell ref="D7:I8"/>
    <mergeCell ref="B9:C9"/>
    <mergeCell ref="D9:I9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8" orientation="portrait" r:id="rId1"/>
  <headerFooter alignWithMargins="0">
    <oddFooter>&amp;C&amp;"+,Regular"&amp;22-26-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U3159"/>
  <sheetViews>
    <sheetView zoomScale="75" zoomScaleNormal="75" workbookViewId="0">
      <selection activeCell="AA8" sqref="AA8"/>
    </sheetView>
  </sheetViews>
  <sheetFormatPr defaultColWidth="1.42578125" defaultRowHeight="20.100000000000001" customHeight="1"/>
  <cols>
    <col min="1" max="1" width="10.85546875" style="1174" customWidth="1"/>
    <col min="2" max="2" width="12.5703125" style="1192" customWidth="1"/>
    <col min="3" max="3" width="20.5703125" style="1813" customWidth="1"/>
    <col min="4" max="5" width="20.5703125" style="1192" customWidth="1"/>
    <col min="6" max="6" width="30.42578125" style="1192" customWidth="1"/>
    <col min="7" max="7" width="22.5703125" style="1192" customWidth="1"/>
    <col min="8" max="8" width="18" style="1192" customWidth="1"/>
    <col min="9" max="9" width="16.7109375" style="2259" customWidth="1"/>
    <col min="10" max="10" width="4.7109375" style="2260" hidden="1" customWidth="1"/>
    <col min="178" max="16384" width="1.42578125" style="1174"/>
  </cols>
  <sheetData>
    <row r="1" spans="2:177" ht="21.2" customHeight="1">
      <c r="B1" s="4262"/>
      <c r="C1" s="1793"/>
    </row>
    <row r="2" spans="2:177" ht="21.2" customHeight="1">
      <c r="B2" s="4262"/>
      <c r="C2" s="1391"/>
      <c r="D2" s="1391"/>
      <c r="E2" s="1392"/>
      <c r="F2" s="1392"/>
      <c r="G2" s="1392"/>
      <c r="H2" s="1392"/>
      <c r="I2" s="2648"/>
      <c r="J2" s="1392"/>
    </row>
    <row r="3" spans="2:177" ht="21.2" customHeight="1">
      <c r="B3" s="4262"/>
      <c r="C3" s="4828" t="s">
        <v>727</v>
      </c>
      <c r="D3" s="4828"/>
      <c r="E3" s="4828"/>
      <c r="F3" s="4828"/>
      <c r="G3" s="4828"/>
      <c r="H3" s="4828"/>
      <c r="I3" s="4828"/>
      <c r="J3" s="4828"/>
    </row>
    <row r="4" spans="2:177" ht="21.2" customHeight="1">
      <c r="B4" s="4262"/>
      <c r="C4" s="4829" t="s">
        <v>728</v>
      </c>
      <c r="D4" s="4829"/>
      <c r="E4" s="4829"/>
      <c r="F4" s="4829"/>
      <c r="G4" s="4829"/>
      <c r="H4" s="4829"/>
      <c r="I4" s="4829"/>
      <c r="J4" s="4829"/>
    </row>
    <row r="5" spans="2:177" ht="21.2" customHeight="1">
      <c r="B5" s="4262"/>
      <c r="C5" s="1224" t="s">
        <v>90</v>
      </c>
      <c r="D5" s="2104"/>
      <c r="E5" s="2104"/>
      <c r="F5" s="2104"/>
      <c r="G5" s="2104"/>
      <c r="H5" s="2104"/>
      <c r="I5" s="1799" t="s">
        <v>729</v>
      </c>
      <c r="J5" s="2649" t="s">
        <v>2911</v>
      </c>
    </row>
    <row r="6" spans="2:177" ht="4.3499999999999996" customHeight="1">
      <c r="B6" s="4262"/>
      <c r="C6" s="2650"/>
      <c r="D6" s="2651"/>
      <c r="E6" s="2651"/>
      <c r="F6" s="2651"/>
      <c r="G6" s="2651"/>
      <c r="H6" s="2651"/>
      <c r="I6" s="2652"/>
      <c r="J6" s="2653"/>
    </row>
    <row r="7" spans="2:177" ht="5.25" customHeight="1">
      <c r="B7" s="4262"/>
      <c r="C7" s="2654"/>
      <c r="D7" s="2655"/>
      <c r="E7" s="2655"/>
      <c r="F7" s="2338"/>
      <c r="G7" s="2338"/>
      <c r="H7" s="2338"/>
      <c r="I7" s="2341"/>
      <c r="J7" s="4265"/>
    </row>
    <row r="8" spans="2:177" ht="21.2" customHeight="1">
      <c r="B8" s="4262"/>
      <c r="C8" s="4214"/>
      <c r="D8" s="1235"/>
      <c r="E8" s="1235"/>
      <c r="F8" s="4229" t="s">
        <v>730</v>
      </c>
      <c r="G8" s="1235"/>
      <c r="H8" s="1235"/>
      <c r="I8" s="4199"/>
      <c r="J8" s="4241"/>
    </row>
    <row r="9" spans="2:177" ht="21.2" customHeight="1">
      <c r="B9" s="4262"/>
      <c r="C9" s="4256"/>
      <c r="D9" s="4170" t="s">
        <v>731</v>
      </c>
      <c r="E9" s="4170" t="s">
        <v>732</v>
      </c>
      <c r="F9" s="4170" t="s">
        <v>733</v>
      </c>
      <c r="G9" s="4229" t="s">
        <v>734</v>
      </c>
      <c r="H9" s="1249" t="s">
        <v>338</v>
      </c>
      <c r="I9" s="4199" t="s">
        <v>107</v>
      </c>
      <c r="J9" s="2656"/>
    </row>
    <row r="10" spans="2:177" ht="21.2" customHeight="1">
      <c r="B10" s="4262"/>
      <c r="C10" s="4256" t="s">
        <v>735</v>
      </c>
      <c r="D10" s="4170" t="s">
        <v>736</v>
      </c>
      <c r="E10" s="4170" t="s">
        <v>737</v>
      </c>
      <c r="F10" s="4170" t="s">
        <v>738</v>
      </c>
      <c r="G10" s="4229" t="s">
        <v>739</v>
      </c>
      <c r="H10" s="1249" t="s">
        <v>95</v>
      </c>
      <c r="I10" s="4199" t="s">
        <v>116</v>
      </c>
      <c r="J10" s="2657"/>
    </row>
    <row r="11" spans="2:177" ht="21.2" customHeight="1">
      <c r="B11" s="4262"/>
      <c r="C11" s="4256"/>
      <c r="D11" s="4170"/>
      <c r="E11" s="4170"/>
      <c r="F11" s="4170"/>
      <c r="G11" s="4229"/>
      <c r="H11" s="1249"/>
      <c r="I11" s="4199"/>
      <c r="J11" s="2657"/>
    </row>
    <row r="12" spans="2:177" s="2117" customFormat="1" ht="21.2" customHeight="1">
      <c r="B12" s="4262"/>
      <c r="C12" s="4256"/>
      <c r="D12" s="4170"/>
      <c r="E12" s="4170"/>
      <c r="F12" s="4170"/>
      <c r="G12" s="4229"/>
      <c r="H12" s="1249"/>
      <c r="I12" s="4199"/>
      <c r="J12" s="2656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</row>
    <row r="13" spans="2:177" s="2117" customFormat="1" ht="21.2" customHeight="1">
      <c r="B13" s="4262"/>
      <c r="C13" s="4256"/>
      <c r="D13" s="4170"/>
      <c r="E13" s="4170"/>
      <c r="F13" s="4170" t="s">
        <v>740</v>
      </c>
      <c r="G13" s="4170" t="s">
        <v>741</v>
      </c>
      <c r="H13" s="1242" t="s">
        <v>187</v>
      </c>
      <c r="I13" s="4199" t="s">
        <v>136</v>
      </c>
      <c r="J13" s="2656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</row>
    <row r="14" spans="2:177" s="2117" customFormat="1" ht="21.2" customHeight="1">
      <c r="B14" s="4262"/>
      <c r="C14" s="4252" t="s">
        <v>742</v>
      </c>
      <c r="D14" s="4207" t="s">
        <v>743</v>
      </c>
      <c r="E14" s="4207" t="s">
        <v>492</v>
      </c>
      <c r="F14" s="4207" t="s">
        <v>744</v>
      </c>
      <c r="G14" s="4207" t="s">
        <v>472</v>
      </c>
      <c r="H14" s="4219" t="s">
        <v>745</v>
      </c>
      <c r="I14" s="4203" t="s">
        <v>144</v>
      </c>
      <c r="J14" s="2657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</row>
    <row r="15" spans="2:177" ht="19.5" customHeight="1">
      <c r="B15" s="4262"/>
      <c r="C15" s="4251">
        <v>33.5</v>
      </c>
      <c r="D15" s="4184">
        <v>32.1</v>
      </c>
      <c r="E15" s="4184">
        <v>143.4</v>
      </c>
      <c r="F15" s="4184">
        <v>630.9</v>
      </c>
      <c r="G15" s="4184">
        <v>32.5</v>
      </c>
      <c r="H15" s="1345">
        <f>G15+F15+E15+D15+C15</f>
        <v>872.4</v>
      </c>
      <c r="I15" s="4155">
        <v>1995</v>
      </c>
      <c r="J15" s="2658"/>
    </row>
    <row r="16" spans="2:177" ht="18.75" customHeight="1">
      <c r="B16" s="4262"/>
      <c r="C16" s="4271">
        <v>41.6</v>
      </c>
      <c r="D16" s="4183">
        <v>26.4</v>
      </c>
      <c r="E16" s="4183">
        <v>207.5</v>
      </c>
      <c r="F16" s="4183">
        <v>964.2</v>
      </c>
      <c r="G16" s="4183">
        <v>28.6</v>
      </c>
      <c r="H16" s="1424">
        <f t="shared" ref="H16:H40" si="0">G16+F16+E16+D16+C16</f>
        <v>1268.3000000000002</v>
      </c>
      <c r="I16" s="1425">
        <v>1996</v>
      </c>
      <c r="J16" s="2659"/>
    </row>
    <row r="17" spans="2:10" ht="19.5" customHeight="1">
      <c r="B17" s="4262"/>
      <c r="C17" s="4251">
        <v>56.8</v>
      </c>
      <c r="D17" s="4184">
        <v>31</v>
      </c>
      <c r="E17" s="4184">
        <v>291.39999999999998</v>
      </c>
      <c r="F17" s="4184">
        <v>1146.4000000000001</v>
      </c>
      <c r="G17" s="4184">
        <v>32.4</v>
      </c>
      <c r="H17" s="1341">
        <f t="shared" si="0"/>
        <v>1558.0000000000002</v>
      </c>
      <c r="I17" s="4155">
        <f>I16+1</f>
        <v>1997</v>
      </c>
      <c r="J17" s="2658"/>
    </row>
    <row r="18" spans="2:10" ht="18.75" customHeight="1">
      <c r="B18" s="4262"/>
      <c r="C18" s="4271">
        <v>77.5</v>
      </c>
      <c r="D18" s="4183">
        <v>34.4</v>
      </c>
      <c r="E18" s="4183">
        <v>379.3</v>
      </c>
      <c r="F18" s="4183">
        <v>1183.3</v>
      </c>
      <c r="G18" s="4183">
        <v>27.4</v>
      </c>
      <c r="H18" s="1424">
        <f t="shared" si="0"/>
        <v>1701.9</v>
      </c>
      <c r="I18" s="1425">
        <f t="shared" ref="I18:I33" si="1">I17+1</f>
        <v>1998</v>
      </c>
      <c r="J18" s="2659"/>
    </row>
    <row r="19" spans="2:10" ht="19.5" customHeight="1">
      <c r="B19" s="4262"/>
      <c r="C19" s="4251">
        <v>71.7</v>
      </c>
      <c r="D19" s="4184">
        <v>32</v>
      </c>
      <c r="E19" s="4184">
        <v>409.5</v>
      </c>
      <c r="F19" s="4184">
        <v>1387.8</v>
      </c>
      <c r="G19" s="4184">
        <v>57.1</v>
      </c>
      <c r="H19" s="1341">
        <f t="shared" si="0"/>
        <v>1958.1</v>
      </c>
      <c r="I19" s="4155">
        <f t="shared" si="1"/>
        <v>1999</v>
      </c>
      <c r="J19" s="2658"/>
    </row>
    <row r="20" spans="2:10" ht="18.75" customHeight="1">
      <c r="B20" s="4262"/>
      <c r="C20" s="4271">
        <v>85.1</v>
      </c>
      <c r="D20" s="4183">
        <v>47.2</v>
      </c>
      <c r="E20" s="4183">
        <v>621.20000000000005</v>
      </c>
      <c r="F20" s="4183">
        <v>1474.3</v>
      </c>
      <c r="G20" s="4183">
        <v>68.7</v>
      </c>
      <c r="H20" s="1424">
        <f t="shared" si="0"/>
        <v>2296.4999999999995</v>
      </c>
      <c r="I20" s="1425">
        <f t="shared" si="1"/>
        <v>2000</v>
      </c>
      <c r="J20" s="2659"/>
    </row>
    <row r="21" spans="2:10" ht="19.5" customHeight="1">
      <c r="B21" s="4262"/>
      <c r="C21" s="4251">
        <v>62.7</v>
      </c>
      <c r="D21" s="4184">
        <v>36.700000000000003</v>
      </c>
      <c r="E21" s="4184">
        <v>556.5</v>
      </c>
      <c r="F21" s="4184">
        <v>1454.5</v>
      </c>
      <c r="G21" s="4184">
        <v>89</v>
      </c>
      <c r="H21" s="1341">
        <f t="shared" si="0"/>
        <v>2199.3999999999996</v>
      </c>
      <c r="I21" s="4155">
        <f t="shared" si="1"/>
        <v>2001</v>
      </c>
      <c r="J21" s="2658"/>
    </row>
    <row r="22" spans="2:10" ht="18.75" customHeight="1">
      <c r="B22" s="4262"/>
      <c r="C22" s="4271">
        <v>43.7</v>
      </c>
      <c r="D22" s="4183">
        <v>44</v>
      </c>
      <c r="E22" s="4183">
        <v>403.6</v>
      </c>
      <c r="F22" s="4183">
        <v>1576.9</v>
      </c>
      <c r="G22" s="4183">
        <v>88.6</v>
      </c>
      <c r="H22" s="1424">
        <f t="shared" si="0"/>
        <v>2156.7999999999997</v>
      </c>
      <c r="I22" s="1425">
        <f t="shared" si="1"/>
        <v>2002</v>
      </c>
      <c r="J22" s="2659"/>
    </row>
    <row r="23" spans="2:10" ht="19.5" customHeight="1">
      <c r="B23" s="4262"/>
      <c r="C23" s="4251">
        <v>45.7</v>
      </c>
      <c r="D23" s="4184">
        <v>45.4</v>
      </c>
      <c r="E23" s="4184">
        <v>461.9</v>
      </c>
      <c r="F23" s="4184">
        <v>1632</v>
      </c>
      <c r="G23" s="4184">
        <v>126.2</v>
      </c>
      <c r="H23" s="1341">
        <f t="shared" si="0"/>
        <v>2311.1999999999998</v>
      </c>
      <c r="I23" s="4155">
        <f t="shared" si="1"/>
        <v>2003</v>
      </c>
      <c r="J23" s="2658"/>
    </row>
    <row r="24" spans="2:10" ht="18.75" customHeight="1">
      <c r="B24" s="4262"/>
      <c r="C24" s="4271">
        <v>78.900000000000006</v>
      </c>
      <c r="D24" s="4183">
        <v>56.5</v>
      </c>
      <c r="E24" s="4183">
        <v>620.70000000000005</v>
      </c>
      <c r="F24" s="4183">
        <v>1676</v>
      </c>
      <c r="G24" s="4183">
        <v>119.2</v>
      </c>
      <c r="H24" s="1424">
        <f t="shared" si="0"/>
        <v>2551.3000000000002</v>
      </c>
      <c r="I24" s="1425">
        <f t="shared" si="1"/>
        <v>2004</v>
      </c>
      <c r="J24" s="2659"/>
    </row>
    <row r="25" spans="2:10" ht="19.5" customHeight="1">
      <c r="B25" s="4262"/>
      <c r="C25" s="4251">
        <v>76.7</v>
      </c>
      <c r="D25" s="4184">
        <v>133.9</v>
      </c>
      <c r="E25" s="4184">
        <v>775.2</v>
      </c>
      <c r="F25" s="4184">
        <v>1640.9</v>
      </c>
      <c r="G25" s="4184">
        <v>134.89999999999998</v>
      </c>
      <c r="H25" s="1341">
        <f t="shared" si="0"/>
        <v>2761.6</v>
      </c>
      <c r="I25" s="4155">
        <f t="shared" si="1"/>
        <v>2005</v>
      </c>
      <c r="J25" s="2658"/>
    </row>
    <row r="26" spans="2:10" ht="18.75" customHeight="1">
      <c r="B26" s="4262"/>
      <c r="C26" s="4271">
        <v>96.3</v>
      </c>
      <c r="D26" s="4183">
        <v>78.400000000000006</v>
      </c>
      <c r="E26" s="4183">
        <v>781.3</v>
      </c>
      <c r="F26" s="4183">
        <v>1626.1</v>
      </c>
      <c r="G26" s="4183">
        <v>82.3</v>
      </c>
      <c r="H26" s="1424">
        <f t="shared" si="0"/>
        <v>2664.4</v>
      </c>
      <c r="I26" s="1425">
        <f t="shared" si="1"/>
        <v>2006</v>
      </c>
      <c r="J26" s="2659"/>
    </row>
    <row r="27" spans="2:10" ht="19.5" customHeight="1">
      <c r="B27" s="4262"/>
      <c r="C27" s="4251">
        <v>94.699999999999989</v>
      </c>
      <c r="D27" s="4184">
        <v>71</v>
      </c>
      <c r="E27" s="4184">
        <v>678.6</v>
      </c>
      <c r="F27" s="4184">
        <v>2076.9</v>
      </c>
      <c r="G27" s="4184">
        <v>153.29999999999998</v>
      </c>
      <c r="H27" s="1341">
        <f t="shared" si="0"/>
        <v>3074.5</v>
      </c>
      <c r="I27" s="4155">
        <f t="shared" si="1"/>
        <v>2007</v>
      </c>
      <c r="J27" s="2658"/>
    </row>
    <row r="28" spans="2:10" ht="18.75" customHeight="1">
      <c r="B28" s="4262"/>
      <c r="C28" s="4271">
        <v>94.009999999999991</v>
      </c>
      <c r="D28" s="4183">
        <v>55.800000000000004</v>
      </c>
      <c r="E28" s="4183">
        <v>728.50300000000004</v>
      </c>
      <c r="F28" s="4183">
        <v>2399.1</v>
      </c>
      <c r="G28" s="4183">
        <v>133.4</v>
      </c>
      <c r="H28" s="1424">
        <f t="shared" si="0"/>
        <v>3410.8130000000001</v>
      </c>
      <c r="I28" s="1425">
        <f t="shared" si="1"/>
        <v>2008</v>
      </c>
      <c r="J28" s="2659"/>
    </row>
    <row r="29" spans="2:10" ht="19.5" customHeight="1">
      <c r="B29" s="4262"/>
      <c r="C29" s="4251">
        <v>97.9</v>
      </c>
      <c r="D29" s="4184">
        <v>207.4</v>
      </c>
      <c r="E29" s="4184">
        <v>961.6</v>
      </c>
      <c r="F29" s="4184">
        <v>2026.9</v>
      </c>
      <c r="G29" s="4184">
        <v>169.10000000000002</v>
      </c>
      <c r="H29" s="1341">
        <f t="shared" si="0"/>
        <v>3462.9</v>
      </c>
      <c r="I29" s="4155">
        <f t="shared" si="1"/>
        <v>2009</v>
      </c>
      <c r="J29" s="2658"/>
    </row>
    <row r="30" spans="2:10" ht="18.75" customHeight="1">
      <c r="B30" s="4262"/>
      <c r="C30" s="4271">
        <v>118.4</v>
      </c>
      <c r="D30" s="4183">
        <v>322.2</v>
      </c>
      <c r="E30" s="4183">
        <v>1178.9000000000001</v>
      </c>
      <c r="F30" s="4183">
        <v>1935.1</v>
      </c>
      <c r="G30" s="4183">
        <v>165</v>
      </c>
      <c r="H30" s="1424">
        <f t="shared" si="0"/>
        <v>3719.6</v>
      </c>
      <c r="I30" s="1425">
        <f t="shared" si="1"/>
        <v>2010</v>
      </c>
      <c r="J30" s="2659"/>
    </row>
    <row r="31" spans="2:10" ht="19.5" customHeight="1">
      <c r="B31" s="4262"/>
      <c r="C31" s="4251">
        <v>147</v>
      </c>
      <c r="D31" s="4184">
        <v>406.20000000000005</v>
      </c>
      <c r="E31" s="4184">
        <v>1382</v>
      </c>
      <c r="F31" s="4184">
        <v>1803.9</v>
      </c>
      <c r="G31" s="4184">
        <v>158.5</v>
      </c>
      <c r="H31" s="1341">
        <f t="shared" si="0"/>
        <v>3897.6000000000004</v>
      </c>
      <c r="I31" s="4155">
        <f t="shared" si="1"/>
        <v>2011</v>
      </c>
      <c r="J31" s="2658"/>
    </row>
    <row r="32" spans="2:10" ht="18.75" customHeight="1">
      <c r="B32" s="4262"/>
      <c r="C32" s="4271">
        <v>116.5</v>
      </c>
      <c r="D32" s="4183">
        <v>408.1</v>
      </c>
      <c r="E32" s="4183">
        <v>1534.6</v>
      </c>
      <c r="F32" s="4183">
        <v>1657.5</v>
      </c>
      <c r="G32" s="4183">
        <v>180.6</v>
      </c>
      <c r="H32" s="1424">
        <f t="shared" si="0"/>
        <v>3897.2999999999997</v>
      </c>
      <c r="I32" s="1425">
        <f>I31+1</f>
        <v>2012</v>
      </c>
      <c r="J32" s="2659"/>
    </row>
    <row r="33" spans="2:10" ht="19.5" customHeight="1">
      <c r="B33" s="4262"/>
      <c r="C33" s="4251">
        <v>112.1</v>
      </c>
      <c r="D33" s="4184">
        <v>430.4</v>
      </c>
      <c r="E33" s="4184">
        <v>1515</v>
      </c>
      <c r="F33" s="4184">
        <v>1845.3</v>
      </c>
      <c r="G33" s="4184">
        <v>216.1</v>
      </c>
      <c r="H33" s="1341">
        <f t="shared" si="0"/>
        <v>4118.9000000000005</v>
      </c>
      <c r="I33" s="4155">
        <f t="shared" si="1"/>
        <v>2013</v>
      </c>
      <c r="J33" s="2658"/>
    </row>
    <row r="34" spans="2:10" ht="18.75" customHeight="1">
      <c r="B34" s="4262"/>
      <c r="C34" s="4271">
        <v>131.19999999999999</v>
      </c>
      <c r="D34" s="4183">
        <v>497.8</v>
      </c>
      <c r="E34" s="4183">
        <v>1567.2</v>
      </c>
      <c r="F34" s="4183">
        <v>1726.8</v>
      </c>
      <c r="G34" s="4183">
        <v>201.5</v>
      </c>
      <c r="H34" s="1424">
        <f t="shared" si="0"/>
        <v>4124.5</v>
      </c>
      <c r="I34" s="1425">
        <f>I33+1</f>
        <v>2014</v>
      </c>
      <c r="J34" s="2659"/>
    </row>
    <row r="35" spans="2:10" ht="19.5" customHeight="1">
      <c r="B35" s="4262"/>
      <c r="C35" s="4251">
        <v>127.60000000000001</v>
      </c>
      <c r="D35" s="4184">
        <v>436.1</v>
      </c>
      <c r="E35" s="4184">
        <v>1761.3</v>
      </c>
      <c r="F35" s="4184">
        <v>1637.4</v>
      </c>
      <c r="G35" s="4184">
        <v>206.9</v>
      </c>
      <c r="H35" s="1345">
        <f t="shared" si="0"/>
        <v>4169.3</v>
      </c>
      <c r="I35" s="4155">
        <v>2015</v>
      </c>
      <c r="J35" s="2658"/>
    </row>
    <row r="36" spans="2:10" ht="18.75" customHeight="1">
      <c r="B36" s="4262"/>
      <c r="C36" s="4271">
        <v>153.89999999999998</v>
      </c>
      <c r="D36" s="4183">
        <v>504.6</v>
      </c>
      <c r="E36" s="4183">
        <v>1917.5</v>
      </c>
      <c r="F36" s="4183">
        <v>1788.3</v>
      </c>
      <c r="G36" s="4183">
        <v>202.5</v>
      </c>
      <c r="H36" s="1424">
        <f t="shared" si="0"/>
        <v>4566.8</v>
      </c>
      <c r="I36" s="1425">
        <v>2016</v>
      </c>
      <c r="J36" s="2659"/>
    </row>
    <row r="37" spans="2:10" ht="18.95" customHeight="1">
      <c r="B37" s="4262"/>
      <c r="C37" s="4251">
        <v>186.9</v>
      </c>
      <c r="D37" s="4184">
        <v>494.8</v>
      </c>
      <c r="E37" s="4184">
        <v>2266.3000000000002</v>
      </c>
      <c r="F37" s="4184">
        <v>1529.6</v>
      </c>
      <c r="G37" s="4184">
        <v>275.10000000000002</v>
      </c>
      <c r="H37" s="1345">
        <f t="shared" si="0"/>
        <v>4752.7</v>
      </c>
      <c r="I37" s="4155">
        <v>2017</v>
      </c>
      <c r="J37" s="2378"/>
    </row>
    <row r="38" spans="2:10" ht="18.95" customHeight="1">
      <c r="B38" s="4262"/>
      <c r="C38" s="4271">
        <v>167</v>
      </c>
      <c r="D38" s="4183">
        <v>552.5</v>
      </c>
      <c r="E38" s="4183">
        <v>2270.6999999999998</v>
      </c>
      <c r="F38" s="4183">
        <v>1553.6</v>
      </c>
      <c r="G38" s="4183">
        <v>268.3</v>
      </c>
      <c r="H38" s="1424">
        <f t="shared" si="0"/>
        <v>4812.0999999999995</v>
      </c>
      <c r="I38" s="1425">
        <v>2018</v>
      </c>
      <c r="J38" s="2378"/>
    </row>
    <row r="39" spans="2:10" ht="18.95" customHeight="1">
      <c r="B39" s="4262"/>
      <c r="C39" s="4251">
        <v>191.4</v>
      </c>
      <c r="D39" s="4184">
        <v>561</v>
      </c>
      <c r="E39" s="4184">
        <v>2224.6</v>
      </c>
      <c r="F39" s="4184">
        <v>1612.8</v>
      </c>
      <c r="G39" s="4184">
        <v>343.3</v>
      </c>
      <c r="H39" s="1345">
        <f t="shared" si="0"/>
        <v>4933.0999999999995</v>
      </c>
      <c r="I39" s="4155">
        <v>2019</v>
      </c>
      <c r="J39" s="2378"/>
    </row>
    <row r="40" spans="2:10" ht="18.95" customHeight="1">
      <c r="B40" s="4262"/>
      <c r="C40" s="4270">
        <v>211.8</v>
      </c>
      <c r="D40" s="4237">
        <v>585.59999999999991</v>
      </c>
      <c r="E40" s="4237">
        <v>2410.8000000000002</v>
      </c>
      <c r="F40" s="4237">
        <v>1947.8</v>
      </c>
      <c r="G40" s="4237">
        <v>309.59999999999997</v>
      </c>
      <c r="H40" s="4337">
        <f t="shared" si="0"/>
        <v>5465.6000000000013</v>
      </c>
      <c r="I40" s="4338">
        <v>2020</v>
      </c>
      <c r="J40" s="2378"/>
    </row>
    <row r="41" spans="2:10" customFormat="1" ht="20.100000000000001" customHeight="1"/>
    <row r="42" spans="2:10" customFormat="1" ht="20.100000000000001" customHeight="1"/>
    <row r="43" spans="2:10" customFormat="1" ht="20.100000000000001" customHeight="1"/>
    <row r="44" spans="2:10" customFormat="1" ht="6.75" customHeight="1"/>
    <row r="45" spans="2:10" customFormat="1" ht="20.100000000000001" customHeight="1"/>
    <row r="46" spans="2:10" customFormat="1" ht="20.100000000000001" customHeight="1"/>
    <row r="47" spans="2:10" customFormat="1" ht="20.100000000000001" customHeight="1"/>
    <row r="48" spans="2:10" customFormat="1" ht="20.100000000000001" customHeight="1"/>
    <row r="49" customFormat="1" ht="20.100000000000001" customHeight="1"/>
    <row r="50" customFormat="1" ht="20.100000000000001" customHeight="1"/>
    <row r="51" customFormat="1" ht="20.100000000000001" customHeight="1"/>
    <row r="52" customFormat="1" ht="18.75" customHeight="1"/>
    <row r="53" customFormat="1" ht="19.5" customHeight="1"/>
    <row r="54" customFormat="1" ht="18.75" customHeight="1"/>
    <row r="55" customFormat="1" ht="19.5" customHeight="1"/>
    <row r="56" customFormat="1" ht="18.75" customHeight="1"/>
    <row r="57" customFormat="1" ht="19.5" customHeight="1"/>
    <row r="58" customFormat="1" ht="18.75" customHeight="1"/>
    <row r="59" customFormat="1" ht="19.5" customHeight="1"/>
    <row r="60" customFormat="1" ht="18.75" customHeight="1"/>
    <row r="61" customFormat="1" ht="19.5" customHeight="1"/>
    <row r="62" customFormat="1" ht="18.75" customHeight="1"/>
    <row r="63" customFormat="1" ht="19.5" customHeight="1"/>
    <row r="64" customFormat="1" ht="18.75" customHeight="1"/>
    <row r="65" customFormat="1" ht="19.5" customHeight="1"/>
    <row r="66" customFormat="1" ht="18.75" customHeight="1"/>
    <row r="67" customFormat="1" ht="19.5" customHeight="1"/>
    <row r="68" customFormat="1" ht="18.75" customHeight="1"/>
    <row r="69" customFormat="1" ht="19.5" customHeight="1"/>
    <row r="70" customFormat="1" ht="18.75" customHeight="1"/>
    <row r="71" customFormat="1" ht="20.100000000000001" customHeight="1"/>
    <row r="72" customFormat="1" ht="20.100000000000001" customHeight="1"/>
    <row r="73" customFormat="1" ht="20.100000000000001" customHeight="1"/>
    <row r="74" customFormat="1" ht="20.100000000000001" customHeight="1"/>
    <row r="75" customFormat="1" ht="20.100000000000001" customHeight="1"/>
    <row r="76" customFormat="1" ht="20.100000000000001" customHeight="1"/>
    <row r="77" customFormat="1" ht="20.100000000000001" customHeight="1"/>
    <row r="78" customFormat="1" ht="20.100000000000001" customHeight="1"/>
    <row r="79" customFormat="1" ht="20.100000000000001" customHeight="1"/>
    <row r="80" customFormat="1" ht="20.100000000000001" customHeight="1"/>
    <row r="81" customFormat="1" ht="20.100000000000001" customHeight="1"/>
    <row r="82" customFormat="1" ht="20.100000000000001" customHeight="1"/>
    <row r="83" customFormat="1" ht="20.100000000000001" customHeight="1"/>
    <row r="84" customFormat="1" ht="20.100000000000001" customHeight="1"/>
    <row r="85" customFormat="1" ht="20.100000000000001" customHeight="1"/>
    <row r="86" customFormat="1" ht="20.100000000000001" customHeight="1"/>
    <row r="87" customFormat="1" ht="20.100000000000001" customHeight="1"/>
    <row r="88" customFormat="1" ht="20.100000000000001" customHeight="1"/>
    <row r="89" customFormat="1" ht="20.100000000000001" customHeight="1"/>
    <row r="90" customFormat="1" ht="20.100000000000001" customHeight="1"/>
    <row r="91" customFormat="1" ht="20.100000000000001" customHeight="1"/>
    <row r="92" customFormat="1" ht="20.100000000000001" customHeight="1"/>
    <row r="93" customFormat="1" ht="20.100000000000001" customHeight="1"/>
    <row r="94" customFormat="1" ht="20.100000000000001" customHeight="1"/>
    <row r="95" customFormat="1" ht="20.100000000000001" customHeight="1"/>
    <row r="96" customFormat="1" ht="20.100000000000001" customHeight="1"/>
    <row r="97" customFormat="1" ht="20.100000000000001" customHeight="1"/>
    <row r="98" customFormat="1" ht="20.100000000000001" customHeight="1"/>
    <row r="99" customFormat="1" ht="20.100000000000001" customHeight="1"/>
    <row r="100" customFormat="1" ht="20.100000000000001" customHeight="1"/>
    <row r="101" customFormat="1" ht="20.100000000000001" customHeight="1"/>
    <row r="102" customFormat="1" ht="20.100000000000001" customHeight="1"/>
    <row r="103" customFormat="1" ht="20.100000000000001" customHeight="1"/>
    <row r="104" customFormat="1" ht="20.100000000000001" customHeight="1"/>
    <row r="105" customFormat="1" ht="20.100000000000001" customHeight="1"/>
    <row r="106" customFormat="1" ht="20.100000000000001" customHeight="1"/>
    <row r="107" customFormat="1" ht="20.100000000000001" customHeight="1"/>
    <row r="108" customFormat="1" ht="20.100000000000001" customHeight="1"/>
    <row r="109" customFormat="1" ht="20.100000000000001" customHeight="1"/>
    <row r="110" customFormat="1" ht="20.100000000000001" customHeight="1"/>
    <row r="111" customFormat="1" ht="20.100000000000001" customHeight="1"/>
    <row r="112" customFormat="1" ht="20.100000000000001" customHeight="1"/>
    <row r="113" spans="3:4" customFormat="1" ht="20.100000000000001" customHeight="1"/>
    <row r="114" spans="3:4" ht="20.100000000000001" customHeight="1">
      <c r="C114" s="1793"/>
      <c r="D114" s="1793"/>
    </row>
    <row r="115" spans="3:4" ht="20.100000000000001" customHeight="1">
      <c r="C115" s="1793"/>
      <c r="D115" s="1793"/>
    </row>
    <row r="116" spans="3:4" ht="20.100000000000001" customHeight="1">
      <c r="C116" s="1793"/>
      <c r="D116" s="1793"/>
    </row>
    <row r="117" spans="3:4" ht="20.100000000000001" customHeight="1">
      <c r="C117" s="1793"/>
      <c r="D117" s="1793"/>
    </row>
    <row r="118" spans="3:4" ht="20.100000000000001" customHeight="1">
      <c r="C118" s="1793"/>
      <c r="D118" s="1793"/>
    </row>
    <row r="119" spans="3:4" ht="20.100000000000001" customHeight="1">
      <c r="C119" s="1793"/>
      <c r="D119" s="1793"/>
    </row>
    <row r="120" spans="3:4" ht="20.100000000000001" customHeight="1">
      <c r="C120" s="1793"/>
      <c r="D120" s="1793"/>
    </row>
    <row r="121" spans="3:4" ht="20.100000000000001" customHeight="1">
      <c r="C121" s="1793"/>
      <c r="D121" s="1793"/>
    </row>
    <row r="122" spans="3:4" ht="20.100000000000001" customHeight="1">
      <c r="C122" s="1793"/>
      <c r="D122" s="1793"/>
    </row>
    <row r="123" spans="3:4" ht="20.100000000000001" customHeight="1">
      <c r="C123" s="1793"/>
      <c r="D123" s="1793"/>
    </row>
    <row r="124" spans="3:4" ht="20.100000000000001" customHeight="1">
      <c r="C124" s="1793"/>
      <c r="D124" s="1793"/>
    </row>
    <row r="125" spans="3:4" ht="20.100000000000001" customHeight="1">
      <c r="C125" s="1793"/>
      <c r="D125" s="1793"/>
    </row>
    <row r="126" spans="3:4" ht="20.100000000000001" customHeight="1">
      <c r="C126" s="1793"/>
      <c r="D126" s="1793"/>
    </row>
    <row r="127" spans="3:4" ht="20.100000000000001" customHeight="1">
      <c r="C127" s="1793"/>
      <c r="D127" s="1793"/>
    </row>
    <row r="128" spans="3:4" ht="20.100000000000001" customHeight="1">
      <c r="C128" s="1793"/>
      <c r="D128" s="1793"/>
    </row>
    <row r="129" spans="3:4" ht="20.100000000000001" customHeight="1">
      <c r="C129" s="1793"/>
      <c r="D129" s="1793"/>
    </row>
    <row r="130" spans="3:4" ht="20.100000000000001" customHeight="1">
      <c r="C130" s="1793"/>
      <c r="D130" s="1793"/>
    </row>
    <row r="131" spans="3:4" ht="20.100000000000001" customHeight="1">
      <c r="C131" s="1793"/>
      <c r="D131" s="1793"/>
    </row>
    <row r="132" spans="3:4" ht="20.100000000000001" customHeight="1">
      <c r="C132" s="1793"/>
      <c r="D132" s="1793"/>
    </row>
    <row r="133" spans="3:4" ht="20.100000000000001" customHeight="1">
      <c r="C133" s="1793"/>
      <c r="D133" s="1793"/>
    </row>
    <row r="134" spans="3:4" ht="20.100000000000001" customHeight="1">
      <c r="C134" s="1793"/>
      <c r="D134" s="1793"/>
    </row>
    <row r="135" spans="3:4" ht="20.100000000000001" customHeight="1">
      <c r="C135" s="1793"/>
      <c r="D135" s="1793"/>
    </row>
    <row r="136" spans="3:4" ht="20.100000000000001" customHeight="1">
      <c r="C136" s="1793"/>
      <c r="D136" s="1793"/>
    </row>
    <row r="137" spans="3:4" ht="20.100000000000001" customHeight="1">
      <c r="C137" s="1793"/>
      <c r="D137" s="1793"/>
    </row>
    <row r="138" spans="3:4" ht="20.100000000000001" customHeight="1">
      <c r="C138" s="1793"/>
      <c r="D138" s="1793"/>
    </row>
    <row r="139" spans="3:4" ht="20.100000000000001" customHeight="1">
      <c r="C139" s="1793"/>
      <c r="D139" s="1793"/>
    </row>
    <row r="140" spans="3:4" ht="20.100000000000001" customHeight="1">
      <c r="C140" s="1793"/>
      <c r="D140" s="1793"/>
    </row>
    <row r="141" spans="3:4" ht="20.100000000000001" customHeight="1">
      <c r="C141" s="1793"/>
      <c r="D141" s="1793"/>
    </row>
    <row r="142" spans="3:4" ht="20.100000000000001" customHeight="1">
      <c r="C142" s="1793"/>
      <c r="D142" s="1793"/>
    </row>
    <row r="143" spans="3:4" ht="20.100000000000001" customHeight="1">
      <c r="C143" s="1793"/>
      <c r="D143" s="1793"/>
    </row>
    <row r="144" spans="3:4" ht="20.100000000000001" customHeight="1">
      <c r="C144" s="1793"/>
      <c r="D144" s="1793"/>
    </row>
    <row r="145" spans="3:4" ht="20.100000000000001" customHeight="1">
      <c r="C145" s="1793"/>
      <c r="D145" s="1793"/>
    </row>
    <row r="146" spans="3:4" ht="20.100000000000001" customHeight="1">
      <c r="C146" s="1793"/>
      <c r="D146" s="1793"/>
    </row>
    <row r="147" spans="3:4" ht="20.100000000000001" customHeight="1">
      <c r="C147" s="1793"/>
      <c r="D147" s="1793"/>
    </row>
    <row r="148" spans="3:4" ht="20.100000000000001" customHeight="1">
      <c r="C148" s="1793"/>
      <c r="D148" s="1793"/>
    </row>
    <row r="149" spans="3:4" ht="20.100000000000001" customHeight="1">
      <c r="C149" s="1793"/>
      <c r="D149" s="1793"/>
    </row>
    <row r="150" spans="3:4" ht="20.100000000000001" customHeight="1">
      <c r="C150" s="1793"/>
      <c r="D150" s="1793"/>
    </row>
    <row r="151" spans="3:4" ht="20.100000000000001" customHeight="1">
      <c r="C151" s="1793"/>
      <c r="D151" s="1793"/>
    </row>
    <row r="152" spans="3:4" ht="20.100000000000001" customHeight="1">
      <c r="C152" s="1793"/>
      <c r="D152" s="1793"/>
    </row>
    <row r="153" spans="3:4" ht="20.100000000000001" customHeight="1">
      <c r="C153" s="1793"/>
      <c r="D153" s="1793"/>
    </row>
    <row r="154" spans="3:4" ht="20.100000000000001" customHeight="1">
      <c r="C154" s="1793"/>
      <c r="D154" s="1793"/>
    </row>
    <row r="155" spans="3:4" ht="20.100000000000001" customHeight="1">
      <c r="C155" s="1793"/>
      <c r="D155" s="1793"/>
    </row>
    <row r="156" spans="3:4" ht="20.100000000000001" customHeight="1">
      <c r="C156" s="1793"/>
      <c r="D156" s="1793"/>
    </row>
    <row r="157" spans="3:4" ht="20.100000000000001" customHeight="1">
      <c r="C157" s="1793"/>
      <c r="D157" s="1793"/>
    </row>
    <row r="158" spans="3:4" ht="20.100000000000001" customHeight="1">
      <c r="C158" s="1793"/>
      <c r="D158" s="1793"/>
    </row>
    <row r="159" spans="3:4" ht="20.100000000000001" customHeight="1">
      <c r="C159" s="1793"/>
      <c r="D159" s="1793"/>
    </row>
    <row r="160" spans="3:4" ht="20.100000000000001" customHeight="1">
      <c r="C160" s="1793"/>
      <c r="D160" s="1793"/>
    </row>
    <row r="161" spans="3:4" ht="20.100000000000001" customHeight="1">
      <c r="C161" s="1793"/>
      <c r="D161" s="1793"/>
    </row>
    <row r="162" spans="3:4" ht="20.100000000000001" customHeight="1">
      <c r="C162" s="1793"/>
      <c r="D162" s="1793"/>
    </row>
    <row r="163" spans="3:4" ht="20.100000000000001" customHeight="1">
      <c r="C163" s="1793"/>
      <c r="D163" s="1793"/>
    </row>
    <row r="164" spans="3:4" ht="20.100000000000001" customHeight="1">
      <c r="C164" s="1793"/>
      <c r="D164" s="1793"/>
    </row>
    <row r="165" spans="3:4" ht="20.100000000000001" customHeight="1">
      <c r="C165" s="1793"/>
      <c r="D165" s="1793"/>
    </row>
    <row r="166" spans="3:4" ht="20.100000000000001" customHeight="1">
      <c r="C166" s="1793"/>
      <c r="D166" s="1793"/>
    </row>
    <row r="167" spans="3:4" ht="20.100000000000001" customHeight="1">
      <c r="C167" s="1793"/>
      <c r="D167" s="1793"/>
    </row>
    <row r="168" spans="3:4" ht="20.100000000000001" customHeight="1">
      <c r="C168" s="1793"/>
      <c r="D168" s="1793"/>
    </row>
    <row r="169" spans="3:4" ht="20.100000000000001" customHeight="1">
      <c r="C169" s="1793"/>
      <c r="D169" s="1793"/>
    </row>
    <row r="170" spans="3:4" ht="20.100000000000001" customHeight="1">
      <c r="C170" s="1793"/>
      <c r="D170" s="1793"/>
    </row>
    <row r="171" spans="3:4" ht="20.100000000000001" customHeight="1">
      <c r="C171" s="1793"/>
      <c r="D171" s="1793"/>
    </row>
    <row r="172" spans="3:4" ht="20.100000000000001" customHeight="1">
      <c r="C172" s="1793"/>
      <c r="D172" s="1793"/>
    </row>
    <row r="173" spans="3:4" ht="20.100000000000001" customHeight="1">
      <c r="C173" s="1793"/>
      <c r="D173" s="1793"/>
    </row>
    <row r="174" spans="3:4" ht="20.100000000000001" customHeight="1">
      <c r="C174" s="1793"/>
      <c r="D174" s="1793"/>
    </row>
    <row r="175" spans="3:4" ht="20.100000000000001" customHeight="1">
      <c r="C175" s="1793"/>
      <c r="D175" s="1793"/>
    </row>
    <row r="176" spans="3:4" ht="20.100000000000001" customHeight="1">
      <c r="C176" s="1793"/>
      <c r="D176" s="1793"/>
    </row>
    <row r="177" spans="3:4" ht="20.100000000000001" customHeight="1">
      <c r="C177" s="1793"/>
      <c r="D177" s="1793"/>
    </row>
    <row r="178" spans="3:4" ht="20.100000000000001" customHeight="1">
      <c r="C178" s="1793"/>
      <c r="D178" s="1793"/>
    </row>
    <row r="179" spans="3:4" ht="20.100000000000001" customHeight="1">
      <c r="C179" s="1793"/>
      <c r="D179" s="1793"/>
    </row>
    <row r="180" spans="3:4" ht="20.100000000000001" customHeight="1">
      <c r="C180" s="1793"/>
      <c r="D180" s="1793"/>
    </row>
    <row r="181" spans="3:4" ht="20.100000000000001" customHeight="1">
      <c r="C181" s="1793"/>
      <c r="D181" s="1793"/>
    </row>
    <row r="182" spans="3:4" ht="20.100000000000001" customHeight="1">
      <c r="C182" s="1793"/>
      <c r="D182" s="1793"/>
    </row>
    <row r="183" spans="3:4" ht="20.100000000000001" customHeight="1">
      <c r="C183" s="1793"/>
      <c r="D183" s="1793"/>
    </row>
    <row r="184" spans="3:4" ht="20.100000000000001" customHeight="1">
      <c r="C184" s="1793"/>
      <c r="D184" s="1793"/>
    </row>
    <row r="185" spans="3:4" ht="20.100000000000001" customHeight="1">
      <c r="C185" s="1793"/>
      <c r="D185" s="1793"/>
    </row>
    <row r="186" spans="3:4" ht="20.100000000000001" customHeight="1">
      <c r="C186" s="1793"/>
      <c r="D186" s="1793"/>
    </row>
    <row r="187" spans="3:4" ht="20.100000000000001" customHeight="1">
      <c r="C187" s="1793"/>
      <c r="D187" s="1793"/>
    </row>
    <row r="188" spans="3:4" ht="20.100000000000001" customHeight="1">
      <c r="C188" s="1793"/>
      <c r="D188" s="1793"/>
    </row>
    <row r="189" spans="3:4" ht="20.100000000000001" customHeight="1">
      <c r="C189" s="1793"/>
      <c r="D189" s="1793"/>
    </row>
    <row r="190" spans="3:4" ht="20.100000000000001" customHeight="1">
      <c r="C190" s="1793"/>
      <c r="D190" s="1793"/>
    </row>
    <row r="191" spans="3:4" ht="20.100000000000001" customHeight="1">
      <c r="C191" s="1793"/>
      <c r="D191" s="1793"/>
    </row>
    <row r="192" spans="3:4" ht="20.100000000000001" customHeight="1">
      <c r="C192" s="1793"/>
      <c r="D192" s="1793"/>
    </row>
    <row r="193" spans="3:4" ht="20.100000000000001" customHeight="1">
      <c r="C193" s="1793"/>
      <c r="D193" s="1793"/>
    </row>
    <row r="194" spans="3:4" ht="20.100000000000001" customHeight="1">
      <c r="C194" s="1793"/>
      <c r="D194" s="1793"/>
    </row>
    <row r="195" spans="3:4" ht="20.100000000000001" customHeight="1">
      <c r="C195" s="1793"/>
      <c r="D195" s="1793"/>
    </row>
    <row r="196" spans="3:4" ht="20.100000000000001" customHeight="1">
      <c r="C196" s="1793"/>
      <c r="D196" s="1793"/>
    </row>
    <row r="197" spans="3:4" ht="20.100000000000001" customHeight="1">
      <c r="C197" s="1793"/>
      <c r="D197" s="1793"/>
    </row>
    <row r="198" spans="3:4" ht="20.100000000000001" customHeight="1">
      <c r="C198" s="1793"/>
      <c r="D198" s="1793"/>
    </row>
    <row r="199" spans="3:4" ht="20.100000000000001" customHeight="1">
      <c r="C199" s="1793"/>
      <c r="D199" s="1793"/>
    </row>
    <row r="200" spans="3:4" ht="20.100000000000001" customHeight="1">
      <c r="C200" s="1793"/>
      <c r="D200" s="1793"/>
    </row>
    <row r="201" spans="3:4" ht="20.100000000000001" customHeight="1">
      <c r="C201" s="1793"/>
      <c r="D201" s="1793"/>
    </row>
    <row r="202" spans="3:4" ht="20.100000000000001" customHeight="1">
      <c r="C202" s="1793"/>
      <c r="D202" s="1793"/>
    </row>
    <row r="203" spans="3:4" ht="20.100000000000001" customHeight="1">
      <c r="C203" s="1793"/>
      <c r="D203" s="1793"/>
    </row>
    <row r="204" spans="3:4" ht="20.100000000000001" customHeight="1">
      <c r="C204" s="1793"/>
      <c r="D204" s="1793"/>
    </row>
    <row r="205" spans="3:4" ht="20.100000000000001" customHeight="1">
      <c r="C205" s="1793"/>
      <c r="D205" s="1793"/>
    </row>
    <row r="206" spans="3:4" ht="20.100000000000001" customHeight="1">
      <c r="C206" s="1793"/>
      <c r="D206" s="1793"/>
    </row>
    <row r="207" spans="3:4" ht="20.100000000000001" customHeight="1">
      <c r="C207" s="1793"/>
      <c r="D207" s="1793"/>
    </row>
    <row r="208" spans="3:4" ht="20.100000000000001" customHeight="1">
      <c r="C208" s="1793"/>
      <c r="D208" s="1793"/>
    </row>
    <row r="209" spans="3:4" ht="20.100000000000001" customHeight="1">
      <c r="C209" s="1793"/>
      <c r="D209" s="1793"/>
    </row>
    <row r="210" spans="3:4" ht="20.100000000000001" customHeight="1">
      <c r="C210" s="1793"/>
      <c r="D210" s="1793"/>
    </row>
    <row r="211" spans="3:4" ht="20.100000000000001" customHeight="1">
      <c r="C211" s="1793"/>
      <c r="D211" s="1793"/>
    </row>
    <row r="212" spans="3:4" ht="20.100000000000001" customHeight="1">
      <c r="C212" s="1793"/>
      <c r="D212" s="1793"/>
    </row>
    <row r="213" spans="3:4" ht="20.100000000000001" customHeight="1">
      <c r="C213" s="1793"/>
      <c r="D213" s="1793"/>
    </row>
    <row r="214" spans="3:4" ht="20.100000000000001" customHeight="1">
      <c r="C214" s="1793"/>
      <c r="D214" s="1793"/>
    </row>
    <row r="215" spans="3:4" ht="20.100000000000001" customHeight="1">
      <c r="C215" s="1793"/>
      <c r="D215" s="1793"/>
    </row>
    <row r="216" spans="3:4" ht="20.100000000000001" customHeight="1">
      <c r="C216" s="1793"/>
      <c r="D216" s="1793"/>
    </row>
    <row r="217" spans="3:4" ht="20.100000000000001" customHeight="1">
      <c r="C217" s="1793"/>
      <c r="D217" s="1793"/>
    </row>
    <row r="218" spans="3:4" ht="20.100000000000001" customHeight="1">
      <c r="C218" s="1793"/>
      <c r="D218" s="1793"/>
    </row>
    <row r="219" spans="3:4" ht="20.100000000000001" customHeight="1">
      <c r="C219" s="1793"/>
      <c r="D219" s="1793"/>
    </row>
    <row r="220" spans="3:4" ht="20.100000000000001" customHeight="1">
      <c r="C220" s="1793"/>
      <c r="D220" s="1793"/>
    </row>
    <row r="221" spans="3:4" ht="20.100000000000001" customHeight="1">
      <c r="C221" s="1793"/>
      <c r="D221" s="1793"/>
    </row>
    <row r="222" spans="3:4" ht="20.100000000000001" customHeight="1">
      <c r="C222" s="1793"/>
      <c r="D222" s="1793"/>
    </row>
    <row r="223" spans="3:4" ht="20.100000000000001" customHeight="1">
      <c r="C223" s="1793"/>
      <c r="D223" s="1793"/>
    </row>
    <row r="224" spans="3:4" ht="20.100000000000001" customHeight="1">
      <c r="C224" s="1793"/>
      <c r="D224" s="1793"/>
    </row>
    <row r="225" spans="3:4" ht="20.100000000000001" customHeight="1">
      <c r="C225" s="1793"/>
      <c r="D225" s="1793"/>
    </row>
    <row r="226" spans="3:4" ht="20.100000000000001" customHeight="1">
      <c r="C226" s="1793"/>
      <c r="D226" s="1793"/>
    </row>
    <row r="227" spans="3:4" ht="20.100000000000001" customHeight="1">
      <c r="C227" s="1793"/>
      <c r="D227" s="1793"/>
    </row>
    <row r="228" spans="3:4" ht="20.100000000000001" customHeight="1">
      <c r="C228" s="1793"/>
      <c r="D228" s="1793"/>
    </row>
    <row r="229" spans="3:4" ht="20.100000000000001" customHeight="1">
      <c r="C229" s="1793"/>
      <c r="D229" s="1793"/>
    </row>
    <row r="230" spans="3:4" ht="20.100000000000001" customHeight="1">
      <c r="C230" s="1793"/>
      <c r="D230" s="1793"/>
    </row>
    <row r="231" spans="3:4" ht="20.100000000000001" customHeight="1">
      <c r="C231" s="1793"/>
      <c r="D231" s="1793"/>
    </row>
    <row r="232" spans="3:4" ht="20.100000000000001" customHeight="1">
      <c r="C232" s="1793"/>
      <c r="D232" s="1793"/>
    </row>
    <row r="233" spans="3:4" ht="20.100000000000001" customHeight="1">
      <c r="C233" s="1793"/>
      <c r="D233" s="1793"/>
    </row>
    <row r="234" spans="3:4" ht="20.100000000000001" customHeight="1">
      <c r="C234" s="1793"/>
      <c r="D234" s="1793"/>
    </row>
    <row r="235" spans="3:4" ht="20.100000000000001" customHeight="1">
      <c r="C235" s="1793"/>
      <c r="D235" s="1793"/>
    </row>
    <row r="236" spans="3:4" ht="20.100000000000001" customHeight="1">
      <c r="C236" s="1793"/>
      <c r="D236" s="1793"/>
    </row>
    <row r="237" spans="3:4" ht="20.100000000000001" customHeight="1">
      <c r="C237" s="1793"/>
      <c r="D237" s="1793"/>
    </row>
    <row r="238" spans="3:4" ht="20.100000000000001" customHeight="1">
      <c r="C238" s="1793"/>
      <c r="D238" s="1793"/>
    </row>
    <row r="239" spans="3:4" ht="20.100000000000001" customHeight="1">
      <c r="C239" s="1793"/>
      <c r="D239" s="1793"/>
    </row>
    <row r="240" spans="3:4" ht="20.100000000000001" customHeight="1">
      <c r="C240" s="1793"/>
      <c r="D240" s="1793"/>
    </row>
    <row r="241" spans="3:4" ht="20.100000000000001" customHeight="1">
      <c r="C241" s="1793"/>
      <c r="D241" s="1793"/>
    </row>
    <row r="242" spans="3:4" ht="20.100000000000001" customHeight="1">
      <c r="C242" s="1793"/>
      <c r="D242" s="1793"/>
    </row>
    <row r="243" spans="3:4" ht="20.100000000000001" customHeight="1">
      <c r="C243" s="1793"/>
      <c r="D243" s="1793"/>
    </row>
    <row r="244" spans="3:4" ht="20.100000000000001" customHeight="1">
      <c r="C244" s="1793"/>
      <c r="D244" s="1793"/>
    </row>
    <row r="245" spans="3:4" ht="20.100000000000001" customHeight="1">
      <c r="C245" s="1793"/>
      <c r="D245" s="1793"/>
    </row>
    <row r="246" spans="3:4" ht="20.100000000000001" customHeight="1">
      <c r="C246" s="1793"/>
      <c r="D246" s="1793"/>
    </row>
    <row r="247" spans="3:4" ht="20.100000000000001" customHeight="1">
      <c r="C247" s="1793"/>
      <c r="D247" s="1793"/>
    </row>
    <row r="248" spans="3:4" ht="20.100000000000001" customHeight="1">
      <c r="C248" s="1793"/>
      <c r="D248" s="1793"/>
    </row>
    <row r="249" spans="3:4" ht="20.100000000000001" customHeight="1">
      <c r="C249" s="1793"/>
      <c r="D249" s="1793"/>
    </row>
    <row r="250" spans="3:4" ht="20.100000000000001" customHeight="1">
      <c r="C250" s="1793"/>
      <c r="D250" s="1793"/>
    </row>
    <row r="251" spans="3:4" ht="20.100000000000001" customHeight="1">
      <c r="C251" s="1793"/>
      <c r="D251" s="1793"/>
    </row>
    <row r="252" spans="3:4" ht="20.100000000000001" customHeight="1">
      <c r="C252" s="1793"/>
      <c r="D252" s="1793"/>
    </row>
    <row r="253" spans="3:4" ht="20.100000000000001" customHeight="1">
      <c r="C253" s="1793"/>
      <c r="D253" s="1793"/>
    </row>
    <row r="254" spans="3:4" ht="20.100000000000001" customHeight="1">
      <c r="C254" s="1793"/>
      <c r="D254" s="1793"/>
    </row>
    <row r="255" spans="3:4" ht="20.100000000000001" customHeight="1">
      <c r="C255" s="1793"/>
      <c r="D255" s="1793"/>
    </row>
    <row r="256" spans="3:4" ht="20.100000000000001" customHeight="1">
      <c r="C256" s="1793"/>
      <c r="D256" s="1793"/>
    </row>
    <row r="257" spans="3:4" ht="20.100000000000001" customHeight="1">
      <c r="C257" s="1793"/>
      <c r="D257" s="1793"/>
    </row>
    <row r="258" spans="3:4" ht="20.100000000000001" customHeight="1">
      <c r="C258" s="1793"/>
      <c r="D258" s="1793"/>
    </row>
    <row r="259" spans="3:4" ht="20.100000000000001" customHeight="1">
      <c r="C259" s="1793"/>
      <c r="D259" s="1793"/>
    </row>
    <row r="260" spans="3:4" ht="20.100000000000001" customHeight="1">
      <c r="C260" s="1793"/>
      <c r="D260" s="1793"/>
    </row>
    <row r="261" spans="3:4" ht="20.100000000000001" customHeight="1">
      <c r="C261" s="1793"/>
      <c r="D261" s="1793"/>
    </row>
    <row r="262" spans="3:4" ht="20.100000000000001" customHeight="1">
      <c r="C262" s="1793"/>
      <c r="D262" s="1793"/>
    </row>
    <row r="263" spans="3:4" ht="20.100000000000001" customHeight="1">
      <c r="C263" s="1793"/>
      <c r="D263" s="1793"/>
    </row>
    <row r="264" spans="3:4" ht="20.100000000000001" customHeight="1">
      <c r="C264" s="1793"/>
      <c r="D264" s="1793"/>
    </row>
    <row r="265" spans="3:4" ht="20.100000000000001" customHeight="1">
      <c r="C265" s="1793"/>
      <c r="D265" s="1793"/>
    </row>
    <row r="266" spans="3:4" ht="20.100000000000001" customHeight="1">
      <c r="C266" s="1793"/>
      <c r="D266" s="1793"/>
    </row>
    <row r="267" spans="3:4" ht="20.100000000000001" customHeight="1">
      <c r="C267" s="1793"/>
      <c r="D267" s="1793"/>
    </row>
    <row r="268" spans="3:4" ht="20.100000000000001" customHeight="1">
      <c r="C268" s="1793"/>
      <c r="D268" s="1793"/>
    </row>
    <row r="269" spans="3:4" ht="20.100000000000001" customHeight="1">
      <c r="C269" s="1793"/>
      <c r="D269" s="1793"/>
    </row>
    <row r="270" spans="3:4" ht="20.100000000000001" customHeight="1">
      <c r="C270" s="1793"/>
      <c r="D270" s="1793"/>
    </row>
    <row r="271" spans="3:4" ht="20.100000000000001" customHeight="1">
      <c r="C271" s="1793"/>
      <c r="D271" s="1793"/>
    </row>
    <row r="272" spans="3:4" ht="20.100000000000001" customHeight="1">
      <c r="C272" s="1793"/>
      <c r="D272" s="1793"/>
    </row>
    <row r="273" spans="3:4" ht="20.100000000000001" customHeight="1">
      <c r="C273" s="1793"/>
      <c r="D273" s="1793"/>
    </row>
    <row r="274" spans="3:4" ht="20.100000000000001" customHeight="1">
      <c r="C274" s="1793"/>
      <c r="D274" s="1793"/>
    </row>
    <row r="275" spans="3:4" ht="20.100000000000001" customHeight="1">
      <c r="C275" s="1793"/>
      <c r="D275" s="1793"/>
    </row>
    <row r="276" spans="3:4" ht="20.100000000000001" customHeight="1">
      <c r="C276" s="1793"/>
      <c r="D276" s="1793"/>
    </row>
    <row r="277" spans="3:4" ht="20.100000000000001" customHeight="1">
      <c r="C277" s="1793"/>
      <c r="D277" s="1793"/>
    </row>
    <row r="278" spans="3:4" ht="20.100000000000001" customHeight="1">
      <c r="C278" s="1793"/>
      <c r="D278" s="1793"/>
    </row>
    <row r="279" spans="3:4" ht="20.100000000000001" customHeight="1">
      <c r="C279" s="1793"/>
      <c r="D279" s="1793"/>
    </row>
    <row r="280" spans="3:4" ht="20.100000000000001" customHeight="1">
      <c r="C280" s="1793"/>
      <c r="D280" s="1793"/>
    </row>
    <row r="281" spans="3:4" ht="20.100000000000001" customHeight="1">
      <c r="C281" s="1793"/>
      <c r="D281" s="1793"/>
    </row>
    <row r="282" spans="3:4" ht="20.100000000000001" customHeight="1">
      <c r="C282" s="1793"/>
      <c r="D282" s="1793"/>
    </row>
    <row r="283" spans="3:4" ht="20.100000000000001" customHeight="1">
      <c r="C283" s="1793"/>
      <c r="D283" s="1793"/>
    </row>
    <row r="284" spans="3:4" ht="20.100000000000001" customHeight="1">
      <c r="C284" s="1793"/>
      <c r="D284" s="1793"/>
    </row>
    <row r="285" spans="3:4" ht="20.100000000000001" customHeight="1">
      <c r="C285" s="1793"/>
      <c r="D285" s="1793"/>
    </row>
    <row r="286" spans="3:4" ht="20.100000000000001" customHeight="1">
      <c r="C286" s="1793"/>
      <c r="D286" s="1793"/>
    </row>
    <row r="287" spans="3:4" ht="20.100000000000001" customHeight="1">
      <c r="C287" s="1793"/>
      <c r="D287" s="1793"/>
    </row>
    <row r="288" spans="3:4" ht="20.100000000000001" customHeight="1">
      <c r="C288" s="1793"/>
      <c r="D288" s="1793"/>
    </row>
    <row r="289" spans="3:4" ht="20.100000000000001" customHeight="1">
      <c r="C289" s="1793"/>
      <c r="D289" s="1793"/>
    </row>
    <row r="290" spans="3:4" ht="20.100000000000001" customHeight="1">
      <c r="C290" s="1793"/>
      <c r="D290" s="1793"/>
    </row>
    <row r="291" spans="3:4" ht="20.100000000000001" customHeight="1">
      <c r="C291" s="1793"/>
      <c r="D291" s="1793"/>
    </row>
    <row r="292" spans="3:4" ht="20.100000000000001" customHeight="1">
      <c r="C292" s="1793"/>
      <c r="D292" s="1793"/>
    </row>
    <row r="293" spans="3:4" ht="20.100000000000001" customHeight="1">
      <c r="C293" s="1793"/>
      <c r="D293" s="1793"/>
    </row>
    <row r="294" spans="3:4" ht="20.100000000000001" customHeight="1">
      <c r="C294" s="1793"/>
      <c r="D294" s="1793"/>
    </row>
    <row r="295" spans="3:4" ht="20.100000000000001" customHeight="1">
      <c r="C295" s="1793"/>
      <c r="D295" s="1793"/>
    </row>
    <row r="296" spans="3:4" ht="20.100000000000001" customHeight="1">
      <c r="C296" s="1793"/>
      <c r="D296" s="1793"/>
    </row>
    <row r="297" spans="3:4" ht="20.100000000000001" customHeight="1">
      <c r="C297" s="1793"/>
      <c r="D297" s="1793"/>
    </row>
    <row r="298" spans="3:4" ht="20.100000000000001" customHeight="1">
      <c r="C298" s="1793"/>
      <c r="D298" s="1793"/>
    </row>
    <row r="299" spans="3:4" ht="20.100000000000001" customHeight="1">
      <c r="C299" s="1793"/>
      <c r="D299" s="1793"/>
    </row>
    <row r="300" spans="3:4" ht="20.100000000000001" customHeight="1">
      <c r="C300" s="1793"/>
      <c r="D300" s="1793"/>
    </row>
    <row r="301" spans="3:4" ht="20.100000000000001" customHeight="1">
      <c r="C301" s="1793"/>
      <c r="D301" s="1793"/>
    </row>
    <row r="302" spans="3:4" ht="20.100000000000001" customHeight="1">
      <c r="C302" s="1793"/>
      <c r="D302" s="1793"/>
    </row>
    <row r="303" spans="3:4" ht="20.100000000000001" customHeight="1">
      <c r="C303" s="1793"/>
      <c r="D303" s="1793"/>
    </row>
    <row r="304" spans="3:4" ht="20.100000000000001" customHeight="1">
      <c r="C304" s="1793"/>
      <c r="D304" s="1793"/>
    </row>
    <row r="305" spans="3:4" ht="20.100000000000001" customHeight="1">
      <c r="C305" s="1793"/>
      <c r="D305" s="1793"/>
    </row>
    <row r="306" spans="3:4" ht="20.100000000000001" customHeight="1">
      <c r="C306" s="1793"/>
      <c r="D306" s="1793"/>
    </row>
    <row r="307" spans="3:4" ht="20.100000000000001" customHeight="1">
      <c r="C307" s="1793"/>
      <c r="D307" s="1793"/>
    </row>
    <row r="308" spans="3:4" ht="20.100000000000001" customHeight="1">
      <c r="C308" s="1793"/>
      <c r="D308" s="1793"/>
    </row>
    <row r="309" spans="3:4" ht="20.100000000000001" customHeight="1">
      <c r="C309" s="1793"/>
      <c r="D309" s="1793"/>
    </row>
    <row r="310" spans="3:4" ht="20.100000000000001" customHeight="1">
      <c r="C310" s="1793"/>
      <c r="D310" s="1793"/>
    </row>
    <row r="311" spans="3:4" ht="20.100000000000001" customHeight="1">
      <c r="C311" s="1793"/>
      <c r="D311" s="1793"/>
    </row>
    <row r="312" spans="3:4" ht="20.100000000000001" customHeight="1">
      <c r="C312" s="1793"/>
      <c r="D312" s="1793"/>
    </row>
    <row r="313" spans="3:4" ht="20.100000000000001" customHeight="1">
      <c r="C313" s="1793"/>
      <c r="D313" s="1793"/>
    </row>
    <row r="314" spans="3:4" ht="20.100000000000001" customHeight="1">
      <c r="C314" s="1793"/>
      <c r="D314" s="1793"/>
    </row>
    <row r="315" spans="3:4" ht="20.100000000000001" customHeight="1">
      <c r="C315" s="1793"/>
      <c r="D315" s="1793"/>
    </row>
    <row r="316" spans="3:4" ht="20.100000000000001" customHeight="1">
      <c r="C316" s="1793"/>
      <c r="D316" s="1793"/>
    </row>
    <row r="317" spans="3:4" ht="20.100000000000001" customHeight="1">
      <c r="C317" s="1793"/>
      <c r="D317" s="1793"/>
    </row>
    <row r="318" spans="3:4" ht="20.100000000000001" customHeight="1">
      <c r="C318" s="1793"/>
      <c r="D318" s="1793"/>
    </row>
    <row r="319" spans="3:4" ht="20.100000000000001" customHeight="1">
      <c r="C319" s="1793"/>
      <c r="D319" s="1793"/>
    </row>
    <row r="320" spans="3:4" ht="20.100000000000001" customHeight="1">
      <c r="C320" s="1793"/>
      <c r="D320" s="1793"/>
    </row>
    <row r="321" spans="3:4" ht="20.100000000000001" customHeight="1">
      <c r="C321" s="1793"/>
      <c r="D321" s="1793"/>
    </row>
    <row r="322" spans="3:4" ht="20.100000000000001" customHeight="1">
      <c r="C322" s="1793"/>
      <c r="D322" s="1793"/>
    </row>
    <row r="323" spans="3:4" ht="20.100000000000001" customHeight="1">
      <c r="C323" s="1793"/>
      <c r="D323" s="1793"/>
    </row>
    <row r="324" spans="3:4" ht="20.100000000000001" customHeight="1">
      <c r="C324" s="1793"/>
      <c r="D324" s="1793"/>
    </row>
    <row r="325" spans="3:4" ht="20.100000000000001" customHeight="1">
      <c r="C325" s="1793"/>
      <c r="D325" s="1793"/>
    </row>
    <row r="326" spans="3:4" ht="20.100000000000001" customHeight="1">
      <c r="C326" s="1793"/>
      <c r="D326" s="1793"/>
    </row>
    <row r="327" spans="3:4" ht="20.100000000000001" customHeight="1">
      <c r="C327" s="1793"/>
      <c r="D327" s="1793"/>
    </row>
    <row r="328" spans="3:4" ht="20.100000000000001" customHeight="1">
      <c r="C328" s="1793"/>
      <c r="D328" s="1793"/>
    </row>
    <row r="329" spans="3:4" ht="20.100000000000001" customHeight="1">
      <c r="C329" s="1793"/>
      <c r="D329" s="1793"/>
    </row>
    <row r="330" spans="3:4" ht="20.100000000000001" customHeight="1">
      <c r="C330" s="1793"/>
      <c r="D330" s="1793"/>
    </row>
    <row r="331" spans="3:4" ht="20.100000000000001" customHeight="1">
      <c r="C331" s="1793"/>
      <c r="D331" s="1793"/>
    </row>
    <row r="332" spans="3:4" ht="20.100000000000001" customHeight="1">
      <c r="C332" s="1793"/>
      <c r="D332" s="1793"/>
    </row>
    <row r="333" spans="3:4" ht="20.100000000000001" customHeight="1">
      <c r="C333" s="1793"/>
      <c r="D333" s="1793"/>
    </row>
    <row r="334" spans="3:4" ht="20.100000000000001" customHeight="1">
      <c r="C334" s="1793"/>
      <c r="D334" s="1793"/>
    </row>
    <row r="335" spans="3:4" ht="20.100000000000001" customHeight="1">
      <c r="C335" s="1793"/>
      <c r="D335" s="1793"/>
    </row>
    <row r="336" spans="3:4" ht="20.100000000000001" customHeight="1">
      <c r="C336" s="1793"/>
      <c r="D336" s="1793"/>
    </row>
    <row r="337" spans="3:4" ht="20.100000000000001" customHeight="1">
      <c r="C337" s="1793"/>
      <c r="D337" s="1793"/>
    </row>
    <row r="338" spans="3:4" ht="20.100000000000001" customHeight="1">
      <c r="C338" s="1793"/>
      <c r="D338" s="1793"/>
    </row>
    <row r="339" spans="3:4" ht="20.100000000000001" customHeight="1">
      <c r="C339" s="1793"/>
      <c r="D339" s="1793"/>
    </row>
    <row r="340" spans="3:4" ht="20.100000000000001" customHeight="1">
      <c r="C340" s="1793"/>
      <c r="D340" s="1793"/>
    </row>
    <row r="341" spans="3:4" ht="20.100000000000001" customHeight="1">
      <c r="C341" s="1793"/>
      <c r="D341" s="1793"/>
    </row>
    <row r="342" spans="3:4" ht="20.100000000000001" customHeight="1">
      <c r="C342" s="1793"/>
      <c r="D342" s="1793"/>
    </row>
    <row r="343" spans="3:4" ht="20.100000000000001" customHeight="1">
      <c r="C343" s="1793"/>
      <c r="D343" s="1793"/>
    </row>
    <row r="344" spans="3:4" ht="20.100000000000001" customHeight="1">
      <c r="C344" s="1793"/>
      <c r="D344" s="1793"/>
    </row>
    <row r="345" spans="3:4" ht="20.100000000000001" customHeight="1">
      <c r="C345" s="1793"/>
      <c r="D345" s="1793"/>
    </row>
    <row r="346" spans="3:4" ht="20.100000000000001" customHeight="1">
      <c r="C346" s="1793"/>
      <c r="D346" s="1793"/>
    </row>
    <row r="347" spans="3:4" ht="20.100000000000001" customHeight="1">
      <c r="C347" s="1793"/>
      <c r="D347" s="1793"/>
    </row>
    <row r="348" spans="3:4" ht="20.100000000000001" customHeight="1">
      <c r="C348" s="1793"/>
      <c r="D348" s="1793"/>
    </row>
    <row r="349" spans="3:4" ht="20.100000000000001" customHeight="1">
      <c r="C349" s="1793"/>
      <c r="D349" s="1793"/>
    </row>
    <row r="350" spans="3:4" ht="20.100000000000001" customHeight="1">
      <c r="C350" s="1793"/>
      <c r="D350" s="1793"/>
    </row>
    <row r="351" spans="3:4" ht="20.100000000000001" customHeight="1">
      <c r="C351" s="1793"/>
      <c r="D351" s="1793"/>
    </row>
    <row r="352" spans="3:4" ht="20.100000000000001" customHeight="1">
      <c r="C352" s="1793"/>
      <c r="D352" s="1793"/>
    </row>
    <row r="353" spans="3:4" ht="20.100000000000001" customHeight="1">
      <c r="C353" s="1793"/>
      <c r="D353" s="1793"/>
    </row>
    <row r="354" spans="3:4" ht="20.100000000000001" customHeight="1">
      <c r="C354" s="1793"/>
      <c r="D354" s="1793"/>
    </row>
    <row r="355" spans="3:4" ht="20.100000000000001" customHeight="1">
      <c r="C355" s="1793"/>
      <c r="D355" s="1793"/>
    </row>
    <row r="356" spans="3:4" ht="20.100000000000001" customHeight="1">
      <c r="C356" s="1793"/>
      <c r="D356" s="1793"/>
    </row>
    <row r="357" spans="3:4" ht="20.100000000000001" customHeight="1">
      <c r="C357" s="1793"/>
      <c r="D357" s="1793"/>
    </row>
    <row r="358" spans="3:4" ht="20.100000000000001" customHeight="1">
      <c r="C358" s="1793"/>
      <c r="D358" s="1793"/>
    </row>
    <row r="359" spans="3:4" ht="20.100000000000001" customHeight="1">
      <c r="C359" s="1793"/>
      <c r="D359" s="1793"/>
    </row>
    <row r="360" spans="3:4" ht="20.100000000000001" customHeight="1">
      <c r="C360" s="1793"/>
      <c r="D360" s="1793"/>
    </row>
    <row r="361" spans="3:4" ht="20.100000000000001" customHeight="1">
      <c r="C361" s="1793"/>
      <c r="D361" s="1793"/>
    </row>
    <row r="362" spans="3:4" ht="20.100000000000001" customHeight="1">
      <c r="C362" s="1793"/>
      <c r="D362" s="1793"/>
    </row>
    <row r="363" spans="3:4" ht="20.100000000000001" customHeight="1">
      <c r="C363" s="1793"/>
      <c r="D363" s="1793"/>
    </row>
    <row r="364" spans="3:4" ht="20.100000000000001" customHeight="1">
      <c r="C364" s="1793"/>
      <c r="D364" s="1793"/>
    </row>
    <row r="365" spans="3:4" ht="20.100000000000001" customHeight="1">
      <c r="C365" s="1793"/>
      <c r="D365" s="1793"/>
    </row>
    <row r="366" spans="3:4" ht="20.100000000000001" customHeight="1">
      <c r="C366" s="1793"/>
      <c r="D366" s="1793"/>
    </row>
    <row r="367" spans="3:4" ht="20.100000000000001" customHeight="1">
      <c r="C367" s="1793"/>
      <c r="D367" s="1793"/>
    </row>
    <row r="368" spans="3:4" ht="20.100000000000001" customHeight="1">
      <c r="C368" s="1793"/>
      <c r="D368" s="1793"/>
    </row>
    <row r="369" spans="3:4" ht="20.100000000000001" customHeight="1">
      <c r="C369" s="1793"/>
      <c r="D369" s="1793"/>
    </row>
    <row r="370" spans="3:4" ht="20.100000000000001" customHeight="1">
      <c r="C370" s="1793"/>
      <c r="D370" s="1793"/>
    </row>
    <row r="371" spans="3:4" ht="20.100000000000001" customHeight="1">
      <c r="C371" s="1793"/>
      <c r="D371" s="1793"/>
    </row>
    <row r="372" spans="3:4" ht="20.100000000000001" customHeight="1">
      <c r="C372" s="1793"/>
      <c r="D372" s="1793"/>
    </row>
    <row r="373" spans="3:4" ht="20.100000000000001" customHeight="1">
      <c r="C373" s="1793"/>
      <c r="D373" s="1793"/>
    </row>
    <row r="374" spans="3:4" ht="20.100000000000001" customHeight="1">
      <c r="C374" s="1793"/>
      <c r="D374" s="1793"/>
    </row>
    <row r="375" spans="3:4" ht="20.100000000000001" customHeight="1">
      <c r="C375" s="1793"/>
      <c r="D375" s="1793"/>
    </row>
    <row r="376" spans="3:4" ht="20.100000000000001" customHeight="1">
      <c r="C376" s="1793"/>
      <c r="D376" s="1793"/>
    </row>
    <row r="377" spans="3:4" ht="20.100000000000001" customHeight="1">
      <c r="C377" s="1793"/>
      <c r="D377" s="1793"/>
    </row>
    <row r="378" spans="3:4" ht="20.100000000000001" customHeight="1">
      <c r="C378" s="1793"/>
      <c r="D378" s="1793"/>
    </row>
    <row r="379" spans="3:4" ht="20.100000000000001" customHeight="1">
      <c r="C379" s="1793"/>
      <c r="D379" s="1793"/>
    </row>
    <row r="380" spans="3:4" ht="20.100000000000001" customHeight="1">
      <c r="C380" s="1793"/>
      <c r="D380" s="1793"/>
    </row>
    <row r="381" spans="3:4" ht="20.100000000000001" customHeight="1">
      <c r="C381" s="1793"/>
      <c r="D381" s="1793"/>
    </row>
    <row r="382" spans="3:4" ht="20.100000000000001" customHeight="1">
      <c r="C382" s="1793"/>
      <c r="D382" s="1793"/>
    </row>
    <row r="383" spans="3:4" ht="20.100000000000001" customHeight="1">
      <c r="C383" s="1793"/>
      <c r="D383" s="1793"/>
    </row>
    <row r="384" spans="3:4" ht="20.100000000000001" customHeight="1">
      <c r="C384" s="1793"/>
      <c r="D384" s="1793"/>
    </row>
    <row r="385" spans="3:4" ht="20.100000000000001" customHeight="1">
      <c r="C385" s="1793"/>
      <c r="D385" s="1793"/>
    </row>
    <row r="386" spans="3:4" ht="20.100000000000001" customHeight="1">
      <c r="C386" s="1793"/>
      <c r="D386" s="1793"/>
    </row>
    <row r="387" spans="3:4" ht="20.100000000000001" customHeight="1">
      <c r="C387" s="1793"/>
      <c r="D387" s="1793"/>
    </row>
    <row r="388" spans="3:4" ht="20.100000000000001" customHeight="1">
      <c r="C388" s="1793"/>
      <c r="D388" s="1793"/>
    </row>
    <row r="389" spans="3:4" ht="20.100000000000001" customHeight="1">
      <c r="C389" s="1793"/>
      <c r="D389" s="1793"/>
    </row>
    <row r="390" spans="3:4" ht="20.100000000000001" customHeight="1">
      <c r="C390" s="1793"/>
      <c r="D390" s="1793"/>
    </row>
    <row r="391" spans="3:4" ht="20.100000000000001" customHeight="1">
      <c r="C391" s="1793"/>
      <c r="D391" s="1793"/>
    </row>
    <row r="392" spans="3:4" ht="20.100000000000001" customHeight="1">
      <c r="C392" s="1793"/>
      <c r="D392" s="1793"/>
    </row>
    <row r="393" spans="3:4" ht="20.100000000000001" customHeight="1">
      <c r="C393" s="1793"/>
      <c r="D393" s="1793"/>
    </row>
    <row r="394" spans="3:4" ht="20.100000000000001" customHeight="1">
      <c r="C394" s="1793"/>
      <c r="D394" s="1793"/>
    </row>
    <row r="395" spans="3:4" ht="20.100000000000001" customHeight="1">
      <c r="C395" s="1793"/>
      <c r="D395" s="1793"/>
    </row>
    <row r="396" spans="3:4" ht="20.100000000000001" customHeight="1">
      <c r="C396" s="1793"/>
      <c r="D396" s="1793"/>
    </row>
    <row r="397" spans="3:4" ht="20.100000000000001" customHeight="1">
      <c r="C397" s="1793"/>
      <c r="D397" s="1793"/>
    </row>
    <row r="398" spans="3:4" ht="20.100000000000001" customHeight="1">
      <c r="C398" s="1793"/>
      <c r="D398" s="1793"/>
    </row>
    <row r="399" spans="3:4" ht="20.100000000000001" customHeight="1">
      <c r="C399" s="1793"/>
      <c r="D399" s="1793"/>
    </row>
    <row r="400" spans="3:4" ht="20.100000000000001" customHeight="1">
      <c r="C400" s="1793"/>
      <c r="D400" s="1793"/>
    </row>
    <row r="401" spans="3:4" ht="20.100000000000001" customHeight="1">
      <c r="C401" s="1793"/>
      <c r="D401" s="1793"/>
    </row>
    <row r="402" spans="3:4" ht="20.100000000000001" customHeight="1">
      <c r="C402" s="1793"/>
      <c r="D402" s="1793"/>
    </row>
    <row r="403" spans="3:4" ht="20.100000000000001" customHeight="1">
      <c r="C403" s="1793"/>
      <c r="D403" s="1793"/>
    </row>
    <row r="404" spans="3:4" ht="20.100000000000001" customHeight="1">
      <c r="C404" s="1793"/>
      <c r="D404" s="1793"/>
    </row>
    <row r="405" spans="3:4" ht="20.100000000000001" customHeight="1">
      <c r="C405" s="1793"/>
      <c r="D405" s="1793"/>
    </row>
    <row r="406" spans="3:4" ht="20.100000000000001" customHeight="1">
      <c r="C406" s="1793"/>
      <c r="D406" s="1793"/>
    </row>
    <row r="407" spans="3:4" ht="20.100000000000001" customHeight="1">
      <c r="C407" s="1793"/>
      <c r="D407" s="1793"/>
    </row>
    <row r="408" spans="3:4" ht="20.100000000000001" customHeight="1">
      <c r="C408" s="1793"/>
      <c r="D408" s="1793"/>
    </row>
    <row r="409" spans="3:4" ht="20.100000000000001" customHeight="1">
      <c r="C409" s="1793"/>
      <c r="D409" s="1793"/>
    </row>
    <row r="410" spans="3:4" ht="20.100000000000001" customHeight="1">
      <c r="C410" s="1793"/>
      <c r="D410" s="1793"/>
    </row>
    <row r="411" spans="3:4" ht="20.100000000000001" customHeight="1">
      <c r="C411" s="1793"/>
      <c r="D411" s="1793"/>
    </row>
    <row r="412" spans="3:4" ht="20.100000000000001" customHeight="1">
      <c r="C412" s="1793"/>
      <c r="D412" s="1793"/>
    </row>
    <row r="413" spans="3:4" ht="20.100000000000001" customHeight="1">
      <c r="C413" s="1793"/>
      <c r="D413" s="1793"/>
    </row>
    <row r="414" spans="3:4" ht="20.100000000000001" customHeight="1">
      <c r="C414" s="1793"/>
      <c r="D414" s="1793"/>
    </row>
    <row r="415" spans="3:4" ht="20.100000000000001" customHeight="1">
      <c r="C415" s="1793"/>
      <c r="D415" s="1793"/>
    </row>
    <row r="416" spans="3:4" ht="20.100000000000001" customHeight="1">
      <c r="C416" s="1793"/>
      <c r="D416" s="1793"/>
    </row>
    <row r="417" spans="3:4" ht="20.100000000000001" customHeight="1">
      <c r="C417" s="1793"/>
      <c r="D417" s="1793"/>
    </row>
    <row r="418" spans="3:4" ht="20.100000000000001" customHeight="1">
      <c r="C418" s="1793"/>
      <c r="D418" s="1793"/>
    </row>
    <row r="419" spans="3:4" ht="20.100000000000001" customHeight="1">
      <c r="C419" s="1793"/>
      <c r="D419" s="1793"/>
    </row>
    <row r="420" spans="3:4" ht="20.100000000000001" customHeight="1">
      <c r="C420" s="1793"/>
      <c r="D420" s="1793"/>
    </row>
    <row r="421" spans="3:4" ht="20.100000000000001" customHeight="1">
      <c r="C421" s="1793"/>
      <c r="D421" s="1793"/>
    </row>
    <row r="422" spans="3:4" ht="20.100000000000001" customHeight="1">
      <c r="C422" s="1793"/>
      <c r="D422" s="1793"/>
    </row>
    <row r="423" spans="3:4" ht="20.100000000000001" customHeight="1">
      <c r="C423" s="1793"/>
      <c r="D423" s="1793"/>
    </row>
    <row r="424" spans="3:4" ht="20.100000000000001" customHeight="1">
      <c r="C424" s="1793"/>
      <c r="D424" s="1793"/>
    </row>
    <row r="425" spans="3:4" ht="20.100000000000001" customHeight="1">
      <c r="C425" s="1793"/>
      <c r="D425" s="1793"/>
    </row>
    <row r="426" spans="3:4" ht="20.100000000000001" customHeight="1">
      <c r="C426" s="1793"/>
      <c r="D426" s="1793"/>
    </row>
    <row r="427" spans="3:4" ht="20.100000000000001" customHeight="1">
      <c r="C427" s="1793"/>
      <c r="D427" s="1793"/>
    </row>
    <row r="428" spans="3:4" ht="20.100000000000001" customHeight="1">
      <c r="C428" s="1793"/>
      <c r="D428" s="1793"/>
    </row>
    <row r="429" spans="3:4" ht="20.100000000000001" customHeight="1">
      <c r="C429" s="1793"/>
      <c r="D429" s="1793"/>
    </row>
    <row r="430" spans="3:4" ht="20.100000000000001" customHeight="1">
      <c r="C430" s="1793"/>
      <c r="D430" s="1793"/>
    </row>
    <row r="431" spans="3:4" ht="20.100000000000001" customHeight="1">
      <c r="C431" s="1793"/>
      <c r="D431" s="1793"/>
    </row>
    <row r="432" spans="3:4" ht="20.100000000000001" customHeight="1">
      <c r="C432" s="1793"/>
      <c r="D432" s="1793"/>
    </row>
    <row r="433" spans="3:4" ht="20.100000000000001" customHeight="1">
      <c r="C433" s="1793"/>
      <c r="D433" s="1793"/>
    </row>
    <row r="434" spans="3:4" ht="20.100000000000001" customHeight="1">
      <c r="C434" s="1793"/>
      <c r="D434" s="1793"/>
    </row>
    <row r="435" spans="3:4" ht="20.100000000000001" customHeight="1">
      <c r="C435" s="1793"/>
      <c r="D435" s="1793"/>
    </row>
    <row r="436" spans="3:4" ht="20.100000000000001" customHeight="1">
      <c r="C436" s="1793"/>
      <c r="D436" s="1793"/>
    </row>
    <row r="437" spans="3:4" ht="20.100000000000001" customHeight="1">
      <c r="C437" s="1793"/>
      <c r="D437" s="1793"/>
    </row>
    <row r="438" spans="3:4" ht="20.100000000000001" customHeight="1">
      <c r="C438" s="1793"/>
      <c r="D438" s="1793"/>
    </row>
    <row r="439" spans="3:4" ht="20.100000000000001" customHeight="1">
      <c r="C439" s="1793"/>
      <c r="D439" s="1793"/>
    </row>
    <row r="440" spans="3:4" ht="20.100000000000001" customHeight="1">
      <c r="C440" s="1793"/>
      <c r="D440" s="1793"/>
    </row>
    <row r="441" spans="3:4" ht="20.100000000000001" customHeight="1">
      <c r="C441" s="1793"/>
      <c r="D441" s="1793"/>
    </row>
    <row r="442" spans="3:4" ht="20.100000000000001" customHeight="1">
      <c r="C442" s="1793"/>
      <c r="D442" s="1793"/>
    </row>
    <row r="443" spans="3:4" ht="20.100000000000001" customHeight="1">
      <c r="C443" s="1793"/>
      <c r="D443" s="1793"/>
    </row>
    <row r="444" spans="3:4" ht="20.100000000000001" customHeight="1">
      <c r="C444" s="1793"/>
      <c r="D444" s="1793"/>
    </row>
    <row r="445" spans="3:4" ht="20.100000000000001" customHeight="1">
      <c r="C445" s="1793"/>
      <c r="D445" s="1793"/>
    </row>
    <row r="446" spans="3:4" ht="20.100000000000001" customHeight="1">
      <c r="C446" s="1793"/>
      <c r="D446" s="1793"/>
    </row>
    <row r="447" spans="3:4" ht="20.100000000000001" customHeight="1">
      <c r="C447" s="1793"/>
      <c r="D447" s="1793"/>
    </row>
    <row r="448" spans="3:4" ht="20.100000000000001" customHeight="1">
      <c r="C448" s="1793"/>
      <c r="D448" s="1793"/>
    </row>
    <row r="449" spans="3:4" ht="20.100000000000001" customHeight="1">
      <c r="C449" s="1793"/>
      <c r="D449" s="1793"/>
    </row>
    <row r="450" spans="3:4" ht="20.100000000000001" customHeight="1">
      <c r="C450" s="1793"/>
      <c r="D450" s="1793"/>
    </row>
    <row r="451" spans="3:4" ht="20.100000000000001" customHeight="1">
      <c r="C451" s="1793"/>
      <c r="D451" s="1793"/>
    </row>
    <row r="452" spans="3:4" ht="20.100000000000001" customHeight="1">
      <c r="C452" s="1793"/>
      <c r="D452" s="1793"/>
    </row>
    <row r="453" spans="3:4" ht="20.100000000000001" customHeight="1">
      <c r="C453" s="1793"/>
      <c r="D453" s="1793"/>
    </row>
    <row r="454" spans="3:4" ht="20.100000000000001" customHeight="1">
      <c r="C454" s="1793"/>
      <c r="D454" s="1793"/>
    </row>
    <row r="455" spans="3:4" ht="20.100000000000001" customHeight="1">
      <c r="C455" s="1793"/>
      <c r="D455" s="1793"/>
    </row>
    <row r="456" spans="3:4" ht="20.100000000000001" customHeight="1">
      <c r="C456" s="1793"/>
      <c r="D456" s="1793"/>
    </row>
    <row r="457" spans="3:4" ht="20.100000000000001" customHeight="1">
      <c r="C457" s="1793"/>
      <c r="D457" s="1793"/>
    </row>
    <row r="458" spans="3:4" ht="20.100000000000001" customHeight="1">
      <c r="C458" s="1793"/>
      <c r="D458" s="1793"/>
    </row>
    <row r="459" spans="3:4" ht="20.100000000000001" customHeight="1">
      <c r="C459" s="1793"/>
      <c r="D459" s="1793"/>
    </row>
    <row r="460" spans="3:4" ht="20.100000000000001" customHeight="1">
      <c r="C460" s="1793"/>
      <c r="D460" s="1793"/>
    </row>
    <row r="461" spans="3:4" ht="20.100000000000001" customHeight="1">
      <c r="C461" s="1793"/>
      <c r="D461" s="1793"/>
    </row>
    <row r="462" spans="3:4" ht="20.100000000000001" customHeight="1">
      <c r="C462" s="1793"/>
      <c r="D462" s="1793"/>
    </row>
    <row r="463" spans="3:4" ht="20.100000000000001" customHeight="1">
      <c r="C463" s="1793"/>
      <c r="D463" s="1793"/>
    </row>
    <row r="464" spans="3:4" ht="20.100000000000001" customHeight="1">
      <c r="C464" s="1793"/>
      <c r="D464" s="1793"/>
    </row>
    <row r="465" spans="3:4" ht="20.100000000000001" customHeight="1">
      <c r="C465" s="1793"/>
      <c r="D465" s="1793"/>
    </row>
    <row r="466" spans="3:4" ht="20.100000000000001" customHeight="1">
      <c r="C466" s="1793"/>
      <c r="D466" s="1793"/>
    </row>
    <row r="467" spans="3:4" ht="20.100000000000001" customHeight="1">
      <c r="C467" s="1793"/>
      <c r="D467" s="1793"/>
    </row>
    <row r="468" spans="3:4" ht="20.100000000000001" customHeight="1">
      <c r="C468" s="1793"/>
      <c r="D468" s="1793"/>
    </row>
    <row r="469" spans="3:4" ht="20.100000000000001" customHeight="1">
      <c r="C469" s="1793"/>
      <c r="D469" s="1793"/>
    </row>
    <row r="470" spans="3:4" ht="20.100000000000001" customHeight="1">
      <c r="C470" s="1793"/>
      <c r="D470" s="1793"/>
    </row>
    <row r="471" spans="3:4" ht="20.100000000000001" customHeight="1">
      <c r="C471" s="1793"/>
      <c r="D471" s="1793"/>
    </row>
    <row r="472" spans="3:4" ht="20.100000000000001" customHeight="1">
      <c r="C472" s="1793"/>
      <c r="D472" s="1793"/>
    </row>
    <row r="473" spans="3:4" ht="20.100000000000001" customHeight="1">
      <c r="C473" s="1793"/>
      <c r="D473" s="1793"/>
    </row>
    <row r="474" spans="3:4" ht="20.100000000000001" customHeight="1">
      <c r="C474" s="1793"/>
      <c r="D474" s="1793"/>
    </row>
    <row r="475" spans="3:4" ht="20.100000000000001" customHeight="1">
      <c r="C475" s="1793"/>
      <c r="D475" s="1793"/>
    </row>
    <row r="476" spans="3:4" ht="20.100000000000001" customHeight="1">
      <c r="C476" s="1793"/>
      <c r="D476" s="1793"/>
    </row>
    <row r="477" spans="3:4" ht="20.100000000000001" customHeight="1">
      <c r="C477" s="1793"/>
      <c r="D477" s="1793"/>
    </row>
    <row r="478" spans="3:4" ht="20.100000000000001" customHeight="1">
      <c r="C478" s="1793"/>
      <c r="D478" s="1793"/>
    </row>
    <row r="479" spans="3:4" ht="20.100000000000001" customHeight="1">
      <c r="C479" s="1793"/>
      <c r="D479" s="1793"/>
    </row>
    <row r="480" spans="3:4" ht="20.100000000000001" customHeight="1">
      <c r="C480" s="1793"/>
      <c r="D480" s="1793"/>
    </row>
    <row r="481" spans="3:4" ht="20.100000000000001" customHeight="1">
      <c r="C481" s="1793"/>
      <c r="D481" s="1793"/>
    </row>
    <row r="482" spans="3:4" ht="20.100000000000001" customHeight="1">
      <c r="C482" s="1793"/>
      <c r="D482" s="1793"/>
    </row>
    <row r="483" spans="3:4" ht="20.100000000000001" customHeight="1">
      <c r="C483" s="1793"/>
      <c r="D483" s="1793"/>
    </row>
    <row r="484" spans="3:4" ht="20.100000000000001" customHeight="1">
      <c r="C484" s="1793"/>
      <c r="D484" s="1793"/>
    </row>
    <row r="485" spans="3:4" ht="20.100000000000001" customHeight="1">
      <c r="C485" s="1793"/>
      <c r="D485" s="1793"/>
    </row>
    <row r="486" spans="3:4" ht="20.100000000000001" customHeight="1">
      <c r="C486" s="1793"/>
      <c r="D486" s="1793"/>
    </row>
    <row r="487" spans="3:4" ht="20.100000000000001" customHeight="1">
      <c r="C487" s="1793"/>
      <c r="D487" s="1793"/>
    </row>
    <row r="488" spans="3:4" ht="20.100000000000001" customHeight="1">
      <c r="C488" s="1793"/>
      <c r="D488" s="1793"/>
    </row>
    <row r="489" spans="3:4" ht="20.100000000000001" customHeight="1">
      <c r="C489" s="1793"/>
      <c r="D489" s="1793"/>
    </row>
    <row r="490" spans="3:4" ht="20.100000000000001" customHeight="1">
      <c r="C490" s="1793"/>
      <c r="D490" s="1793"/>
    </row>
    <row r="491" spans="3:4" ht="20.100000000000001" customHeight="1">
      <c r="C491" s="1793"/>
      <c r="D491" s="1793"/>
    </row>
    <row r="492" spans="3:4" ht="20.100000000000001" customHeight="1">
      <c r="C492" s="1793"/>
      <c r="D492" s="1793"/>
    </row>
    <row r="493" spans="3:4" ht="20.100000000000001" customHeight="1">
      <c r="C493" s="1793"/>
      <c r="D493" s="1793"/>
    </row>
    <row r="494" spans="3:4" ht="20.100000000000001" customHeight="1">
      <c r="C494" s="1793"/>
      <c r="D494" s="1793"/>
    </row>
    <row r="495" spans="3:4" ht="20.100000000000001" customHeight="1">
      <c r="C495" s="1793"/>
      <c r="D495" s="1793"/>
    </row>
    <row r="496" spans="3:4" ht="20.100000000000001" customHeight="1">
      <c r="C496" s="1793"/>
      <c r="D496" s="1793"/>
    </row>
    <row r="497" spans="3:4" ht="20.100000000000001" customHeight="1">
      <c r="C497" s="1793"/>
      <c r="D497" s="1793"/>
    </row>
    <row r="498" spans="3:4" ht="20.100000000000001" customHeight="1">
      <c r="C498" s="1793"/>
      <c r="D498" s="1793"/>
    </row>
    <row r="499" spans="3:4" ht="20.100000000000001" customHeight="1">
      <c r="C499" s="1793"/>
      <c r="D499" s="1793"/>
    </row>
    <row r="500" spans="3:4" ht="20.100000000000001" customHeight="1">
      <c r="C500" s="1793"/>
      <c r="D500" s="1793"/>
    </row>
    <row r="501" spans="3:4" ht="20.100000000000001" customHeight="1">
      <c r="C501" s="1793"/>
      <c r="D501" s="1793"/>
    </row>
    <row r="502" spans="3:4" ht="20.100000000000001" customHeight="1">
      <c r="C502" s="1793"/>
      <c r="D502" s="1793"/>
    </row>
    <row r="503" spans="3:4" ht="20.100000000000001" customHeight="1">
      <c r="C503" s="1793"/>
      <c r="D503" s="1793"/>
    </row>
    <row r="504" spans="3:4" ht="20.100000000000001" customHeight="1">
      <c r="C504" s="1793"/>
      <c r="D504" s="1793"/>
    </row>
    <row r="505" spans="3:4" ht="20.100000000000001" customHeight="1">
      <c r="C505" s="1793"/>
      <c r="D505" s="1793"/>
    </row>
    <row r="506" spans="3:4" ht="20.100000000000001" customHeight="1">
      <c r="C506" s="1793"/>
      <c r="D506" s="1793"/>
    </row>
    <row r="507" spans="3:4" ht="20.100000000000001" customHeight="1">
      <c r="C507" s="1793"/>
      <c r="D507" s="1793"/>
    </row>
    <row r="508" spans="3:4" ht="20.100000000000001" customHeight="1">
      <c r="C508" s="1793"/>
      <c r="D508" s="1793"/>
    </row>
    <row r="509" spans="3:4" ht="20.100000000000001" customHeight="1">
      <c r="C509" s="1793"/>
      <c r="D509" s="1793"/>
    </row>
    <row r="510" spans="3:4" ht="20.100000000000001" customHeight="1">
      <c r="C510" s="1793"/>
      <c r="D510" s="1793"/>
    </row>
    <row r="511" spans="3:4" ht="20.100000000000001" customHeight="1">
      <c r="C511" s="1793"/>
      <c r="D511" s="1793"/>
    </row>
    <row r="512" spans="3:4" ht="20.100000000000001" customHeight="1">
      <c r="C512" s="1793"/>
      <c r="D512" s="1793"/>
    </row>
    <row r="513" spans="3:4" ht="20.100000000000001" customHeight="1">
      <c r="C513" s="1793"/>
      <c r="D513" s="1793"/>
    </row>
    <row r="514" spans="3:4" ht="20.100000000000001" customHeight="1">
      <c r="C514" s="1793"/>
      <c r="D514" s="1793"/>
    </row>
    <row r="515" spans="3:4" ht="20.100000000000001" customHeight="1">
      <c r="C515" s="1793"/>
      <c r="D515" s="1793"/>
    </row>
    <row r="516" spans="3:4" ht="20.100000000000001" customHeight="1">
      <c r="C516" s="1793"/>
      <c r="D516" s="1793"/>
    </row>
    <row r="517" spans="3:4" ht="20.100000000000001" customHeight="1">
      <c r="C517" s="1793"/>
      <c r="D517" s="1793"/>
    </row>
    <row r="518" spans="3:4" ht="20.100000000000001" customHeight="1">
      <c r="C518" s="1793"/>
      <c r="D518" s="1793"/>
    </row>
    <row r="519" spans="3:4" ht="20.100000000000001" customHeight="1">
      <c r="C519" s="1793"/>
      <c r="D519" s="1793"/>
    </row>
    <row r="520" spans="3:4" ht="20.100000000000001" customHeight="1">
      <c r="C520" s="1793"/>
      <c r="D520" s="1793"/>
    </row>
    <row r="521" spans="3:4" ht="20.100000000000001" customHeight="1">
      <c r="C521" s="1793"/>
      <c r="D521" s="1793"/>
    </row>
    <row r="522" spans="3:4" ht="20.100000000000001" customHeight="1">
      <c r="C522" s="1793"/>
      <c r="D522" s="1793"/>
    </row>
    <row r="523" spans="3:4" ht="20.100000000000001" customHeight="1">
      <c r="C523" s="1793"/>
      <c r="D523" s="1793"/>
    </row>
    <row r="524" spans="3:4" ht="20.100000000000001" customHeight="1">
      <c r="C524" s="1793"/>
      <c r="D524" s="1793"/>
    </row>
    <row r="525" spans="3:4" ht="20.100000000000001" customHeight="1">
      <c r="C525" s="1793"/>
      <c r="D525" s="1793"/>
    </row>
    <row r="526" spans="3:4" ht="20.100000000000001" customHeight="1">
      <c r="C526" s="1793"/>
      <c r="D526" s="1793"/>
    </row>
    <row r="527" spans="3:4" ht="20.100000000000001" customHeight="1">
      <c r="C527" s="1793"/>
      <c r="D527" s="1793"/>
    </row>
    <row r="528" spans="3:4" ht="20.100000000000001" customHeight="1">
      <c r="C528" s="1793"/>
      <c r="D528" s="1793"/>
    </row>
    <row r="529" spans="3:4" ht="20.100000000000001" customHeight="1">
      <c r="C529" s="1793"/>
      <c r="D529" s="1793"/>
    </row>
    <row r="530" spans="3:4" ht="20.100000000000001" customHeight="1">
      <c r="C530" s="1793"/>
      <c r="D530" s="1793"/>
    </row>
    <row r="531" spans="3:4" ht="20.100000000000001" customHeight="1">
      <c r="C531" s="1793"/>
      <c r="D531" s="1793"/>
    </row>
    <row r="532" spans="3:4" ht="20.100000000000001" customHeight="1">
      <c r="C532" s="1793"/>
      <c r="D532" s="1793"/>
    </row>
    <row r="533" spans="3:4" ht="20.100000000000001" customHeight="1">
      <c r="C533" s="1793"/>
      <c r="D533" s="1793"/>
    </row>
    <row r="534" spans="3:4" ht="20.100000000000001" customHeight="1">
      <c r="C534" s="1793"/>
      <c r="D534" s="1793"/>
    </row>
    <row r="535" spans="3:4" ht="20.100000000000001" customHeight="1">
      <c r="C535" s="1793"/>
      <c r="D535" s="1793"/>
    </row>
    <row r="536" spans="3:4" ht="20.100000000000001" customHeight="1">
      <c r="C536" s="1793"/>
      <c r="D536" s="1793"/>
    </row>
    <row r="537" spans="3:4" ht="20.100000000000001" customHeight="1">
      <c r="C537" s="1793"/>
      <c r="D537" s="1793"/>
    </row>
    <row r="538" spans="3:4" ht="20.100000000000001" customHeight="1">
      <c r="C538" s="1793"/>
      <c r="D538" s="1793"/>
    </row>
    <row r="539" spans="3:4" ht="20.100000000000001" customHeight="1">
      <c r="C539" s="1793"/>
      <c r="D539" s="1793"/>
    </row>
    <row r="540" spans="3:4" ht="20.100000000000001" customHeight="1">
      <c r="C540" s="1793"/>
      <c r="D540" s="1793"/>
    </row>
    <row r="541" spans="3:4" ht="20.100000000000001" customHeight="1">
      <c r="C541" s="1793"/>
      <c r="D541" s="1793"/>
    </row>
    <row r="542" spans="3:4" ht="20.100000000000001" customHeight="1">
      <c r="C542" s="1793"/>
      <c r="D542" s="1793"/>
    </row>
    <row r="543" spans="3:4" ht="20.100000000000001" customHeight="1">
      <c r="C543" s="1793"/>
      <c r="D543" s="1793"/>
    </row>
    <row r="544" spans="3:4" ht="20.100000000000001" customHeight="1">
      <c r="C544" s="1793"/>
      <c r="D544" s="1793"/>
    </row>
    <row r="545" spans="3:4" ht="20.100000000000001" customHeight="1">
      <c r="C545" s="1793"/>
      <c r="D545" s="1793"/>
    </row>
    <row r="546" spans="3:4" ht="20.100000000000001" customHeight="1">
      <c r="C546" s="1793"/>
      <c r="D546" s="1793"/>
    </row>
    <row r="547" spans="3:4" ht="20.100000000000001" customHeight="1">
      <c r="C547" s="1793"/>
      <c r="D547" s="1793"/>
    </row>
    <row r="548" spans="3:4" ht="20.100000000000001" customHeight="1">
      <c r="C548" s="1793"/>
      <c r="D548" s="1793"/>
    </row>
    <row r="549" spans="3:4" ht="20.100000000000001" customHeight="1">
      <c r="C549" s="1793"/>
      <c r="D549" s="1793"/>
    </row>
    <row r="550" spans="3:4" ht="20.100000000000001" customHeight="1">
      <c r="C550" s="1793"/>
      <c r="D550" s="1793"/>
    </row>
    <row r="551" spans="3:4" ht="20.100000000000001" customHeight="1">
      <c r="C551" s="1793"/>
      <c r="D551" s="1793"/>
    </row>
    <row r="552" spans="3:4" ht="20.100000000000001" customHeight="1">
      <c r="C552" s="1793"/>
      <c r="D552" s="1793"/>
    </row>
    <row r="553" spans="3:4" ht="20.100000000000001" customHeight="1">
      <c r="C553" s="1793"/>
      <c r="D553" s="1793"/>
    </row>
    <row r="554" spans="3:4" ht="20.100000000000001" customHeight="1">
      <c r="C554" s="1793"/>
      <c r="D554" s="1793"/>
    </row>
    <row r="555" spans="3:4" ht="20.100000000000001" customHeight="1">
      <c r="C555" s="1793"/>
      <c r="D555" s="1793"/>
    </row>
    <row r="556" spans="3:4" ht="20.100000000000001" customHeight="1">
      <c r="C556" s="1793"/>
      <c r="D556" s="1793"/>
    </row>
    <row r="557" spans="3:4" ht="20.100000000000001" customHeight="1">
      <c r="C557" s="1793"/>
      <c r="D557" s="1793"/>
    </row>
    <row r="558" spans="3:4" ht="20.100000000000001" customHeight="1">
      <c r="C558" s="1793"/>
      <c r="D558" s="1793"/>
    </row>
    <row r="559" spans="3:4" ht="20.100000000000001" customHeight="1">
      <c r="C559" s="1793"/>
      <c r="D559" s="1793"/>
    </row>
    <row r="560" spans="3:4" ht="20.100000000000001" customHeight="1">
      <c r="C560" s="1793"/>
      <c r="D560" s="1793"/>
    </row>
    <row r="561" spans="3:4" ht="20.100000000000001" customHeight="1">
      <c r="C561" s="1793"/>
      <c r="D561" s="1793"/>
    </row>
    <row r="562" spans="3:4" ht="20.100000000000001" customHeight="1">
      <c r="C562" s="1793"/>
      <c r="D562" s="1793"/>
    </row>
    <row r="563" spans="3:4" ht="20.100000000000001" customHeight="1">
      <c r="C563" s="1793"/>
      <c r="D563" s="1793"/>
    </row>
    <row r="564" spans="3:4" ht="20.100000000000001" customHeight="1">
      <c r="C564" s="1793"/>
      <c r="D564" s="1793"/>
    </row>
    <row r="565" spans="3:4" ht="20.100000000000001" customHeight="1">
      <c r="C565" s="1793"/>
      <c r="D565" s="1793"/>
    </row>
    <row r="566" spans="3:4" ht="20.100000000000001" customHeight="1">
      <c r="C566" s="1793"/>
      <c r="D566" s="1793"/>
    </row>
    <row r="567" spans="3:4" ht="20.100000000000001" customHeight="1">
      <c r="C567" s="1793"/>
      <c r="D567" s="1793"/>
    </row>
    <row r="568" spans="3:4" ht="20.100000000000001" customHeight="1">
      <c r="C568" s="1793"/>
      <c r="D568" s="1793"/>
    </row>
    <row r="569" spans="3:4" ht="20.100000000000001" customHeight="1">
      <c r="C569" s="1793"/>
      <c r="D569" s="1793"/>
    </row>
    <row r="570" spans="3:4" ht="20.100000000000001" customHeight="1">
      <c r="C570" s="1793"/>
      <c r="D570" s="1793"/>
    </row>
    <row r="571" spans="3:4" ht="20.100000000000001" customHeight="1">
      <c r="C571" s="1793"/>
      <c r="D571" s="1793"/>
    </row>
    <row r="572" spans="3:4" ht="20.100000000000001" customHeight="1">
      <c r="C572" s="1793"/>
      <c r="D572" s="1793"/>
    </row>
    <row r="573" spans="3:4" ht="20.100000000000001" customHeight="1">
      <c r="C573" s="1793"/>
      <c r="D573" s="1793"/>
    </row>
    <row r="574" spans="3:4" ht="20.100000000000001" customHeight="1">
      <c r="C574" s="1793"/>
      <c r="D574" s="1793"/>
    </row>
    <row r="575" spans="3:4" ht="20.100000000000001" customHeight="1">
      <c r="C575" s="1793"/>
      <c r="D575" s="1793"/>
    </row>
    <row r="576" spans="3:4" ht="20.100000000000001" customHeight="1">
      <c r="C576" s="1793"/>
      <c r="D576" s="1793"/>
    </row>
    <row r="577" spans="3:4" ht="20.100000000000001" customHeight="1">
      <c r="C577" s="1793"/>
      <c r="D577" s="1793"/>
    </row>
    <row r="578" spans="3:4" ht="20.100000000000001" customHeight="1">
      <c r="C578" s="1793"/>
      <c r="D578" s="1793"/>
    </row>
    <row r="579" spans="3:4" ht="20.100000000000001" customHeight="1">
      <c r="C579" s="1793"/>
      <c r="D579" s="1793"/>
    </row>
    <row r="580" spans="3:4" ht="20.100000000000001" customHeight="1">
      <c r="C580" s="1793"/>
      <c r="D580" s="1793"/>
    </row>
    <row r="581" spans="3:4" ht="20.100000000000001" customHeight="1">
      <c r="C581" s="1793"/>
      <c r="D581" s="1793"/>
    </row>
    <row r="582" spans="3:4" ht="20.100000000000001" customHeight="1">
      <c r="C582" s="1793"/>
      <c r="D582" s="1793"/>
    </row>
    <row r="583" spans="3:4" ht="20.100000000000001" customHeight="1">
      <c r="C583" s="1793"/>
      <c r="D583" s="1793"/>
    </row>
    <row r="584" spans="3:4" ht="20.100000000000001" customHeight="1">
      <c r="C584" s="1793"/>
      <c r="D584" s="1793"/>
    </row>
    <row r="585" spans="3:4" ht="20.100000000000001" customHeight="1">
      <c r="C585" s="1793"/>
      <c r="D585" s="1793"/>
    </row>
    <row r="586" spans="3:4" ht="20.100000000000001" customHeight="1">
      <c r="C586" s="1793"/>
      <c r="D586" s="1793"/>
    </row>
    <row r="587" spans="3:4" ht="20.100000000000001" customHeight="1">
      <c r="C587" s="1793"/>
      <c r="D587" s="1793"/>
    </row>
    <row r="588" spans="3:4" ht="20.100000000000001" customHeight="1">
      <c r="C588" s="1793"/>
      <c r="D588" s="1793"/>
    </row>
    <row r="589" spans="3:4" ht="20.100000000000001" customHeight="1">
      <c r="C589" s="1793"/>
      <c r="D589" s="1793"/>
    </row>
    <row r="590" spans="3:4" ht="20.100000000000001" customHeight="1">
      <c r="C590" s="1793"/>
      <c r="D590" s="1793"/>
    </row>
    <row r="591" spans="3:4" ht="20.100000000000001" customHeight="1">
      <c r="C591" s="1793"/>
      <c r="D591" s="1793"/>
    </row>
    <row r="592" spans="3:4" ht="20.100000000000001" customHeight="1">
      <c r="C592" s="1793"/>
      <c r="D592" s="1793"/>
    </row>
    <row r="593" spans="3:4" ht="20.100000000000001" customHeight="1">
      <c r="C593" s="1793"/>
      <c r="D593" s="1793"/>
    </row>
    <row r="594" spans="3:4" ht="20.100000000000001" customHeight="1">
      <c r="C594" s="1793"/>
      <c r="D594" s="1793"/>
    </row>
    <row r="595" spans="3:4" ht="20.100000000000001" customHeight="1">
      <c r="C595" s="1793"/>
      <c r="D595" s="1793"/>
    </row>
    <row r="596" spans="3:4" ht="20.100000000000001" customHeight="1">
      <c r="C596" s="1793"/>
      <c r="D596" s="1793"/>
    </row>
    <row r="597" spans="3:4" ht="20.100000000000001" customHeight="1">
      <c r="C597" s="1793"/>
      <c r="D597" s="1793"/>
    </row>
    <row r="598" spans="3:4" ht="20.100000000000001" customHeight="1">
      <c r="C598" s="1793"/>
      <c r="D598" s="1793"/>
    </row>
    <row r="599" spans="3:4" ht="20.100000000000001" customHeight="1">
      <c r="C599" s="1793"/>
      <c r="D599" s="1793"/>
    </row>
    <row r="600" spans="3:4" ht="20.100000000000001" customHeight="1">
      <c r="C600" s="1793"/>
      <c r="D600" s="1793"/>
    </row>
    <row r="601" spans="3:4" ht="20.100000000000001" customHeight="1">
      <c r="C601" s="1793"/>
      <c r="D601" s="1793"/>
    </row>
    <row r="602" spans="3:4" ht="20.100000000000001" customHeight="1">
      <c r="C602" s="1793"/>
      <c r="D602" s="1793"/>
    </row>
    <row r="603" spans="3:4" ht="20.100000000000001" customHeight="1">
      <c r="C603" s="1793"/>
      <c r="D603" s="1793"/>
    </row>
    <row r="604" spans="3:4" ht="20.100000000000001" customHeight="1">
      <c r="C604" s="1793"/>
      <c r="D604" s="1793"/>
    </row>
    <row r="605" spans="3:4" ht="20.100000000000001" customHeight="1">
      <c r="C605" s="1793"/>
      <c r="D605" s="1793"/>
    </row>
    <row r="606" spans="3:4" ht="20.100000000000001" customHeight="1">
      <c r="C606" s="1793"/>
      <c r="D606" s="1793"/>
    </row>
    <row r="607" spans="3:4" ht="20.100000000000001" customHeight="1">
      <c r="C607" s="1793"/>
      <c r="D607" s="1793"/>
    </row>
    <row r="608" spans="3:4" ht="20.100000000000001" customHeight="1">
      <c r="C608" s="1793"/>
      <c r="D608" s="1793"/>
    </row>
    <row r="609" spans="3:4" ht="20.100000000000001" customHeight="1">
      <c r="C609" s="1793"/>
      <c r="D609" s="1793"/>
    </row>
    <row r="610" spans="3:4" ht="20.100000000000001" customHeight="1">
      <c r="C610" s="1793"/>
      <c r="D610" s="1793"/>
    </row>
    <row r="611" spans="3:4" ht="20.100000000000001" customHeight="1">
      <c r="C611" s="1793"/>
      <c r="D611" s="1793"/>
    </row>
    <row r="612" spans="3:4" ht="20.100000000000001" customHeight="1">
      <c r="C612" s="1793"/>
      <c r="D612" s="1793"/>
    </row>
    <row r="613" spans="3:4" ht="20.100000000000001" customHeight="1">
      <c r="C613" s="1793"/>
      <c r="D613" s="1793"/>
    </row>
    <row r="614" spans="3:4" ht="20.100000000000001" customHeight="1">
      <c r="C614" s="1793"/>
      <c r="D614" s="1793"/>
    </row>
    <row r="615" spans="3:4" ht="20.100000000000001" customHeight="1">
      <c r="C615" s="1793"/>
      <c r="D615" s="1793"/>
    </row>
    <row r="616" spans="3:4" ht="20.100000000000001" customHeight="1">
      <c r="C616" s="1793"/>
      <c r="D616" s="1793"/>
    </row>
    <row r="617" spans="3:4" ht="20.100000000000001" customHeight="1">
      <c r="C617" s="1793"/>
      <c r="D617" s="1793"/>
    </row>
    <row r="618" spans="3:4" ht="20.100000000000001" customHeight="1">
      <c r="C618" s="1793"/>
      <c r="D618" s="1793"/>
    </row>
    <row r="619" spans="3:4" ht="20.100000000000001" customHeight="1">
      <c r="C619" s="1793"/>
      <c r="D619" s="1793"/>
    </row>
    <row r="620" spans="3:4" ht="20.100000000000001" customHeight="1">
      <c r="C620" s="1793"/>
      <c r="D620" s="1793"/>
    </row>
    <row r="621" spans="3:4" ht="20.100000000000001" customHeight="1">
      <c r="C621" s="1793"/>
      <c r="D621" s="1793"/>
    </row>
    <row r="622" spans="3:4" ht="20.100000000000001" customHeight="1">
      <c r="C622" s="1793"/>
      <c r="D622" s="1793"/>
    </row>
    <row r="623" spans="3:4" ht="20.100000000000001" customHeight="1">
      <c r="C623" s="1793"/>
      <c r="D623" s="1793"/>
    </row>
    <row r="624" spans="3:4" ht="20.100000000000001" customHeight="1">
      <c r="C624" s="1793"/>
      <c r="D624" s="1793"/>
    </row>
    <row r="625" spans="3:4" ht="20.100000000000001" customHeight="1">
      <c r="C625" s="1793"/>
      <c r="D625" s="1793"/>
    </row>
    <row r="626" spans="3:4" ht="20.100000000000001" customHeight="1">
      <c r="C626" s="1793"/>
      <c r="D626" s="1793"/>
    </row>
    <row r="627" spans="3:4" ht="20.100000000000001" customHeight="1">
      <c r="C627" s="1793"/>
      <c r="D627" s="1793"/>
    </row>
    <row r="628" spans="3:4" ht="20.100000000000001" customHeight="1">
      <c r="C628" s="1793"/>
      <c r="D628" s="1793"/>
    </row>
    <row r="629" spans="3:4" ht="20.100000000000001" customHeight="1">
      <c r="C629" s="1793"/>
      <c r="D629" s="1793"/>
    </row>
    <row r="630" spans="3:4" ht="20.100000000000001" customHeight="1">
      <c r="C630" s="1793"/>
      <c r="D630" s="1793"/>
    </row>
    <row r="631" spans="3:4" ht="20.100000000000001" customHeight="1">
      <c r="C631" s="1793"/>
      <c r="D631" s="1793"/>
    </row>
    <row r="632" spans="3:4" ht="20.100000000000001" customHeight="1">
      <c r="C632" s="1793"/>
      <c r="D632" s="1793"/>
    </row>
    <row r="633" spans="3:4" ht="20.100000000000001" customHeight="1">
      <c r="C633" s="1793"/>
      <c r="D633" s="1793"/>
    </row>
    <row r="634" spans="3:4" ht="20.100000000000001" customHeight="1">
      <c r="C634" s="1793"/>
      <c r="D634" s="1793"/>
    </row>
    <row r="635" spans="3:4" ht="20.100000000000001" customHeight="1">
      <c r="C635" s="1793"/>
      <c r="D635" s="1793"/>
    </row>
    <row r="636" spans="3:4" ht="20.100000000000001" customHeight="1">
      <c r="C636" s="1793"/>
      <c r="D636" s="1793"/>
    </row>
    <row r="637" spans="3:4" ht="20.100000000000001" customHeight="1">
      <c r="C637" s="1793"/>
      <c r="D637" s="1793"/>
    </row>
    <row r="638" spans="3:4" ht="20.100000000000001" customHeight="1">
      <c r="C638" s="1793"/>
      <c r="D638" s="1793"/>
    </row>
    <row r="639" spans="3:4" ht="20.100000000000001" customHeight="1">
      <c r="C639" s="1793"/>
      <c r="D639" s="1793"/>
    </row>
    <row r="640" spans="3:4" ht="20.100000000000001" customHeight="1">
      <c r="C640" s="1793"/>
      <c r="D640" s="1793"/>
    </row>
    <row r="641" spans="3:4" ht="20.100000000000001" customHeight="1">
      <c r="C641" s="1793"/>
      <c r="D641" s="1793"/>
    </row>
    <row r="642" spans="3:4" ht="20.100000000000001" customHeight="1">
      <c r="C642" s="1793"/>
      <c r="D642" s="1793"/>
    </row>
    <row r="643" spans="3:4" ht="20.100000000000001" customHeight="1">
      <c r="C643" s="1793"/>
      <c r="D643" s="1793"/>
    </row>
    <row r="644" spans="3:4" ht="20.100000000000001" customHeight="1">
      <c r="C644" s="1793"/>
      <c r="D644" s="1793"/>
    </row>
    <row r="645" spans="3:4" ht="20.100000000000001" customHeight="1">
      <c r="C645" s="1793"/>
      <c r="D645" s="1793"/>
    </row>
    <row r="646" spans="3:4" ht="20.100000000000001" customHeight="1">
      <c r="C646" s="1793"/>
      <c r="D646" s="1793"/>
    </row>
    <row r="647" spans="3:4" ht="20.100000000000001" customHeight="1">
      <c r="C647" s="1793"/>
      <c r="D647" s="1793"/>
    </row>
    <row r="648" spans="3:4" ht="20.100000000000001" customHeight="1">
      <c r="C648" s="1793"/>
      <c r="D648" s="1793"/>
    </row>
    <row r="649" spans="3:4" ht="20.100000000000001" customHeight="1">
      <c r="C649" s="1793"/>
      <c r="D649" s="1793"/>
    </row>
    <row r="650" spans="3:4" ht="20.100000000000001" customHeight="1">
      <c r="C650" s="1793"/>
      <c r="D650" s="1793"/>
    </row>
    <row r="651" spans="3:4" ht="20.100000000000001" customHeight="1">
      <c r="C651" s="1793"/>
      <c r="D651" s="1793"/>
    </row>
    <row r="652" spans="3:4" ht="20.100000000000001" customHeight="1">
      <c r="C652" s="1793"/>
      <c r="D652" s="1793"/>
    </row>
    <row r="653" spans="3:4" ht="20.100000000000001" customHeight="1">
      <c r="C653" s="1793"/>
      <c r="D653" s="1793"/>
    </row>
    <row r="654" spans="3:4" ht="20.100000000000001" customHeight="1">
      <c r="C654" s="1793"/>
      <c r="D654" s="1793"/>
    </row>
    <row r="655" spans="3:4" ht="20.100000000000001" customHeight="1">
      <c r="C655" s="1793"/>
      <c r="D655" s="1793"/>
    </row>
    <row r="656" spans="3:4" ht="20.100000000000001" customHeight="1">
      <c r="C656" s="1793"/>
      <c r="D656" s="1793"/>
    </row>
    <row r="657" spans="3:4" ht="20.100000000000001" customHeight="1">
      <c r="C657" s="1793"/>
      <c r="D657" s="1793"/>
    </row>
    <row r="658" spans="3:4" ht="20.100000000000001" customHeight="1">
      <c r="C658" s="1793"/>
      <c r="D658" s="1793"/>
    </row>
    <row r="659" spans="3:4" ht="20.100000000000001" customHeight="1">
      <c r="C659" s="1793"/>
      <c r="D659" s="1793"/>
    </row>
    <row r="660" spans="3:4" ht="20.100000000000001" customHeight="1">
      <c r="C660" s="1793"/>
      <c r="D660" s="1793"/>
    </row>
    <row r="661" spans="3:4" ht="20.100000000000001" customHeight="1">
      <c r="C661" s="1793"/>
      <c r="D661" s="1793"/>
    </row>
    <row r="662" spans="3:4" ht="20.100000000000001" customHeight="1">
      <c r="C662" s="1793"/>
      <c r="D662" s="1793"/>
    </row>
    <row r="663" spans="3:4" ht="20.100000000000001" customHeight="1">
      <c r="C663" s="1793"/>
      <c r="D663" s="1793"/>
    </row>
    <row r="664" spans="3:4" ht="20.100000000000001" customHeight="1">
      <c r="C664" s="1793"/>
      <c r="D664" s="1793"/>
    </row>
    <row r="665" spans="3:4" ht="20.100000000000001" customHeight="1">
      <c r="C665" s="1793"/>
      <c r="D665" s="1793"/>
    </row>
    <row r="666" spans="3:4" ht="20.100000000000001" customHeight="1">
      <c r="C666" s="1793"/>
      <c r="D666" s="1793"/>
    </row>
    <row r="667" spans="3:4" ht="20.100000000000001" customHeight="1">
      <c r="C667" s="1793"/>
      <c r="D667" s="1793"/>
    </row>
    <row r="668" spans="3:4" ht="20.100000000000001" customHeight="1">
      <c r="C668" s="1793"/>
      <c r="D668" s="1793"/>
    </row>
    <row r="669" spans="3:4" ht="20.100000000000001" customHeight="1">
      <c r="C669" s="1793"/>
      <c r="D669" s="1793"/>
    </row>
    <row r="670" spans="3:4" ht="20.100000000000001" customHeight="1">
      <c r="C670" s="1793"/>
      <c r="D670" s="1793"/>
    </row>
    <row r="671" spans="3:4" ht="20.100000000000001" customHeight="1">
      <c r="C671" s="1793"/>
      <c r="D671" s="1793"/>
    </row>
    <row r="672" spans="3:4" ht="20.100000000000001" customHeight="1">
      <c r="C672" s="1793"/>
      <c r="D672" s="1793"/>
    </row>
    <row r="673" spans="3:4" ht="20.100000000000001" customHeight="1">
      <c r="C673" s="1793"/>
      <c r="D673" s="1793"/>
    </row>
    <row r="674" spans="3:4" ht="20.100000000000001" customHeight="1">
      <c r="C674" s="1793"/>
      <c r="D674" s="1793"/>
    </row>
    <row r="675" spans="3:4" ht="20.100000000000001" customHeight="1">
      <c r="C675" s="1793"/>
      <c r="D675" s="1793"/>
    </row>
    <row r="676" spans="3:4" ht="20.100000000000001" customHeight="1">
      <c r="C676" s="1793"/>
      <c r="D676" s="1793"/>
    </row>
    <row r="677" spans="3:4" ht="20.100000000000001" customHeight="1">
      <c r="C677" s="1793"/>
      <c r="D677" s="1793"/>
    </row>
    <row r="678" spans="3:4" ht="20.100000000000001" customHeight="1">
      <c r="C678" s="1793"/>
      <c r="D678" s="1793"/>
    </row>
    <row r="679" spans="3:4" ht="20.100000000000001" customHeight="1">
      <c r="C679" s="1793"/>
      <c r="D679" s="1793"/>
    </row>
    <row r="680" spans="3:4" ht="20.100000000000001" customHeight="1">
      <c r="C680" s="1793"/>
      <c r="D680" s="1793"/>
    </row>
    <row r="681" spans="3:4" ht="20.100000000000001" customHeight="1">
      <c r="C681" s="1793"/>
      <c r="D681" s="1793"/>
    </row>
    <row r="682" spans="3:4" ht="20.100000000000001" customHeight="1">
      <c r="C682" s="1793"/>
      <c r="D682" s="1793"/>
    </row>
    <row r="683" spans="3:4" ht="20.100000000000001" customHeight="1">
      <c r="C683" s="1793"/>
      <c r="D683" s="1793"/>
    </row>
    <row r="684" spans="3:4" ht="20.100000000000001" customHeight="1">
      <c r="C684" s="1793"/>
      <c r="D684" s="1793"/>
    </row>
    <row r="685" spans="3:4" ht="20.100000000000001" customHeight="1">
      <c r="C685" s="1793"/>
      <c r="D685" s="1793"/>
    </row>
    <row r="686" spans="3:4" ht="20.100000000000001" customHeight="1">
      <c r="C686" s="1793"/>
      <c r="D686" s="1793"/>
    </row>
    <row r="687" spans="3:4" ht="20.100000000000001" customHeight="1">
      <c r="C687" s="1793"/>
      <c r="D687" s="1793"/>
    </row>
    <row r="688" spans="3:4" ht="20.100000000000001" customHeight="1">
      <c r="C688" s="1793"/>
      <c r="D688" s="1793"/>
    </row>
    <row r="689" spans="3:4" ht="20.100000000000001" customHeight="1">
      <c r="C689" s="1793"/>
      <c r="D689" s="1793"/>
    </row>
    <row r="690" spans="3:4" ht="20.100000000000001" customHeight="1">
      <c r="C690" s="1793"/>
      <c r="D690" s="1793"/>
    </row>
    <row r="691" spans="3:4" ht="20.100000000000001" customHeight="1">
      <c r="C691" s="1793"/>
      <c r="D691" s="1793"/>
    </row>
    <row r="692" spans="3:4" ht="20.100000000000001" customHeight="1">
      <c r="C692" s="1793"/>
      <c r="D692" s="1793"/>
    </row>
    <row r="693" spans="3:4" ht="20.100000000000001" customHeight="1">
      <c r="C693" s="1793"/>
      <c r="D693" s="1793"/>
    </row>
    <row r="694" spans="3:4" ht="20.100000000000001" customHeight="1">
      <c r="C694" s="1793"/>
      <c r="D694" s="1793"/>
    </row>
    <row r="695" spans="3:4" ht="20.100000000000001" customHeight="1">
      <c r="C695" s="1793"/>
      <c r="D695" s="1793"/>
    </row>
    <row r="696" spans="3:4" ht="20.100000000000001" customHeight="1">
      <c r="C696" s="1793"/>
      <c r="D696" s="1793"/>
    </row>
    <row r="697" spans="3:4" ht="20.100000000000001" customHeight="1">
      <c r="C697" s="1793"/>
      <c r="D697" s="1793"/>
    </row>
    <row r="698" spans="3:4" ht="20.100000000000001" customHeight="1">
      <c r="C698" s="1793"/>
      <c r="D698" s="1793"/>
    </row>
    <row r="699" spans="3:4" ht="20.100000000000001" customHeight="1">
      <c r="C699" s="1793"/>
      <c r="D699" s="1793"/>
    </row>
    <row r="700" spans="3:4" ht="20.100000000000001" customHeight="1">
      <c r="C700" s="1793"/>
      <c r="D700" s="1793"/>
    </row>
    <row r="701" spans="3:4" ht="20.100000000000001" customHeight="1">
      <c r="C701" s="1793"/>
      <c r="D701" s="1793"/>
    </row>
    <row r="702" spans="3:4" ht="20.100000000000001" customHeight="1">
      <c r="C702" s="1793"/>
      <c r="D702" s="1793"/>
    </row>
    <row r="703" spans="3:4" ht="20.100000000000001" customHeight="1">
      <c r="C703" s="1793"/>
      <c r="D703" s="1793"/>
    </row>
    <row r="704" spans="3:4" ht="20.100000000000001" customHeight="1">
      <c r="C704" s="1793"/>
      <c r="D704" s="1793"/>
    </row>
    <row r="705" spans="3:4" ht="20.100000000000001" customHeight="1">
      <c r="C705" s="1793"/>
      <c r="D705" s="1793"/>
    </row>
    <row r="706" spans="3:4" ht="20.100000000000001" customHeight="1">
      <c r="C706" s="1793"/>
      <c r="D706" s="1793"/>
    </row>
    <row r="707" spans="3:4" ht="20.100000000000001" customHeight="1">
      <c r="C707" s="1793"/>
      <c r="D707" s="1793"/>
    </row>
    <row r="708" spans="3:4" ht="20.100000000000001" customHeight="1">
      <c r="C708" s="1793"/>
      <c r="D708" s="1793"/>
    </row>
    <row r="709" spans="3:4" ht="20.100000000000001" customHeight="1">
      <c r="C709" s="1793"/>
      <c r="D709" s="1793"/>
    </row>
    <row r="710" spans="3:4" ht="20.100000000000001" customHeight="1">
      <c r="C710" s="1793"/>
      <c r="D710" s="1793"/>
    </row>
    <row r="711" spans="3:4" ht="20.100000000000001" customHeight="1">
      <c r="C711" s="1793"/>
      <c r="D711" s="1793"/>
    </row>
    <row r="712" spans="3:4" ht="20.100000000000001" customHeight="1">
      <c r="C712" s="1793"/>
      <c r="D712" s="1793"/>
    </row>
    <row r="713" spans="3:4" ht="20.100000000000001" customHeight="1">
      <c r="C713" s="1793"/>
      <c r="D713" s="1793"/>
    </row>
    <row r="714" spans="3:4" ht="20.100000000000001" customHeight="1">
      <c r="C714" s="1793"/>
      <c r="D714" s="1793"/>
    </row>
    <row r="715" spans="3:4" ht="20.100000000000001" customHeight="1">
      <c r="C715" s="1793"/>
      <c r="D715" s="1793"/>
    </row>
    <row r="716" spans="3:4" ht="20.100000000000001" customHeight="1">
      <c r="C716" s="1793"/>
      <c r="D716" s="1793"/>
    </row>
    <row r="717" spans="3:4" ht="20.100000000000001" customHeight="1">
      <c r="C717" s="1793"/>
      <c r="D717" s="1793"/>
    </row>
    <row r="718" spans="3:4" ht="20.100000000000001" customHeight="1">
      <c r="C718" s="1793"/>
      <c r="D718" s="1793"/>
    </row>
    <row r="719" spans="3:4" ht="20.100000000000001" customHeight="1">
      <c r="C719" s="1793"/>
      <c r="D719" s="1793"/>
    </row>
    <row r="720" spans="3:4" ht="20.100000000000001" customHeight="1">
      <c r="C720" s="1793"/>
      <c r="D720" s="1793"/>
    </row>
    <row r="721" spans="3:4" ht="20.100000000000001" customHeight="1">
      <c r="C721" s="1793"/>
      <c r="D721" s="1793"/>
    </row>
    <row r="722" spans="3:4" ht="20.100000000000001" customHeight="1">
      <c r="C722" s="1793"/>
      <c r="D722" s="1793"/>
    </row>
    <row r="723" spans="3:4" ht="20.100000000000001" customHeight="1">
      <c r="C723" s="1793"/>
      <c r="D723" s="1793"/>
    </row>
    <row r="724" spans="3:4" ht="20.100000000000001" customHeight="1">
      <c r="C724" s="1793"/>
      <c r="D724" s="1793"/>
    </row>
    <row r="725" spans="3:4" ht="20.100000000000001" customHeight="1">
      <c r="C725" s="1793"/>
      <c r="D725" s="1793"/>
    </row>
    <row r="726" spans="3:4" ht="20.100000000000001" customHeight="1">
      <c r="C726" s="1793"/>
      <c r="D726" s="1793"/>
    </row>
    <row r="727" spans="3:4" ht="20.100000000000001" customHeight="1">
      <c r="C727" s="1793"/>
      <c r="D727" s="1793"/>
    </row>
    <row r="728" spans="3:4" ht="20.100000000000001" customHeight="1">
      <c r="C728" s="1793"/>
      <c r="D728" s="1793"/>
    </row>
    <row r="729" spans="3:4" ht="20.100000000000001" customHeight="1">
      <c r="C729" s="1793"/>
      <c r="D729" s="1793"/>
    </row>
    <row r="730" spans="3:4" ht="20.100000000000001" customHeight="1">
      <c r="C730" s="1793"/>
      <c r="D730" s="1793"/>
    </row>
    <row r="731" spans="3:4" ht="20.100000000000001" customHeight="1">
      <c r="C731" s="1793"/>
      <c r="D731" s="1793"/>
    </row>
    <row r="732" spans="3:4" ht="20.100000000000001" customHeight="1">
      <c r="C732" s="1793"/>
      <c r="D732" s="1793"/>
    </row>
    <row r="733" spans="3:4" ht="20.100000000000001" customHeight="1">
      <c r="C733" s="1793"/>
      <c r="D733" s="1793"/>
    </row>
    <row r="734" spans="3:4" ht="20.100000000000001" customHeight="1">
      <c r="C734" s="1793"/>
      <c r="D734" s="1793"/>
    </row>
    <row r="735" spans="3:4" ht="20.100000000000001" customHeight="1">
      <c r="C735" s="1793"/>
      <c r="D735" s="1793"/>
    </row>
    <row r="736" spans="3:4" ht="20.100000000000001" customHeight="1">
      <c r="C736" s="1793"/>
      <c r="D736" s="1793"/>
    </row>
    <row r="737" spans="3:4" ht="20.100000000000001" customHeight="1">
      <c r="C737" s="1793"/>
      <c r="D737" s="1793"/>
    </row>
    <row r="738" spans="3:4" ht="20.100000000000001" customHeight="1">
      <c r="C738" s="1793"/>
      <c r="D738" s="1793"/>
    </row>
    <row r="739" spans="3:4" ht="20.100000000000001" customHeight="1">
      <c r="C739" s="1793"/>
      <c r="D739" s="1793"/>
    </row>
    <row r="740" spans="3:4" ht="20.100000000000001" customHeight="1">
      <c r="C740" s="1793"/>
      <c r="D740" s="1793"/>
    </row>
    <row r="741" spans="3:4" ht="20.100000000000001" customHeight="1">
      <c r="C741" s="1793"/>
      <c r="D741" s="1793"/>
    </row>
    <row r="742" spans="3:4" ht="20.100000000000001" customHeight="1">
      <c r="C742" s="1793"/>
      <c r="D742" s="1793"/>
    </row>
    <row r="743" spans="3:4" ht="20.100000000000001" customHeight="1">
      <c r="C743" s="1793"/>
      <c r="D743" s="1793"/>
    </row>
    <row r="744" spans="3:4" ht="20.100000000000001" customHeight="1">
      <c r="C744" s="1793"/>
      <c r="D744" s="1793"/>
    </row>
    <row r="745" spans="3:4" ht="20.100000000000001" customHeight="1">
      <c r="C745" s="1793"/>
      <c r="D745" s="1793"/>
    </row>
    <row r="746" spans="3:4" ht="20.100000000000001" customHeight="1">
      <c r="C746" s="1793"/>
      <c r="D746" s="1793"/>
    </row>
    <row r="747" spans="3:4" ht="20.100000000000001" customHeight="1">
      <c r="C747" s="1793"/>
      <c r="D747" s="1793"/>
    </row>
    <row r="748" spans="3:4" ht="20.100000000000001" customHeight="1">
      <c r="C748" s="1793"/>
      <c r="D748" s="1793"/>
    </row>
    <row r="749" spans="3:4" ht="20.100000000000001" customHeight="1">
      <c r="C749" s="1793"/>
      <c r="D749" s="1793"/>
    </row>
    <row r="750" spans="3:4" ht="20.100000000000001" customHeight="1">
      <c r="C750" s="1793"/>
      <c r="D750" s="1793"/>
    </row>
    <row r="751" spans="3:4" ht="20.100000000000001" customHeight="1">
      <c r="C751" s="1793"/>
      <c r="D751" s="1793"/>
    </row>
    <row r="752" spans="3:4" ht="20.100000000000001" customHeight="1">
      <c r="C752" s="1793"/>
      <c r="D752" s="1793"/>
    </row>
    <row r="753" spans="3:4" ht="20.100000000000001" customHeight="1">
      <c r="C753" s="1793"/>
      <c r="D753" s="1793"/>
    </row>
    <row r="754" spans="3:4" ht="20.100000000000001" customHeight="1">
      <c r="C754" s="1793"/>
      <c r="D754" s="1793"/>
    </row>
    <row r="755" spans="3:4" ht="20.100000000000001" customHeight="1">
      <c r="C755" s="1793"/>
      <c r="D755" s="1793"/>
    </row>
    <row r="756" spans="3:4" ht="20.100000000000001" customHeight="1">
      <c r="C756" s="1793"/>
      <c r="D756" s="1793"/>
    </row>
    <row r="757" spans="3:4" ht="20.100000000000001" customHeight="1">
      <c r="C757" s="1793"/>
      <c r="D757" s="1793"/>
    </row>
    <row r="758" spans="3:4" ht="20.100000000000001" customHeight="1">
      <c r="C758" s="1793"/>
      <c r="D758" s="1793"/>
    </row>
    <row r="759" spans="3:4" ht="20.100000000000001" customHeight="1">
      <c r="C759" s="1793"/>
      <c r="D759" s="1793"/>
    </row>
    <row r="760" spans="3:4" ht="20.100000000000001" customHeight="1">
      <c r="C760" s="1793"/>
      <c r="D760" s="1793"/>
    </row>
    <row r="761" spans="3:4" ht="20.100000000000001" customHeight="1">
      <c r="C761" s="1793"/>
      <c r="D761" s="1793"/>
    </row>
    <row r="762" spans="3:4" ht="20.100000000000001" customHeight="1">
      <c r="C762" s="1793"/>
      <c r="D762" s="1793"/>
    </row>
    <row r="763" spans="3:4" ht="20.100000000000001" customHeight="1">
      <c r="C763" s="1793"/>
      <c r="D763" s="1793"/>
    </row>
    <row r="764" spans="3:4" ht="20.100000000000001" customHeight="1">
      <c r="C764" s="1793"/>
      <c r="D764" s="1793"/>
    </row>
    <row r="765" spans="3:4" ht="20.100000000000001" customHeight="1">
      <c r="C765" s="1793"/>
      <c r="D765" s="1793"/>
    </row>
    <row r="766" spans="3:4" ht="20.100000000000001" customHeight="1">
      <c r="C766" s="1793"/>
      <c r="D766" s="1793"/>
    </row>
    <row r="767" spans="3:4" ht="20.100000000000001" customHeight="1">
      <c r="C767" s="1793"/>
      <c r="D767" s="1793"/>
    </row>
    <row r="768" spans="3:4" ht="20.100000000000001" customHeight="1">
      <c r="C768" s="1793"/>
      <c r="D768" s="1793"/>
    </row>
    <row r="769" spans="3:4" ht="20.100000000000001" customHeight="1">
      <c r="C769" s="1793"/>
      <c r="D769" s="1793"/>
    </row>
    <row r="770" spans="3:4" ht="20.100000000000001" customHeight="1">
      <c r="C770" s="1793"/>
      <c r="D770" s="1793"/>
    </row>
    <row r="771" spans="3:4" ht="20.100000000000001" customHeight="1">
      <c r="C771" s="1793"/>
      <c r="D771" s="1793"/>
    </row>
    <row r="772" spans="3:4" ht="20.100000000000001" customHeight="1">
      <c r="C772" s="1793"/>
      <c r="D772" s="1793"/>
    </row>
    <row r="773" spans="3:4" ht="20.100000000000001" customHeight="1">
      <c r="C773" s="1793"/>
      <c r="D773" s="1793"/>
    </row>
    <row r="774" spans="3:4" ht="20.100000000000001" customHeight="1">
      <c r="C774" s="1793"/>
      <c r="D774" s="1793"/>
    </row>
    <row r="775" spans="3:4" ht="20.100000000000001" customHeight="1">
      <c r="C775" s="1793"/>
      <c r="D775" s="1793"/>
    </row>
    <row r="776" spans="3:4" ht="20.100000000000001" customHeight="1">
      <c r="C776" s="1793"/>
      <c r="D776" s="1793"/>
    </row>
    <row r="777" spans="3:4" ht="20.100000000000001" customHeight="1">
      <c r="C777" s="1793"/>
      <c r="D777" s="1793"/>
    </row>
    <row r="778" spans="3:4" ht="20.100000000000001" customHeight="1">
      <c r="C778" s="1793"/>
      <c r="D778" s="1793"/>
    </row>
    <row r="779" spans="3:4" ht="20.100000000000001" customHeight="1">
      <c r="C779" s="1793"/>
      <c r="D779" s="1793"/>
    </row>
    <row r="780" spans="3:4" ht="20.100000000000001" customHeight="1">
      <c r="C780" s="1793"/>
      <c r="D780" s="1793"/>
    </row>
    <row r="781" spans="3:4" ht="20.100000000000001" customHeight="1">
      <c r="C781" s="1793"/>
      <c r="D781" s="1793"/>
    </row>
    <row r="782" spans="3:4" ht="20.100000000000001" customHeight="1">
      <c r="C782" s="1793"/>
      <c r="D782" s="1793"/>
    </row>
    <row r="783" spans="3:4" ht="20.100000000000001" customHeight="1">
      <c r="C783" s="1793"/>
      <c r="D783" s="1793"/>
    </row>
    <row r="784" spans="3:4" ht="20.100000000000001" customHeight="1">
      <c r="C784" s="1793"/>
      <c r="D784" s="1793"/>
    </row>
    <row r="785" spans="3:4" ht="20.100000000000001" customHeight="1">
      <c r="C785" s="1793"/>
      <c r="D785" s="1793"/>
    </row>
    <row r="786" spans="3:4" ht="20.100000000000001" customHeight="1">
      <c r="C786" s="1793"/>
      <c r="D786" s="1793"/>
    </row>
    <row r="787" spans="3:4" ht="20.100000000000001" customHeight="1">
      <c r="C787" s="1793"/>
      <c r="D787" s="1793"/>
    </row>
    <row r="788" spans="3:4" ht="20.100000000000001" customHeight="1">
      <c r="C788" s="1793"/>
      <c r="D788" s="1793"/>
    </row>
    <row r="789" spans="3:4" ht="20.100000000000001" customHeight="1">
      <c r="C789" s="1793"/>
      <c r="D789" s="1793"/>
    </row>
    <row r="790" spans="3:4" ht="20.100000000000001" customHeight="1">
      <c r="C790" s="1793"/>
      <c r="D790" s="1793"/>
    </row>
    <row r="791" spans="3:4" ht="20.100000000000001" customHeight="1">
      <c r="C791" s="1793"/>
      <c r="D791" s="1793"/>
    </row>
    <row r="792" spans="3:4" ht="20.100000000000001" customHeight="1">
      <c r="C792" s="1793"/>
      <c r="D792" s="1793"/>
    </row>
    <row r="793" spans="3:4" ht="20.100000000000001" customHeight="1">
      <c r="C793" s="1793"/>
      <c r="D793" s="1793"/>
    </row>
    <row r="794" spans="3:4" ht="20.100000000000001" customHeight="1">
      <c r="C794" s="1793"/>
      <c r="D794" s="1793"/>
    </row>
    <row r="795" spans="3:4" ht="20.100000000000001" customHeight="1">
      <c r="C795" s="1793"/>
      <c r="D795" s="1793"/>
    </row>
    <row r="796" spans="3:4" ht="20.100000000000001" customHeight="1">
      <c r="C796" s="1793"/>
      <c r="D796" s="1793"/>
    </row>
    <row r="797" spans="3:4" ht="20.100000000000001" customHeight="1">
      <c r="C797" s="1793"/>
      <c r="D797" s="1793"/>
    </row>
    <row r="798" spans="3:4" ht="20.100000000000001" customHeight="1">
      <c r="C798" s="1793"/>
      <c r="D798" s="1793"/>
    </row>
    <row r="799" spans="3:4" ht="20.100000000000001" customHeight="1">
      <c r="C799" s="1793"/>
      <c r="D799" s="1793"/>
    </row>
    <row r="800" spans="3:4" ht="20.100000000000001" customHeight="1">
      <c r="C800" s="1793"/>
      <c r="D800" s="1793"/>
    </row>
    <row r="801" spans="3:4" ht="20.100000000000001" customHeight="1">
      <c r="C801" s="1793"/>
      <c r="D801" s="1793"/>
    </row>
    <row r="802" spans="3:4" ht="20.100000000000001" customHeight="1">
      <c r="C802" s="1793"/>
      <c r="D802" s="1793"/>
    </row>
    <row r="803" spans="3:4" ht="20.100000000000001" customHeight="1">
      <c r="C803" s="1793"/>
      <c r="D803" s="1793"/>
    </row>
    <row r="804" spans="3:4" ht="20.100000000000001" customHeight="1">
      <c r="C804" s="1793"/>
      <c r="D804" s="1793"/>
    </row>
    <row r="805" spans="3:4" ht="20.100000000000001" customHeight="1">
      <c r="C805" s="1793"/>
      <c r="D805" s="1793"/>
    </row>
    <row r="806" spans="3:4" ht="20.100000000000001" customHeight="1">
      <c r="C806" s="1793"/>
      <c r="D806" s="1793"/>
    </row>
    <row r="807" spans="3:4" ht="20.100000000000001" customHeight="1">
      <c r="C807" s="1793"/>
      <c r="D807" s="1793"/>
    </row>
    <row r="808" spans="3:4" ht="20.100000000000001" customHeight="1">
      <c r="C808" s="1793"/>
      <c r="D808" s="1793"/>
    </row>
    <row r="809" spans="3:4" ht="20.100000000000001" customHeight="1">
      <c r="C809" s="1793"/>
      <c r="D809" s="1793"/>
    </row>
    <row r="810" spans="3:4" ht="20.100000000000001" customHeight="1">
      <c r="C810" s="1793"/>
      <c r="D810" s="1793"/>
    </row>
    <row r="811" spans="3:4" ht="20.100000000000001" customHeight="1">
      <c r="C811" s="1793"/>
      <c r="D811" s="1793"/>
    </row>
    <row r="812" spans="3:4" ht="20.100000000000001" customHeight="1">
      <c r="C812" s="1793"/>
      <c r="D812" s="1793"/>
    </row>
    <row r="813" spans="3:4" ht="20.100000000000001" customHeight="1">
      <c r="C813" s="1793"/>
      <c r="D813" s="1793"/>
    </row>
    <row r="814" spans="3:4" ht="20.100000000000001" customHeight="1">
      <c r="C814" s="1793"/>
      <c r="D814" s="1793"/>
    </row>
    <row r="815" spans="3:4" ht="20.100000000000001" customHeight="1">
      <c r="C815" s="1793"/>
      <c r="D815" s="1793"/>
    </row>
    <row r="816" spans="3:4" ht="20.100000000000001" customHeight="1">
      <c r="C816" s="1793"/>
      <c r="D816" s="1793"/>
    </row>
    <row r="817" spans="3:4" ht="20.100000000000001" customHeight="1">
      <c r="C817" s="1793"/>
      <c r="D817" s="1793"/>
    </row>
    <row r="818" spans="3:4" ht="20.100000000000001" customHeight="1">
      <c r="C818" s="1793"/>
      <c r="D818" s="1793"/>
    </row>
    <row r="819" spans="3:4" ht="20.100000000000001" customHeight="1">
      <c r="C819" s="1793"/>
      <c r="D819" s="1793"/>
    </row>
    <row r="820" spans="3:4" ht="20.100000000000001" customHeight="1">
      <c r="C820" s="1793"/>
      <c r="D820" s="1793"/>
    </row>
    <row r="821" spans="3:4" ht="20.100000000000001" customHeight="1">
      <c r="C821" s="1793"/>
      <c r="D821" s="1793"/>
    </row>
    <row r="822" spans="3:4" ht="20.100000000000001" customHeight="1">
      <c r="C822" s="1793"/>
      <c r="D822" s="1793"/>
    </row>
    <row r="823" spans="3:4" ht="20.100000000000001" customHeight="1">
      <c r="C823" s="1793"/>
      <c r="D823" s="1793"/>
    </row>
    <row r="824" spans="3:4" ht="20.100000000000001" customHeight="1">
      <c r="C824" s="1793"/>
      <c r="D824" s="1793"/>
    </row>
    <row r="825" spans="3:4" ht="20.100000000000001" customHeight="1">
      <c r="C825" s="1793"/>
      <c r="D825" s="1793"/>
    </row>
    <row r="826" spans="3:4" ht="20.100000000000001" customHeight="1">
      <c r="C826" s="1793"/>
      <c r="D826" s="1793"/>
    </row>
    <row r="827" spans="3:4" ht="20.100000000000001" customHeight="1">
      <c r="C827" s="1793"/>
      <c r="D827" s="1793"/>
    </row>
    <row r="828" spans="3:4" ht="20.100000000000001" customHeight="1">
      <c r="C828" s="1793"/>
      <c r="D828" s="1793"/>
    </row>
    <row r="829" spans="3:4" ht="20.100000000000001" customHeight="1">
      <c r="C829" s="1793"/>
      <c r="D829" s="1793"/>
    </row>
    <row r="830" spans="3:4" ht="20.100000000000001" customHeight="1">
      <c r="C830" s="1793"/>
      <c r="D830" s="1793"/>
    </row>
    <row r="831" spans="3:4" ht="20.100000000000001" customHeight="1">
      <c r="C831" s="1793"/>
      <c r="D831" s="1793"/>
    </row>
    <row r="832" spans="3:4" ht="20.100000000000001" customHeight="1">
      <c r="C832" s="1793"/>
      <c r="D832" s="1793"/>
    </row>
    <row r="833" spans="3:4" ht="20.100000000000001" customHeight="1">
      <c r="C833" s="1793"/>
      <c r="D833" s="1793"/>
    </row>
    <row r="834" spans="3:4" ht="20.100000000000001" customHeight="1">
      <c r="C834" s="1793"/>
      <c r="D834" s="1793"/>
    </row>
    <row r="835" spans="3:4" ht="20.100000000000001" customHeight="1">
      <c r="C835" s="1793"/>
      <c r="D835" s="1793"/>
    </row>
    <row r="836" spans="3:4" ht="20.100000000000001" customHeight="1">
      <c r="C836" s="1793"/>
      <c r="D836" s="1793"/>
    </row>
    <row r="837" spans="3:4" ht="20.100000000000001" customHeight="1">
      <c r="C837" s="1793"/>
      <c r="D837" s="1793"/>
    </row>
    <row r="838" spans="3:4" ht="20.100000000000001" customHeight="1">
      <c r="C838" s="1793"/>
      <c r="D838" s="1793"/>
    </row>
    <row r="839" spans="3:4" ht="20.100000000000001" customHeight="1">
      <c r="C839" s="1793"/>
      <c r="D839" s="1793"/>
    </row>
    <row r="840" spans="3:4" ht="20.100000000000001" customHeight="1">
      <c r="C840" s="1793"/>
      <c r="D840" s="1793"/>
    </row>
    <row r="841" spans="3:4" ht="20.100000000000001" customHeight="1">
      <c r="C841" s="1793"/>
      <c r="D841" s="1793"/>
    </row>
    <row r="842" spans="3:4" ht="20.100000000000001" customHeight="1">
      <c r="C842" s="1793"/>
      <c r="D842" s="1793"/>
    </row>
    <row r="843" spans="3:4" ht="20.100000000000001" customHeight="1">
      <c r="C843" s="1793"/>
      <c r="D843" s="1793"/>
    </row>
    <row r="844" spans="3:4" ht="20.100000000000001" customHeight="1">
      <c r="C844" s="1793"/>
      <c r="D844" s="1793"/>
    </row>
    <row r="845" spans="3:4" ht="20.100000000000001" customHeight="1">
      <c r="C845" s="1793"/>
      <c r="D845" s="1793"/>
    </row>
    <row r="846" spans="3:4" ht="20.100000000000001" customHeight="1">
      <c r="C846" s="1793"/>
      <c r="D846" s="1793"/>
    </row>
    <row r="847" spans="3:4" ht="20.100000000000001" customHeight="1">
      <c r="C847" s="1793"/>
      <c r="D847" s="1793"/>
    </row>
    <row r="848" spans="3:4" ht="20.100000000000001" customHeight="1">
      <c r="C848" s="1793"/>
      <c r="D848" s="1793"/>
    </row>
    <row r="849" spans="3:4" ht="20.100000000000001" customHeight="1">
      <c r="C849" s="1793"/>
      <c r="D849" s="1793"/>
    </row>
    <row r="850" spans="3:4" ht="20.100000000000001" customHeight="1">
      <c r="C850" s="1793"/>
      <c r="D850" s="1793"/>
    </row>
    <row r="851" spans="3:4" ht="20.100000000000001" customHeight="1">
      <c r="C851" s="1793"/>
      <c r="D851" s="1793"/>
    </row>
    <row r="852" spans="3:4" ht="20.100000000000001" customHeight="1">
      <c r="C852" s="1793"/>
      <c r="D852" s="1793"/>
    </row>
    <row r="853" spans="3:4" ht="20.100000000000001" customHeight="1">
      <c r="C853" s="1793"/>
      <c r="D853" s="1793"/>
    </row>
    <row r="854" spans="3:4" ht="20.100000000000001" customHeight="1">
      <c r="C854" s="1793"/>
      <c r="D854" s="1793"/>
    </row>
    <row r="855" spans="3:4" ht="20.100000000000001" customHeight="1">
      <c r="C855" s="1793"/>
      <c r="D855" s="1793"/>
    </row>
    <row r="856" spans="3:4" ht="20.100000000000001" customHeight="1">
      <c r="C856" s="1793"/>
      <c r="D856" s="1793"/>
    </row>
    <row r="857" spans="3:4" ht="20.100000000000001" customHeight="1">
      <c r="C857" s="1793"/>
      <c r="D857" s="1793"/>
    </row>
    <row r="858" spans="3:4" ht="20.100000000000001" customHeight="1">
      <c r="C858" s="1793"/>
      <c r="D858" s="1793"/>
    </row>
    <row r="859" spans="3:4" ht="20.100000000000001" customHeight="1">
      <c r="C859" s="1793"/>
      <c r="D859" s="1793"/>
    </row>
    <row r="860" spans="3:4" ht="20.100000000000001" customHeight="1">
      <c r="C860" s="1793"/>
      <c r="D860" s="1793"/>
    </row>
    <row r="861" spans="3:4" ht="20.100000000000001" customHeight="1">
      <c r="C861" s="1793"/>
      <c r="D861" s="1793"/>
    </row>
    <row r="862" spans="3:4" ht="20.100000000000001" customHeight="1">
      <c r="C862" s="1793"/>
      <c r="D862" s="1793"/>
    </row>
    <row r="863" spans="3:4" ht="20.100000000000001" customHeight="1">
      <c r="C863" s="1793"/>
      <c r="D863" s="1793"/>
    </row>
    <row r="864" spans="3:4" ht="20.100000000000001" customHeight="1">
      <c r="C864" s="1793"/>
      <c r="D864" s="1793"/>
    </row>
    <row r="865" spans="3:4" ht="20.100000000000001" customHeight="1">
      <c r="C865" s="1793"/>
      <c r="D865" s="1793"/>
    </row>
    <row r="866" spans="3:4" ht="20.100000000000001" customHeight="1">
      <c r="C866" s="1793"/>
      <c r="D866" s="1793"/>
    </row>
    <row r="867" spans="3:4" ht="20.100000000000001" customHeight="1">
      <c r="C867" s="1793"/>
      <c r="D867" s="1793"/>
    </row>
    <row r="868" spans="3:4" ht="20.100000000000001" customHeight="1">
      <c r="C868" s="1793"/>
      <c r="D868" s="1793"/>
    </row>
    <row r="869" spans="3:4" ht="20.100000000000001" customHeight="1">
      <c r="C869" s="1793"/>
      <c r="D869" s="1793"/>
    </row>
    <row r="870" spans="3:4" ht="20.100000000000001" customHeight="1">
      <c r="C870" s="1793"/>
      <c r="D870" s="1793"/>
    </row>
    <row r="871" spans="3:4" ht="20.100000000000001" customHeight="1">
      <c r="C871" s="1793"/>
      <c r="D871" s="1793"/>
    </row>
    <row r="872" spans="3:4" ht="20.100000000000001" customHeight="1">
      <c r="C872" s="1793"/>
      <c r="D872" s="1793"/>
    </row>
    <row r="873" spans="3:4" ht="20.100000000000001" customHeight="1">
      <c r="C873" s="1793"/>
      <c r="D873" s="1793"/>
    </row>
    <row r="874" spans="3:4" ht="20.100000000000001" customHeight="1">
      <c r="C874" s="1793"/>
      <c r="D874" s="1793"/>
    </row>
    <row r="875" spans="3:4" ht="20.100000000000001" customHeight="1">
      <c r="C875" s="1793"/>
      <c r="D875" s="1793"/>
    </row>
    <row r="876" spans="3:4" ht="20.100000000000001" customHeight="1">
      <c r="C876" s="1793"/>
      <c r="D876" s="1793"/>
    </row>
    <row r="877" spans="3:4" ht="20.100000000000001" customHeight="1">
      <c r="C877" s="1793"/>
      <c r="D877" s="1793"/>
    </row>
    <row r="878" spans="3:4" ht="20.100000000000001" customHeight="1">
      <c r="C878" s="1793"/>
      <c r="D878" s="1793"/>
    </row>
    <row r="879" spans="3:4" ht="20.100000000000001" customHeight="1">
      <c r="C879" s="1793"/>
      <c r="D879" s="1793"/>
    </row>
    <row r="880" spans="3:4" ht="20.100000000000001" customHeight="1">
      <c r="C880" s="1793"/>
      <c r="D880" s="1793"/>
    </row>
    <row r="881" spans="3:4" ht="20.100000000000001" customHeight="1">
      <c r="C881" s="1793"/>
      <c r="D881" s="1793"/>
    </row>
    <row r="882" spans="3:4" ht="20.100000000000001" customHeight="1">
      <c r="C882" s="1793"/>
      <c r="D882" s="1793"/>
    </row>
    <row r="883" spans="3:4" ht="20.100000000000001" customHeight="1">
      <c r="C883" s="1793"/>
      <c r="D883" s="1793"/>
    </row>
    <row r="884" spans="3:4" ht="20.100000000000001" customHeight="1">
      <c r="C884" s="1793"/>
      <c r="D884" s="1793"/>
    </row>
    <row r="885" spans="3:4" ht="20.100000000000001" customHeight="1">
      <c r="C885" s="1793"/>
      <c r="D885" s="1793"/>
    </row>
    <row r="886" spans="3:4" ht="20.100000000000001" customHeight="1">
      <c r="C886" s="1793"/>
      <c r="D886" s="1793"/>
    </row>
    <row r="887" spans="3:4" ht="20.100000000000001" customHeight="1">
      <c r="C887" s="1793"/>
      <c r="D887" s="1793"/>
    </row>
    <row r="888" spans="3:4" ht="20.100000000000001" customHeight="1">
      <c r="C888" s="1793"/>
      <c r="D888" s="1793"/>
    </row>
    <row r="889" spans="3:4" ht="20.100000000000001" customHeight="1">
      <c r="C889" s="1793"/>
      <c r="D889" s="1793"/>
    </row>
    <row r="890" spans="3:4" ht="20.100000000000001" customHeight="1">
      <c r="C890" s="1793"/>
      <c r="D890" s="1793"/>
    </row>
    <row r="891" spans="3:4" ht="20.100000000000001" customHeight="1">
      <c r="C891" s="1793"/>
      <c r="D891" s="1793"/>
    </row>
    <row r="892" spans="3:4" ht="20.100000000000001" customHeight="1">
      <c r="C892" s="1793"/>
      <c r="D892" s="1793"/>
    </row>
    <row r="893" spans="3:4" ht="20.100000000000001" customHeight="1">
      <c r="C893" s="1793"/>
      <c r="D893" s="1793"/>
    </row>
    <row r="894" spans="3:4" ht="20.100000000000001" customHeight="1">
      <c r="C894" s="1793"/>
      <c r="D894" s="1793"/>
    </row>
    <row r="895" spans="3:4" ht="20.100000000000001" customHeight="1">
      <c r="C895" s="1793"/>
      <c r="D895" s="1793"/>
    </row>
    <row r="896" spans="3:4" ht="20.100000000000001" customHeight="1">
      <c r="C896" s="1793"/>
      <c r="D896" s="1793"/>
    </row>
    <row r="897" spans="3:4" ht="20.100000000000001" customHeight="1">
      <c r="C897" s="1793"/>
      <c r="D897" s="1793"/>
    </row>
    <row r="898" spans="3:4" ht="20.100000000000001" customHeight="1">
      <c r="C898" s="1793"/>
      <c r="D898" s="1793"/>
    </row>
    <row r="899" spans="3:4" ht="20.100000000000001" customHeight="1">
      <c r="C899" s="1793"/>
      <c r="D899" s="1793"/>
    </row>
    <row r="900" spans="3:4" ht="20.100000000000001" customHeight="1">
      <c r="C900" s="1793"/>
      <c r="D900" s="1793"/>
    </row>
    <row r="901" spans="3:4" ht="20.100000000000001" customHeight="1">
      <c r="C901" s="1793"/>
      <c r="D901" s="1793"/>
    </row>
    <row r="902" spans="3:4" ht="20.100000000000001" customHeight="1">
      <c r="C902" s="1793"/>
      <c r="D902" s="1793"/>
    </row>
    <row r="903" spans="3:4" ht="20.100000000000001" customHeight="1">
      <c r="C903" s="1793"/>
      <c r="D903" s="1793"/>
    </row>
    <row r="904" spans="3:4" ht="20.100000000000001" customHeight="1">
      <c r="C904" s="1793"/>
      <c r="D904" s="1793"/>
    </row>
    <row r="905" spans="3:4" ht="20.100000000000001" customHeight="1">
      <c r="C905" s="1793"/>
      <c r="D905" s="1793"/>
    </row>
    <row r="906" spans="3:4" ht="20.100000000000001" customHeight="1">
      <c r="C906" s="1793"/>
      <c r="D906" s="1793"/>
    </row>
    <row r="907" spans="3:4" ht="20.100000000000001" customHeight="1">
      <c r="C907" s="1793"/>
      <c r="D907" s="1793"/>
    </row>
    <row r="908" spans="3:4" ht="20.100000000000001" customHeight="1">
      <c r="C908" s="1793"/>
      <c r="D908" s="1793"/>
    </row>
    <row r="909" spans="3:4" ht="20.100000000000001" customHeight="1">
      <c r="C909" s="1793"/>
      <c r="D909" s="1793"/>
    </row>
    <row r="910" spans="3:4" ht="20.100000000000001" customHeight="1">
      <c r="C910" s="1793"/>
      <c r="D910" s="1793"/>
    </row>
    <row r="911" spans="3:4" ht="20.100000000000001" customHeight="1">
      <c r="C911" s="1793"/>
      <c r="D911" s="1793"/>
    </row>
    <row r="912" spans="3:4" ht="20.100000000000001" customHeight="1">
      <c r="C912" s="1793"/>
      <c r="D912" s="1793"/>
    </row>
    <row r="913" spans="3:4" ht="20.100000000000001" customHeight="1">
      <c r="C913" s="1793"/>
      <c r="D913" s="1793"/>
    </row>
    <row r="914" spans="3:4" ht="20.100000000000001" customHeight="1">
      <c r="C914" s="1793"/>
      <c r="D914" s="1793"/>
    </row>
    <row r="915" spans="3:4" ht="20.100000000000001" customHeight="1">
      <c r="C915" s="1793"/>
      <c r="D915" s="1793"/>
    </row>
    <row r="916" spans="3:4" ht="20.100000000000001" customHeight="1">
      <c r="C916" s="1793"/>
      <c r="D916" s="1793"/>
    </row>
    <row r="917" spans="3:4" ht="20.100000000000001" customHeight="1">
      <c r="C917" s="1793"/>
      <c r="D917" s="1793"/>
    </row>
    <row r="918" spans="3:4" ht="20.100000000000001" customHeight="1">
      <c r="C918" s="1793"/>
      <c r="D918" s="1793"/>
    </row>
    <row r="919" spans="3:4" ht="20.100000000000001" customHeight="1">
      <c r="C919" s="1793"/>
      <c r="D919" s="1793"/>
    </row>
    <row r="920" spans="3:4" ht="20.100000000000001" customHeight="1">
      <c r="C920" s="1793"/>
      <c r="D920" s="1793"/>
    </row>
    <row r="921" spans="3:4" ht="20.100000000000001" customHeight="1">
      <c r="C921" s="1793"/>
      <c r="D921" s="1793"/>
    </row>
    <row r="922" spans="3:4" ht="20.100000000000001" customHeight="1">
      <c r="C922" s="1793"/>
      <c r="D922" s="1793"/>
    </row>
    <row r="923" spans="3:4" ht="20.100000000000001" customHeight="1">
      <c r="C923" s="1793"/>
      <c r="D923" s="1793"/>
    </row>
    <row r="924" spans="3:4" ht="20.100000000000001" customHeight="1">
      <c r="C924" s="1793"/>
      <c r="D924" s="1793"/>
    </row>
    <row r="925" spans="3:4" ht="20.100000000000001" customHeight="1">
      <c r="C925" s="1793"/>
      <c r="D925" s="1793"/>
    </row>
    <row r="926" spans="3:4" ht="20.100000000000001" customHeight="1">
      <c r="C926" s="1793"/>
      <c r="D926" s="1793"/>
    </row>
    <row r="927" spans="3:4" ht="20.100000000000001" customHeight="1">
      <c r="C927" s="1793"/>
      <c r="D927" s="1793"/>
    </row>
    <row r="928" spans="3:4" ht="20.100000000000001" customHeight="1">
      <c r="C928" s="1793"/>
      <c r="D928" s="1793"/>
    </row>
    <row r="929" spans="3:4" ht="20.100000000000001" customHeight="1">
      <c r="C929" s="1793"/>
      <c r="D929" s="1793"/>
    </row>
    <row r="930" spans="3:4" ht="20.100000000000001" customHeight="1">
      <c r="C930" s="1793"/>
      <c r="D930" s="1793"/>
    </row>
    <row r="931" spans="3:4" ht="20.100000000000001" customHeight="1">
      <c r="C931" s="1793"/>
      <c r="D931" s="1793"/>
    </row>
    <row r="932" spans="3:4" ht="20.100000000000001" customHeight="1">
      <c r="C932" s="1793"/>
      <c r="D932" s="1793"/>
    </row>
    <row r="933" spans="3:4" ht="20.100000000000001" customHeight="1">
      <c r="C933" s="1793"/>
      <c r="D933" s="1793"/>
    </row>
    <row r="934" spans="3:4" ht="20.100000000000001" customHeight="1">
      <c r="C934" s="1793"/>
      <c r="D934" s="1793"/>
    </row>
    <row r="935" spans="3:4" ht="20.100000000000001" customHeight="1">
      <c r="C935" s="1793"/>
      <c r="D935" s="1793"/>
    </row>
    <row r="936" spans="3:4" ht="20.100000000000001" customHeight="1">
      <c r="C936" s="1793"/>
      <c r="D936" s="1793"/>
    </row>
    <row r="937" spans="3:4" ht="20.100000000000001" customHeight="1">
      <c r="C937" s="1793"/>
      <c r="D937" s="1793"/>
    </row>
    <row r="938" spans="3:4" ht="20.100000000000001" customHeight="1">
      <c r="C938" s="1793"/>
      <c r="D938" s="1793"/>
    </row>
    <row r="939" spans="3:4" ht="20.100000000000001" customHeight="1">
      <c r="C939" s="1793"/>
      <c r="D939" s="1793"/>
    </row>
    <row r="940" spans="3:4" ht="20.100000000000001" customHeight="1">
      <c r="C940" s="1793"/>
      <c r="D940" s="1793"/>
    </row>
    <row r="941" spans="3:4" ht="20.100000000000001" customHeight="1">
      <c r="C941" s="1793"/>
      <c r="D941" s="1793"/>
    </row>
    <row r="942" spans="3:4" ht="20.100000000000001" customHeight="1">
      <c r="C942" s="1793"/>
      <c r="D942" s="1793"/>
    </row>
    <row r="943" spans="3:4" ht="20.100000000000001" customHeight="1">
      <c r="C943" s="1793"/>
      <c r="D943" s="1793"/>
    </row>
    <row r="944" spans="3:4" ht="20.100000000000001" customHeight="1">
      <c r="C944" s="1793"/>
      <c r="D944" s="1793"/>
    </row>
    <row r="945" spans="3:4" ht="20.100000000000001" customHeight="1">
      <c r="C945" s="1793"/>
      <c r="D945" s="1793"/>
    </row>
    <row r="946" spans="3:4" ht="20.100000000000001" customHeight="1">
      <c r="C946" s="1793"/>
      <c r="D946" s="1793"/>
    </row>
    <row r="947" spans="3:4" ht="20.100000000000001" customHeight="1">
      <c r="C947" s="1793"/>
      <c r="D947" s="1793"/>
    </row>
    <row r="948" spans="3:4" ht="20.100000000000001" customHeight="1">
      <c r="C948" s="1793"/>
      <c r="D948" s="1793"/>
    </row>
    <row r="949" spans="3:4" ht="20.100000000000001" customHeight="1">
      <c r="C949" s="1793"/>
      <c r="D949" s="1793"/>
    </row>
    <row r="950" spans="3:4" ht="20.100000000000001" customHeight="1">
      <c r="C950" s="1793"/>
      <c r="D950" s="1793"/>
    </row>
    <row r="951" spans="3:4" ht="20.100000000000001" customHeight="1">
      <c r="C951" s="1793"/>
      <c r="D951" s="1793"/>
    </row>
    <row r="952" spans="3:4" ht="20.100000000000001" customHeight="1">
      <c r="C952" s="1793"/>
      <c r="D952" s="1793"/>
    </row>
    <row r="953" spans="3:4" ht="20.100000000000001" customHeight="1">
      <c r="C953" s="1793"/>
      <c r="D953" s="1793"/>
    </row>
    <row r="954" spans="3:4" ht="20.100000000000001" customHeight="1">
      <c r="C954" s="1793"/>
      <c r="D954" s="1793"/>
    </row>
    <row r="955" spans="3:4" ht="20.100000000000001" customHeight="1">
      <c r="C955" s="1793"/>
      <c r="D955" s="1793"/>
    </row>
    <row r="956" spans="3:4" ht="20.100000000000001" customHeight="1">
      <c r="C956" s="1793"/>
      <c r="D956" s="1793"/>
    </row>
    <row r="957" spans="3:4" ht="20.100000000000001" customHeight="1">
      <c r="C957" s="1793"/>
      <c r="D957" s="1793"/>
    </row>
    <row r="958" spans="3:4" ht="20.100000000000001" customHeight="1">
      <c r="C958" s="1793"/>
      <c r="D958" s="1793"/>
    </row>
    <row r="959" spans="3:4" ht="20.100000000000001" customHeight="1">
      <c r="C959" s="1793"/>
      <c r="D959" s="1793"/>
    </row>
    <row r="960" spans="3:4" ht="20.100000000000001" customHeight="1">
      <c r="C960" s="1793"/>
      <c r="D960" s="1793"/>
    </row>
    <row r="961" spans="3:4" ht="20.100000000000001" customHeight="1">
      <c r="C961" s="1793"/>
      <c r="D961" s="1793"/>
    </row>
    <row r="962" spans="3:4" ht="20.100000000000001" customHeight="1">
      <c r="C962" s="1793"/>
      <c r="D962" s="1793"/>
    </row>
    <row r="963" spans="3:4" ht="20.100000000000001" customHeight="1">
      <c r="C963" s="1793"/>
      <c r="D963" s="1793"/>
    </row>
    <row r="964" spans="3:4" ht="20.100000000000001" customHeight="1">
      <c r="C964" s="1793"/>
      <c r="D964" s="1793"/>
    </row>
    <row r="965" spans="3:4" ht="20.100000000000001" customHeight="1">
      <c r="C965" s="1793"/>
      <c r="D965" s="1793"/>
    </row>
    <row r="966" spans="3:4" ht="20.100000000000001" customHeight="1">
      <c r="C966" s="1793"/>
      <c r="D966" s="1793"/>
    </row>
    <row r="967" spans="3:4" ht="20.100000000000001" customHeight="1">
      <c r="C967" s="1793"/>
      <c r="D967" s="1793"/>
    </row>
    <row r="968" spans="3:4" ht="20.100000000000001" customHeight="1">
      <c r="C968" s="1793"/>
      <c r="D968" s="1793"/>
    </row>
    <row r="969" spans="3:4" ht="20.100000000000001" customHeight="1">
      <c r="C969" s="1793"/>
      <c r="D969" s="1793"/>
    </row>
    <row r="970" spans="3:4" ht="20.100000000000001" customHeight="1">
      <c r="C970" s="1793"/>
      <c r="D970" s="1793"/>
    </row>
    <row r="971" spans="3:4" ht="20.100000000000001" customHeight="1">
      <c r="C971" s="1793"/>
      <c r="D971" s="1793"/>
    </row>
    <row r="972" spans="3:4" ht="20.100000000000001" customHeight="1">
      <c r="C972" s="1793"/>
      <c r="D972" s="1793"/>
    </row>
    <row r="973" spans="3:4" ht="20.100000000000001" customHeight="1">
      <c r="C973" s="1793"/>
      <c r="D973" s="1793"/>
    </row>
    <row r="974" spans="3:4" ht="20.100000000000001" customHeight="1">
      <c r="C974" s="1793"/>
      <c r="D974" s="1793"/>
    </row>
    <row r="975" spans="3:4" ht="20.100000000000001" customHeight="1">
      <c r="C975" s="1793"/>
      <c r="D975" s="1793"/>
    </row>
    <row r="976" spans="3:4" ht="20.100000000000001" customHeight="1">
      <c r="C976" s="1793"/>
      <c r="D976" s="1793"/>
    </row>
    <row r="977" spans="3:4" ht="20.100000000000001" customHeight="1">
      <c r="C977" s="1793"/>
      <c r="D977" s="1793"/>
    </row>
    <row r="978" spans="3:4" ht="20.100000000000001" customHeight="1">
      <c r="C978" s="1793"/>
      <c r="D978" s="1793"/>
    </row>
    <row r="979" spans="3:4" ht="20.100000000000001" customHeight="1">
      <c r="C979" s="1793"/>
      <c r="D979" s="1793"/>
    </row>
    <row r="980" spans="3:4" ht="20.100000000000001" customHeight="1">
      <c r="C980" s="1793"/>
      <c r="D980" s="1793"/>
    </row>
    <row r="981" spans="3:4" ht="20.100000000000001" customHeight="1">
      <c r="C981" s="1793"/>
      <c r="D981" s="1793"/>
    </row>
    <row r="982" spans="3:4" ht="20.100000000000001" customHeight="1">
      <c r="C982" s="1793"/>
      <c r="D982" s="1793"/>
    </row>
    <row r="983" spans="3:4" ht="20.100000000000001" customHeight="1">
      <c r="C983" s="1793"/>
      <c r="D983" s="1793"/>
    </row>
    <row r="984" spans="3:4" ht="20.100000000000001" customHeight="1">
      <c r="C984" s="1793"/>
      <c r="D984" s="1793"/>
    </row>
    <row r="985" spans="3:4" ht="20.100000000000001" customHeight="1">
      <c r="C985" s="1793"/>
      <c r="D985" s="1793"/>
    </row>
    <row r="986" spans="3:4" ht="20.100000000000001" customHeight="1">
      <c r="C986" s="1793"/>
      <c r="D986" s="1793"/>
    </row>
    <row r="987" spans="3:4" ht="20.100000000000001" customHeight="1">
      <c r="C987" s="1793"/>
      <c r="D987" s="1793"/>
    </row>
    <row r="988" spans="3:4" ht="20.100000000000001" customHeight="1">
      <c r="C988" s="1793"/>
      <c r="D988" s="1793"/>
    </row>
    <row r="989" spans="3:4" ht="20.100000000000001" customHeight="1">
      <c r="C989" s="1793"/>
      <c r="D989" s="1793"/>
    </row>
    <row r="990" spans="3:4" ht="20.100000000000001" customHeight="1">
      <c r="C990" s="1793"/>
      <c r="D990" s="1793"/>
    </row>
    <row r="991" spans="3:4" ht="20.100000000000001" customHeight="1">
      <c r="C991" s="1793"/>
      <c r="D991" s="1793"/>
    </row>
    <row r="992" spans="3:4" ht="20.100000000000001" customHeight="1">
      <c r="C992" s="1793"/>
      <c r="D992" s="1793"/>
    </row>
    <row r="993" spans="3:4" ht="20.100000000000001" customHeight="1">
      <c r="C993" s="1793"/>
      <c r="D993" s="1793"/>
    </row>
    <row r="994" spans="3:4" ht="20.100000000000001" customHeight="1">
      <c r="C994" s="1793"/>
      <c r="D994" s="1793"/>
    </row>
    <row r="995" spans="3:4" ht="20.100000000000001" customHeight="1">
      <c r="C995" s="1793"/>
      <c r="D995" s="1793"/>
    </row>
    <row r="996" spans="3:4" ht="20.100000000000001" customHeight="1">
      <c r="C996" s="1793"/>
      <c r="D996" s="1793"/>
    </row>
    <row r="997" spans="3:4" ht="20.100000000000001" customHeight="1">
      <c r="C997" s="1793"/>
      <c r="D997" s="1793"/>
    </row>
    <row r="998" spans="3:4" ht="20.100000000000001" customHeight="1">
      <c r="C998" s="1793"/>
      <c r="D998" s="1793"/>
    </row>
    <row r="999" spans="3:4" ht="20.100000000000001" customHeight="1">
      <c r="C999" s="1793"/>
      <c r="D999" s="1793"/>
    </row>
    <row r="1000" spans="3:4" ht="20.100000000000001" customHeight="1">
      <c r="C1000" s="1793"/>
      <c r="D1000" s="1793"/>
    </row>
    <row r="1001" spans="3:4" ht="20.100000000000001" customHeight="1">
      <c r="C1001" s="1793"/>
      <c r="D1001" s="1793"/>
    </row>
    <row r="1002" spans="3:4" ht="20.100000000000001" customHeight="1">
      <c r="C1002" s="1793"/>
      <c r="D1002" s="1793"/>
    </row>
    <row r="1003" spans="3:4" ht="20.100000000000001" customHeight="1">
      <c r="C1003" s="1793"/>
      <c r="D1003" s="1793"/>
    </row>
    <row r="1004" spans="3:4" ht="20.100000000000001" customHeight="1">
      <c r="C1004" s="1793"/>
      <c r="D1004" s="1793"/>
    </row>
    <row r="1005" spans="3:4" ht="20.100000000000001" customHeight="1">
      <c r="C1005" s="1793"/>
      <c r="D1005" s="1793"/>
    </row>
    <row r="1006" spans="3:4" ht="20.100000000000001" customHeight="1">
      <c r="C1006" s="1793"/>
      <c r="D1006" s="1793"/>
    </row>
    <row r="1007" spans="3:4" ht="20.100000000000001" customHeight="1">
      <c r="C1007" s="1793"/>
      <c r="D1007" s="1793"/>
    </row>
    <row r="1008" spans="3:4" ht="20.100000000000001" customHeight="1">
      <c r="C1008" s="1793"/>
      <c r="D1008" s="1793"/>
    </row>
    <row r="1009" spans="3:4" ht="20.100000000000001" customHeight="1">
      <c r="C1009" s="1793"/>
      <c r="D1009" s="1793"/>
    </row>
    <row r="1010" spans="3:4" ht="20.100000000000001" customHeight="1">
      <c r="C1010" s="1793"/>
      <c r="D1010" s="1793"/>
    </row>
    <row r="1011" spans="3:4" ht="20.100000000000001" customHeight="1">
      <c r="C1011" s="1793"/>
      <c r="D1011" s="1793"/>
    </row>
    <row r="1012" spans="3:4" ht="20.100000000000001" customHeight="1">
      <c r="C1012" s="1793"/>
      <c r="D1012" s="1793"/>
    </row>
    <row r="1013" spans="3:4" ht="20.100000000000001" customHeight="1">
      <c r="C1013" s="1793"/>
      <c r="D1013" s="1793"/>
    </row>
    <row r="1014" spans="3:4" ht="20.100000000000001" customHeight="1">
      <c r="C1014" s="1793"/>
      <c r="D1014" s="1793"/>
    </row>
    <row r="1015" spans="3:4" ht="20.100000000000001" customHeight="1">
      <c r="C1015" s="1793"/>
      <c r="D1015" s="1793"/>
    </row>
    <row r="1016" spans="3:4" ht="20.100000000000001" customHeight="1">
      <c r="C1016" s="1793"/>
      <c r="D1016" s="1793"/>
    </row>
    <row r="1017" spans="3:4" ht="20.100000000000001" customHeight="1">
      <c r="C1017" s="1793"/>
      <c r="D1017" s="1793"/>
    </row>
    <row r="1018" spans="3:4" ht="20.100000000000001" customHeight="1">
      <c r="C1018" s="1793"/>
      <c r="D1018" s="1793"/>
    </row>
    <row r="1019" spans="3:4" ht="20.100000000000001" customHeight="1">
      <c r="C1019" s="1793"/>
      <c r="D1019" s="1793"/>
    </row>
    <row r="1020" spans="3:4" ht="20.100000000000001" customHeight="1">
      <c r="C1020" s="1793"/>
      <c r="D1020" s="1793"/>
    </row>
    <row r="1021" spans="3:4" ht="20.100000000000001" customHeight="1">
      <c r="C1021" s="1793"/>
      <c r="D1021" s="1793"/>
    </row>
    <row r="1022" spans="3:4" ht="20.100000000000001" customHeight="1">
      <c r="C1022" s="1793"/>
      <c r="D1022" s="1793"/>
    </row>
    <row r="1023" spans="3:4" ht="20.100000000000001" customHeight="1">
      <c r="C1023" s="1793"/>
      <c r="D1023" s="1793"/>
    </row>
    <row r="1024" spans="3:4" ht="20.100000000000001" customHeight="1">
      <c r="C1024" s="1793"/>
      <c r="D1024" s="1793"/>
    </row>
    <row r="1025" spans="3:4" ht="20.100000000000001" customHeight="1">
      <c r="C1025" s="1793"/>
      <c r="D1025" s="1793"/>
    </row>
    <row r="1026" spans="3:4" ht="20.100000000000001" customHeight="1">
      <c r="C1026" s="1793"/>
      <c r="D1026" s="1793"/>
    </row>
    <row r="1027" spans="3:4" ht="20.100000000000001" customHeight="1">
      <c r="C1027" s="1793"/>
      <c r="D1027" s="1793"/>
    </row>
    <row r="1028" spans="3:4" ht="20.100000000000001" customHeight="1">
      <c r="C1028" s="1793"/>
      <c r="D1028" s="1793"/>
    </row>
    <row r="1029" spans="3:4" ht="20.100000000000001" customHeight="1">
      <c r="C1029" s="1793"/>
      <c r="D1029" s="1793"/>
    </row>
    <row r="1030" spans="3:4" ht="20.100000000000001" customHeight="1">
      <c r="C1030" s="1793"/>
      <c r="D1030" s="1793"/>
    </row>
    <row r="1031" spans="3:4" ht="20.100000000000001" customHeight="1">
      <c r="C1031" s="1793"/>
      <c r="D1031" s="1793"/>
    </row>
    <row r="1032" spans="3:4" ht="20.100000000000001" customHeight="1">
      <c r="C1032" s="1793"/>
      <c r="D1032" s="1793"/>
    </row>
    <row r="1033" spans="3:4" ht="20.100000000000001" customHeight="1">
      <c r="C1033" s="1793"/>
      <c r="D1033" s="1793"/>
    </row>
    <row r="1034" spans="3:4" ht="20.100000000000001" customHeight="1">
      <c r="C1034" s="1793"/>
      <c r="D1034" s="1793"/>
    </row>
    <row r="1035" spans="3:4" ht="20.100000000000001" customHeight="1">
      <c r="C1035" s="1793"/>
      <c r="D1035" s="1793"/>
    </row>
    <row r="1036" spans="3:4" ht="20.100000000000001" customHeight="1">
      <c r="C1036" s="1793"/>
      <c r="D1036" s="1793"/>
    </row>
    <row r="1037" spans="3:4" ht="20.100000000000001" customHeight="1">
      <c r="C1037" s="1793"/>
      <c r="D1037" s="1793"/>
    </row>
    <row r="1038" spans="3:4" ht="20.100000000000001" customHeight="1">
      <c r="C1038" s="1793"/>
      <c r="D1038" s="1793"/>
    </row>
    <row r="1039" spans="3:4" ht="20.100000000000001" customHeight="1">
      <c r="C1039" s="1793"/>
      <c r="D1039" s="1793"/>
    </row>
    <row r="1040" spans="3:4" ht="20.100000000000001" customHeight="1">
      <c r="C1040" s="1793"/>
      <c r="D1040" s="1793"/>
    </row>
    <row r="1041" spans="3:4" ht="20.100000000000001" customHeight="1">
      <c r="C1041" s="1793"/>
      <c r="D1041" s="1793"/>
    </row>
    <row r="1042" spans="3:4" ht="20.100000000000001" customHeight="1">
      <c r="C1042" s="1793"/>
      <c r="D1042" s="1793"/>
    </row>
    <row r="1043" spans="3:4" ht="20.100000000000001" customHeight="1">
      <c r="C1043" s="1793"/>
      <c r="D1043" s="1793"/>
    </row>
    <row r="1044" spans="3:4" ht="20.100000000000001" customHeight="1">
      <c r="C1044" s="1793"/>
      <c r="D1044" s="1793"/>
    </row>
    <row r="1045" spans="3:4" ht="20.100000000000001" customHeight="1">
      <c r="C1045" s="1793"/>
      <c r="D1045" s="1793"/>
    </row>
    <row r="1046" spans="3:4" ht="20.100000000000001" customHeight="1">
      <c r="C1046" s="1793"/>
      <c r="D1046" s="1793"/>
    </row>
    <row r="1047" spans="3:4" ht="20.100000000000001" customHeight="1">
      <c r="C1047" s="1793"/>
      <c r="D1047" s="1793"/>
    </row>
    <row r="1048" spans="3:4" ht="20.100000000000001" customHeight="1">
      <c r="C1048" s="1793"/>
      <c r="D1048" s="1793"/>
    </row>
    <row r="1049" spans="3:4" ht="20.100000000000001" customHeight="1">
      <c r="C1049" s="1793"/>
      <c r="D1049" s="1793"/>
    </row>
    <row r="1050" spans="3:4" ht="20.100000000000001" customHeight="1">
      <c r="C1050" s="1793"/>
      <c r="D1050" s="1793"/>
    </row>
    <row r="1051" spans="3:4" ht="20.100000000000001" customHeight="1">
      <c r="C1051" s="1793"/>
      <c r="D1051" s="1793"/>
    </row>
    <row r="1052" spans="3:4" ht="20.100000000000001" customHeight="1">
      <c r="C1052" s="1793"/>
      <c r="D1052" s="1793"/>
    </row>
    <row r="1053" spans="3:4" ht="20.100000000000001" customHeight="1">
      <c r="C1053" s="1793"/>
      <c r="D1053" s="1793"/>
    </row>
    <row r="1054" spans="3:4" ht="20.100000000000001" customHeight="1">
      <c r="C1054" s="1793"/>
      <c r="D1054" s="1793"/>
    </row>
    <row r="1055" spans="3:4" ht="20.100000000000001" customHeight="1">
      <c r="C1055" s="1793"/>
      <c r="D1055" s="1793"/>
    </row>
    <row r="1056" spans="3:4" ht="20.100000000000001" customHeight="1">
      <c r="C1056" s="1793"/>
      <c r="D1056" s="1793"/>
    </row>
    <row r="1057" spans="3:4" ht="20.100000000000001" customHeight="1">
      <c r="C1057" s="1793"/>
      <c r="D1057" s="1793"/>
    </row>
    <row r="1058" spans="3:4" ht="20.100000000000001" customHeight="1">
      <c r="C1058" s="1793"/>
      <c r="D1058" s="1793"/>
    </row>
    <row r="1059" spans="3:4" ht="20.100000000000001" customHeight="1">
      <c r="C1059" s="1793"/>
      <c r="D1059" s="1793"/>
    </row>
    <row r="1060" spans="3:4" ht="20.100000000000001" customHeight="1">
      <c r="C1060" s="1793"/>
      <c r="D1060" s="1793"/>
    </row>
    <row r="1061" spans="3:4" ht="20.100000000000001" customHeight="1">
      <c r="C1061" s="1793"/>
      <c r="D1061" s="1793"/>
    </row>
    <row r="1062" spans="3:4" ht="20.100000000000001" customHeight="1">
      <c r="C1062" s="1793"/>
      <c r="D1062" s="1793"/>
    </row>
    <row r="1063" spans="3:4" ht="20.100000000000001" customHeight="1">
      <c r="C1063" s="1793"/>
      <c r="D1063" s="1793"/>
    </row>
    <row r="1064" spans="3:4" ht="20.100000000000001" customHeight="1">
      <c r="C1064" s="1793"/>
      <c r="D1064" s="1793"/>
    </row>
    <row r="1065" spans="3:4" ht="20.100000000000001" customHeight="1">
      <c r="C1065" s="1793"/>
      <c r="D1065" s="1793"/>
    </row>
    <row r="1066" spans="3:4" ht="20.100000000000001" customHeight="1">
      <c r="C1066" s="1793"/>
      <c r="D1066" s="1793"/>
    </row>
    <row r="1067" spans="3:4" ht="20.100000000000001" customHeight="1">
      <c r="C1067" s="1793"/>
      <c r="D1067" s="1793"/>
    </row>
    <row r="1068" spans="3:4" ht="20.100000000000001" customHeight="1">
      <c r="C1068" s="1793"/>
      <c r="D1068" s="1793"/>
    </row>
    <row r="1069" spans="3:4" ht="20.100000000000001" customHeight="1">
      <c r="C1069" s="1793"/>
      <c r="D1069" s="1793"/>
    </row>
    <row r="1070" spans="3:4" ht="20.100000000000001" customHeight="1">
      <c r="C1070" s="1793"/>
      <c r="D1070" s="1793"/>
    </row>
    <row r="1071" spans="3:4" ht="20.100000000000001" customHeight="1">
      <c r="C1071" s="1793"/>
      <c r="D1071" s="1793"/>
    </row>
    <row r="1072" spans="3:4" ht="20.100000000000001" customHeight="1">
      <c r="C1072" s="1793"/>
      <c r="D1072" s="1793"/>
    </row>
    <row r="1073" spans="3:4" ht="20.100000000000001" customHeight="1">
      <c r="C1073" s="1793"/>
      <c r="D1073" s="1793"/>
    </row>
    <row r="1074" spans="3:4" ht="20.100000000000001" customHeight="1">
      <c r="C1074" s="1793"/>
      <c r="D1074" s="1793"/>
    </row>
    <row r="1075" spans="3:4" ht="20.100000000000001" customHeight="1">
      <c r="C1075" s="1793"/>
      <c r="D1075" s="1793"/>
    </row>
    <row r="1076" spans="3:4" ht="20.100000000000001" customHeight="1">
      <c r="C1076" s="1793"/>
      <c r="D1076" s="1793"/>
    </row>
    <row r="1077" spans="3:4" ht="20.100000000000001" customHeight="1">
      <c r="C1077" s="1793"/>
      <c r="D1077" s="1793"/>
    </row>
    <row r="1078" spans="3:4" ht="20.100000000000001" customHeight="1">
      <c r="C1078" s="1793"/>
      <c r="D1078" s="1793"/>
    </row>
    <row r="1079" spans="3:4" ht="20.100000000000001" customHeight="1">
      <c r="C1079" s="1793"/>
      <c r="D1079" s="1793"/>
    </row>
    <row r="1080" spans="3:4" ht="20.100000000000001" customHeight="1">
      <c r="C1080" s="1793"/>
      <c r="D1080" s="1793"/>
    </row>
    <row r="1081" spans="3:4" ht="20.100000000000001" customHeight="1">
      <c r="C1081" s="1793"/>
      <c r="D1081" s="1793"/>
    </row>
    <row r="1082" spans="3:4" ht="20.100000000000001" customHeight="1">
      <c r="C1082" s="1793"/>
      <c r="D1082" s="1793"/>
    </row>
    <row r="1083" spans="3:4" ht="20.100000000000001" customHeight="1">
      <c r="C1083" s="1793"/>
      <c r="D1083" s="1793"/>
    </row>
    <row r="1084" spans="3:4" ht="20.100000000000001" customHeight="1">
      <c r="C1084" s="1793"/>
      <c r="D1084" s="1793"/>
    </row>
    <row r="1085" spans="3:4" ht="20.100000000000001" customHeight="1">
      <c r="C1085" s="1793"/>
      <c r="D1085" s="1793"/>
    </row>
    <row r="1086" spans="3:4" ht="20.100000000000001" customHeight="1">
      <c r="C1086" s="1793"/>
      <c r="D1086" s="1793"/>
    </row>
    <row r="1087" spans="3:4" ht="20.100000000000001" customHeight="1">
      <c r="C1087" s="1793"/>
      <c r="D1087" s="1793"/>
    </row>
    <row r="1088" spans="3:4" ht="20.100000000000001" customHeight="1">
      <c r="C1088" s="1793"/>
      <c r="D1088" s="1793"/>
    </row>
    <row r="1089" spans="3:4" ht="20.100000000000001" customHeight="1">
      <c r="C1089" s="1793"/>
      <c r="D1089" s="1793"/>
    </row>
    <row r="1090" spans="3:4" ht="20.100000000000001" customHeight="1">
      <c r="C1090" s="1793"/>
      <c r="D1090" s="1793"/>
    </row>
    <row r="1091" spans="3:4" ht="20.100000000000001" customHeight="1">
      <c r="C1091" s="1793"/>
      <c r="D1091" s="1793"/>
    </row>
    <row r="1092" spans="3:4" ht="20.100000000000001" customHeight="1">
      <c r="C1092" s="1793"/>
      <c r="D1092" s="1793"/>
    </row>
    <row r="1093" spans="3:4" ht="20.100000000000001" customHeight="1">
      <c r="C1093" s="1793"/>
      <c r="D1093" s="1793"/>
    </row>
    <row r="1094" spans="3:4" ht="20.100000000000001" customHeight="1">
      <c r="C1094" s="1793"/>
      <c r="D1094" s="1793"/>
    </row>
    <row r="1095" spans="3:4" ht="20.100000000000001" customHeight="1">
      <c r="C1095" s="1793"/>
      <c r="D1095" s="1793"/>
    </row>
    <row r="1096" spans="3:4" ht="20.100000000000001" customHeight="1">
      <c r="C1096" s="1793"/>
      <c r="D1096" s="1793"/>
    </row>
    <row r="1097" spans="3:4" ht="20.100000000000001" customHeight="1">
      <c r="C1097" s="1793"/>
      <c r="D1097" s="1793"/>
    </row>
    <row r="1098" spans="3:4" ht="20.100000000000001" customHeight="1">
      <c r="C1098" s="1793"/>
      <c r="D1098" s="1793"/>
    </row>
    <row r="1099" spans="3:4" ht="20.100000000000001" customHeight="1">
      <c r="C1099" s="1793"/>
      <c r="D1099" s="1793"/>
    </row>
    <row r="1100" spans="3:4" ht="20.100000000000001" customHeight="1">
      <c r="C1100" s="1793"/>
      <c r="D1100" s="1793"/>
    </row>
    <row r="1101" spans="3:4" ht="20.100000000000001" customHeight="1">
      <c r="C1101" s="1793"/>
      <c r="D1101" s="1793"/>
    </row>
    <row r="1102" spans="3:4" ht="20.100000000000001" customHeight="1">
      <c r="C1102" s="1793"/>
      <c r="D1102" s="1793"/>
    </row>
    <row r="1103" spans="3:4" ht="20.100000000000001" customHeight="1">
      <c r="C1103" s="1793"/>
      <c r="D1103" s="1793"/>
    </row>
    <row r="1104" spans="3:4" ht="20.100000000000001" customHeight="1">
      <c r="C1104" s="1793"/>
      <c r="D1104" s="1793"/>
    </row>
    <row r="1105" spans="3:4" ht="20.100000000000001" customHeight="1">
      <c r="C1105" s="1793"/>
      <c r="D1105" s="1793"/>
    </row>
    <row r="1106" spans="3:4" ht="20.100000000000001" customHeight="1">
      <c r="C1106" s="1793"/>
      <c r="D1106" s="1793"/>
    </row>
    <row r="1107" spans="3:4" ht="20.100000000000001" customHeight="1">
      <c r="C1107" s="1793"/>
      <c r="D1107" s="1793"/>
    </row>
    <row r="1108" spans="3:4" ht="20.100000000000001" customHeight="1">
      <c r="C1108" s="1793"/>
      <c r="D1108" s="1793"/>
    </row>
    <row r="1109" spans="3:4" ht="20.100000000000001" customHeight="1">
      <c r="C1109" s="1793"/>
      <c r="D1109" s="1793"/>
    </row>
    <row r="1110" spans="3:4" ht="20.100000000000001" customHeight="1">
      <c r="C1110" s="1793"/>
      <c r="D1110" s="1793"/>
    </row>
    <row r="1111" spans="3:4" ht="20.100000000000001" customHeight="1">
      <c r="C1111" s="1793"/>
      <c r="D1111" s="1793"/>
    </row>
    <row r="1112" spans="3:4" ht="20.100000000000001" customHeight="1">
      <c r="C1112" s="1793"/>
      <c r="D1112" s="1793"/>
    </row>
    <row r="1113" spans="3:4" ht="20.100000000000001" customHeight="1">
      <c r="C1113" s="1793"/>
      <c r="D1113" s="1793"/>
    </row>
    <row r="1114" spans="3:4" ht="20.100000000000001" customHeight="1">
      <c r="C1114" s="1793"/>
      <c r="D1114" s="1793"/>
    </row>
    <row r="1115" spans="3:4" ht="20.100000000000001" customHeight="1">
      <c r="C1115" s="1793"/>
      <c r="D1115" s="1793"/>
    </row>
    <row r="1116" spans="3:4" ht="20.100000000000001" customHeight="1">
      <c r="C1116" s="1793"/>
      <c r="D1116" s="1793"/>
    </row>
    <row r="1117" spans="3:4" ht="20.100000000000001" customHeight="1">
      <c r="C1117" s="1793"/>
      <c r="D1117" s="1793"/>
    </row>
    <row r="1118" spans="3:4" ht="20.100000000000001" customHeight="1">
      <c r="C1118" s="1793"/>
      <c r="D1118" s="1793"/>
    </row>
    <row r="1119" spans="3:4" ht="20.100000000000001" customHeight="1">
      <c r="C1119" s="1793"/>
      <c r="D1119" s="1793"/>
    </row>
    <row r="1120" spans="3:4" ht="20.100000000000001" customHeight="1">
      <c r="C1120" s="1793"/>
      <c r="D1120" s="1793"/>
    </row>
    <row r="1121" spans="3:4" ht="20.100000000000001" customHeight="1">
      <c r="C1121" s="1793"/>
      <c r="D1121" s="1793"/>
    </row>
    <row r="1122" spans="3:4" ht="20.100000000000001" customHeight="1">
      <c r="C1122" s="1793"/>
      <c r="D1122" s="1793"/>
    </row>
    <row r="1123" spans="3:4" ht="20.100000000000001" customHeight="1">
      <c r="C1123" s="1793"/>
      <c r="D1123" s="1793"/>
    </row>
    <row r="1124" spans="3:4" ht="20.100000000000001" customHeight="1">
      <c r="C1124" s="1793"/>
      <c r="D1124" s="1793"/>
    </row>
    <row r="1125" spans="3:4" ht="20.100000000000001" customHeight="1">
      <c r="C1125" s="1793"/>
      <c r="D1125" s="1793"/>
    </row>
    <row r="1126" spans="3:4" ht="20.100000000000001" customHeight="1">
      <c r="C1126" s="1793"/>
      <c r="D1126" s="1793"/>
    </row>
    <row r="1127" spans="3:4" ht="20.100000000000001" customHeight="1">
      <c r="C1127" s="1793"/>
      <c r="D1127" s="1793"/>
    </row>
    <row r="1128" spans="3:4" ht="20.100000000000001" customHeight="1">
      <c r="C1128" s="1793"/>
      <c r="D1128" s="1793"/>
    </row>
    <row r="1129" spans="3:4" ht="20.100000000000001" customHeight="1">
      <c r="C1129" s="1793"/>
      <c r="D1129" s="1793"/>
    </row>
    <row r="1130" spans="3:4" ht="20.100000000000001" customHeight="1">
      <c r="C1130" s="1793"/>
      <c r="D1130" s="1793"/>
    </row>
    <row r="1131" spans="3:4" ht="20.100000000000001" customHeight="1">
      <c r="C1131" s="1793"/>
      <c r="D1131" s="1793"/>
    </row>
    <row r="1132" spans="3:4" ht="20.100000000000001" customHeight="1">
      <c r="C1132" s="1793"/>
      <c r="D1132" s="1793"/>
    </row>
    <row r="1133" spans="3:4" ht="20.100000000000001" customHeight="1">
      <c r="C1133" s="1793"/>
      <c r="D1133" s="1793"/>
    </row>
    <row r="1134" spans="3:4" ht="20.100000000000001" customHeight="1">
      <c r="C1134" s="1793"/>
      <c r="D1134" s="1793"/>
    </row>
    <row r="1135" spans="3:4" ht="20.100000000000001" customHeight="1">
      <c r="C1135" s="1793"/>
      <c r="D1135" s="1793"/>
    </row>
    <row r="1136" spans="3:4" ht="20.100000000000001" customHeight="1">
      <c r="C1136" s="1793"/>
      <c r="D1136" s="1793"/>
    </row>
    <row r="1137" spans="3:4" ht="20.100000000000001" customHeight="1">
      <c r="C1137" s="1793"/>
      <c r="D1137" s="1793"/>
    </row>
    <row r="1138" spans="3:4" ht="20.100000000000001" customHeight="1">
      <c r="C1138" s="1793"/>
      <c r="D1138" s="1793"/>
    </row>
    <row r="1139" spans="3:4" ht="20.100000000000001" customHeight="1">
      <c r="C1139" s="1793"/>
      <c r="D1139" s="1793"/>
    </row>
    <row r="1140" spans="3:4" ht="20.100000000000001" customHeight="1">
      <c r="C1140" s="1793"/>
      <c r="D1140" s="1793"/>
    </row>
    <row r="1141" spans="3:4" ht="20.100000000000001" customHeight="1">
      <c r="C1141" s="1793"/>
      <c r="D1141" s="1793"/>
    </row>
    <row r="1142" spans="3:4" ht="20.100000000000001" customHeight="1">
      <c r="C1142" s="1793"/>
      <c r="D1142" s="1793"/>
    </row>
    <row r="1143" spans="3:4" ht="20.100000000000001" customHeight="1">
      <c r="C1143" s="1793"/>
      <c r="D1143" s="1793"/>
    </row>
    <row r="1144" spans="3:4" ht="20.100000000000001" customHeight="1">
      <c r="C1144" s="1793"/>
      <c r="D1144" s="1793"/>
    </row>
    <row r="1145" spans="3:4" ht="20.100000000000001" customHeight="1">
      <c r="C1145" s="1793"/>
      <c r="D1145" s="1793"/>
    </row>
    <row r="1146" spans="3:4" ht="20.100000000000001" customHeight="1">
      <c r="C1146" s="1793"/>
      <c r="D1146" s="1793"/>
    </row>
    <row r="1147" spans="3:4" ht="20.100000000000001" customHeight="1">
      <c r="C1147" s="1793"/>
      <c r="D1147" s="1793"/>
    </row>
    <row r="1148" spans="3:4" ht="20.100000000000001" customHeight="1">
      <c r="C1148" s="1793"/>
      <c r="D1148" s="1793"/>
    </row>
    <row r="1149" spans="3:4" ht="20.100000000000001" customHeight="1">
      <c r="C1149" s="1793"/>
      <c r="D1149" s="1793"/>
    </row>
    <row r="1150" spans="3:4" ht="20.100000000000001" customHeight="1">
      <c r="C1150" s="1793"/>
      <c r="D1150" s="1793"/>
    </row>
    <row r="1151" spans="3:4" ht="20.100000000000001" customHeight="1">
      <c r="C1151" s="1793"/>
      <c r="D1151" s="1793"/>
    </row>
    <row r="1152" spans="3:4" ht="20.100000000000001" customHeight="1">
      <c r="C1152" s="1793"/>
      <c r="D1152" s="1793"/>
    </row>
    <row r="1153" spans="3:4" ht="20.100000000000001" customHeight="1">
      <c r="C1153" s="1793"/>
      <c r="D1153" s="1793"/>
    </row>
    <row r="1154" spans="3:4" ht="20.100000000000001" customHeight="1">
      <c r="C1154" s="1793"/>
      <c r="D1154" s="1793"/>
    </row>
    <row r="1155" spans="3:4" ht="20.100000000000001" customHeight="1">
      <c r="C1155" s="1793"/>
      <c r="D1155" s="1793"/>
    </row>
    <row r="1156" spans="3:4" ht="20.100000000000001" customHeight="1">
      <c r="C1156" s="1793"/>
      <c r="D1156" s="1793"/>
    </row>
    <row r="1157" spans="3:4" ht="20.100000000000001" customHeight="1">
      <c r="C1157" s="1793"/>
      <c r="D1157" s="1793"/>
    </row>
    <row r="1158" spans="3:4" ht="20.100000000000001" customHeight="1">
      <c r="C1158" s="1793"/>
      <c r="D1158" s="1793"/>
    </row>
    <row r="1159" spans="3:4" ht="20.100000000000001" customHeight="1">
      <c r="C1159" s="1793"/>
      <c r="D1159" s="1793"/>
    </row>
    <row r="1160" spans="3:4" ht="20.100000000000001" customHeight="1">
      <c r="C1160" s="1793"/>
      <c r="D1160" s="1793"/>
    </row>
    <row r="1161" spans="3:4" ht="20.100000000000001" customHeight="1">
      <c r="C1161" s="1793"/>
      <c r="D1161" s="1793"/>
    </row>
    <row r="1162" spans="3:4" ht="20.100000000000001" customHeight="1">
      <c r="C1162" s="1793"/>
      <c r="D1162" s="1793"/>
    </row>
    <row r="1163" spans="3:4" ht="20.100000000000001" customHeight="1">
      <c r="C1163" s="1793"/>
      <c r="D1163" s="1793"/>
    </row>
    <row r="1164" spans="3:4" ht="20.100000000000001" customHeight="1">
      <c r="C1164" s="1793"/>
      <c r="D1164" s="1793"/>
    </row>
    <row r="1165" spans="3:4" ht="20.100000000000001" customHeight="1">
      <c r="C1165" s="1793"/>
      <c r="D1165" s="1793"/>
    </row>
    <row r="1166" spans="3:4" ht="20.100000000000001" customHeight="1">
      <c r="C1166" s="1793"/>
      <c r="D1166" s="1793"/>
    </row>
    <row r="1167" spans="3:4" ht="20.100000000000001" customHeight="1">
      <c r="C1167" s="1793"/>
      <c r="D1167" s="1793"/>
    </row>
    <row r="1168" spans="3:4" ht="20.100000000000001" customHeight="1">
      <c r="C1168" s="1793"/>
      <c r="D1168" s="1793"/>
    </row>
    <row r="1169" spans="3:4" ht="20.100000000000001" customHeight="1">
      <c r="C1169" s="1793"/>
      <c r="D1169" s="1793"/>
    </row>
    <row r="1170" spans="3:4" ht="20.100000000000001" customHeight="1">
      <c r="C1170" s="1793"/>
      <c r="D1170" s="1793"/>
    </row>
    <row r="1171" spans="3:4" ht="20.100000000000001" customHeight="1">
      <c r="C1171" s="1793"/>
      <c r="D1171" s="1793"/>
    </row>
    <row r="1172" spans="3:4" ht="20.100000000000001" customHeight="1">
      <c r="C1172" s="1793"/>
      <c r="D1172" s="1793"/>
    </row>
    <row r="1173" spans="3:4" ht="20.100000000000001" customHeight="1">
      <c r="C1173" s="1793"/>
      <c r="D1173" s="1793"/>
    </row>
    <row r="1174" spans="3:4" ht="20.100000000000001" customHeight="1">
      <c r="C1174" s="1793"/>
      <c r="D1174" s="1793"/>
    </row>
    <row r="1175" spans="3:4" ht="20.100000000000001" customHeight="1">
      <c r="C1175" s="1793"/>
      <c r="D1175" s="1793"/>
    </row>
    <row r="1176" spans="3:4" ht="20.100000000000001" customHeight="1">
      <c r="C1176" s="1793"/>
      <c r="D1176" s="1793"/>
    </row>
    <row r="1177" spans="3:4" ht="20.100000000000001" customHeight="1">
      <c r="C1177" s="1793"/>
      <c r="D1177" s="1793"/>
    </row>
    <row r="1178" spans="3:4" ht="20.100000000000001" customHeight="1">
      <c r="C1178" s="1793"/>
      <c r="D1178" s="1793"/>
    </row>
    <row r="1179" spans="3:4" ht="20.100000000000001" customHeight="1">
      <c r="C1179" s="1793"/>
      <c r="D1179" s="1793"/>
    </row>
    <row r="1180" spans="3:4" ht="20.100000000000001" customHeight="1">
      <c r="C1180" s="1793"/>
      <c r="D1180" s="1793"/>
    </row>
    <row r="1181" spans="3:4" ht="20.100000000000001" customHeight="1">
      <c r="C1181" s="1793"/>
      <c r="D1181" s="1793"/>
    </row>
    <row r="1182" spans="3:4" ht="20.100000000000001" customHeight="1">
      <c r="C1182" s="1793"/>
      <c r="D1182" s="1793"/>
    </row>
    <row r="1183" spans="3:4" ht="20.100000000000001" customHeight="1">
      <c r="C1183" s="1793"/>
      <c r="D1183" s="1793"/>
    </row>
    <row r="1184" spans="3:4" ht="20.100000000000001" customHeight="1">
      <c r="C1184" s="1793"/>
      <c r="D1184" s="1793"/>
    </row>
    <row r="1185" spans="3:4" ht="20.100000000000001" customHeight="1">
      <c r="C1185" s="1793"/>
      <c r="D1185" s="1793"/>
    </row>
    <row r="1186" spans="3:4" ht="20.100000000000001" customHeight="1">
      <c r="C1186" s="1793"/>
      <c r="D1186" s="1793"/>
    </row>
    <row r="1187" spans="3:4" ht="20.100000000000001" customHeight="1">
      <c r="C1187" s="1793"/>
      <c r="D1187" s="1793"/>
    </row>
    <row r="1188" spans="3:4" ht="20.100000000000001" customHeight="1">
      <c r="C1188" s="1793"/>
      <c r="D1188" s="1793"/>
    </row>
    <row r="1189" spans="3:4" ht="20.100000000000001" customHeight="1">
      <c r="C1189" s="1793"/>
      <c r="D1189" s="1793"/>
    </row>
    <row r="1190" spans="3:4" ht="20.100000000000001" customHeight="1">
      <c r="C1190" s="1793"/>
      <c r="D1190" s="1793"/>
    </row>
    <row r="1191" spans="3:4" ht="20.100000000000001" customHeight="1">
      <c r="C1191" s="1793"/>
      <c r="D1191" s="1793"/>
    </row>
    <row r="1192" spans="3:4" ht="20.100000000000001" customHeight="1">
      <c r="C1192" s="1793"/>
      <c r="D1192" s="1793"/>
    </row>
    <row r="1193" spans="3:4" ht="20.100000000000001" customHeight="1">
      <c r="C1193" s="1793"/>
      <c r="D1193" s="1793"/>
    </row>
    <row r="1194" spans="3:4" ht="20.100000000000001" customHeight="1">
      <c r="C1194" s="1793"/>
      <c r="D1194" s="1793"/>
    </row>
    <row r="1195" spans="3:4" ht="20.100000000000001" customHeight="1">
      <c r="C1195" s="1793"/>
      <c r="D1195" s="1793"/>
    </row>
    <row r="1196" spans="3:4" ht="20.100000000000001" customHeight="1">
      <c r="C1196" s="1793"/>
      <c r="D1196" s="1793"/>
    </row>
    <row r="1197" spans="3:4" ht="20.100000000000001" customHeight="1">
      <c r="C1197" s="1793"/>
      <c r="D1197" s="1793"/>
    </row>
    <row r="1198" spans="3:4" ht="20.100000000000001" customHeight="1">
      <c r="C1198" s="1793"/>
      <c r="D1198" s="1793"/>
    </row>
    <row r="1199" spans="3:4" ht="20.100000000000001" customHeight="1">
      <c r="C1199" s="1793"/>
      <c r="D1199" s="1793"/>
    </row>
    <row r="1200" spans="3:4" ht="20.100000000000001" customHeight="1">
      <c r="C1200" s="1793"/>
      <c r="D1200" s="1793"/>
    </row>
    <row r="1201" spans="3:4" ht="20.100000000000001" customHeight="1">
      <c r="C1201" s="1793"/>
      <c r="D1201" s="1793"/>
    </row>
    <row r="1202" spans="3:4" ht="20.100000000000001" customHeight="1">
      <c r="C1202" s="1793"/>
      <c r="D1202" s="1793"/>
    </row>
    <row r="1203" spans="3:4" ht="20.100000000000001" customHeight="1">
      <c r="C1203" s="1793"/>
      <c r="D1203" s="1793"/>
    </row>
    <row r="1204" spans="3:4" ht="20.100000000000001" customHeight="1">
      <c r="C1204" s="1793"/>
      <c r="D1204" s="1793"/>
    </row>
    <row r="1205" spans="3:4" ht="20.100000000000001" customHeight="1">
      <c r="C1205" s="1793"/>
      <c r="D1205" s="1793"/>
    </row>
    <row r="1206" spans="3:4" ht="20.100000000000001" customHeight="1">
      <c r="C1206" s="1793"/>
      <c r="D1206" s="1793"/>
    </row>
    <row r="1207" spans="3:4" ht="20.100000000000001" customHeight="1">
      <c r="C1207" s="1793"/>
      <c r="D1207" s="1793"/>
    </row>
    <row r="1208" spans="3:4" ht="20.100000000000001" customHeight="1">
      <c r="C1208" s="1793"/>
      <c r="D1208" s="1793"/>
    </row>
    <row r="1209" spans="3:4" ht="20.100000000000001" customHeight="1">
      <c r="C1209" s="1793"/>
      <c r="D1209" s="1793"/>
    </row>
    <row r="1210" spans="3:4" ht="20.100000000000001" customHeight="1">
      <c r="C1210" s="1793"/>
      <c r="D1210" s="1793"/>
    </row>
    <row r="1211" spans="3:4" ht="20.100000000000001" customHeight="1">
      <c r="C1211" s="1793"/>
      <c r="D1211" s="1793"/>
    </row>
    <row r="1212" spans="3:4" ht="20.100000000000001" customHeight="1">
      <c r="C1212" s="1793"/>
      <c r="D1212" s="1793"/>
    </row>
    <row r="1213" spans="3:4" ht="20.100000000000001" customHeight="1">
      <c r="C1213" s="1793"/>
      <c r="D1213" s="1793"/>
    </row>
    <row r="1214" spans="3:4" ht="20.100000000000001" customHeight="1">
      <c r="C1214" s="1793"/>
      <c r="D1214" s="1793"/>
    </row>
    <row r="1215" spans="3:4" ht="20.100000000000001" customHeight="1">
      <c r="C1215" s="1793"/>
      <c r="D1215" s="1793"/>
    </row>
    <row r="1216" spans="3:4" ht="20.100000000000001" customHeight="1">
      <c r="C1216" s="1793"/>
      <c r="D1216" s="1793"/>
    </row>
    <row r="1217" spans="3:4" ht="20.100000000000001" customHeight="1">
      <c r="C1217" s="1793"/>
      <c r="D1217" s="1793"/>
    </row>
    <row r="1218" spans="3:4" ht="20.100000000000001" customHeight="1">
      <c r="C1218" s="1793"/>
      <c r="D1218" s="1793"/>
    </row>
    <row r="1219" spans="3:4" ht="20.100000000000001" customHeight="1">
      <c r="C1219" s="1793"/>
      <c r="D1219" s="1793"/>
    </row>
    <row r="1220" spans="3:4" ht="20.100000000000001" customHeight="1">
      <c r="C1220" s="1793"/>
      <c r="D1220" s="1793"/>
    </row>
    <row r="1221" spans="3:4" ht="20.100000000000001" customHeight="1">
      <c r="C1221" s="1793"/>
      <c r="D1221" s="1793"/>
    </row>
    <row r="1222" spans="3:4" ht="20.100000000000001" customHeight="1">
      <c r="C1222" s="1793"/>
      <c r="D1222" s="1793"/>
    </row>
    <row r="1223" spans="3:4" ht="20.100000000000001" customHeight="1">
      <c r="C1223" s="1793"/>
      <c r="D1223" s="1793"/>
    </row>
    <row r="1224" spans="3:4" ht="20.100000000000001" customHeight="1">
      <c r="C1224" s="1793"/>
      <c r="D1224" s="1793"/>
    </row>
    <row r="1225" spans="3:4" ht="20.100000000000001" customHeight="1">
      <c r="C1225" s="1793"/>
      <c r="D1225" s="1793"/>
    </row>
    <row r="1226" spans="3:4" ht="20.100000000000001" customHeight="1">
      <c r="C1226" s="1793"/>
      <c r="D1226" s="1793"/>
    </row>
    <row r="1227" spans="3:4" ht="20.100000000000001" customHeight="1">
      <c r="C1227" s="1793"/>
      <c r="D1227" s="1793"/>
    </row>
    <row r="1228" spans="3:4" ht="20.100000000000001" customHeight="1">
      <c r="C1228" s="1793"/>
      <c r="D1228" s="1793"/>
    </row>
    <row r="1229" spans="3:4" ht="20.100000000000001" customHeight="1">
      <c r="C1229" s="1793"/>
      <c r="D1229" s="1793"/>
    </row>
    <row r="1230" spans="3:4" ht="20.100000000000001" customHeight="1">
      <c r="C1230" s="1793"/>
      <c r="D1230" s="1793"/>
    </row>
    <row r="1231" spans="3:4" ht="20.100000000000001" customHeight="1">
      <c r="C1231" s="1793"/>
      <c r="D1231" s="1793"/>
    </row>
    <row r="1232" spans="3:4" ht="20.100000000000001" customHeight="1">
      <c r="C1232" s="1793"/>
      <c r="D1232" s="1793"/>
    </row>
    <row r="1233" spans="3:4" ht="20.100000000000001" customHeight="1">
      <c r="C1233" s="1793"/>
      <c r="D1233" s="1793"/>
    </row>
    <row r="1234" spans="3:4" ht="20.100000000000001" customHeight="1">
      <c r="C1234" s="1793"/>
      <c r="D1234" s="1793"/>
    </row>
    <row r="1235" spans="3:4" ht="20.100000000000001" customHeight="1">
      <c r="C1235" s="1793"/>
      <c r="D1235" s="1793"/>
    </row>
    <row r="1236" spans="3:4" ht="20.100000000000001" customHeight="1">
      <c r="C1236" s="1793"/>
      <c r="D1236" s="1793"/>
    </row>
    <row r="1237" spans="3:4" ht="20.100000000000001" customHeight="1">
      <c r="C1237" s="1793"/>
      <c r="D1237" s="1793"/>
    </row>
    <row r="1238" spans="3:4" ht="20.100000000000001" customHeight="1">
      <c r="C1238" s="1793"/>
      <c r="D1238" s="1793"/>
    </row>
    <row r="1239" spans="3:4" ht="20.100000000000001" customHeight="1">
      <c r="C1239" s="1793"/>
      <c r="D1239" s="1793"/>
    </row>
    <row r="1240" spans="3:4" ht="20.100000000000001" customHeight="1">
      <c r="C1240" s="1793"/>
      <c r="D1240" s="1793"/>
    </row>
    <row r="1241" spans="3:4" ht="20.100000000000001" customHeight="1">
      <c r="C1241" s="1793"/>
      <c r="D1241" s="1793"/>
    </row>
    <row r="1242" spans="3:4" ht="20.100000000000001" customHeight="1">
      <c r="C1242" s="1793"/>
      <c r="D1242" s="1793"/>
    </row>
    <row r="1243" spans="3:4" ht="20.100000000000001" customHeight="1">
      <c r="C1243" s="1793"/>
      <c r="D1243" s="1793"/>
    </row>
    <row r="1244" spans="3:4" ht="20.100000000000001" customHeight="1">
      <c r="C1244" s="1793"/>
      <c r="D1244" s="1793"/>
    </row>
    <row r="1245" spans="3:4" ht="20.100000000000001" customHeight="1">
      <c r="C1245" s="1793"/>
      <c r="D1245" s="1793"/>
    </row>
    <row r="1246" spans="3:4" ht="20.100000000000001" customHeight="1">
      <c r="C1246" s="1793"/>
      <c r="D1246" s="1793"/>
    </row>
    <row r="1247" spans="3:4" ht="20.100000000000001" customHeight="1">
      <c r="C1247" s="1793"/>
      <c r="D1247" s="1793"/>
    </row>
    <row r="1248" spans="3:4" ht="20.100000000000001" customHeight="1">
      <c r="C1248" s="1793"/>
      <c r="D1248" s="1793"/>
    </row>
    <row r="1249" spans="3:4" ht="20.100000000000001" customHeight="1">
      <c r="C1249" s="1793"/>
      <c r="D1249" s="1793"/>
    </row>
    <row r="1250" spans="3:4" ht="20.100000000000001" customHeight="1">
      <c r="C1250" s="1793"/>
      <c r="D1250" s="1793"/>
    </row>
    <row r="1251" spans="3:4" ht="20.100000000000001" customHeight="1">
      <c r="C1251" s="1793"/>
      <c r="D1251" s="1793"/>
    </row>
    <row r="1252" spans="3:4" ht="20.100000000000001" customHeight="1">
      <c r="C1252" s="1793"/>
      <c r="D1252" s="1793"/>
    </row>
    <row r="1253" spans="3:4" ht="20.100000000000001" customHeight="1">
      <c r="C1253" s="1793"/>
      <c r="D1253" s="1793"/>
    </row>
    <row r="1254" spans="3:4" ht="20.100000000000001" customHeight="1">
      <c r="C1254" s="1793"/>
      <c r="D1254" s="1793"/>
    </row>
    <row r="1255" spans="3:4" ht="20.100000000000001" customHeight="1">
      <c r="C1255" s="1793"/>
      <c r="D1255" s="1793"/>
    </row>
    <row r="1256" spans="3:4" ht="20.100000000000001" customHeight="1">
      <c r="C1256" s="1793"/>
      <c r="D1256" s="1793"/>
    </row>
    <row r="1257" spans="3:4" ht="20.100000000000001" customHeight="1">
      <c r="C1257" s="1793"/>
      <c r="D1257" s="1793"/>
    </row>
    <row r="1258" spans="3:4" ht="20.100000000000001" customHeight="1">
      <c r="C1258" s="1793"/>
      <c r="D1258" s="1793"/>
    </row>
    <row r="1259" spans="3:4" ht="20.100000000000001" customHeight="1">
      <c r="C1259" s="1793"/>
      <c r="D1259" s="1793"/>
    </row>
    <row r="1260" spans="3:4" ht="20.100000000000001" customHeight="1">
      <c r="C1260" s="1793"/>
      <c r="D1260" s="1793"/>
    </row>
    <row r="1261" spans="3:4" ht="20.100000000000001" customHeight="1">
      <c r="C1261" s="1793"/>
      <c r="D1261" s="1793"/>
    </row>
    <row r="1262" spans="3:4" ht="20.100000000000001" customHeight="1">
      <c r="C1262" s="1793"/>
      <c r="D1262" s="1793"/>
    </row>
    <row r="1263" spans="3:4" ht="20.100000000000001" customHeight="1">
      <c r="C1263" s="1793"/>
      <c r="D1263" s="1793"/>
    </row>
    <row r="1264" spans="3:4" ht="20.100000000000001" customHeight="1">
      <c r="C1264" s="1793"/>
      <c r="D1264" s="1793"/>
    </row>
    <row r="1265" spans="3:4" ht="20.100000000000001" customHeight="1">
      <c r="C1265" s="1793"/>
      <c r="D1265" s="1793"/>
    </row>
    <row r="1266" spans="3:4" ht="20.100000000000001" customHeight="1">
      <c r="C1266" s="1793"/>
      <c r="D1266" s="1793"/>
    </row>
    <row r="1267" spans="3:4" ht="20.100000000000001" customHeight="1">
      <c r="C1267" s="1793"/>
      <c r="D1267" s="1793"/>
    </row>
    <row r="1268" spans="3:4" ht="20.100000000000001" customHeight="1">
      <c r="C1268" s="1793"/>
      <c r="D1268" s="1793"/>
    </row>
    <row r="1269" spans="3:4" ht="20.100000000000001" customHeight="1">
      <c r="C1269" s="1793"/>
      <c r="D1269" s="1793"/>
    </row>
    <row r="1270" spans="3:4" ht="20.100000000000001" customHeight="1">
      <c r="C1270" s="1793"/>
      <c r="D1270" s="1793"/>
    </row>
    <row r="1271" spans="3:4" ht="20.100000000000001" customHeight="1">
      <c r="C1271" s="1793"/>
      <c r="D1271" s="1793"/>
    </row>
    <row r="1272" spans="3:4" ht="20.100000000000001" customHeight="1">
      <c r="C1272" s="1793"/>
      <c r="D1272" s="1793"/>
    </row>
    <row r="1273" spans="3:4" ht="20.100000000000001" customHeight="1">
      <c r="C1273" s="1793"/>
      <c r="D1273" s="1793"/>
    </row>
    <row r="1274" spans="3:4" ht="20.100000000000001" customHeight="1">
      <c r="C1274" s="1793"/>
      <c r="D1274" s="1793"/>
    </row>
    <row r="1275" spans="3:4" ht="20.100000000000001" customHeight="1">
      <c r="C1275" s="1793"/>
      <c r="D1275" s="1793"/>
    </row>
    <row r="1276" spans="3:4" ht="20.100000000000001" customHeight="1">
      <c r="C1276" s="1793"/>
      <c r="D1276" s="1793"/>
    </row>
    <row r="1277" spans="3:4" ht="20.100000000000001" customHeight="1">
      <c r="C1277" s="1793"/>
      <c r="D1277" s="1793"/>
    </row>
    <row r="1278" spans="3:4" ht="20.100000000000001" customHeight="1">
      <c r="C1278" s="1793"/>
      <c r="D1278" s="1793"/>
    </row>
    <row r="1279" spans="3:4" ht="20.100000000000001" customHeight="1">
      <c r="C1279" s="1793"/>
      <c r="D1279" s="1793"/>
    </row>
    <row r="1280" spans="3:4" ht="20.100000000000001" customHeight="1">
      <c r="C1280" s="1793"/>
      <c r="D1280" s="1793"/>
    </row>
    <row r="1281" spans="3:4" ht="20.100000000000001" customHeight="1">
      <c r="C1281" s="1793"/>
      <c r="D1281" s="1793"/>
    </row>
    <row r="1282" spans="3:4" ht="20.100000000000001" customHeight="1">
      <c r="C1282" s="1793"/>
      <c r="D1282" s="1793"/>
    </row>
    <row r="1283" spans="3:4" ht="20.100000000000001" customHeight="1">
      <c r="C1283" s="1793"/>
      <c r="D1283" s="1793"/>
    </row>
    <row r="1284" spans="3:4" ht="20.100000000000001" customHeight="1">
      <c r="C1284" s="1793"/>
      <c r="D1284" s="1793"/>
    </row>
    <row r="1285" spans="3:4" ht="20.100000000000001" customHeight="1">
      <c r="C1285" s="1793"/>
      <c r="D1285" s="1793"/>
    </row>
    <row r="1286" spans="3:4" ht="20.100000000000001" customHeight="1">
      <c r="C1286" s="1793"/>
      <c r="D1286" s="1793"/>
    </row>
    <row r="1287" spans="3:4" ht="20.100000000000001" customHeight="1">
      <c r="C1287" s="1793"/>
      <c r="D1287" s="1793"/>
    </row>
    <row r="1288" spans="3:4" ht="20.100000000000001" customHeight="1">
      <c r="C1288" s="1793"/>
      <c r="D1288" s="1793"/>
    </row>
    <row r="1289" spans="3:4" ht="20.100000000000001" customHeight="1">
      <c r="C1289" s="1793"/>
      <c r="D1289" s="1793"/>
    </row>
    <row r="1290" spans="3:4" ht="20.100000000000001" customHeight="1">
      <c r="C1290" s="1793"/>
      <c r="D1290" s="1793"/>
    </row>
    <row r="1291" spans="3:4" ht="20.100000000000001" customHeight="1">
      <c r="C1291" s="1793"/>
      <c r="D1291" s="1793"/>
    </row>
    <row r="1292" spans="3:4" ht="20.100000000000001" customHeight="1">
      <c r="C1292" s="1793"/>
      <c r="D1292" s="1793"/>
    </row>
    <row r="1293" spans="3:4" ht="20.100000000000001" customHeight="1">
      <c r="C1293" s="1793"/>
      <c r="D1293" s="1793"/>
    </row>
    <row r="1294" spans="3:4" ht="20.100000000000001" customHeight="1">
      <c r="C1294" s="1793"/>
      <c r="D1294" s="1793"/>
    </row>
    <row r="1295" spans="3:4" ht="20.100000000000001" customHeight="1">
      <c r="C1295" s="1793"/>
      <c r="D1295" s="1793"/>
    </row>
    <row r="1296" spans="3:4" ht="20.100000000000001" customHeight="1">
      <c r="C1296" s="1793"/>
      <c r="D1296" s="1793"/>
    </row>
    <row r="1297" spans="3:4" ht="20.100000000000001" customHeight="1">
      <c r="C1297" s="1793"/>
      <c r="D1297" s="1793"/>
    </row>
    <row r="1298" spans="3:4" ht="20.100000000000001" customHeight="1">
      <c r="C1298" s="1793"/>
      <c r="D1298" s="1793"/>
    </row>
    <row r="1299" spans="3:4" ht="20.100000000000001" customHeight="1">
      <c r="C1299" s="1793"/>
      <c r="D1299" s="1793"/>
    </row>
    <row r="1300" spans="3:4" ht="20.100000000000001" customHeight="1">
      <c r="C1300" s="1793"/>
      <c r="D1300" s="1793"/>
    </row>
    <row r="1301" spans="3:4" ht="20.100000000000001" customHeight="1">
      <c r="C1301" s="1793"/>
      <c r="D1301" s="1793"/>
    </row>
    <row r="1302" spans="3:4" ht="20.100000000000001" customHeight="1">
      <c r="C1302" s="1793"/>
      <c r="D1302" s="1793"/>
    </row>
    <row r="1303" spans="3:4" ht="20.100000000000001" customHeight="1">
      <c r="C1303" s="1793"/>
      <c r="D1303" s="1793"/>
    </row>
    <row r="1304" spans="3:4" ht="20.100000000000001" customHeight="1">
      <c r="C1304" s="1793"/>
      <c r="D1304" s="1793"/>
    </row>
    <row r="1305" spans="3:4" ht="20.100000000000001" customHeight="1">
      <c r="C1305" s="1793"/>
      <c r="D1305" s="1793"/>
    </row>
    <row r="1306" spans="3:4" ht="20.100000000000001" customHeight="1">
      <c r="C1306" s="1793"/>
      <c r="D1306" s="1793"/>
    </row>
    <row r="1307" spans="3:4" ht="20.100000000000001" customHeight="1">
      <c r="C1307" s="1793"/>
      <c r="D1307" s="1793"/>
    </row>
    <row r="1308" spans="3:4" ht="20.100000000000001" customHeight="1">
      <c r="C1308" s="1793"/>
      <c r="D1308" s="1793"/>
    </row>
    <row r="1309" spans="3:4" ht="20.100000000000001" customHeight="1">
      <c r="C1309" s="1793"/>
      <c r="D1309" s="1793"/>
    </row>
    <row r="1310" spans="3:4" ht="20.100000000000001" customHeight="1">
      <c r="C1310" s="1793"/>
      <c r="D1310" s="1793"/>
    </row>
    <row r="1311" spans="3:4" ht="20.100000000000001" customHeight="1">
      <c r="C1311" s="1793"/>
      <c r="D1311" s="1793"/>
    </row>
    <row r="1312" spans="3:4" ht="20.100000000000001" customHeight="1">
      <c r="C1312" s="1793"/>
      <c r="D1312" s="1793"/>
    </row>
    <row r="1313" spans="3:4" ht="20.100000000000001" customHeight="1">
      <c r="C1313" s="1793"/>
      <c r="D1313" s="1793"/>
    </row>
    <row r="1314" spans="3:4" ht="20.100000000000001" customHeight="1">
      <c r="C1314" s="1793"/>
      <c r="D1314" s="1793"/>
    </row>
    <row r="1315" spans="3:4" ht="20.100000000000001" customHeight="1">
      <c r="C1315" s="1793"/>
      <c r="D1315" s="1793"/>
    </row>
    <row r="1316" spans="3:4" ht="20.100000000000001" customHeight="1">
      <c r="C1316" s="1793"/>
      <c r="D1316" s="1793"/>
    </row>
    <row r="1317" spans="3:4" ht="20.100000000000001" customHeight="1">
      <c r="C1317" s="1793"/>
      <c r="D1317" s="1793"/>
    </row>
    <row r="1318" spans="3:4" ht="20.100000000000001" customHeight="1">
      <c r="C1318" s="1793"/>
      <c r="D1318" s="1793"/>
    </row>
    <row r="1319" spans="3:4" ht="20.100000000000001" customHeight="1">
      <c r="C1319" s="1793"/>
      <c r="D1319" s="1793"/>
    </row>
    <row r="1320" spans="3:4" ht="20.100000000000001" customHeight="1">
      <c r="C1320" s="1793"/>
      <c r="D1320" s="1793"/>
    </row>
    <row r="1321" spans="3:4" ht="20.100000000000001" customHeight="1">
      <c r="C1321" s="1793"/>
      <c r="D1321" s="1793"/>
    </row>
    <row r="1322" spans="3:4" ht="20.100000000000001" customHeight="1">
      <c r="C1322" s="1793"/>
      <c r="D1322" s="1793"/>
    </row>
    <row r="1323" spans="3:4" ht="20.100000000000001" customHeight="1">
      <c r="C1323" s="1793"/>
      <c r="D1323" s="1793"/>
    </row>
    <row r="1324" spans="3:4" ht="20.100000000000001" customHeight="1">
      <c r="C1324" s="1793"/>
      <c r="D1324" s="1793"/>
    </row>
    <row r="1325" spans="3:4" ht="20.100000000000001" customHeight="1">
      <c r="C1325" s="1793"/>
      <c r="D1325" s="1793"/>
    </row>
    <row r="1326" spans="3:4" ht="20.100000000000001" customHeight="1">
      <c r="C1326" s="1793"/>
      <c r="D1326" s="1793"/>
    </row>
    <row r="1327" spans="3:4" ht="20.100000000000001" customHeight="1">
      <c r="C1327" s="1793"/>
      <c r="D1327" s="1793"/>
    </row>
    <row r="1328" spans="3:4" ht="20.100000000000001" customHeight="1">
      <c r="C1328" s="1793"/>
      <c r="D1328" s="1793"/>
    </row>
    <row r="1329" spans="3:4" ht="20.100000000000001" customHeight="1">
      <c r="C1329" s="1793"/>
      <c r="D1329" s="1793"/>
    </row>
    <row r="1330" spans="3:4" ht="20.100000000000001" customHeight="1">
      <c r="C1330" s="1793"/>
      <c r="D1330" s="1793"/>
    </row>
    <row r="1331" spans="3:4" ht="20.100000000000001" customHeight="1">
      <c r="C1331" s="1793"/>
      <c r="D1331" s="1793"/>
    </row>
    <row r="1332" spans="3:4" ht="20.100000000000001" customHeight="1">
      <c r="C1332" s="1793"/>
      <c r="D1332" s="1793"/>
    </row>
    <row r="1333" spans="3:4" ht="20.100000000000001" customHeight="1">
      <c r="C1333" s="1793"/>
      <c r="D1333" s="1793"/>
    </row>
    <row r="1334" spans="3:4" ht="20.100000000000001" customHeight="1">
      <c r="C1334" s="1793"/>
      <c r="D1334" s="1793"/>
    </row>
    <row r="1335" spans="3:4" ht="20.100000000000001" customHeight="1">
      <c r="C1335" s="1793"/>
      <c r="D1335" s="1793"/>
    </row>
    <row r="1336" spans="3:4" ht="20.100000000000001" customHeight="1">
      <c r="C1336" s="1793"/>
      <c r="D1336" s="1793"/>
    </row>
    <row r="1337" spans="3:4" ht="20.100000000000001" customHeight="1">
      <c r="C1337" s="1793"/>
      <c r="D1337" s="1793"/>
    </row>
    <row r="1338" spans="3:4" ht="20.100000000000001" customHeight="1">
      <c r="C1338" s="1793"/>
      <c r="D1338" s="1793"/>
    </row>
    <row r="1339" spans="3:4" ht="20.100000000000001" customHeight="1">
      <c r="C1339" s="1793"/>
      <c r="D1339" s="1793"/>
    </row>
    <row r="1340" spans="3:4" ht="20.100000000000001" customHeight="1">
      <c r="C1340" s="1793"/>
      <c r="D1340" s="1793"/>
    </row>
    <row r="1341" spans="3:4" ht="20.100000000000001" customHeight="1">
      <c r="C1341" s="1793"/>
      <c r="D1341" s="1793"/>
    </row>
    <row r="1342" spans="3:4" ht="20.100000000000001" customHeight="1">
      <c r="C1342" s="1793"/>
      <c r="D1342" s="1793"/>
    </row>
    <row r="1343" spans="3:4" ht="20.100000000000001" customHeight="1">
      <c r="C1343" s="1793"/>
      <c r="D1343" s="1793"/>
    </row>
    <row r="1344" spans="3:4" ht="20.100000000000001" customHeight="1">
      <c r="C1344" s="1793"/>
      <c r="D1344" s="1793"/>
    </row>
    <row r="1345" spans="3:4" ht="20.100000000000001" customHeight="1">
      <c r="C1345" s="1793"/>
      <c r="D1345" s="1793"/>
    </row>
    <row r="1346" spans="3:4" ht="20.100000000000001" customHeight="1">
      <c r="C1346" s="1793"/>
      <c r="D1346" s="1793"/>
    </row>
    <row r="1347" spans="3:4" ht="20.100000000000001" customHeight="1">
      <c r="C1347" s="1793"/>
      <c r="D1347" s="1793"/>
    </row>
    <row r="1348" spans="3:4" ht="20.100000000000001" customHeight="1">
      <c r="C1348" s="1793"/>
      <c r="D1348" s="1793"/>
    </row>
    <row r="1349" spans="3:4" ht="20.100000000000001" customHeight="1">
      <c r="C1349" s="1793"/>
      <c r="D1349" s="1793"/>
    </row>
    <row r="1350" spans="3:4" ht="20.100000000000001" customHeight="1">
      <c r="C1350" s="1793"/>
      <c r="D1350" s="1793"/>
    </row>
    <row r="1351" spans="3:4" ht="20.100000000000001" customHeight="1">
      <c r="C1351" s="1793"/>
      <c r="D1351" s="1793"/>
    </row>
    <row r="1352" spans="3:4" ht="20.100000000000001" customHeight="1">
      <c r="C1352" s="1793"/>
      <c r="D1352" s="1793"/>
    </row>
    <row r="1353" spans="3:4" ht="20.100000000000001" customHeight="1">
      <c r="C1353" s="1793"/>
      <c r="D1353" s="1793"/>
    </row>
    <row r="1354" spans="3:4" ht="20.100000000000001" customHeight="1">
      <c r="C1354" s="1793"/>
      <c r="D1354" s="1793"/>
    </row>
    <row r="1355" spans="3:4" ht="20.100000000000001" customHeight="1">
      <c r="C1355" s="1793"/>
      <c r="D1355" s="1793"/>
    </row>
    <row r="1356" spans="3:4" ht="20.100000000000001" customHeight="1">
      <c r="C1356" s="1793"/>
      <c r="D1356" s="1793"/>
    </row>
    <row r="1357" spans="3:4" ht="20.100000000000001" customHeight="1">
      <c r="C1357" s="1793"/>
      <c r="D1357" s="1793"/>
    </row>
    <row r="1358" spans="3:4" ht="20.100000000000001" customHeight="1">
      <c r="C1358" s="1793"/>
      <c r="D1358" s="1793"/>
    </row>
    <row r="1359" spans="3:4" ht="20.100000000000001" customHeight="1">
      <c r="C1359" s="1793"/>
      <c r="D1359" s="1793"/>
    </row>
    <row r="1360" spans="3:4" ht="20.100000000000001" customHeight="1">
      <c r="C1360" s="1793"/>
      <c r="D1360" s="1793"/>
    </row>
    <row r="1361" spans="3:4" ht="20.100000000000001" customHeight="1">
      <c r="C1361" s="1793"/>
      <c r="D1361" s="1793"/>
    </row>
    <row r="1362" spans="3:4" ht="20.100000000000001" customHeight="1">
      <c r="C1362" s="1793"/>
      <c r="D1362" s="1793"/>
    </row>
    <row r="1363" spans="3:4" ht="20.100000000000001" customHeight="1">
      <c r="C1363" s="1793"/>
      <c r="D1363" s="1793"/>
    </row>
    <row r="1364" spans="3:4" ht="20.100000000000001" customHeight="1">
      <c r="C1364" s="1793"/>
      <c r="D1364" s="1793"/>
    </row>
    <row r="1365" spans="3:4" ht="20.100000000000001" customHeight="1">
      <c r="C1365" s="1793"/>
      <c r="D1365" s="1793"/>
    </row>
    <row r="1366" spans="3:4" ht="20.100000000000001" customHeight="1">
      <c r="C1366" s="1793"/>
      <c r="D1366" s="1793"/>
    </row>
    <row r="1367" spans="3:4" ht="20.100000000000001" customHeight="1">
      <c r="C1367" s="1793"/>
      <c r="D1367" s="1793"/>
    </row>
    <row r="1368" spans="3:4" ht="20.100000000000001" customHeight="1">
      <c r="C1368" s="1793"/>
      <c r="D1368" s="1793"/>
    </row>
    <row r="1369" spans="3:4" ht="20.100000000000001" customHeight="1">
      <c r="C1369" s="1793"/>
      <c r="D1369" s="1793"/>
    </row>
    <row r="1370" spans="3:4" ht="20.100000000000001" customHeight="1">
      <c r="C1370" s="1793"/>
      <c r="D1370" s="1793"/>
    </row>
    <row r="1371" spans="3:4" ht="20.100000000000001" customHeight="1">
      <c r="C1371" s="1793"/>
      <c r="D1371" s="1793"/>
    </row>
    <row r="1372" spans="3:4" ht="20.100000000000001" customHeight="1">
      <c r="C1372" s="1793"/>
      <c r="D1372" s="1793"/>
    </row>
    <row r="1373" spans="3:4" ht="20.100000000000001" customHeight="1">
      <c r="C1373" s="1793"/>
      <c r="D1373" s="1793"/>
    </row>
    <row r="1374" spans="3:4" ht="20.100000000000001" customHeight="1">
      <c r="C1374" s="1793"/>
      <c r="D1374" s="1793"/>
    </row>
    <row r="1375" spans="3:4" ht="20.100000000000001" customHeight="1">
      <c r="C1375" s="1793"/>
      <c r="D1375" s="1793"/>
    </row>
    <row r="1376" spans="3:4" ht="20.100000000000001" customHeight="1">
      <c r="C1376" s="1793"/>
      <c r="D1376" s="1793"/>
    </row>
    <row r="1377" spans="3:4" ht="20.100000000000001" customHeight="1">
      <c r="C1377" s="1793"/>
      <c r="D1377" s="1793"/>
    </row>
    <row r="1378" spans="3:4" ht="20.100000000000001" customHeight="1">
      <c r="C1378" s="1793"/>
      <c r="D1378" s="1793"/>
    </row>
    <row r="1379" spans="3:4" ht="20.100000000000001" customHeight="1">
      <c r="C1379" s="1793"/>
      <c r="D1379" s="1793"/>
    </row>
    <row r="1380" spans="3:4" ht="20.100000000000001" customHeight="1">
      <c r="C1380" s="1793"/>
      <c r="D1380" s="1793"/>
    </row>
    <row r="1381" spans="3:4" ht="20.100000000000001" customHeight="1">
      <c r="C1381" s="1793"/>
      <c r="D1381" s="1793"/>
    </row>
    <row r="1382" spans="3:4" ht="20.100000000000001" customHeight="1">
      <c r="C1382" s="1793"/>
      <c r="D1382" s="1793"/>
    </row>
    <row r="1383" spans="3:4" ht="20.100000000000001" customHeight="1">
      <c r="C1383" s="1793"/>
      <c r="D1383" s="1793"/>
    </row>
    <row r="1384" spans="3:4" ht="20.100000000000001" customHeight="1">
      <c r="C1384" s="1793"/>
      <c r="D1384" s="1793"/>
    </row>
    <row r="1385" spans="3:4" ht="20.100000000000001" customHeight="1">
      <c r="C1385" s="1793"/>
      <c r="D1385" s="1793"/>
    </row>
    <row r="1386" spans="3:4" ht="20.100000000000001" customHeight="1">
      <c r="C1386" s="1793"/>
      <c r="D1386" s="1793"/>
    </row>
    <row r="1387" spans="3:4" ht="20.100000000000001" customHeight="1">
      <c r="C1387" s="1793"/>
      <c r="D1387" s="1793"/>
    </row>
    <row r="1388" spans="3:4" ht="20.100000000000001" customHeight="1">
      <c r="C1388" s="1793"/>
      <c r="D1388" s="1793"/>
    </row>
    <row r="1389" spans="3:4" ht="20.100000000000001" customHeight="1">
      <c r="C1389" s="1793"/>
      <c r="D1389" s="1793"/>
    </row>
    <row r="1390" spans="3:4" ht="20.100000000000001" customHeight="1">
      <c r="C1390" s="1793"/>
      <c r="D1390" s="1793"/>
    </row>
    <row r="1391" spans="3:4" ht="20.100000000000001" customHeight="1">
      <c r="C1391" s="1793"/>
      <c r="D1391" s="1793"/>
    </row>
    <row r="1392" spans="3:4" ht="20.100000000000001" customHeight="1">
      <c r="C1392" s="1793"/>
      <c r="D1392" s="1793"/>
    </row>
    <row r="1393" spans="3:4" ht="20.100000000000001" customHeight="1">
      <c r="C1393" s="1793"/>
      <c r="D1393" s="1793"/>
    </row>
    <row r="1394" spans="3:4" ht="20.100000000000001" customHeight="1">
      <c r="C1394" s="1793"/>
      <c r="D1394" s="1793"/>
    </row>
    <row r="1395" spans="3:4" ht="20.100000000000001" customHeight="1">
      <c r="C1395" s="1793"/>
      <c r="D1395" s="1793"/>
    </row>
    <row r="1396" spans="3:4" ht="20.100000000000001" customHeight="1">
      <c r="C1396" s="1793"/>
      <c r="D1396" s="1793"/>
    </row>
    <row r="1397" spans="3:4" ht="20.100000000000001" customHeight="1">
      <c r="C1397" s="1793"/>
      <c r="D1397" s="1793"/>
    </row>
    <row r="1398" spans="3:4" ht="20.100000000000001" customHeight="1">
      <c r="C1398" s="1793"/>
      <c r="D1398" s="1793"/>
    </row>
    <row r="1399" spans="3:4" ht="20.100000000000001" customHeight="1">
      <c r="C1399" s="1793"/>
      <c r="D1399" s="1793"/>
    </row>
    <row r="1400" spans="3:4" ht="20.100000000000001" customHeight="1">
      <c r="C1400" s="1793"/>
      <c r="D1400" s="1793"/>
    </row>
    <row r="1401" spans="3:4" ht="20.100000000000001" customHeight="1">
      <c r="C1401" s="1793"/>
      <c r="D1401" s="1793"/>
    </row>
    <row r="1402" spans="3:4" ht="20.100000000000001" customHeight="1">
      <c r="C1402" s="1793"/>
      <c r="D1402" s="1793"/>
    </row>
    <row r="1403" spans="3:4" ht="20.100000000000001" customHeight="1">
      <c r="C1403" s="1793"/>
      <c r="D1403" s="1793"/>
    </row>
    <row r="1404" spans="3:4" ht="20.100000000000001" customHeight="1">
      <c r="C1404" s="1793"/>
      <c r="D1404" s="1793"/>
    </row>
    <row r="1405" spans="3:4" ht="20.100000000000001" customHeight="1">
      <c r="C1405" s="1793"/>
      <c r="D1405" s="1793"/>
    </row>
    <row r="1406" spans="3:4" ht="20.100000000000001" customHeight="1">
      <c r="C1406" s="1793"/>
      <c r="D1406" s="1793"/>
    </row>
    <row r="1407" spans="3:4" ht="20.100000000000001" customHeight="1">
      <c r="C1407" s="1793"/>
      <c r="D1407" s="1793"/>
    </row>
    <row r="1408" spans="3:4" ht="20.100000000000001" customHeight="1">
      <c r="C1408" s="1793"/>
      <c r="D1408" s="1793"/>
    </row>
    <row r="1409" spans="3:4" ht="20.100000000000001" customHeight="1">
      <c r="C1409" s="1793"/>
      <c r="D1409" s="1793"/>
    </row>
    <row r="1410" spans="3:4" ht="20.100000000000001" customHeight="1">
      <c r="C1410" s="1793"/>
      <c r="D1410" s="1793"/>
    </row>
    <row r="1411" spans="3:4" ht="20.100000000000001" customHeight="1">
      <c r="C1411" s="1793"/>
      <c r="D1411" s="1793"/>
    </row>
    <row r="1412" spans="3:4" ht="20.100000000000001" customHeight="1">
      <c r="C1412" s="1793"/>
      <c r="D1412" s="1793"/>
    </row>
    <row r="1413" spans="3:4" ht="20.100000000000001" customHeight="1">
      <c r="C1413" s="1793"/>
      <c r="D1413" s="1793"/>
    </row>
    <row r="1414" spans="3:4" ht="20.100000000000001" customHeight="1">
      <c r="C1414" s="1793"/>
      <c r="D1414" s="1793"/>
    </row>
    <row r="1415" spans="3:4" ht="20.100000000000001" customHeight="1">
      <c r="C1415" s="1793"/>
      <c r="D1415" s="1793"/>
    </row>
    <row r="1416" spans="3:4" ht="20.100000000000001" customHeight="1">
      <c r="C1416" s="1793"/>
      <c r="D1416" s="1793"/>
    </row>
    <row r="1417" spans="3:4" ht="20.100000000000001" customHeight="1">
      <c r="C1417" s="1793"/>
      <c r="D1417" s="1793"/>
    </row>
    <row r="1418" spans="3:4" ht="20.100000000000001" customHeight="1">
      <c r="C1418" s="1793"/>
      <c r="D1418" s="1793"/>
    </row>
    <row r="1419" spans="3:4" ht="20.100000000000001" customHeight="1">
      <c r="C1419" s="1793"/>
      <c r="D1419" s="1793"/>
    </row>
    <row r="1420" spans="3:4" ht="20.100000000000001" customHeight="1">
      <c r="C1420" s="1793"/>
      <c r="D1420" s="1793"/>
    </row>
    <row r="1421" spans="3:4" ht="20.100000000000001" customHeight="1">
      <c r="C1421" s="1793"/>
      <c r="D1421" s="1793"/>
    </row>
    <row r="1422" spans="3:4" ht="20.100000000000001" customHeight="1">
      <c r="C1422" s="1793"/>
      <c r="D1422" s="1793"/>
    </row>
    <row r="1423" spans="3:4" ht="20.100000000000001" customHeight="1">
      <c r="C1423" s="1793"/>
      <c r="D1423" s="1793"/>
    </row>
    <row r="1424" spans="3:4" ht="20.100000000000001" customHeight="1">
      <c r="C1424" s="1793"/>
      <c r="D1424" s="1793"/>
    </row>
    <row r="1425" spans="3:4" ht="20.100000000000001" customHeight="1">
      <c r="C1425" s="1793"/>
      <c r="D1425" s="1793"/>
    </row>
    <row r="1426" spans="3:4" ht="20.100000000000001" customHeight="1">
      <c r="C1426" s="1793"/>
      <c r="D1426" s="1793"/>
    </row>
    <row r="1427" spans="3:4" ht="20.100000000000001" customHeight="1">
      <c r="C1427" s="1793"/>
      <c r="D1427" s="1793"/>
    </row>
    <row r="1428" spans="3:4" ht="20.100000000000001" customHeight="1">
      <c r="C1428" s="1793"/>
      <c r="D1428" s="1793"/>
    </row>
    <row r="1429" spans="3:4" ht="20.100000000000001" customHeight="1">
      <c r="C1429" s="1793"/>
      <c r="D1429" s="1793"/>
    </row>
    <row r="1430" spans="3:4" ht="20.100000000000001" customHeight="1">
      <c r="C1430" s="1793"/>
      <c r="D1430" s="1793"/>
    </row>
    <row r="1431" spans="3:4" ht="20.100000000000001" customHeight="1">
      <c r="C1431" s="1793"/>
      <c r="D1431" s="1793"/>
    </row>
    <row r="1432" spans="3:4" ht="20.100000000000001" customHeight="1">
      <c r="C1432" s="1793"/>
      <c r="D1432" s="1793"/>
    </row>
    <row r="1433" spans="3:4" ht="20.100000000000001" customHeight="1">
      <c r="C1433" s="1793"/>
      <c r="D1433" s="1793"/>
    </row>
    <row r="1434" spans="3:4" ht="20.100000000000001" customHeight="1">
      <c r="C1434" s="1793"/>
      <c r="D1434" s="1793"/>
    </row>
    <row r="1435" spans="3:4" ht="20.100000000000001" customHeight="1">
      <c r="C1435" s="1793"/>
      <c r="D1435" s="1793"/>
    </row>
    <row r="1436" spans="3:4" ht="20.100000000000001" customHeight="1">
      <c r="C1436" s="1793"/>
      <c r="D1436" s="1793"/>
    </row>
    <row r="1437" spans="3:4" ht="20.100000000000001" customHeight="1">
      <c r="C1437" s="1793"/>
      <c r="D1437" s="1793"/>
    </row>
    <row r="1438" spans="3:4" ht="20.100000000000001" customHeight="1">
      <c r="C1438" s="1793"/>
      <c r="D1438" s="1793"/>
    </row>
    <row r="1439" spans="3:4" ht="20.100000000000001" customHeight="1">
      <c r="C1439" s="1793"/>
      <c r="D1439" s="1793"/>
    </row>
    <row r="1440" spans="3:4" ht="20.100000000000001" customHeight="1">
      <c r="C1440" s="1793"/>
      <c r="D1440" s="1793"/>
    </row>
    <row r="1441" spans="3:4" ht="20.100000000000001" customHeight="1">
      <c r="C1441" s="1793"/>
      <c r="D1441" s="1793"/>
    </row>
    <row r="1442" spans="3:4" ht="20.100000000000001" customHeight="1">
      <c r="C1442" s="1793"/>
      <c r="D1442" s="1793"/>
    </row>
    <row r="1443" spans="3:4" ht="20.100000000000001" customHeight="1">
      <c r="C1443" s="1793"/>
      <c r="D1443" s="1793"/>
    </row>
    <row r="1444" spans="3:4" ht="20.100000000000001" customHeight="1">
      <c r="C1444" s="1793"/>
      <c r="D1444" s="1793"/>
    </row>
    <row r="1445" spans="3:4" ht="20.100000000000001" customHeight="1">
      <c r="C1445" s="1793"/>
      <c r="D1445" s="1793"/>
    </row>
    <row r="1446" spans="3:4" ht="20.100000000000001" customHeight="1">
      <c r="C1446" s="1793"/>
      <c r="D1446" s="1793"/>
    </row>
    <row r="1447" spans="3:4" ht="20.100000000000001" customHeight="1">
      <c r="C1447" s="1793"/>
      <c r="D1447" s="1793"/>
    </row>
    <row r="1448" spans="3:4" ht="20.100000000000001" customHeight="1">
      <c r="C1448" s="1793"/>
      <c r="D1448" s="1793"/>
    </row>
    <row r="1449" spans="3:4" ht="20.100000000000001" customHeight="1">
      <c r="C1449" s="1793"/>
      <c r="D1449" s="1793"/>
    </row>
    <row r="1450" spans="3:4" ht="20.100000000000001" customHeight="1">
      <c r="C1450" s="1793"/>
      <c r="D1450" s="1793"/>
    </row>
    <row r="1451" spans="3:4" ht="20.100000000000001" customHeight="1">
      <c r="C1451" s="1793"/>
      <c r="D1451" s="1793"/>
    </row>
    <row r="1452" spans="3:4" ht="20.100000000000001" customHeight="1">
      <c r="C1452" s="1793"/>
      <c r="D1452" s="1793"/>
    </row>
    <row r="1453" spans="3:4" ht="20.100000000000001" customHeight="1">
      <c r="C1453" s="1793"/>
      <c r="D1453" s="1793"/>
    </row>
    <row r="1454" spans="3:4" ht="20.100000000000001" customHeight="1">
      <c r="C1454" s="1793"/>
      <c r="D1454" s="1793"/>
    </row>
    <row r="1455" spans="3:4" ht="20.100000000000001" customHeight="1">
      <c r="C1455" s="1793"/>
      <c r="D1455" s="1793"/>
    </row>
    <row r="1456" spans="3:4" ht="20.100000000000001" customHeight="1">
      <c r="C1456" s="1793"/>
      <c r="D1456" s="1793"/>
    </row>
    <row r="1457" spans="3:4" ht="20.100000000000001" customHeight="1">
      <c r="C1457" s="1793"/>
      <c r="D1457" s="1793"/>
    </row>
    <row r="1458" spans="3:4" ht="20.100000000000001" customHeight="1">
      <c r="C1458" s="1793"/>
      <c r="D1458" s="1793"/>
    </row>
    <row r="1459" spans="3:4" ht="20.100000000000001" customHeight="1">
      <c r="C1459" s="1793"/>
      <c r="D1459" s="1793"/>
    </row>
    <row r="1460" spans="3:4" ht="20.100000000000001" customHeight="1">
      <c r="C1460" s="1793"/>
      <c r="D1460" s="1793"/>
    </row>
    <row r="1461" spans="3:4" ht="20.100000000000001" customHeight="1">
      <c r="C1461" s="1793"/>
      <c r="D1461" s="1793"/>
    </row>
    <row r="1462" spans="3:4" ht="20.100000000000001" customHeight="1">
      <c r="C1462" s="1793"/>
      <c r="D1462" s="1793"/>
    </row>
    <row r="1463" spans="3:4" ht="20.100000000000001" customHeight="1">
      <c r="C1463" s="1793"/>
      <c r="D1463" s="1793"/>
    </row>
    <row r="1464" spans="3:4" ht="20.100000000000001" customHeight="1">
      <c r="C1464" s="1793"/>
      <c r="D1464" s="1793"/>
    </row>
    <row r="1465" spans="3:4" ht="20.100000000000001" customHeight="1">
      <c r="C1465" s="1793"/>
      <c r="D1465" s="1793"/>
    </row>
    <row r="1466" spans="3:4" ht="20.100000000000001" customHeight="1">
      <c r="C1466" s="1793"/>
      <c r="D1466" s="1793"/>
    </row>
    <row r="1467" spans="3:4" ht="20.100000000000001" customHeight="1">
      <c r="C1467" s="1793"/>
      <c r="D1467" s="1793"/>
    </row>
    <row r="1468" spans="3:4" ht="20.100000000000001" customHeight="1">
      <c r="C1468" s="1793"/>
      <c r="D1468" s="1793"/>
    </row>
    <row r="1469" spans="3:4" ht="20.100000000000001" customHeight="1">
      <c r="C1469" s="1793"/>
      <c r="D1469" s="1793"/>
    </row>
    <row r="1470" spans="3:4" ht="20.100000000000001" customHeight="1">
      <c r="C1470" s="1793"/>
      <c r="D1470" s="1793"/>
    </row>
    <row r="1471" spans="3:4" ht="20.100000000000001" customHeight="1">
      <c r="C1471" s="1793"/>
      <c r="D1471" s="1793"/>
    </row>
    <row r="1472" spans="3:4" ht="20.100000000000001" customHeight="1">
      <c r="C1472" s="1793"/>
      <c r="D1472" s="1793"/>
    </row>
    <row r="1473" spans="3:4" ht="20.100000000000001" customHeight="1">
      <c r="C1473" s="1793"/>
      <c r="D1473" s="1793"/>
    </row>
    <row r="1474" spans="3:4" ht="20.100000000000001" customHeight="1">
      <c r="C1474" s="1793"/>
      <c r="D1474" s="1793"/>
    </row>
    <row r="1475" spans="3:4" ht="20.100000000000001" customHeight="1">
      <c r="C1475" s="1793"/>
      <c r="D1475" s="1793"/>
    </row>
    <row r="1476" spans="3:4" ht="20.100000000000001" customHeight="1">
      <c r="C1476" s="1793"/>
      <c r="D1476" s="1793"/>
    </row>
    <row r="1477" spans="3:4" ht="20.100000000000001" customHeight="1">
      <c r="C1477" s="1793"/>
      <c r="D1477" s="1793"/>
    </row>
    <row r="1478" spans="3:4" ht="20.100000000000001" customHeight="1">
      <c r="C1478" s="1793"/>
      <c r="D1478" s="1793"/>
    </row>
    <row r="1479" spans="3:4" ht="20.100000000000001" customHeight="1">
      <c r="C1479" s="1793"/>
      <c r="D1479" s="1793"/>
    </row>
    <row r="1480" spans="3:4" ht="20.100000000000001" customHeight="1">
      <c r="C1480" s="1793"/>
      <c r="D1480" s="1793"/>
    </row>
    <row r="1481" spans="3:4" ht="20.100000000000001" customHeight="1">
      <c r="C1481" s="1793"/>
      <c r="D1481" s="1793"/>
    </row>
    <row r="1482" spans="3:4" ht="20.100000000000001" customHeight="1">
      <c r="C1482" s="1793"/>
      <c r="D1482" s="1793"/>
    </row>
    <row r="1483" spans="3:4" ht="20.100000000000001" customHeight="1">
      <c r="C1483" s="1793"/>
      <c r="D1483" s="1793"/>
    </row>
    <row r="1484" spans="3:4" ht="20.100000000000001" customHeight="1">
      <c r="C1484" s="1793"/>
      <c r="D1484" s="1793"/>
    </row>
    <row r="1485" spans="3:4" ht="20.100000000000001" customHeight="1">
      <c r="C1485" s="1793"/>
      <c r="D1485" s="1793"/>
    </row>
    <row r="1486" spans="3:4" ht="20.100000000000001" customHeight="1">
      <c r="C1486" s="1793"/>
      <c r="D1486" s="1793"/>
    </row>
    <row r="1487" spans="3:4" ht="20.100000000000001" customHeight="1">
      <c r="C1487" s="1793"/>
      <c r="D1487" s="1793"/>
    </row>
    <row r="1488" spans="3:4" ht="20.100000000000001" customHeight="1">
      <c r="C1488" s="1793"/>
      <c r="D1488" s="1793"/>
    </row>
    <row r="1489" spans="3:4" ht="20.100000000000001" customHeight="1">
      <c r="C1489" s="1793"/>
      <c r="D1489" s="1793"/>
    </row>
    <row r="1490" spans="3:4" ht="20.100000000000001" customHeight="1">
      <c r="C1490" s="1793"/>
      <c r="D1490" s="1793"/>
    </row>
    <row r="1491" spans="3:4" ht="20.100000000000001" customHeight="1">
      <c r="C1491" s="1793"/>
      <c r="D1491" s="1793"/>
    </row>
    <row r="1492" spans="3:4" ht="20.100000000000001" customHeight="1">
      <c r="C1492" s="1793"/>
      <c r="D1492" s="1793"/>
    </row>
    <row r="1493" spans="3:4" ht="20.100000000000001" customHeight="1">
      <c r="C1493" s="1793"/>
      <c r="D1493" s="1793"/>
    </row>
    <row r="1494" spans="3:4" ht="20.100000000000001" customHeight="1">
      <c r="C1494" s="1793"/>
      <c r="D1494" s="1793"/>
    </row>
    <row r="1495" spans="3:4" ht="20.100000000000001" customHeight="1">
      <c r="C1495" s="1793"/>
      <c r="D1495" s="1793"/>
    </row>
    <row r="1496" spans="3:4" ht="20.100000000000001" customHeight="1">
      <c r="C1496" s="1793"/>
      <c r="D1496" s="1793"/>
    </row>
    <row r="1497" spans="3:4" ht="20.100000000000001" customHeight="1">
      <c r="C1497" s="1793"/>
      <c r="D1497" s="1793"/>
    </row>
    <row r="1498" spans="3:4" ht="20.100000000000001" customHeight="1">
      <c r="C1498" s="1793"/>
      <c r="D1498" s="1793"/>
    </row>
    <row r="1499" spans="3:4" ht="20.100000000000001" customHeight="1">
      <c r="C1499" s="1793"/>
      <c r="D1499" s="1793"/>
    </row>
    <row r="1500" spans="3:4" ht="20.100000000000001" customHeight="1">
      <c r="C1500" s="1793"/>
      <c r="D1500" s="1793"/>
    </row>
    <row r="1501" spans="3:4" ht="20.100000000000001" customHeight="1">
      <c r="C1501" s="1793"/>
      <c r="D1501" s="1793"/>
    </row>
    <row r="1502" spans="3:4" ht="20.100000000000001" customHeight="1">
      <c r="C1502" s="1793"/>
      <c r="D1502" s="1793"/>
    </row>
    <row r="1503" spans="3:4" ht="20.100000000000001" customHeight="1">
      <c r="C1503" s="1793"/>
      <c r="D1503" s="1793"/>
    </row>
    <row r="1504" spans="3:4" ht="20.100000000000001" customHeight="1">
      <c r="C1504" s="1793"/>
      <c r="D1504" s="1793"/>
    </row>
    <row r="1505" spans="3:4" ht="20.100000000000001" customHeight="1">
      <c r="C1505" s="1793"/>
      <c r="D1505" s="1793"/>
    </row>
    <row r="1506" spans="3:4" ht="20.100000000000001" customHeight="1">
      <c r="C1506" s="1793"/>
      <c r="D1506" s="1793"/>
    </row>
    <row r="1507" spans="3:4" ht="20.100000000000001" customHeight="1">
      <c r="C1507" s="1793"/>
      <c r="D1507" s="1793"/>
    </row>
    <row r="1508" spans="3:4" ht="20.100000000000001" customHeight="1">
      <c r="C1508" s="1793"/>
      <c r="D1508" s="1793"/>
    </row>
    <row r="1509" spans="3:4" ht="20.100000000000001" customHeight="1">
      <c r="C1509" s="1793"/>
      <c r="D1509" s="1793"/>
    </row>
    <row r="1510" spans="3:4" ht="20.100000000000001" customHeight="1">
      <c r="C1510" s="1793"/>
      <c r="D1510" s="1793"/>
    </row>
    <row r="1511" spans="3:4" ht="20.100000000000001" customHeight="1">
      <c r="C1511" s="1793"/>
      <c r="D1511" s="1793"/>
    </row>
    <row r="1512" spans="3:4" ht="20.100000000000001" customHeight="1">
      <c r="C1512" s="1793"/>
      <c r="D1512" s="1793"/>
    </row>
    <row r="1513" spans="3:4" ht="20.100000000000001" customHeight="1">
      <c r="C1513" s="1793"/>
      <c r="D1513" s="1793"/>
    </row>
    <row r="1514" spans="3:4" ht="20.100000000000001" customHeight="1">
      <c r="C1514" s="1793"/>
      <c r="D1514" s="1793"/>
    </row>
    <row r="1515" spans="3:4" ht="20.100000000000001" customHeight="1">
      <c r="C1515" s="1793"/>
      <c r="D1515" s="1793"/>
    </row>
    <row r="1516" spans="3:4" ht="20.100000000000001" customHeight="1">
      <c r="C1516" s="1793"/>
      <c r="D1516" s="1793"/>
    </row>
    <row r="1517" spans="3:4" ht="20.100000000000001" customHeight="1">
      <c r="C1517" s="1793"/>
      <c r="D1517" s="1793"/>
    </row>
    <row r="1518" spans="3:4" ht="20.100000000000001" customHeight="1">
      <c r="C1518" s="1793"/>
      <c r="D1518" s="1793"/>
    </row>
    <row r="1519" spans="3:4" ht="20.100000000000001" customHeight="1">
      <c r="C1519" s="1793"/>
      <c r="D1519" s="1793"/>
    </row>
    <row r="1520" spans="3:4" ht="20.100000000000001" customHeight="1">
      <c r="C1520" s="1793"/>
      <c r="D1520" s="1793"/>
    </row>
    <row r="1521" spans="3:4" ht="20.100000000000001" customHeight="1">
      <c r="C1521" s="1793"/>
      <c r="D1521" s="1793"/>
    </row>
    <row r="1522" spans="3:4" ht="20.100000000000001" customHeight="1">
      <c r="C1522" s="1793"/>
      <c r="D1522" s="1793"/>
    </row>
    <row r="1523" spans="3:4" ht="20.100000000000001" customHeight="1">
      <c r="C1523" s="1793"/>
      <c r="D1523" s="1793"/>
    </row>
    <row r="1524" spans="3:4" ht="20.100000000000001" customHeight="1">
      <c r="C1524" s="1793"/>
      <c r="D1524" s="1793"/>
    </row>
    <row r="1525" spans="3:4" ht="20.100000000000001" customHeight="1">
      <c r="C1525" s="1793"/>
      <c r="D1525" s="1793"/>
    </row>
    <row r="1526" spans="3:4" ht="20.100000000000001" customHeight="1">
      <c r="C1526" s="1793"/>
      <c r="D1526" s="1793"/>
    </row>
    <row r="1527" spans="3:4" ht="20.100000000000001" customHeight="1">
      <c r="C1527" s="1793"/>
      <c r="D1527" s="1793"/>
    </row>
    <row r="1528" spans="3:4" ht="20.100000000000001" customHeight="1">
      <c r="C1528" s="1793"/>
      <c r="D1528" s="1793"/>
    </row>
    <row r="1529" spans="3:4" ht="20.100000000000001" customHeight="1">
      <c r="C1529" s="1793"/>
      <c r="D1529" s="1793"/>
    </row>
    <row r="1530" spans="3:4" ht="20.100000000000001" customHeight="1">
      <c r="C1530" s="1793"/>
      <c r="D1530" s="1793"/>
    </row>
    <row r="1531" spans="3:4" ht="20.100000000000001" customHeight="1">
      <c r="C1531" s="1793"/>
      <c r="D1531" s="1793"/>
    </row>
    <row r="1532" spans="3:4" ht="20.100000000000001" customHeight="1">
      <c r="C1532" s="1793"/>
      <c r="D1532" s="1793"/>
    </row>
    <row r="1533" spans="3:4" ht="20.100000000000001" customHeight="1">
      <c r="C1533" s="1793"/>
      <c r="D1533" s="1793"/>
    </row>
    <row r="1534" spans="3:4" ht="20.100000000000001" customHeight="1">
      <c r="C1534" s="1793"/>
      <c r="D1534" s="1793"/>
    </row>
    <row r="1535" spans="3:4" ht="20.100000000000001" customHeight="1">
      <c r="C1535" s="1793"/>
      <c r="D1535" s="1793"/>
    </row>
    <row r="1536" spans="3:4" ht="20.100000000000001" customHeight="1">
      <c r="C1536" s="1793"/>
      <c r="D1536" s="1793"/>
    </row>
    <row r="1537" spans="3:4" ht="20.100000000000001" customHeight="1">
      <c r="C1537" s="1793"/>
      <c r="D1537" s="1793"/>
    </row>
    <row r="1538" spans="3:4" ht="20.100000000000001" customHeight="1">
      <c r="C1538" s="1793"/>
      <c r="D1538" s="1793"/>
    </row>
    <row r="1539" spans="3:4" ht="20.100000000000001" customHeight="1">
      <c r="C1539" s="1793"/>
      <c r="D1539" s="1793"/>
    </row>
    <row r="1540" spans="3:4" ht="20.100000000000001" customHeight="1">
      <c r="C1540" s="1793"/>
      <c r="D1540" s="1793"/>
    </row>
    <row r="1541" spans="3:4" ht="20.100000000000001" customHeight="1">
      <c r="C1541" s="1793"/>
      <c r="D1541" s="1793"/>
    </row>
    <row r="1542" spans="3:4" ht="20.100000000000001" customHeight="1">
      <c r="C1542" s="1793"/>
      <c r="D1542" s="1793"/>
    </row>
    <row r="1543" spans="3:4" ht="20.100000000000001" customHeight="1">
      <c r="C1543" s="1793"/>
      <c r="D1543" s="1793"/>
    </row>
    <row r="1544" spans="3:4" ht="20.100000000000001" customHeight="1">
      <c r="C1544" s="1793"/>
      <c r="D1544" s="1793"/>
    </row>
    <row r="1545" spans="3:4" ht="20.100000000000001" customHeight="1">
      <c r="C1545" s="1793"/>
      <c r="D1545" s="1793"/>
    </row>
    <row r="1546" spans="3:4" ht="20.100000000000001" customHeight="1">
      <c r="C1546" s="1793"/>
      <c r="D1546" s="1793"/>
    </row>
    <row r="1547" spans="3:4" ht="20.100000000000001" customHeight="1">
      <c r="C1547" s="1793"/>
      <c r="D1547" s="1793"/>
    </row>
    <row r="1548" spans="3:4" ht="20.100000000000001" customHeight="1">
      <c r="C1548" s="1793"/>
      <c r="D1548" s="1793"/>
    </row>
    <row r="1549" spans="3:4" ht="20.100000000000001" customHeight="1">
      <c r="C1549" s="1793"/>
      <c r="D1549" s="1793"/>
    </row>
    <row r="1550" spans="3:4" ht="20.100000000000001" customHeight="1">
      <c r="C1550" s="1793"/>
      <c r="D1550" s="1793"/>
    </row>
    <row r="1551" spans="3:4" ht="20.100000000000001" customHeight="1">
      <c r="C1551" s="1793"/>
      <c r="D1551" s="1793"/>
    </row>
    <row r="1552" spans="3:4" ht="20.100000000000001" customHeight="1">
      <c r="C1552" s="1793"/>
      <c r="D1552" s="1793"/>
    </row>
    <row r="1553" spans="3:4" ht="20.100000000000001" customHeight="1">
      <c r="C1553" s="1793"/>
      <c r="D1553" s="1793"/>
    </row>
    <row r="1554" spans="3:4" ht="20.100000000000001" customHeight="1">
      <c r="C1554" s="1793"/>
      <c r="D1554" s="1793"/>
    </row>
    <row r="1555" spans="3:4" ht="20.100000000000001" customHeight="1">
      <c r="C1555" s="1793"/>
      <c r="D1555" s="1793"/>
    </row>
    <row r="1556" spans="3:4" ht="20.100000000000001" customHeight="1">
      <c r="C1556" s="1793"/>
      <c r="D1556" s="1793"/>
    </row>
    <row r="1557" spans="3:4" ht="20.100000000000001" customHeight="1">
      <c r="C1557" s="1793"/>
      <c r="D1557" s="1793"/>
    </row>
    <row r="1558" spans="3:4" ht="20.100000000000001" customHeight="1">
      <c r="C1558" s="1793"/>
      <c r="D1558" s="1793"/>
    </row>
    <row r="1559" spans="3:4" ht="20.100000000000001" customHeight="1">
      <c r="C1559" s="1793"/>
      <c r="D1559" s="1793"/>
    </row>
    <row r="1560" spans="3:4" ht="20.100000000000001" customHeight="1">
      <c r="C1560" s="1793"/>
      <c r="D1560" s="1793"/>
    </row>
    <row r="1561" spans="3:4" ht="20.100000000000001" customHeight="1">
      <c r="C1561" s="1793"/>
      <c r="D1561" s="1793"/>
    </row>
    <row r="1562" spans="3:4" ht="20.100000000000001" customHeight="1">
      <c r="C1562" s="1793"/>
      <c r="D1562" s="1793"/>
    </row>
    <row r="1563" spans="3:4" ht="20.100000000000001" customHeight="1">
      <c r="C1563" s="1793"/>
      <c r="D1563" s="1793"/>
    </row>
    <row r="1564" spans="3:4" ht="20.100000000000001" customHeight="1">
      <c r="C1564" s="1793"/>
      <c r="D1564" s="1793"/>
    </row>
    <row r="1565" spans="3:4" ht="20.100000000000001" customHeight="1">
      <c r="C1565" s="1793"/>
      <c r="D1565" s="1793"/>
    </row>
    <row r="1566" spans="3:4" ht="20.100000000000001" customHeight="1">
      <c r="C1566" s="1793"/>
      <c r="D1566" s="1793"/>
    </row>
    <row r="1567" spans="3:4" ht="20.100000000000001" customHeight="1">
      <c r="C1567" s="1793"/>
      <c r="D1567" s="1793"/>
    </row>
    <row r="1568" spans="3:4" ht="20.100000000000001" customHeight="1">
      <c r="C1568" s="1793"/>
      <c r="D1568" s="1793"/>
    </row>
    <row r="1569" spans="3:4" ht="20.100000000000001" customHeight="1">
      <c r="C1569" s="1793"/>
      <c r="D1569" s="1793"/>
    </row>
    <row r="1570" spans="3:4" ht="20.100000000000001" customHeight="1">
      <c r="C1570" s="1793"/>
      <c r="D1570" s="1793"/>
    </row>
    <row r="1571" spans="3:4" ht="20.100000000000001" customHeight="1">
      <c r="C1571" s="1793"/>
      <c r="D1571" s="1793"/>
    </row>
    <row r="1572" spans="3:4" ht="20.100000000000001" customHeight="1">
      <c r="C1572" s="1793"/>
      <c r="D1572" s="1793"/>
    </row>
    <row r="1573" spans="3:4" ht="20.100000000000001" customHeight="1">
      <c r="C1573" s="1793"/>
      <c r="D1573" s="1793"/>
    </row>
    <row r="1574" spans="3:4" ht="20.100000000000001" customHeight="1">
      <c r="C1574" s="1793"/>
      <c r="D1574" s="1793"/>
    </row>
    <row r="1575" spans="3:4" ht="20.100000000000001" customHeight="1">
      <c r="C1575" s="1793"/>
      <c r="D1575" s="1793"/>
    </row>
    <row r="1576" spans="3:4" ht="20.100000000000001" customHeight="1">
      <c r="C1576" s="1793"/>
      <c r="D1576" s="1793"/>
    </row>
    <row r="1577" spans="3:4" ht="20.100000000000001" customHeight="1">
      <c r="C1577" s="1793"/>
      <c r="D1577" s="1793"/>
    </row>
    <row r="1578" spans="3:4" ht="20.100000000000001" customHeight="1">
      <c r="C1578" s="1793"/>
      <c r="D1578" s="1793"/>
    </row>
    <row r="1579" spans="3:4" ht="20.100000000000001" customHeight="1">
      <c r="C1579" s="1793"/>
      <c r="D1579" s="1793"/>
    </row>
    <row r="1580" spans="3:4" ht="20.100000000000001" customHeight="1">
      <c r="C1580" s="1793"/>
      <c r="D1580" s="1793"/>
    </row>
    <row r="1581" spans="3:4" ht="20.100000000000001" customHeight="1">
      <c r="C1581" s="1793"/>
      <c r="D1581" s="1793"/>
    </row>
    <row r="1582" spans="3:4" ht="20.100000000000001" customHeight="1">
      <c r="C1582" s="1793"/>
      <c r="D1582" s="1793"/>
    </row>
    <row r="1583" spans="3:4" ht="20.100000000000001" customHeight="1">
      <c r="C1583" s="1793"/>
      <c r="D1583" s="1793"/>
    </row>
    <row r="1584" spans="3:4" ht="20.100000000000001" customHeight="1">
      <c r="C1584" s="1793"/>
      <c r="D1584" s="1793"/>
    </row>
    <row r="1585" spans="3:4" ht="20.100000000000001" customHeight="1">
      <c r="C1585" s="1793"/>
      <c r="D1585" s="1793"/>
    </row>
    <row r="1586" spans="3:4" ht="20.100000000000001" customHeight="1">
      <c r="C1586" s="1793"/>
      <c r="D1586" s="1793"/>
    </row>
    <row r="1587" spans="3:4" ht="20.100000000000001" customHeight="1">
      <c r="C1587" s="1793"/>
      <c r="D1587" s="1793"/>
    </row>
    <row r="1588" spans="3:4" ht="20.100000000000001" customHeight="1">
      <c r="C1588" s="1793"/>
      <c r="D1588" s="1793"/>
    </row>
    <row r="1589" spans="3:4" ht="20.100000000000001" customHeight="1">
      <c r="C1589" s="1793"/>
      <c r="D1589" s="1793"/>
    </row>
    <row r="1590" spans="3:4" ht="20.100000000000001" customHeight="1">
      <c r="C1590" s="1793"/>
      <c r="D1590" s="1793"/>
    </row>
    <row r="1591" spans="3:4" ht="20.100000000000001" customHeight="1">
      <c r="C1591" s="1793"/>
      <c r="D1591" s="1793"/>
    </row>
    <row r="1592" spans="3:4" ht="20.100000000000001" customHeight="1">
      <c r="C1592" s="1793"/>
      <c r="D1592" s="1793"/>
    </row>
    <row r="1593" spans="3:4" ht="20.100000000000001" customHeight="1">
      <c r="C1593" s="1793"/>
      <c r="D1593" s="1793"/>
    </row>
    <row r="1594" spans="3:4" ht="20.100000000000001" customHeight="1">
      <c r="C1594" s="1793"/>
      <c r="D1594" s="1793"/>
    </row>
    <row r="1595" spans="3:4" ht="20.100000000000001" customHeight="1">
      <c r="C1595" s="1793"/>
      <c r="D1595" s="1793"/>
    </row>
    <row r="1596" spans="3:4" ht="20.100000000000001" customHeight="1">
      <c r="C1596" s="1793"/>
      <c r="D1596" s="1793"/>
    </row>
    <row r="1597" spans="3:4" ht="20.100000000000001" customHeight="1">
      <c r="C1597" s="1793"/>
      <c r="D1597" s="1793"/>
    </row>
    <row r="1598" spans="3:4" ht="20.100000000000001" customHeight="1">
      <c r="C1598" s="1793"/>
      <c r="D1598" s="1793"/>
    </row>
    <row r="1599" spans="3:4" ht="20.100000000000001" customHeight="1">
      <c r="C1599" s="1793"/>
      <c r="D1599" s="1793"/>
    </row>
    <row r="1600" spans="3:4" ht="20.100000000000001" customHeight="1">
      <c r="C1600" s="1793"/>
      <c r="D1600" s="1793"/>
    </row>
    <row r="1601" spans="3:4" ht="20.100000000000001" customHeight="1">
      <c r="C1601" s="1793"/>
      <c r="D1601" s="1793"/>
    </row>
    <row r="1602" spans="3:4" ht="20.100000000000001" customHeight="1">
      <c r="C1602" s="1793"/>
      <c r="D1602" s="1793"/>
    </row>
    <row r="1603" spans="3:4" ht="20.100000000000001" customHeight="1">
      <c r="C1603" s="1793"/>
      <c r="D1603" s="1793"/>
    </row>
    <row r="1604" spans="3:4" ht="20.100000000000001" customHeight="1">
      <c r="C1604" s="1793"/>
      <c r="D1604" s="1793"/>
    </row>
    <row r="1605" spans="3:4" ht="20.100000000000001" customHeight="1">
      <c r="C1605" s="1793"/>
      <c r="D1605" s="1793"/>
    </row>
    <row r="1606" spans="3:4" ht="20.100000000000001" customHeight="1">
      <c r="C1606" s="1793"/>
      <c r="D1606" s="1793"/>
    </row>
    <row r="1607" spans="3:4" ht="20.100000000000001" customHeight="1">
      <c r="C1607" s="1793"/>
      <c r="D1607" s="1793"/>
    </row>
    <row r="1608" spans="3:4" ht="20.100000000000001" customHeight="1">
      <c r="C1608" s="1793"/>
      <c r="D1608" s="1793"/>
    </row>
    <row r="1609" spans="3:4" ht="20.100000000000001" customHeight="1">
      <c r="C1609" s="1793"/>
      <c r="D1609" s="1793"/>
    </row>
    <row r="1610" spans="3:4" ht="20.100000000000001" customHeight="1">
      <c r="C1610" s="1793"/>
      <c r="D1610" s="1793"/>
    </row>
    <row r="1611" spans="3:4" ht="20.100000000000001" customHeight="1">
      <c r="C1611" s="1793"/>
      <c r="D1611" s="1793"/>
    </row>
    <row r="1612" spans="3:4" ht="20.100000000000001" customHeight="1">
      <c r="C1612" s="1793"/>
      <c r="D1612" s="1793"/>
    </row>
    <row r="1613" spans="3:4" ht="20.100000000000001" customHeight="1">
      <c r="C1613" s="1793"/>
      <c r="D1613" s="1793"/>
    </row>
    <row r="1614" spans="3:4" ht="20.100000000000001" customHeight="1">
      <c r="C1614" s="1793"/>
      <c r="D1614" s="1793"/>
    </row>
    <row r="1615" spans="3:4" ht="20.100000000000001" customHeight="1">
      <c r="C1615" s="1793"/>
      <c r="D1615" s="1793"/>
    </row>
    <row r="1616" spans="3:4" ht="20.100000000000001" customHeight="1">
      <c r="C1616" s="1793"/>
      <c r="D1616" s="1793"/>
    </row>
    <row r="1617" spans="3:4" ht="20.100000000000001" customHeight="1">
      <c r="C1617" s="1793"/>
      <c r="D1617" s="1793"/>
    </row>
    <row r="1618" spans="3:4" ht="20.100000000000001" customHeight="1">
      <c r="C1618" s="1793"/>
      <c r="D1618" s="1793"/>
    </row>
    <row r="1619" spans="3:4" ht="20.100000000000001" customHeight="1">
      <c r="C1619" s="1793"/>
      <c r="D1619" s="1793"/>
    </row>
    <row r="1620" spans="3:4" ht="20.100000000000001" customHeight="1">
      <c r="C1620" s="1793"/>
      <c r="D1620" s="1793"/>
    </row>
    <row r="1621" spans="3:4" ht="20.100000000000001" customHeight="1">
      <c r="C1621" s="1793"/>
      <c r="D1621" s="1793"/>
    </row>
    <row r="1622" spans="3:4" ht="20.100000000000001" customHeight="1">
      <c r="C1622" s="1793"/>
      <c r="D1622" s="1793"/>
    </row>
    <row r="1623" spans="3:4" ht="20.100000000000001" customHeight="1">
      <c r="C1623" s="1793"/>
      <c r="D1623" s="1793"/>
    </row>
    <row r="1624" spans="3:4" ht="20.100000000000001" customHeight="1">
      <c r="C1624" s="1793"/>
      <c r="D1624" s="1793"/>
    </row>
    <row r="1625" spans="3:4" ht="20.100000000000001" customHeight="1">
      <c r="C1625" s="1793"/>
      <c r="D1625" s="1793"/>
    </row>
    <row r="1626" spans="3:4" ht="20.100000000000001" customHeight="1">
      <c r="C1626" s="1793"/>
      <c r="D1626" s="1793"/>
    </row>
    <row r="1627" spans="3:4" ht="20.100000000000001" customHeight="1">
      <c r="C1627" s="1793"/>
      <c r="D1627" s="1793"/>
    </row>
    <row r="1628" spans="3:4" ht="20.100000000000001" customHeight="1">
      <c r="C1628" s="1793"/>
      <c r="D1628" s="1793"/>
    </row>
    <row r="1629" spans="3:4" ht="20.100000000000001" customHeight="1">
      <c r="C1629" s="1793"/>
      <c r="D1629" s="1793"/>
    </row>
    <row r="1630" spans="3:4" ht="20.100000000000001" customHeight="1">
      <c r="C1630" s="1793"/>
      <c r="D1630" s="1793"/>
    </row>
    <row r="1631" spans="3:4" ht="20.100000000000001" customHeight="1">
      <c r="C1631" s="1793"/>
      <c r="D1631" s="1793"/>
    </row>
    <row r="1632" spans="3:4" ht="20.100000000000001" customHeight="1">
      <c r="C1632" s="1793"/>
      <c r="D1632" s="1793"/>
    </row>
    <row r="1633" spans="3:4" ht="20.100000000000001" customHeight="1">
      <c r="C1633" s="1793"/>
      <c r="D1633" s="1793"/>
    </row>
    <row r="1634" spans="3:4" ht="20.100000000000001" customHeight="1">
      <c r="C1634" s="1793"/>
      <c r="D1634" s="1793"/>
    </row>
    <row r="1635" spans="3:4" ht="20.100000000000001" customHeight="1">
      <c r="C1635" s="1793"/>
      <c r="D1635" s="1793"/>
    </row>
    <row r="1636" spans="3:4" ht="20.100000000000001" customHeight="1">
      <c r="C1636" s="1793"/>
      <c r="D1636" s="1793"/>
    </row>
    <row r="1637" spans="3:4" ht="20.100000000000001" customHeight="1">
      <c r="C1637" s="1793"/>
      <c r="D1637" s="1793"/>
    </row>
    <row r="1638" spans="3:4" ht="20.100000000000001" customHeight="1">
      <c r="C1638" s="1793"/>
      <c r="D1638" s="1793"/>
    </row>
    <row r="1639" spans="3:4" ht="20.100000000000001" customHeight="1">
      <c r="C1639" s="1793"/>
      <c r="D1639" s="1793"/>
    </row>
    <row r="1640" spans="3:4" ht="20.100000000000001" customHeight="1">
      <c r="C1640" s="1793"/>
      <c r="D1640" s="1793"/>
    </row>
    <row r="1641" spans="3:4" ht="20.100000000000001" customHeight="1">
      <c r="C1641" s="1793"/>
      <c r="D1641" s="1793"/>
    </row>
    <row r="1642" spans="3:4" ht="20.100000000000001" customHeight="1">
      <c r="C1642" s="1793"/>
      <c r="D1642" s="1793"/>
    </row>
    <row r="1643" spans="3:4" ht="20.100000000000001" customHeight="1">
      <c r="C1643" s="1793"/>
      <c r="D1643" s="1793"/>
    </row>
    <row r="1644" spans="3:4" ht="20.100000000000001" customHeight="1">
      <c r="C1644" s="1793"/>
      <c r="D1644" s="1793"/>
    </row>
    <row r="1645" spans="3:4" ht="20.100000000000001" customHeight="1">
      <c r="C1645" s="1793"/>
      <c r="D1645" s="1793"/>
    </row>
    <row r="1646" spans="3:4" ht="20.100000000000001" customHeight="1">
      <c r="C1646" s="1793"/>
      <c r="D1646" s="1793"/>
    </row>
    <row r="1647" spans="3:4" ht="20.100000000000001" customHeight="1">
      <c r="C1647" s="1793"/>
      <c r="D1647" s="1793"/>
    </row>
    <row r="1648" spans="3:4" ht="20.100000000000001" customHeight="1">
      <c r="C1648" s="1793"/>
      <c r="D1648" s="1793"/>
    </row>
    <row r="1649" spans="3:4" ht="20.100000000000001" customHeight="1">
      <c r="C1649" s="1793"/>
      <c r="D1649" s="1793"/>
    </row>
    <row r="1650" spans="3:4" ht="20.100000000000001" customHeight="1">
      <c r="C1650" s="1793"/>
      <c r="D1650" s="1793"/>
    </row>
    <row r="1651" spans="3:4" ht="20.100000000000001" customHeight="1">
      <c r="C1651" s="1793"/>
      <c r="D1651" s="1793"/>
    </row>
    <row r="1652" spans="3:4" ht="20.100000000000001" customHeight="1">
      <c r="C1652" s="1793"/>
      <c r="D1652" s="1793"/>
    </row>
    <row r="1653" spans="3:4" ht="20.100000000000001" customHeight="1">
      <c r="C1653" s="1793"/>
      <c r="D1653" s="1793"/>
    </row>
    <row r="1654" spans="3:4" ht="20.100000000000001" customHeight="1">
      <c r="C1654" s="1793"/>
      <c r="D1654" s="1793"/>
    </row>
    <row r="1655" spans="3:4" ht="20.100000000000001" customHeight="1">
      <c r="C1655" s="1793"/>
      <c r="D1655" s="1793"/>
    </row>
    <row r="1656" spans="3:4" ht="20.100000000000001" customHeight="1">
      <c r="C1656" s="1793"/>
      <c r="D1656" s="1793"/>
    </row>
    <row r="1657" spans="3:4" ht="20.100000000000001" customHeight="1">
      <c r="C1657" s="1793"/>
      <c r="D1657" s="1793"/>
    </row>
    <row r="1658" spans="3:4" ht="20.100000000000001" customHeight="1">
      <c r="C1658" s="1793"/>
      <c r="D1658" s="1793"/>
    </row>
    <row r="1659" spans="3:4" ht="20.100000000000001" customHeight="1">
      <c r="C1659" s="1793"/>
      <c r="D1659" s="1793"/>
    </row>
    <row r="1660" spans="3:4" ht="20.100000000000001" customHeight="1">
      <c r="C1660" s="1793"/>
      <c r="D1660" s="1793"/>
    </row>
    <row r="1661" spans="3:4" ht="20.100000000000001" customHeight="1">
      <c r="C1661" s="1793"/>
      <c r="D1661" s="1793"/>
    </row>
    <row r="1662" spans="3:4" ht="20.100000000000001" customHeight="1">
      <c r="C1662" s="1793"/>
      <c r="D1662" s="1793"/>
    </row>
    <row r="1663" spans="3:4" ht="20.100000000000001" customHeight="1">
      <c r="C1663" s="1793"/>
      <c r="D1663" s="1793"/>
    </row>
    <row r="1664" spans="3:4" ht="20.100000000000001" customHeight="1">
      <c r="C1664" s="1793"/>
      <c r="D1664" s="1793"/>
    </row>
    <row r="1665" spans="3:4" ht="20.100000000000001" customHeight="1">
      <c r="C1665" s="1793"/>
      <c r="D1665" s="1793"/>
    </row>
    <row r="1666" spans="3:4" ht="20.100000000000001" customHeight="1">
      <c r="C1666" s="1793"/>
      <c r="D1666" s="1793"/>
    </row>
    <row r="1667" spans="3:4" ht="20.100000000000001" customHeight="1">
      <c r="C1667" s="1793"/>
      <c r="D1667" s="1793"/>
    </row>
    <row r="1668" spans="3:4" ht="20.100000000000001" customHeight="1">
      <c r="C1668" s="1793"/>
      <c r="D1668" s="1793"/>
    </row>
    <row r="1669" spans="3:4" ht="20.100000000000001" customHeight="1">
      <c r="C1669" s="1793"/>
      <c r="D1669" s="1793"/>
    </row>
    <row r="1670" spans="3:4" ht="20.100000000000001" customHeight="1">
      <c r="C1670" s="1793"/>
      <c r="D1670" s="1793"/>
    </row>
    <row r="1671" spans="3:4" ht="20.100000000000001" customHeight="1">
      <c r="C1671" s="1793"/>
      <c r="D1671" s="1793"/>
    </row>
    <row r="1672" spans="3:4" ht="20.100000000000001" customHeight="1">
      <c r="C1672" s="1793"/>
      <c r="D1672" s="1793"/>
    </row>
    <row r="1673" spans="3:4" ht="20.100000000000001" customHeight="1">
      <c r="C1673" s="1793"/>
      <c r="D1673" s="1793"/>
    </row>
    <row r="1674" spans="3:4" ht="20.100000000000001" customHeight="1">
      <c r="C1674" s="1793"/>
      <c r="D1674" s="1793"/>
    </row>
    <row r="1675" spans="3:4" ht="20.100000000000001" customHeight="1">
      <c r="C1675" s="1793"/>
      <c r="D1675" s="1793"/>
    </row>
    <row r="1676" spans="3:4" ht="20.100000000000001" customHeight="1">
      <c r="C1676" s="1793"/>
      <c r="D1676" s="1793"/>
    </row>
    <row r="1677" spans="3:4" ht="20.100000000000001" customHeight="1">
      <c r="C1677" s="1793"/>
      <c r="D1677" s="1793"/>
    </row>
    <row r="1678" spans="3:4" ht="20.100000000000001" customHeight="1">
      <c r="C1678" s="1793"/>
      <c r="D1678" s="1793"/>
    </row>
    <row r="1679" spans="3:4" ht="20.100000000000001" customHeight="1">
      <c r="C1679" s="1793"/>
      <c r="D1679" s="1793"/>
    </row>
    <row r="1680" spans="3:4" ht="20.100000000000001" customHeight="1">
      <c r="C1680" s="1793"/>
      <c r="D1680" s="1793"/>
    </row>
    <row r="1681" spans="3:4" ht="20.100000000000001" customHeight="1">
      <c r="C1681" s="1793"/>
      <c r="D1681" s="1793"/>
    </row>
    <row r="1682" spans="3:4" ht="20.100000000000001" customHeight="1">
      <c r="C1682" s="1793"/>
      <c r="D1682" s="1793"/>
    </row>
    <row r="1683" spans="3:4" ht="20.100000000000001" customHeight="1">
      <c r="C1683" s="1793"/>
      <c r="D1683" s="1793"/>
    </row>
    <row r="1684" spans="3:4" ht="20.100000000000001" customHeight="1">
      <c r="C1684" s="1793"/>
      <c r="D1684" s="1793"/>
    </row>
    <row r="1685" spans="3:4" ht="20.100000000000001" customHeight="1">
      <c r="C1685" s="1793"/>
      <c r="D1685" s="1793"/>
    </row>
    <row r="1686" spans="3:4" ht="20.100000000000001" customHeight="1">
      <c r="C1686" s="1793"/>
      <c r="D1686" s="1793"/>
    </row>
    <row r="1687" spans="3:4" ht="20.100000000000001" customHeight="1">
      <c r="C1687" s="1793"/>
      <c r="D1687" s="1793"/>
    </row>
    <row r="1688" spans="3:4" ht="20.100000000000001" customHeight="1">
      <c r="C1688" s="1793"/>
      <c r="D1688" s="1793"/>
    </row>
    <row r="1689" spans="3:4" ht="20.100000000000001" customHeight="1">
      <c r="C1689" s="1793"/>
      <c r="D1689" s="1793"/>
    </row>
    <row r="1690" spans="3:4" ht="20.100000000000001" customHeight="1">
      <c r="C1690" s="1793"/>
      <c r="D1690" s="1793"/>
    </row>
    <row r="1691" spans="3:4" ht="20.100000000000001" customHeight="1">
      <c r="C1691" s="1793"/>
      <c r="D1691" s="1793"/>
    </row>
    <row r="1692" spans="3:4" ht="20.100000000000001" customHeight="1">
      <c r="C1692" s="1793"/>
      <c r="D1692" s="1793"/>
    </row>
    <row r="1693" spans="3:4" ht="20.100000000000001" customHeight="1">
      <c r="C1693" s="1793"/>
      <c r="D1693" s="1793"/>
    </row>
    <row r="1694" spans="3:4" ht="20.100000000000001" customHeight="1">
      <c r="C1694" s="1793"/>
      <c r="D1694" s="1793"/>
    </row>
    <row r="1695" spans="3:4" ht="20.100000000000001" customHeight="1">
      <c r="C1695" s="1793"/>
      <c r="D1695" s="1793"/>
    </row>
    <row r="1696" spans="3:4" ht="20.100000000000001" customHeight="1">
      <c r="C1696" s="1793"/>
      <c r="D1696" s="1793"/>
    </row>
    <row r="1697" spans="3:4" ht="20.100000000000001" customHeight="1">
      <c r="C1697" s="1793"/>
      <c r="D1697" s="1793"/>
    </row>
    <row r="1698" spans="3:4" ht="20.100000000000001" customHeight="1">
      <c r="C1698" s="1793"/>
      <c r="D1698" s="1793"/>
    </row>
    <row r="1699" spans="3:4" ht="20.100000000000001" customHeight="1">
      <c r="C1699" s="1793"/>
      <c r="D1699" s="1793"/>
    </row>
    <row r="1700" spans="3:4" ht="20.100000000000001" customHeight="1">
      <c r="C1700" s="1793"/>
      <c r="D1700" s="1793"/>
    </row>
    <row r="1701" spans="3:4" ht="20.100000000000001" customHeight="1">
      <c r="C1701" s="1793"/>
      <c r="D1701" s="1793"/>
    </row>
    <row r="1702" spans="3:4" ht="20.100000000000001" customHeight="1">
      <c r="C1702" s="1793"/>
      <c r="D1702" s="1793"/>
    </row>
    <row r="1703" spans="3:4" ht="20.100000000000001" customHeight="1">
      <c r="C1703" s="1793"/>
      <c r="D1703" s="1793"/>
    </row>
    <row r="1704" spans="3:4" ht="20.100000000000001" customHeight="1">
      <c r="C1704" s="1793"/>
      <c r="D1704" s="1793"/>
    </row>
    <row r="1705" spans="3:4" ht="20.100000000000001" customHeight="1">
      <c r="C1705" s="1793"/>
      <c r="D1705" s="1793"/>
    </row>
    <row r="1706" spans="3:4" ht="20.100000000000001" customHeight="1">
      <c r="C1706" s="1793"/>
      <c r="D1706" s="1793"/>
    </row>
    <row r="1707" spans="3:4" ht="20.100000000000001" customHeight="1">
      <c r="C1707" s="1793"/>
      <c r="D1707" s="1793"/>
    </row>
    <row r="1708" spans="3:4" ht="20.100000000000001" customHeight="1">
      <c r="C1708" s="1793"/>
      <c r="D1708" s="1793"/>
    </row>
    <row r="1709" spans="3:4" ht="20.100000000000001" customHeight="1">
      <c r="C1709" s="1793"/>
      <c r="D1709" s="1793"/>
    </row>
    <row r="1710" spans="3:4" ht="20.100000000000001" customHeight="1">
      <c r="C1710" s="1793"/>
      <c r="D1710" s="1793"/>
    </row>
    <row r="1711" spans="3:4" ht="20.100000000000001" customHeight="1">
      <c r="C1711" s="1793"/>
      <c r="D1711" s="1793"/>
    </row>
    <row r="1712" spans="3:4" ht="20.100000000000001" customHeight="1">
      <c r="C1712" s="1793"/>
      <c r="D1712" s="1793"/>
    </row>
    <row r="1713" spans="3:4" ht="20.100000000000001" customHeight="1">
      <c r="C1713" s="1793"/>
      <c r="D1713" s="1793"/>
    </row>
    <row r="1714" spans="3:4" ht="20.100000000000001" customHeight="1">
      <c r="C1714" s="1793"/>
      <c r="D1714" s="1793"/>
    </row>
    <row r="1715" spans="3:4" ht="20.100000000000001" customHeight="1">
      <c r="C1715" s="1793"/>
      <c r="D1715" s="1793"/>
    </row>
    <row r="1716" spans="3:4" ht="20.100000000000001" customHeight="1">
      <c r="C1716" s="1793"/>
      <c r="D1716" s="1793"/>
    </row>
    <row r="1717" spans="3:4" ht="20.100000000000001" customHeight="1">
      <c r="C1717" s="1793"/>
      <c r="D1717" s="1793"/>
    </row>
    <row r="1718" spans="3:4" ht="20.100000000000001" customHeight="1">
      <c r="C1718" s="1793"/>
      <c r="D1718" s="1793"/>
    </row>
    <row r="1719" spans="3:4" ht="20.100000000000001" customHeight="1">
      <c r="C1719" s="1793"/>
      <c r="D1719" s="1793"/>
    </row>
    <row r="1720" spans="3:4" ht="20.100000000000001" customHeight="1">
      <c r="C1720" s="1793"/>
      <c r="D1720" s="1793"/>
    </row>
    <row r="1721" spans="3:4" ht="20.100000000000001" customHeight="1">
      <c r="C1721" s="1793"/>
      <c r="D1721" s="1793"/>
    </row>
    <row r="1722" spans="3:4" ht="20.100000000000001" customHeight="1">
      <c r="C1722" s="1793"/>
      <c r="D1722" s="1793"/>
    </row>
    <row r="1723" spans="3:4" ht="20.100000000000001" customHeight="1">
      <c r="C1723" s="1793"/>
      <c r="D1723" s="1793"/>
    </row>
    <row r="1724" spans="3:4" ht="20.100000000000001" customHeight="1">
      <c r="C1724" s="1793"/>
      <c r="D1724" s="1793"/>
    </row>
    <row r="1725" spans="3:4" ht="20.100000000000001" customHeight="1">
      <c r="C1725" s="1793"/>
      <c r="D1725" s="1793"/>
    </row>
    <row r="1726" spans="3:4" ht="20.100000000000001" customHeight="1">
      <c r="C1726" s="1793"/>
      <c r="D1726" s="1793"/>
    </row>
    <row r="1727" spans="3:4" ht="20.100000000000001" customHeight="1">
      <c r="C1727" s="1793"/>
      <c r="D1727" s="1793"/>
    </row>
    <row r="1728" spans="3:4" ht="20.100000000000001" customHeight="1">
      <c r="C1728" s="1793"/>
      <c r="D1728" s="1793"/>
    </row>
    <row r="1729" spans="3:4" ht="20.100000000000001" customHeight="1">
      <c r="C1729" s="1793"/>
      <c r="D1729" s="1793"/>
    </row>
    <row r="1730" spans="3:4" ht="20.100000000000001" customHeight="1">
      <c r="C1730" s="1793"/>
      <c r="D1730" s="1793"/>
    </row>
    <row r="1731" spans="3:4" ht="20.100000000000001" customHeight="1">
      <c r="C1731" s="1793"/>
      <c r="D1731" s="1793"/>
    </row>
    <row r="1732" spans="3:4" ht="20.100000000000001" customHeight="1">
      <c r="C1732" s="1793"/>
      <c r="D1732" s="1793"/>
    </row>
    <row r="1733" spans="3:4" ht="20.100000000000001" customHeight="1">
      <c r="C1733" s="1793"/>
      <c r="D1733" s="1793"/>
    </row>
    <row r="1734" spans="3:4" ht="20.100000000000001" customHeight="1">
      <c r="C1734" s="1793"/>
      <c r="D1734" s="1793"/>
    </row>
    <row r="1735" spans="3:4" ht="20.100000000000001" customHeight="1">
      <c r="C1735" s="1793"/>
      <c r="D1735" s="1793"/>
    </row>
    <row r="1736" spans="3:4" ht="20.100000000000001" customHeight="1">
      <c r="C1736" s="1793"/>
      <c r="D1736" s="1793"/>
    </row>
    <row r="1737" spans="3:4" ht="20.100000000000001" customHeight="1">
      <c r="C1737" s="1793"/>
      <c r="D1737" s="1793"/>
    </row>
    <row r="1738" spans="3:4" ht="20.100000000000001" customHeight="1">
      <c r="C1738" s="1793"/>
      <c r="D1738" s="1793"/>
    </row>
    <row r="1739" spans="3:4" ht="20.100000000000001" customHeight="1">
      <c r="C1739" s="1793"/>
      <c r="D1739" s="1793"/>
    </row>
    <row r="1740" spans="3:4" ht="20.100000000000001" customHeight="1">
      <c r="C1740" s="1793"/>
      <c r="D1740" s="1793"/>
    </row>
    <row r="1741" spans="3:4" ht="20.100000000000001" customHeight="1">
      <c r="C1741" s="1793"/>
      <c r="D1741" s="1793"/>
    </row>
    <row r="1742" spans="3:4" ht="20.100000000000001" customHeight="1">
      <c r="C1742" s="1793"/>
      <c r="D1742" s="1793"/>
    </row>
    <row r="1743" spans="3:4" ht="20.100000000000001" customHeight="1">
      <c r="C1743" s="1793"/>
      <c r="D1743" s="1793"/>
    </row>
    <row r="1744" spans="3:4" ht="20.100000000000001" customHeight="1">
      <c r="C1744" s="1793"/>
      <c r="D1744" s="1793"/>
    </row>
    <row r="1745" spans="3:4" ht="20.100000000000001" customHeight="1">
      <c r="C1745" s="1793"/>
      <c r="D1745" s="1793"/>
    </row>
    <row r="1746" spans="3:4" ht="20.100000000000001" customHeight="1">
      <c r="C1746" s="1793"/>
      <c r="D1746" s="1793"/>
    </row>
    <row r="1747" spans="3:4" ht="20.100000000000001" customHeight="1">
      <c r="C1747" s="1793"/>
      <c r="D1747" s="1793"/>
    </row>
    <row r="1748" spans="3:4" ht="20.100000000000001" customHeight="1">
      <c r="C1748" s="1793"/>
      <c r="D1748" s="1793"/>
    </row>
    <row r="1749" spans="3:4" ht="20.100000000000001" customHeight="1">
      <c r="C1749" s="1793"/>
      <c r="D1749" s="1793"/>
    </row>
    <row r="1750" spans="3:4" ht="20.100000000000001" customHeight="1">
      <c r="C1750" s="1793"/>
      <c r="D1750" s="1793"/>
    </row>
    <row r="1751" spans="3:4" ht="20.100000000000001" customHeight="1">
      <c r="C1751" s="1793"/>
      <c r="D1751" s="1793"/>
    </row>
    <row r="1752" spans="3:4" ht="20.100000000000001" customHeight="1">
      <c r="C1752" s="1793"/>
      <c r="D1752" s="1793"/>
    </row>
    <row r="1753" spans="3:4" ht="20.100000000000001" customHeight="1">
      <c r="C1753" s="1793"/>
      <c r="D1753" s="1793"/>
    </row>
    <row r="1754" spans="3:4" ht="20.100000000000001" customHeight="1">
      <c r="C1754" s="1793"/>
      <c r="D1754" s="1793"/>
    </row>
    <row r="1755" spans="3:4" ht="20.100000000000001" customHeight="1">
      <c r="C1755" s="1793"/>
      <c r="D1755" s="1793"/>
    </row>
    <row r="1756" spans="3:4" ht="20.100000000000001" customHeight="1">
      <c r="C1756" s="1793"/>
      <c r="D1756" s="1793"/>
    </row>
    <row r="1757" spans="3:4" ht="20.100000000000001" customHeight="1">
      <c r="C1757" s="1793"/>
      <c r="D1757" s="1793"/>
    </row>
    <row r="1758" spans="3:4" ht="20.100000000000001" customHeight="1">
      <c r="C1758" s="1793"/>
      <c r="D1758" s="1793"/>
    </row>
    <row r="1759" spans="3:4" ht="20.100000000000001" customHeight="1">
      <c r="C1759" s="1793"/>
      <c r="D1759" s="1793"/>
    </row>
    <row r="1760" spans="3:4" ht="20.100000000000001" customHeight="1">
      <c r="C1760" s="1793"/>
      <c r="D1760" s="1793"/>
    </row>
    <row r="1761" spans="3:4" ht="20.100000000000001" customHeight="1">
      <c r="C1761" s="1793"/>
      <c r="D1761" s="1793"/>
    </row>
    <row r="1762" spans="3:4" ht="20.100000000000001" customHeight="1">
      <c r="C1762" s="1793"/>
      <c r="D1762" s="1793"/>
    </row>
    <row r="1763" spans="3:4" ht="20.100000000000001" customHeight="1">
      <c r="C1763" s="1793"/>
      <c r="D1763" s="1793"/>
    </row>
    <row r="1764" spans="3:4" ht="20.100000000000001" customHeight="1">
      <c r="C1764" s="1793"/>
      <c r="D1764" s="1793"/>
    </row>
    <row r="1765" spans="3:4" ht="20.100000000000001" customHeight="1">
      <c r="C1765" s="1793"/>
      <c r="D1765" s="1793"/>
    </row>
    <row r="1766" spans="3:4" ht="20.100000000000001" customHeight="1">
      <c r="C1766" s="1793"/>
      <c r="D1766" s="1793"/>
    </row>
    <row r="1767" spans="3:4" ht="20.100000000000001" customHeight="1">
      <c r="C1767" s="1793"/>
      <c r="D1767" s="1793"/>
    </row>
    <row r="1768" spans="3:4" ht="20.100000000000001" customHeight="1">
      <c r="C1768" s="1793"/>
      <c r="D1768" s="1793"/>
    </row>
    <row r="1769" spans="3:4" ht="20.100000000000001" customHeight="1">
      <c r="C1769" s="1793"/>
      <c r="D1769" s="1793"/>
    </row>
    <row r="1770" spans="3:4" ht="20.100000000000001" customHeight="1">
      <c r="C1770" s="1793"/>
      <c r="D1770" s="1793"/>
    </row>
    <row r="1771" spans="3:4" ht="20.100000000000001" customHeight="1">
      <c r="C1771" s="1793"/>
      <c r="D1771" s="1793"/>
    </row>
    <row r="1772" spans="3:4" ht="20.100000000000001" customHeight="1">
      <c r="C1772" s="1793"/>
      <c r="D1772" s="1793"/>
    </row>
    <row r="1773" spans="3:4" ht="20.100000000000001" customHeight="1">
      <c r="C1773" s="1793"/>
      <c r="D1773" s="1793"/>
    </row>
    <row r="1774" spans="3:4" ht="20.100000000000001" customHeight="1">
      <c r="C1774" s="1793"/>
      <c r="D1774" s="1793"/>
    </row>
    <row r="1775" spans="3:4" ht="20.100000000000001" customHeight="1">
      <c r="C1775" s="1793"/>
      <c r="D1775" s="1793"/>
    </row>
    <row r="1776" spans="3:4" ht="20.100000000000001" customHeight="1">
      <c r="C1776" s="1793"/>
      <c r="D1776" s="1793"/>
    </row>
    <row r="1777" spans="3:4" ht="20.100000000000001" customHeight="1">
      <c r="C1777" s="1793"/>
      <c r="D1777" s="1793"/>
    </row>
    <row r="1778" spans="3:4" ht="20.100000000000001" customHeight="1">
      <c r="C1778" s="1793"/>
      <c r="D1778" s="1793"/>
    </row>
    <row r="1779" spans="3:4" ht="20.100000000000001" customHeight="1">
      <c r="C1779" s="1793"/>
      <c r="D1779" s="1793"/>
    </row>
    <row r="1780" spans="3:4" ht="20.100000000000001" customHeight="1">
      <c r="C1780" s="1793"/>
      <c r="D1780" s="1793"/>
    </row>
    <row r="1781" spans="3:4" ht="20.100000000000001" customHeight="1">
      <c r="C1781" s="1793"/>
      <c r="D1781" s="1793"/>
    </row>
    <row r="1782" spans="3:4" ht="20.100000000000001" customHeight="1">
      <c r="C1782" s="1793"/>
      <c r="D1782" s="1793"/>
    </row>
    <row r="1783" spans="3:4" ht="20.100000000000001" customHeight="1">
      <c r="C1783" s="1793"/>
      <c r="D1783" s="1793"/>
    </row>
    <row r="1784" spans="3:4" ht="20.100000000000001" customHeight="1">
      <c r="C1784" s="1793"/>
      <c r="D1784" s="1793"/>
    </row>
    <row r="1785" spans="3:4" ht="20.100000000000001" customHeight="1">
      <c r="C1785" s="1793"/>
      <c r="D1785" s="1793"/>
    </row>
    <row r="1786" spans="3:4" ht="20.100000000000001" customHeight="1">
      <c r="C1786" s="1793"/>
      <c r="D1786" s="1793"/>
    </row>
    <row r="1787" spans="3:4" ht="20.100000000000001" customHeight="1">
      <c r="C1787" s="1793"/>
      <c r="D1787" s="1793"/>
    </row>
    <row r="1788" spans="3:4" ht="20.100000000000001" customHeight="1">
      <c r="C1788" s="1793"/>
      <c r="D1788" s="1793"/>
    </row>
    <row r="1789" spans="3:4" ht="20.100000000000001" customHeight="1">
      <c r="C1789" s="1793"/>
      <c r="D1789" s="1793"/>
    </row>
    <row r="1790" spans="3:4" ht="20.100000000000001" customHeight="1">
      <c r="C1790" s="1793"/>
      <c r="D1790" s="1793"/>
    </row>
    <row r="1791" spans="3:4" ht="20.100000000000001" customHeight="1">
      <c r="C1791" s="1793"/>
      <c r="D1791" s="1793"/>
    </row>
    <row r="1792" spans="3:4" ht="20.100000000000001" customHeight="1">
      <c r="C1792" s="1793"/>
      <c r="D1792" s="1793"/>
    </row>
    <row r="1793" spans="3:4" ht="20.100000000000001" customHeight="1">
      <c r="C1793" s="1793"/>
      <c r="D1793" s="1793"/>
    </row>
    <row r="1794" spans="3:4" ht="20.100000000000001" customHeight="1">
      <c r="C1794" s="1793"/>
      <c r="D1794" s="1793"/>
    </row>
    <row r="1795" spans="3:4" ht="20.100000000000001" customHeight="1">
      <c r="C1795" s="1793"/>
      <c r="D1795" s="1793"/>
    </row>
    <row r="1796" spans="3:4" ht="20.100000000000001" customHeight="1">
      <c r="C1796" s="1793"/>
      <c r="D1796" s="1793"/>
    </row>
    <row r="1797" spans="3:4" ht="20.100000000000001" customHeight="1">
      <c r="C1797" s="1793"/>
      <c r="D1797" s="1793"/>
    </row>
    <row r="1798" spans="3:4" ht="20.100000000000001" customHeight="1">
      <c r="C1798" s="1793"/>
      <c r="D1798" s="1793"/>
    </row>
    <row r="1799" spans="3:4" ht="20.100000000000001" customHeight="1">
      <c r="C1799" s="1793"/>
      <c r="D1799" s="1793"/>
    </row>
    <row r="1800" spans="3:4" ht="20.100000000000001" customHeight="1">
      <c r="C1800" s="1793"/>
      <c r="D1800" s="1793"/>
    </row>
    <row r="1801" spans="3:4" ht="20.100000000000001" customHeight="1">
      <c r="C1801" s="1793"/>
      <c r="D1801" s="1793"/>
    </row>
    <row r="1802" spans="3:4" ht="20.100000000000001" customHeight="1">
      <c r="C1802" s="1793"/>
      <c r="D1802" s="1793"/>
    </row>
    <row r="1803" spans="3:4" ht="20.100000000000001" customHeight="1">
      <c r="C1803" s="1793"/>
      <c r="D1803" s="1793"/>
    </row>
    <row r="1804" spans="3:4" ht="20.100000000000001" customHeight="1">
      <c r="C1804" s="1793"/>
      <c r="D1804" s="1793"/>
    </row>
    <row r="1805" spans="3:4" ht="20.100000000000001" customHeight="1">
      <c r="C1805" s="1793"/>
      <c r="D1805" s="1793"/>
    </row>
    <row r="1806" spans="3:4" ht="20.100000000000001" customHeight="1">
      <c r="C1806" s="1793"/>
      <c r="D1806" s="1793"/>
    </row>
    <row r="1807" spans="3:4" ht="20.100000000000001" customHeight="1">
      <c r="C1807" s="1793"/>
      <c r="D1807" s="1793"/>
    </row>
    <row r="1808" spans="3:4" ht="20.100000000000001" customHeight="1">
      <c r="C1808" s="1793"/>
      <c r="D1808" s="1793"/>
    </row>
    <row r="1809" spans="3:4" ht="20.100000000000001" customHeight="1">
      <c r="C1809" s="1793"/>
      <c r="D1809" s="1793"/>
    </row>
    <row r="1810" spans="3:4" ht="20.100000000000001" customHeight="1">
      <c r="C1810" s="1793"/>
      <c r="D1810" s="1793"/>
    </row>
    <row r="1811" spans="3:4" ht="20.100000000000001" customHeight="1">
      <c r="C1811" s="1793"/>
      <c r="D1811" s="1793"/>
    </row>
    <row r="1812" spans="3:4" ht="20.100000000000001" customHeight="1">
      <c r="C1812" s="1793"/>
      <c r="D1812" s="1793"/>
    </row>
    <row r="1813" spans="3:4" ht="20.100000000000001" customHeight="1">
      <c r="C1813" s="1793"/>
      <c r="D1813" s="1793"/>
    </row>
    <row r="1814" spans="3:4" ht="20.100000000000001" customHeight="1">
      <c r="C1814" s="1793"/>
      <c r="D1814" s="1793"/>
    </row>
    <row r="1815" spans="3:4" ht="20.100000000000001" customHeight="1">
      <c r="C1815" s="1793"/>
      <c r="D1815" s="1793"/>
    </row>
    <row r="1816" spans="3:4" ht="20.100000000000001" customHeight="1">
      <c r="C1816" s="1793"/>
      <c r="D1816" s="1793"/>
    </row>
    <row r="1817" spans="3:4" ht="20.100000000000001" customHeight="1">
      <c r="C1817" s="1793"/>
      <c r="D1817" s="1793"/>
    </row>
    <row r="1818" spans="3:4" ht="20.100000000000001" customHeight="1">
      <c r="C1818" s="1793"/>
      <c r="D1818" s="1793"/>
    </row>
    <row r="1819" spans="3:4" ht="20.100000000000001" customHeight="1">
      <c r="C1819" s="1793"/>
      <c r="D1819" s="1793"/>
    </row>
    <row r="1820" spans="3:4" ht="20.100000000000001" customHeight="1">
      <c r="C1820" s="1793"/>
      <c r="D1820" s="1793"/>
    </row>
    <row r="1821" spans="3:4" ht="20.100000000000001" customHeight="1">
      <c r="C1821" s="1793"/>
      <c r="D1821" s="1793"/>
    </row>
    <row r="1822" spans="3:4" ht="20.100000000000001" customHeight="1">
      <c r="C1822" s="1793"/>
      <c r="D1822" s="1793"/>
    </row>
    <row r="1823" spans="3:4" ht="20.100000000000001" customHeight="1">
      <c r="C1823" s="1793"/>
      <c r="D1823" s="1793"/>
    </row>
    <row r="1824" spans="3:4" ht="20.100000000000001" customHeight="1">
      <c r="C1824" s="1793"/>
      <c r="D1824" s="1793"/>
    </row>
    <row r="1825" spans="3:4" ht="20.100000000000001" customHeight="1">
      <c r="C1825" s="1793"/>
      <c r="D1825" s="1793"/>
    </row>
    <row r="1826" spans="3:4" ht="20.100000000000001" customHeight="1">
      <c r="C1826" s="1793"/>
      <c r="D1826" s="1793"/>
    </row>
    <row r="1827" spans="3:4" ht="20.100000000000001" customHeight="1">
      <c r="C1827" s="1793"/>
      <c r="D1827" s="1793"/>
    </row>
    <row r="1828" spans="3:4" ht="20.100000000000001" customHeight="1">
      <c r="C1828" s="1793"/>
      <c r="D1828" s="1793"/>
    </row>
    <row r="1829" spans="3:4" ht="20.100000000000001" customHeight="1">
      <c r="C1829" s="1793"/>
      <c r="D1829" s="1793"/>
    </row>
    <row r="1830" spans="3:4" ht="20.100000000000001" customHeight="1">
      <c r="C1830" s="1793"/>
      <c r="D1830" s="1793"/>
    </row>
    <row r="1831" spans="3:4" ht="20.100000000000001" customHeight="1">
      <c r="C1831" s="1793"/>
      <c r="D1831" s="1793"/>
    </row>
    <row r="1832" spans="3:4" ht="20.100000000000001" customHeight="1">
      <c r="C1832" s="1793"/>
      <c r="D1832" s="1793"/>
    </row>
    <row r="1833" spans="3:4" ht="20.100000000000001" customHeight="1">
      <c r="C1833" s="1793"/>
      <c r="D1833" s="1793"/>
    </row>
    <row r="1834" spans="3:4" ht="20.100000000000001" customHeight="1">
      <c r="C1834" s="1793"/>
      <c r="D1834" s="1793"/>
    </row>
    <row r="1835" spans="3:4" ht="20.100000000000001" customHeight="1">
      <c r="C1835" s="1793"/>
      <c r="D1835" s="1793"/>
    </row>
    <row r="1836" spans="3:4" ht="20.100000000000001" customHeight="1">
      <c r="C1836" s="1793"/>
      <c r="D1836" s="1793"/>
    </row>
    <row r="1837" spans="3:4" ht="20.100000000000001" customHeight="1">
      <c r="C1837" s="1793"/>
      <c r="D1837" s="1793"/>
    </row>
    <row r="1838" spans="3:4" ht="20.100000000000001" customHeight="1">
      <c r="C1838" s="1793"/>
      <c r="D1838" s="1793"/>
    </row>
    <row r="1839" spans="3:4" ht="20.100000000000001" customHeight="1">
      <c r="C1839" s="1793"/>
      <c r="D1839" s="1793"/>
    </row>
    <row r="1840" spans="3:4" ht="20.100000000000001" customHeight="1">
      <c r="C1840" s="1793"/>
      <c r="D1840" s="1793"/>
    </row>
    <row r="1841" spans="3:4" ht="20.100000000000001" customHeight="1">
      <c r="C1841" s="1793"/>
      <c r="D1841" s="1793"/>
    </row>
    <row r="1842" spans="3:4" ht="20.100000000000001" customHeight="1">
      <c r="C1842" s="1793"/>
      <c r="D1842" s="1793"/>
    </row>
    <row r="1843" spans="3:4" ht="20.100000000000001" customHeight="1">
      <c r="C1843" s="1793"/>
      <c r="D1843" s="1793"/>
    </row>
    <row r="1844" spans="3:4" ht="20.100000000000001" customHeight="1">
      <c r="C1844" s="1793"/>
      <c r="D1844" s="1793"/>
    </row>
    <row r="1845" spans="3:4" ht="20.100000000000001" customHeight="1">
      <c r="C1845" s="1793"/>
      <c r="D1845" s="1793"/>
    </row>
    <row r="1846" spans="3:4" ht="20.100000000000001" customHeight="1">
      <c r="C1846" s="1793"/>
      <c r="D1846" s="1793"/>
    </row>
    <row r="1847" spans="3:4" ht="20.100000000000001" customHeight="1">
      <c r="C1847" s="1793"/>
      <c r="D1847" s="1793"/>
    </row>
    <row r="1848" spans="3:4" ht="20.100000000000001" customHeight="1">
      <c r="C1848" s="1793"/>
      <c r="D1848" s="1793"/>
    </row>
    <row r="1849" spans="3:4" ht="20.100000000000001" customHeight="1">
      <c r="C1849" s="1793"/>
      <c r="D1849" s="1793"/>
    </row>
    <row r="1850" spans="3:4" ht="20.100000000000001" customHeight="1">
      <c r="C1850" s="1793"/>
      <c r="D1850" s="1793"/>
    </row>
    <row r="1851" spans="3:4" ht="20.100000000000001" customHeight="1">
      <c r="C1851" s="1793"/>
      <c r="D1851" s="1793"/>
    </row>
    <row r="1852" spans="3:4" ht="20.100000000000001" customHeight="1">
      <c r="C1852" s="1793"/>
      <c r="D1852" s="1793"/>
    </row>
    <row r="1853" spans="3:4" ht="20.100000000000001" customHeight="1">
      <c r="C1853" s="1793"/>
      <c r="D1853" s="1793"/>
    </row>
    <row r="1854" spans="3:4" ht="20.100000000000001" customHeight="1">
      <c r="C1854" s="1793"/>
      <c r="D1854" s="1793"/>
    </row>
    <row r="1855" spans="3:4" ht="20.100000000000001" customHeight="1">
      <c r="C1855" s="1793"/>
      <c r="D1855" s="1793"/>
    </row>
    <row r="1856" spans="3:4" ht="20.100000000000001" customHeight="1">
      <c r="C1856" s="1793"/>
      <c r="D1856" s="1793"/>
    </row>
    <row r="1857" spans="3:4" ht="20.100000000000001" customHeight="1">
      <c r="C1857" s="1793"/>
      <c r="D1857" s="1793"/>
    </row>
    <row r="1858" spans="3:4" ht="20.100000000000001" customHeight="1">
      <c r="C1858" s="1793"/>
      <c r="D1858" s="1793"/>
    </row>
    <row r="1859" spans="3:4" ht="20.100000000000001" customHeight="1">
      <c r="C1859" s="1793"/>
      <c r="D1859" s="1793"/>
    </row>
    <row r="1860" spans="3:4" ht="20.100000000000001" customHeight="1">
      <c r="C1860" s="1793"/>
      <c r="D1860" s="1793"/>
    </row>
    <row r="1861" spans="3:4" ht="20.100000000000001" customHeight="1">
      <c r="C1861" s="1793"/>
      <c r="D1861" s="1793"/>
    </row>
    <row r="1862" spans="3:4" ht="20.100000000000001" customHeight="1">
      <c r="C1862" s="1793"/>
      <c r="D1862" s="1793"/>
    </row>
    <row r="1863" spans="3:4" ht="20.100000000000001" customHeight="1">
      <c r="C1863" s="1793"/>
      <c r="D1863" s="1793"/>
    </row>
    <row r="1864" spans="3:4" ht="20.100000000000001" customHeight="1">
      <c r="C1864" s="1793"/>
      <c r="D1864" s="1793"/>
    </row>
    <row r="1865" spans="3:4" ht="20.100000000000001" customHeight="1">
      <c r="C1865" s="1793"/>
      <c r="D1865" s="1793"/>
    </row>
    <row r="1866" spans="3:4" ht="20.100000000000001" customHeight="1">
      <c r="C1866" s="1793"/>
      <c r="D1866" s="1793"/>
    </row>
    <row r="1867" spans="3:4" ht="20.100000000000001" customHeight="1">
      <c r="C1867" s="1793"/>
      <c r="D1867" s="1793"/>
    </row>
    <row r="1868" spans="3:4" ht="20.100000000000001" customHeight="1">
      <c r="C1868" s="1793"/>
      <c r="D1868" s="1793"/>
    </row>
    <row r="1869" spans="3:4" ht="20.100000000000001" customHeight="1">
      <c r="C1869" s="1793"/>
      <c r="D1869" s="1793"/>
    </row>
    <row r="1870" spans="3:4" ht="20.100000000000001" customHeight="1">
      <c r="C1870" s="1793"/>
      <c r="D1870" s="1793"/>
    </row>
    <row r="1871" spans="3:4" ht="20.100000000000001" customHeight="1">
      <c r="C1871" s="1793"/>
      <c r="D1871" s="1793"/>
    </row>
    <row r="1872" spans="3:4" ht="20.100000000000001" customHeight="1">
      <c r="C1872" s="1793"/>
      <c r="D1872" s="1793"/>
    </row>
    <row r="1873" spans="3:4" ht="20.100000000000001" customHeight="1">
      <c r="C1873" s="1793"/>
      <c r="D1873" s="1793"/>
    </row>
    <row r="1874" spans="3:4" ht="20.100000000000001" customHeight="1">
      <c r="C1874" s="1793"/>
      <c r="D1874" s="1793"/>
    </row>
    <row r="1875" spans="3:4" ht="20.100000000000001" customHeight="1">
      <c r="C1875" s="1793"/>
      <c r="D1875" s="1793"/>
    </row>
    <row r="1876" spans="3:4" ht="20.100000000000001" customHeight="1">
      <c r="C1876" s="1793"/>
      <c r="D1876" s="1793"/>
    </row>
    <row r="1877" spans="3:4" ht="20.100000000000001" customHeight="1">
      <c r="C1877" s="1793"/>
      <c r="D1877" s="1793"/>
    </row>
    <row r="1878" spans="3:4" ht="20.100000000000001" customHeight="1">
      <c r="C1878" s="1793"/>
      <c r="D1878" s="1793"/>
    </row>
    <row r="1879" spans="3:4" ht="20.100000000000001" customHeight="1">
      <c r="C1879" s="1793"/>
      <c r="D1879" s="1793"/>
    </row>
    <row r="1880" spans="3:4" ht="20.100000000000001" customHeight="1">
      <c r="C1880" s="1793"/>
      <c r="D1880" s="1793"/>
    </row>
    <row r="1881" spans="3:4" ht="20.100000000000001" customHeight="1">
      <c r="C1881" s="1793"/>
      <c r="D1881" s="1793"/>
    </row>
    <row r="1882" spans="3:4" ht="20.100000000000001" customHeight="1">
      <c r="C1882" s="1793"/>
      <c r="D1882" s="1793"/>
    </row>
    <row r="1883" spans="3:4" ht="20.100000000000001" customHeight="1">
      <c r="C1883" s="1793"/>
      <c r="D1883" s="1793"/>
    </row>
    <row r="1884" spans="3:4" ht="20.100000000000001" customHeight="1">
      <c r="C1884" s="1793"/>
      <c r="D1884" s="1793"/>
    </row>
    <row r="1885" spans="3:4" ht="20.100000000000001" customHeight="1">
      <c r="C1885" s="1793"/>
      <c r="D1885" s="1793"/>
    </row>
    <row r="1886" spans="3:4" ht="20.100000000000001" customHeight="1">
      <c r="C1886" s="1793"/>
      <c r="D1886" s="1793"/>
    </row>
    <row r="1887" spans="3:4" ht="20.100000000000001" customHeight="1">
      <c r="C1887" s="1793"/>
      <c r="D1887" s="1793"/>
    </row>
    <row r="1888" spans="3:4" ht="20.100000000000001" customHeight="1">
      <c r="C1888" s="1793"/>
      <c r="D1888" s="1793"/>
    </row>
    <row r="1889" spans="3:4" ht="20.100000000000001" customHeight="1">
      <c r="C1889" s="1793"/>
      <c r="D1889" s="1793"/>
    </row>
    <row r="1890" spans="3:4" ht="20.100000000000001" customHeight="1">
      <c r="C1890" s="1793"/>
      <c r="D1890" s="1793"/>
    </row>
    <row r="1891" spans="3:4" ht="20.100000000000001" customHeight="1">
      <c r="C1891" s="1793"/>
      <c r="D1891" s="1793"/>
    </row>
    <row r="1892" spans="3:4" ht="20.100000000000001" customHeight="1">
      <c r="C1892" s="1793"/>
      <c r="D1892" s="1793"/>
    </row>
    <row r="1893" spans="3:4" ht="20.100000000000001" customHeight="1">
      <c r="C1893" s="1793"/>
      <c r="D1893" s="1793"/>
    </row>
    <row r="1894" spans="3:4" ht="20.100000000000001" customHeight="1">
      <c r="C1894" s="1793"/>
      <c r="D1894" s="1793"/>
    </row>
    <row r="1895" spans="3:4" ht="20.100000000000001" customHeight="1">
      <c r="C1895" s="1793"/>
      <c r="D1895" s="1793"/>
    </row>
    <row r="1896" spans="3:4" ht="20.100000000000001" customHeight="1">
      <c r="C1896" s="1793"/>
      <c r="D1896" s="1793"/>
    </row>
    <row r="1897" spans="3:4" ht="20.100000000000001" customHeight="1">
      <c r="C1897" s="1793"/>
      <c r="D1897" s="1793"/>
    </row>
    <row r="1898" spans="3:4" ht="20.100000000000001" customHeight="1">
      <c r="C1898" s="1793"/>
      <c r="D1898" s="1793"/>
    </row>
    <row r="1899" spans="3:4" ht="20.100000000000001" customHeight="1">
      <c r="C1899" s="1793"/>
      <c r="D1899" s="1793"/>
    </row>
    <row r="1900" spans="3:4" ht="20.100000000000001" customHeight="1">
      <c r="C1900" s="1793"/>
      <c r="D1900" s="1793"/>
    </row>
    <row r="1901" spans="3:4" ht="20.100000000000001" customHeight="1">
      <c r="C1901" s="1793"/>
      <c r="D1901" s="1793"/>
    </row>
    <row r="1902" spans="3:4" ht="20.100000000000001" customHeight="1">
      <c r="C1902" s="1793"/>
      <c r="D1902" s="1793"/>
    </row>
    <row r="1903" spans="3:4" ht="20.100000000000001" customHeight="1">
      <c r="C1903" s="1793"/>
      <c r="D1903" s="1793"/>
    </row>
    <row r="1904" spans="3:4" ht="20.100000000000001" customHeight="1">
      <c r="C1904" s="1793"/>
      <c r="D1904" s="1793"/>
    </row>
    <row r="1905" spans="3:4" ht="20.100000000000001" customHeight="1">
      <c r="C1905" s="1793"/>
      <c r="D1905" s="1793"/>
    </row>
    <row r="1906" spans="3:4" ht="20.100000000000001" customHeight="1">
      <c r="C1906" s="1793"/>
      <c r="D1906" s="1793"/>
    </row>
    <row r="1907" spans="3:4" ht="20.100000000000001" customHeight="1">
      <c r="C1907" s="1793"/>
      <c r="D1907" s="1793"/>
    </row>
    <row r="1908" spans="3:4" ht="20.100000000000001" customHeight="1">
      <c r="C1908" s="1793"/>
      <c r="D1908" s="1793"/>
    </row>
    <row r="1909" spans="3:4" ht="20.100000000000001" customHeight="1">
      <c r="C1909" s="1793"/>
      <c r="D1909" s="1793"/>
    </row>
    <row r="1910" spans="3:4" ht="20.100000000000001" customHeight="1">
      <c r="C1910" s="1793"/>
      <c r="D1910" s="1793"/>
    </row>
    <row r="1911" spans="3:4" ht="20.100000000000001" customHeight="1">
      <c r="C1911" s="1793"/>
      <c r="D1911" s="1793"/>
    </row>
    <row r="1912" spans="3:4" ht="20.100000000000001" customHeight="1">
      <c r="C1912" s="1793"/>
      <c r="D1912" s="1793"/>
    </row>
    <row r="1913" spans="3:4" ht="20.100000000000001" customHeight="1">
      <c r="C1913" s="1793"/>
      <c r="D1913" s="1793"/>
    </row>
    <row r="1914" spans="3:4" ht="20.100000000000001" customHeight="1">
      <c r="C1914" s="1793"/>
      <c r="D1914" s="1793"/>
    </row>
    <row r="1915" spans="3:4" ht="20.100000000000001" customHeight="1">
      <c r="C1915" s="1793"/>
      <c r="D1915" s="1793"/>
    </row>
    <row r="1916" spans="3:4" ht="20.100000000000001" customHeight="1">
      <c r="C1916" s="1793"/>
      <c r="D1916" s="1793"/>
    </row>
    <row r="1917" spans="3:4" ht="20.100000000000001" customHeight="1">
      <c r="C1917" s="1793"/>
      <c r="D1917" s="1793"/>
    </row>
    <row r="1918" spans="3:4" ht="20.100000000000001" customHeight="1">
      <c r="C1918" s="1793"/>
      <c r="D1918" s="1793"/>
    </row>
    <row r="1919" spans="3:4" ht="20.100000000000001" customHeight="1">
      <c r="C1919" s="1793"/>
      <c r="D1919" s="1793"/>
    </row>
    <row r="1920" spans="3:4" ht="20.100000000000001" customHeight="1">
      <c r="C1920" s="1793"/>
      <c r="D1920" s="1793"/>
    </row>
    <row r="1921" spans="3:4" ht="20.100000000000001" customHeight="1">
      <c r="C1921" s="1793"/>
      <c r="D1921" s="1793"/>
    </row>
    <row r="1922" spans="3:4" ht="20.100000000000001" customHeight="1">
      <c r="C1922" s="1793"/>
      <c r="D1922" s="1793"/>
    </row>
    <row r="1923" spans="3:4" ht="20.100000000000001" customHeight="1">
      <c r="C1923" s="1793"/>
      <c r="D1923" s="1793"/>
    </row>
    <row r="1924" spans="3:4" ht="20.100000000000001" customHeight="1">
      <c r="C1924" s="1793"/>
      <c r="D1924" s="1793"/>
    </row>
    <row r="1925" spans="3:4" ht="20.100000000000001" customHeight="1">
      <c r="C1925" s="1793"/>
      <c r="D1925" s="1793"/>
    </row>
    <row r="1926" spans="3:4" ht="20.100000000000001" customHeight="1">
      <c r="C1926" s="1793"/>
      <c r="D1926" s="1793"/>
    </row>
    <row r="1927" spans="3:4" ht="20.100000000000001" customHeight="1">
      <c r="C1927" s="1793"/>
      <c r="D1927" s="1793"/>
    </row>
    <row r="1928" spans="3:4" ht="20.100000000000001" customHeight="1">
      <c r="C1928" s="1793"/>
      <c r="D1928" s="1793"/>
    </row>
    <row r="1929" spans="3:4" ht="20.100000000000001" customHeight="1">
      <c r="C1929" s="1793"/>
      <c r="D1929" s="1793"/>
    </row>
    <row r="1930" spans="3:4" ht="20.100000000000001" customHeight="1">
      <c r="C1930" s="1793"/>
      <c r="D1930" s="1793"/>
    </row>
    <row r="1931" spans="3:4" ht="20.100000000000001" customHeight="1">
      <c r="C1931" s="1793"/>
      <c r="D1931" s="1793"/>
    </row>
    <row r="1932" spans="3:4" ht="20.100000000000001" customHeight="1">
      <c r="C1932" s="1793"/>
      <c r="D1932" s="1793"/>
    </row>
    <row r="1933" spans="3:4" ht="20.100000000000001" customHeight="1">
      <c r="C1933" s="1793"/>
      <c r="D1933" s="1793"/>
    </row>
    <row r="1934" spans="3:4" ht="20.100000000000001" customHeight="1">
      <c r="C1934" s="1793"/>
      <c r="D1934" s="1793"/>
    </row>
    <row r="1935" spans="3:4" ht="20.100000000000001" customHeight="1">
      <c r="C1935" s="1793"/>
      <c r="D1935" s="1793"/>
    </row>
    <row r="1936" spans="3:4" ht="20.100000000000001" customHeight="1">
      <c r="C1936" s="1793"/>
      <c r="D1936" s="1793"/>
    </row>
    <row r="1937" spans="3:4" ht="20.100000000000001" customHeight="1">
      <c r="C1937" s="1793"/>
      <c r="D1937" s="1793"/>
    </row>
    <row r="1938" spans="3:4" ht="20.100000000000001" customHeight="1">
      <c r="C1938" s="1793"/>
      <c r="D1938" s="1793"/>
    </row>
    <row r="1939" spans="3:4" ht="20.100000000000001" customHeight="1">
      <c r="C1939" s="1793"/>
      <c r="D1939" s="1793"/>
    </row>
    <row r="1940" spans="3:4" ht="20.100000000000001" customHeight="1">
      <c r="C1940" s="1793"/>
      <c r="D1940" s="1793"/>
    </row>
    <row r="1941" spans="3:4" ht="20.100000000000001" customHeight="1">
      <c r="C1941" s="1793"/>
      <c r="D1941" s="1793"/>
    </row>
    <row r="1942" spans="3:4" ht="20.100000000000001" customHeight="1">
      <c r="C1942" s="1793"/>
      <c r="D1942" s="1793"/>
    </row>
    <row r="1943" spans="3:4" ht="20.100000000000001" customHeight="1">
      <c r="C1943" s="1793"/>
      <c r="D1943" s="1793"/>
    </row>
    <row r="1944" spans="3:4" ht="20.100000000000001" customHeight="1">
      <c r="C1944" s="1793"/>
      <c r="D1944" s="1793"/>
    </row>
    <row r="1945" spans="3:4" ht="20.100000000000001" customHeight="1">
      <c r="C1945" s="1793"/>
      <c r="D1945" s="1793"/>
    </row>
    <row r="1946" spans="3:4" ht="20.100000000000001" customHeight="1">
      <c r="C1946" s="1793"/>
      <c r="D1946" s="1793"/>
    </row>
    <row r="1947" spans="3:4" ht="20.100000000000001" customHeight="1">
      <c r="C1947" s="1793"/>
      <c r="D1947" s="1793"/>
    </row>
    <row r="1948" spans="3:4" ht="20.100000000000001" customHeight="1">
      <c r="C1948" s="1793"/>
      <c r="D1948" s="1793"/>
    </row>
    <row r="1949" spans="3:4" ht="20.100000000000001" customHeight="1">
      <c r="C1949" s="1793"/>
      <c r="D1949" s="1793"/>
    </row>
    <row r="1950" spans="3:4" ht="20.100000000000001" customHeight="1">
      <c r="C1950" s="1793"/>
      <c r="D1950" s="1793"/>
    </row>
    <row r="1951" spans="3:4" ht="20.100000000000001" customHeight="1">
      <c r="C1951" s="1793"/>
      <c r="D1951" s="1793"/>
    </row>
    <row r="1952" spans="3:4" ht="20.100000000000001" customHeight="1">
      <c r="C1952" s="1793"/>
      <c r="D1952" s="1793"/>
    </row>
    <row r="1953" spans="3:4" ht="20.100000000000001" customHeight="1">
      <c r="C1953" s="1793"/>
      <c r="D1953" s="1793"/>
    </row>
    <row r="1954" spans="3:4" ht="20.100000000000001" customHeight="1">
      <c r="C1954" s="1793"/>
      <c r="D1954" s="1793"/>
    </row>
    <row r="1955" spans="3:4" ht="20.100000000000001" customHeight="1">
      <c r="C1955" s="1793"/>
      <c r="D1955" s="1793"/>
    </row>
    <row r="1956" spans="3:4" ht="20.100000000000001" customHeight="1">
      <c r="C1956" s="1793"/>
      <c r="D1956" s="1793"/>
    </row>
    <row r="1957" spans="3:4" ht="20.100000000000001" customHeight="1">
      <c r="C1957" s="1793"/>
      <c r="D1957" s="1793"/>
    </row>
    <row r="1958" spans="3:4" ht="20.100000000000001" customHeight="1">
      <c r="C1958" s="1793"/>
      <c r="D1958" s="1793"/>
    </row>
    <row r="1959" spans="3:4" ht="20.100000000000001" customHeight="1">
      <c r="C1959" s="1793"/>
      <c r="D1959" s="1793"/>
    </row>
    <row r="1960" spans="3:4" ht="20.100000000000001" customHeight="1">
      <c r="C1960" s="1793"/>
      <c r="D1960" s="1793"/>
    </row>
    <row r="1961" spans="3:4" ht="20.100000000000001" customHeight="1">
      <c r="C1961" s="1793"/>
      <c r="D1961" s="1793"/>
    </row>
    <row r="1962" spans="3:4" ht="20.100000000000001" customHeight="1">
      <c r="C1962" s="1793"/>
      <c r="D1962" s="1793"/>
    </row>
    <row r="1963" spans="3:4" ht="20.100000000000001" customHeight="1">
      <c r="C1963" s="1793"/>
      <c r="D1963" s="1793"/>
    </row>
    <row r="1964" spans="3:4" ht="20.100000000000001" customHeight="1">
      <c r="C1964" s="1793"/>
      <c r="D1964" s="1793"/>
    </row>
    <row r="1965" spans="3:4" ht="20.100000000000001" customHeight="1">
      <c r="C1965" s="1793"/>
      <c r="D1965" s="1793"/>
    </row>
    <row r="1966" spans="3:4" ht="20.100000000000001" customHeight="1">
      <c r="C1966" s="1793"/>
      <c r="D1966" s="1793"/>
    </row>
    <row r="1967" spans="3:4" ht="20.100000000000001" customHeight="1">
      <c r="C1967" s="1793"/>
      <c r="D1967" s="1793"/>
    </row>
    <row r="1968" spans="3:4" ht="20.100000000000001" customHeight="1">
      <c r="C1968" s="1793"/>
      <c r="D1968" s="1793"/>
    </row>
    <row r="1969" spans="3:4" ht="20.100000000000001" customHeight="1">
      <c r="C1969" s="1793"/>
      <c r="D1969" s="1793"/>
    </row>
    <row r="1970" spans="3:4" ht="20.100000000000001" customHeight="1">
      <c r="C1970" s="1793"/>
      <c r="D1970" s="1793"/>
    </row>
    <row r="1971" spans="3:4" ht="20.100000000000001" customHeight="1">
      <c r="C1971" s="1793"/>
      <c r="D1971" s="1793"/>
    </row>
    <row r="1972" spans="3:4" ht="20.100000000000001" customHeight="1">
      <c r="C1972" s="1793"/>
      <c r="D1972" s="1793"/>
    </row>
    <row r="1973" spans="3:4" ht="20.100000000000001" customHeight="1">
      <c r="C1973" s="1793"/>
      <c r="D1973" s="1793"/>
    </row>
    <row r="1974" spans="3:4" ht="20.100000000000001" customHeight="1">
      <c r="C1974" s="1793"/>
      <c r="D1974" s="1793"/>
    </row>
    <row r="1975" spans="3:4" ht="20.100000000000001" customHeight="1">
      <c r="C1975" s="1793"/>
      <c r="D1975" s="1793"/>
    </row>
    <row r="1976" spans="3:4" ht="20.100000000000001" customHeight="1">
      <c r="C1976" s="1793"/>
      <c r="D1976" s="1793"/>
    </row>
    <row r="1977" spans="3:4" ht="20.100000000000001" customHeight="1">
      <c r="C1977" s="1793"/>
      <c r="D1977" s="1793"/>
    </row>
    <row r="1978" spans="3:4" ht="20.100000000000001" customHeight="1">
      <c r="C1978" s="1793"/>
      <c r="D1978" s="1793"/>
    </row>
    <row r="1979" spans="3:4" ht="20.100000000000001" customHeight="1">
      <c r="C1979" s="1793"/>
      <c r="D1979" s="1793"/>
    </row>
    <row r="1980" spans="3:4" ht="20.100000000000001" customHeight="1">
      <c r="C1980" s="1793"/>
      <c r="D1980" s="1793"/>
    </row>
    <row r="1981" spans="3:4" ht="20.100000000000001" customHeight="1">
      <c r="C1981" s="1793"/>
      <c r="D1981" s="1793"/>
    </row>
    <row r="1982" spans="3:4" ht="20.100000000000001" customHeight="1">
      <c r="C1982" s="1793"/>
      <c r="D1982" s="1793"/>
    </row>
    <row r="1983" spans="3:4" ht="20.100000000000001" customHeight="1">
      <c r="C1983" s="1793"/>
      <c r="D1983" s="1793"/>
    </row>
    <row r="1984" spans="3:4" ht="20.100000000000001" customHeight="1">
      <c r="C1984" s="1793"/>
      <c r="D1984" s="1793"/>
    </row>
    <row r="1985" spans="3:4" ht="20.100000000000001" customHeight="1">
      <c r="C1985" s="1793"/>
      <c r="D1985" s="1793"/>
    </row>
    <row r="1986" spans="3:4" ht="20.100000000000001" customHeight="1">
      <c r="C1986" s="1793"/>
      <c r="D1986" s="1793"/>
    </row>
    <row r="1987" spans="3:4" ht="20.100000000000001" customHeight="1">
      <c r="C1987" s="1793"/>
      <c r="D1987" s="1793"/>
    </row>
    <row r="1988" spans="3:4" ht="20.100000000000001" customHeight="1">
      <c r="C1988" s="1793"/>
      <c r="D1988" s="1793"/>
    </row>
    <row r="1989" spans="3:4" ht="20.100000000000001" customHeight="1">
      <c r="C1989" s="1793"/>
      <c r="D1989" s="1793"/>
    </row>
    <row r="1990" spans="3:4" ht="20.100000000000001" customHeight="1">
      <c r="C1990" s="1793"/>
      <c r="D1990" s="1793"/>
    </row>
    <row r="1991" spans="3:4" ht="20.100000000000001" customHeight="1">
      <c r="C1991" s="1793"/>
      <c r="D1991" s="1793"/>
    </row>
    <row r="1992" spans="3:4" ht="20.100000000000001" customHeight="1">
      <c r="C1992" s="1793"/>
      <c r="D1992" s="1793"/>
    </row>
    <row r="1993" spans="3:4" ht="20.100000000000001" customHeight="1">
      <c r="C1993" s="1793"/>
      <c r="D1993" s="1793"/>
    </row>
    <row r="1994" spans="3:4" ht="20.100000000000001" customHeight="1">
      <c r="C1994" s="1793"/>
      <c r="D1994" s="1793"/>
    </row>
    <row r="1995" spans="3:4" ht="20.100000000000001" customHeight="1">
      <c r="C1995" s="1793"/>
      <c r="D1995" s="1793"/>
    </row>
    <row r="1996" spans="3:4" ht="20.100000000000001" customHeight="1">
      <c r="C1996" s="1793"/>
      <c r="D1996" s="1793"/>
    </row>
    <row r="1997" spans="3:4" ht="20.100000000000001" customHeight="1">
      <c r="C1997" s="1793"/>
      <c r="D1997" s="1793"/>
    </row>
    <row r="1998" spans="3:4" ht="20.100000000000001" customHeight="1">
      <c r="C1998" s="1793"/>
      <c r="D1998" s="1793"/>
    </row>
    <row r="1999" spans="3:4" ht="20.100000000000001" customHeight="1">
      <c r="C1999" s="1793"/>
      <c r="D1999" s="1793"/>
    </row>
    <row r="2000" spans="3:4" ht="20.100000000000001" customHeight="1">
      <c r="C2000" s="1793"/>
      <c r="D2000" s="1793"/>
    </row>
    <row r="2001" spans="3:4" ht="20.100000000000001" customHeight="1">
      <c r="C2001" s="1793"/>
      <c r="D2001" s="1793"/>
    </row>
    <row r="2002" spans="3:4" ht="20.100000000000001" customHeight="1">
      <c r="C2002" s="1793"/>
      <c r="D2002" s="1793"/>
    </row>
    <row r="2003" spans="3:4" ht="20.100000000000001" customHeight="1">
      <c r="C2003" s="1793"/>
      <c r="D2003" s="1793"/>
    </row>
    <row r="2004" spans="3:4" ht="20.100000000000001" customHeight="1">
      <c r="C2004" s="1793"/>
      <c r="D2004" s="1793"/>
    </row>
    <row r="2005" spans="3:4" ht="20.100000000000001" customHeight="1">
      <c r="C2005" s="1793"/>
      <c r="D2005" s="1793"/>
    </row>
    <row r="2006" spans="3:4" ht="20.100000000000001" customHeight="1">
      <c r="C2006" s="1793"/>
      <c r="D2006" s="1793"/>
    </row>
    <row r="2007" spans="3:4" ht="20.100000000000001" customHeight="1">
      <c r="C2007" s="1793"/>
      <c r="D2007" s="1793"/>
    </row>
    <row r="2008" spans="3:4" ht="20.100000000000001" customHeight="1">
      <c r="C2008" s="1793"/>
      <c r="D2008" s="1793"/>
    </row>
    <row r="2009" spans="3:4" ht="20.100000000000001" customHeight="1">
      <c r="C2009" s="1793"/>
      <c r="D2009" s="1793"/>
    </row>
    <row r="2010" spans="3:4" ht="20.100000000000001" customHeight="1">
      <c r="C2010" s="1793"/>
      <c r="D2010" s="1793"/>
    </row>
    <row r="2011" spans="3:4" ht="20.100000000000001" customHeight="1">
      <c r="C2011" s="1793"/>
      <c r="D2011" s="1793"/>
    </row>
    <row r="2012" spans="3:4" ht="20.100000000000001" customHeight="1">
      <c r="C2012" s="1793"/>
      <c r="D2012" s="1793"/>
    </row>
    <row r="2013" spans="3:4" ht="20.100000000000001" customHeight="1">
      <c r="C2013" s="1793"/>
      <c r="D2013" s="1793"/>
    </row>
    <row r="2014" spans="3:4" ht="20.100000000000001" customHeight="1">
      <c r="C2014" s="1793"/>
      <c r="D2014" s="1793"/>
    </row>
    <row r="2015" spans="3:4" ht="20.100000000000001" customHeight="1">
      <c r="C2015" s="1793"/>
      <c r="D2015" s="1793"/>
    </row>
    <row r="2016" spans="3:4" ht="20.100000000000001" customHeight="1">
      <c r="C2016" s="1793"/>
      <c r="D2016" s="1793"/>
    </row>
    <row r="2017" spans="3:4" ht="20.100000000000001" customHeight="1">
      <c r="C2017" s="1793"/>
      <c r="D2017" s="1793"/>
    </row>
    <row r="2018" spans="3:4" ht="20.100000000000001" customHeight="1">
      <c r="C2018" s="1793"/>
      <c r="D2018" s="1793"/>
    </row>
    <row r="2019" spans="3:4" ht="20.100000000000001" customHeight="1">
      <c r="C2019" s="1793"/>
      <c r="D2019" s="1793"/>
    </row>
    <row r="2020" spans="3:4" ht="20.100000000000001" customHeight="1">
      <c r="C2020" s="1793"/>
      <c r="D2020" s="1793"/>
    </row>
    <row r="2021" spans="3:4" ht="20.100000000000001" customHeight="1">
      <c r="C2021" s="1793"/>
      <c r="D2021" s="1793"/>
    </row>
    <row r="2022" spans="3:4" ht="20.100000000000001" customHeight="1">
      <c r="C2022" s="1793"/>
      <c r="D2022" s="1793"/>
    </row>
    <row r="2023" spans="3:4" ht="20.100000000000001" customHeight="1">
      <c r="C2023" s="1793"/>
      <c r="D2023" s="1793"/>
    </row>
    <row r="2024" spans="3:4" ht="20.100000000000001" customHeight="1">
      <c r="C2024" s="1793"/>
      <c r="D2024" s="1793"/>
    </row>
    <row r="2025" spans="3:4" ht="20.100000000000001" customHeight="1">
      <c r="C2025" s="1793"/>
      <c r="D2025" s="1793"/>
    </row>
    <row r="2026" spans="3:4" ht="20.100000000000001" customHeight="1">
      <c r="C2026" s="1793"/>
      <c r="D2026" s="1793"/>
    </row>
    <row r="2027" spans="3:4" ht="20.100000000000001" customHeight="1">
      <c r="C2027" s="1793"/>
      <c r="D2027" s="1793"/>
    </row>
    <row r="2028" spans="3:4" ht="20.100000000000001" customHeight="1">
      <c r="C2028" s="1793"/>
      <c r="D2028" s="1793"/>
    </row>
    <row r="2029" spans="3:4" ht="20.100000000000001" customHeight="1">
      <c r="C2029" s="1793"/>
      <c r="D2029" s="1793"/>
    </row>
    <row r="2030" spans="3:4" ht="20.100000000000001" customHeight="1">
      <c r="C2030" s="1793"/>
      <c r="D2030" s="1793"/>
    </row>
    <row r="2031" spans="3:4" ht="20.100000000000001" customHeight="1">
      <c r="C2031" s="1793"/>
      <c r="D2031" s="1793"/>
    </row>
    <row r="2032" spans="3:4" ht="20.100000000000001" customHeight="1">
      <c r="C2032" s="1793"/>
      <c r="D2032" s="1793"/>
    </row>
    <row r="2033" spans="3:4" ht="20.100000000000001" customHeight="1">
      <c r="C2033" s="1793"/>
      <c r="D2033" s="1793"/>
    </row>
    <row r="2034" spans="3:4" ht="20.100000000000001" customHeight="1">
      <c r="C2034" s="1793"/>
      <c r="D2034" s="1793"/>
    </row>
    <row r="2035" spans="3:4" ht="20.100000000000001" customHeight="1">
      <c r="C2035" s="1793"/>
      <c r="D2035" s="1793"/>
    </row>
    <row r="2036" spans="3:4" ht="20.100000000000001" customHeight="1">
      <c r="C2036" s="1793"/>
      <c r="D2036" s="1793"/>
    </row>
    <row r="2037" spans="3:4" ht="20.100000000000001" customHeight="1">
      <c r="C2037" s="1793"/>
      <c r="D2037" s="1793"/>
    </row>
    <row r="2038" spans="3:4" ht="20.100000000000001" customHeight="1">
      <c r="C2038" s="1793"/>
      <c r="D2038" s="1793"/>
    </row>
    <row r="2039" spans="3:4" ht="20.100000000000001" customHeight="1">
      <c r="C2039" s="1793"/>
      <c r="D2039" s="1793"/>
    </row>
    <row r="2040" spans="3:4" ht="20.100000000000001" customHeight="1">
      <c r="C2040" s="1793"/>
      <c r="D2040" s="1793"/>
    </row>
    <row r="2041" spans="3:4" ht="20.100000000000001" customHeight="1">
      <c r="C2041" s="1793"/>
      <c r="D2041" s="1793"/>
    </row>
    <row r="2042" spans="3:4" ht="20.100000000000001" customHeight="1">
      <c r="C2042" s="1793"/>
      <c r="D2042" s="1793"/>
    </row>
    <row r="2043" spans="3:4" ht="20.100000000000001" customHeight="1">
      <c r="C2043" s="1793"/>
      <c r="D2043" s="1793"/>
    </row>
    <row r="2044" spans="3:4" ht="20.100000000000001" customHeight="1">
      <c r="C2044" s="1793"/>
      <c r="D2044" s="1793"/>
    </row>
    <row r="2045" spans="3:4" ht="20.100000000000001" customHeight="1">
      <c r="C2045" s="1793"/>
      <c r="D2045" s="1793"/>
    </row>
    <row r="2046" spans="3:4" ht="20.100000000000001" customHeight="1">
      <c r="C2046" s="1793"/>
      <c r="D2046" s="1793"/>
    </row>
    <row r="2047" spans="3:4" ht="20.100000000000001" customHeight="1">
      <c r="C2047" s="1793"/>
      <c r="D2047" s="1793"/>
    </row>
    <row r="2048" spans="3:4" ht="20.100000000000001" customHeight="1">
      <c r="C2048" s="1793"/>
      <c r="D2048" s="1793"/>
    </row>
    <row r="2049" spans="3:4" ht="20.100000000000001" customHeight="1">
      <c r="C2049" s="1793"/>
      <c r="D2049" s="1793"/>
    </row>
    <row r="2050" spans="3:4" ht="20.100000000000001" customHeight="1">
      <c r="C2050" s="1793"/>
      <c r="D2050" s="1793"/>
    </row>
    <row r="2051" spans="3:4" ht="20.100000000000001" customHeight="1">
      <c r="C2051" s="1793"/>
      <c r="D2051" s="1793"/>
    </row>
    <row r="2052" spans="3:4" ht="20.100000000000001" customHeight="1">
      <c r="C2052" s="1793"/>
      <c r="D2052" s="1793"/>
    </row>
    <row r="2053" spans="3:4" ht="20.100000000000001" customHeight="1">
      <c r="C2053" s="1793"/>
      <c r="D2053" s="1793"/>
    </row>
    <row r="2054" spans="3:4" ht="20.100000000000001" customHeight="1">
      <c r="C2054" s="1793"/>
      <c r="D2054" s="1793"/>
    </row>
    <row r="2055" spans="3:4" ht="20.100000000000001" customHeight="1">
      <c r="C2055" s="1793"/>
      <c r="D2055" s="1793"/>
    </row>
    <row r="2056" spans="3:4" ht="20.100000000000001" customHeight="1">
      <c r="C2056" s="1793"/>
      <c r="D2056" s="1793"/>
    </row>
    <row r="2057" spans="3:4" ht="20.100000000000001" customHeight="1">
      <c r="C2057" s="1793"/>
      <c r="D2057" s="1793"/>
    </row>
    <row r="2058" spans="3:4" ht="20.100000000000001" customHeight="1">
      <c r="C2058" s="1793"/>
      <c r="D2058" s="1793"/>
    </row>
    <row r="2059" spans="3:4" ht="20.100000000000001" customHeight="1">
      <c r="C2059" s="1793"/>
      <c r="D2059" s="1793"/>
    </row>
    <row r="2060" spans="3:4" ht="20.100000000000001" customHeight="1">
      <c r="C2060" s="1793"/>
      <c r="D2060" s="1793"/>
    </row>
    <row r="2061" spans="3:4" ht="20.100000000000001" customHeight="1">
      <c r="C2061" s="1793"/>
      <c r="D2061" s="1793"/>
    </row>
    <row r="2062" spans="3:4" ht="20.100000000000001" customHeight="1">
      <c r="C2062" s="1793"/>
      <c r="D2062" s="1793"/>
    </row>
    <row r="2063" spans="3:4" ht="20.100000000000001" customHeight="1">
      <c r="C2063" s="1793"/>
      <c r="D2063" s="1793"/>
    </row>
    <row r="2064" spans="3:4" ht="20.100000000000001" customHeight="1">
      <c r="C2064" s="1793"/>
      <c r="D2064" s="1793"/>
    </row>
    <row r="2065" spans="3:4" ht="20.100000000000001" customHeight="1">
      <c r="C2065" s="1793"/>
      <c r="D2065" s="1793"/>
    </row>
    <row r="2066" spans="3:4" ht="20.100000000000001" customHeight="1">
      <c r="C2066" s="1793"/>
      <c r="D2066" s="1793"/>
    </row>
    <row r="2067" spans="3:4" ht="20.100000000000001" customHeight="1">
      <c r="C2067" s="1793"/>
      <c r="D2067" s="1793"/>
    </row>
    <row r="2068" spans="3:4" ht="20.100000000000001" customHeight="1">
      <c r="C2068" s="1793"/>
      <c r="D2068" s="1793"/>
    </row>
    <row r="2069" spans="3:4" ht="20.100000000000001" customHeight="1">
      <c r="C2069" s="1793"/>
      <c r="D2069" s="1793"/>
    </row>
    <row r="2070" spans="3:4" ht="20.100000000000001" customHeight="1">
      <c r="C2070" s="1793"/>
      <c r="D2070" s="1793"/>
    </row>
    <row r="2071" spans="3:4" ht="20.100000000000001" customHeight="1">
      <c r="C2071" s="1793"/>
      <c r="D2071" s="1793"/>
    </row>
    <row r="2072" spans="3:4" ht="20.100000000000001" customHeight="1">
      <c r="C2072" s="1793"/>
      <c r="D2072" s="1793"/>
    </row>
    <row r="2073" spans="3:4" ht="20.100000000000001" customHeight="1">
      <c r="C2073" s="1793"/>
      <c r="D2073" s="1793"/>
    </row>
    <row r="2074" spans="3:4" ht="20.100000000000001" customHeight="1">
      <c r="C2074" s="1793"/>
      <c r="D2074" s="1793"/>
    </row>
    <row r="2075" spans="3:4" ht="20.100000000000001" customHeight="1">
      <c r="C2075" s="1793"/>
      <c r="D2075" s="1793"/>
    </row>
    <row r="2076" spans="3:4" ht="20.100000000000001" customHeight="1">
      <c r="C2076" s="1793"/>
      <c r="D2076" s="1793"/>
    </row>
    <row r="2077" spans="3:4" ht="20.100000000000001" customHeight="1">
      <c r="C2077" s="1793"/>
      <c r="D2077" s="1793"/>
    </row>
    <row r="2078" spans="3:4" ht="20.100000000000001" customHeight="1">
      <c r="C2078" s="1793"/>
      <c r="D2078" s="1793"/>
    </row>
    <row r="2079" spans="3:4" ht="20.100000000000001" customHeight="1">
      <c r="C2079" s="1793"/>
      <c r="D2079" s="1793"/>
    </row>
    <row r="2080" spans="3:4" ht="20.100000000000001" customHeight="1">
      <c r="C2080" s="1793"/>
      <c r="D2080" s="1793"/>
    </row>
    <row r="2081" spans="3:4" ht="20.100000000000001" customHeight="1">
      <c r="C2081" s="1793"/>
      <c r="D2081" s="1793"/>
    </row>
    <row r="2082" spans="3:4" ht="20.100000000000001" customHeight="1">
      <c r="C2082" s="1793"/>
      <c r="D2082" s="1793"/>
    </row>
    <row r="2083" spans="3:4" ht="20.100000000000001" customHeight="1">
      <c r="C2083" s="1793"/>
      <c r="D2083" s="1793"/>
    </row>
    <row r="2084" spans="3:4" ht="20.100000000000001" customHeight="1">
      <c r="C2084" s="1793"/>
      <c r="D2084" s="1793"/>
    </row>
    <row r="2085" spans="3:4" ht="20.100000000000001" customHeight="1">
      <c r="C2085" s="1793"/>
      <c r="D2085" s="1793"/>
    </row>
    <row r="2086" spans="3:4" ht="20.100000000000001" customHeight="1">
      <c r="C2086" s="1793"/>
      <c r="D2086" s="1793"/>
    </row>
    <row r="2087" spans="3:4" ht="20.100000000000001" customHeight="1">
      <c r="C2087" s="1793"/>
      <c r="D2087" s="1793"/>
    </row>
    <row r="2088" spans="3:4" ht="20.100000000000001" customHeight="1">
      <c r="C2088" s="1793"/>
      <c r="D2088" s="1793"/>
    </row>
    <row r="2089" spans="3:4" ht="20.100000000000001" customHeight="1">
      <c r="C2089" s="1793"/>
      <c r="D2089" s="1793"/>
    </row>
    <row r="2090" spans="3:4" ht="20.100000000000001" customHeight="1">
      <c r="C2090" s="1793"/>
      <c r="D2090" s="1793"/>
    </row>
    <row r="2091" spans="3:4" ht="20.100000000000001" customHeight="1">
      <c r="C2091" s="1793"/>
      <c r="D2091" s="1793"/>
    </row>
    <row r="2092" spans="3:4" ht="20.100000000000001" customHeight="1">
      <c r="C2092" s="1793"/>
      <c r="D2092" s="1793"/>
    </row>
    <row r="2093" spans="3:4" ht="20.100000000000001" customHeight="1">
      <c r="C2093" s="1793"/>
      <c r="D2093" s="1793"/>
    </row>
    <row r="2094" spans="3:4" ht="20.100000000000001" customHeight="1">
      <c r="C2094" s="1793"/>
      <c r="D2094" s="1793"/>
    </row>
    <row r="2095" spans="3:4" ht="20.100000000000001" customHeight="1">
      <c r="C2095" s="1793"/>
      <c r="D2095" s="1793"/>
    </row>
    <row r="2096" spans="3:4" ht="20.100000000000001" customHeight="1">
      <c r="C2096" s="1793"/>
      <c r="D2096" s="1793"/>
    </row>
    <row r="2097" spans="3:4" ht="20.100000000000001" customHeight="1">
      <c r="C2097" s="1793"/>
      <c r="D2097" s="1793"/>
    </row>
    <row r="2098" spans="3:4" ht="20.100000000000001" customHeight="1">
      <c r="C2098" s="1793"/>
      <c r="D2098" s="1793"/>
    </row>
    <row r="2099" spans="3:4" ht="20.100000000000001" customHeight="1">
      <c r="C2099" s="1793"/>
      <c r="D2099" s="1793"/>
    </row>
    <row r="2100" spans="3:4" ht="20.100000000000001" customHeight="1">
      <c r="C2100" s="1793"/>
      <c r="D2100" s="1793"/>
    </row>
    <row r="2101" spans="3:4" ht="20.100000000000001" customHeight="1">
      <c r="C2101" s="1793"/>
      <c r="D2101" s="1793"/>
    </row>
    <row r="2102" spans="3:4" ht="20.100000000000001" customHeight="1">
      <c r="C2102" s="1793"/>
      <c r="D2102" s="1793"/>
    </row>
    <row r="2103" spans="3:4" ht="20.100000000000001" customHeight="1">
      <c r="C2103" s="1793"/>
      <c r="D2103" s="1793"/>
    </row>
    <row r="2104" spans="3:4" ht="20.100000000000001" customHeight="1">
      <c r="C2104" s="1793"/>
      <c r="D2104" s="1793"/>
    </row>
    <row r="2105" spans="3:4" ht="20.100000000000001" customHeight="1">
      <c r="C2105" s="1793"/>
      <c r="D2105" s="1793"/>
    </row>
    <row r="2106" spans="3:4" ht="20.100000000000001" customHeight="1">
      <c r="C2106" s="1793"/>
      <c r="D2106" s="1793"/>
    </row>
    <row r="2107" spans="3:4" ht="20.100000000000001" customHeight="1">
      <c r="C2107" s="1793"/>
      <c r="D2107" s="1793"/>
    </row>
    <row r="2108" spans="3:4" ht="20.100000000000001" customHeight="1">
      <c r="C2108" s="1793"/>
      <c r="D2108" s="1793"/>
    </row>
    <row r="2109" spans="3:4" ht="20.100000000000001" customHeight="1">
      <c r="C2109" s="1793"/>
      <c r="D2109" s="1793"/>
    </row>
    <row r="2110" spans="3:4" ht="20.100000000000001" customHeight="1">
      <c r="C2110" s="1793"/>
      <c r="D2110" s="1793"/>
    </row>
    <row r="2111" spans="3:4" ht="20.100000000000001" customHeight="1">
      <c r="C2111" s="1793"/>
      <c r="D2111" s="1793"/>
    </row>
    <row r="2112" spans="3:4" ht="20.100000000000001" customHeight="1">
      <c r="C2112" s="1793"/>
      <c r="D2112" s="1793"/>
    </row>
    <row r="2113" spans="3:4" ht="20.100000000000001" customHeight="1">
      <c r="C2113" s="1793"/>
      <c r="D2113" s="1793"/>
    </row>
    <row r="2114" spans="3:4" ht="20.100000000000001" customHeight="1">
      <c r="C2114" s="1793"/>
      <c r="D2114" s="1793"/>
    </row>
    <row r="2115" spans="3:4" ht="20.100000000000001" customHeight="1">
      <c r="C2115" s="1793"/>
      <c r="D2115" s="1793"/>
    </row>
    <row r="2116" spans="3:4" ht="20.100000000000001" customHeight="1">
      <c r="C2116" s="1793"/>
      <c r="D2116" s="1793"/>
    </row>
    <row r="2117" spans="3:4" ht="20.100000000000001" customHeight="1">
      <c r="C2117" s="1793"/>
      <c r="D2117" s="1793"/>
    </row>
    <row r="2118" spans="3:4" ht="20.100000000000001" customHeight="1">
      <c r="C2118" s="1793"/>
      <c r="D2118" s="1793"/>
    </row>
    <row r="2119" spans="3:4" ht="20.100000000000001" customHeight="1">
      <c r="C2119" s="1793"/>
      <c r="D2119" s="1793"/>
    </row>
    <row r="2120" spans="3:4" ht="20.100000000000001" customHeight="1">
      <c r="C2120" s="1793"/>
      <c r="D2120" s="1793"/>
    </row>
    <row r="2121" spans="3:4" ht="20.100000000000001" customHeight="1">
      <c r="C2121" s="1793"/>
      <c r="D2121" s="1793"/>
    </row>
    <row r="2122" spans="3:4" ht="20.100000000000001" customHeight="1">
      <c r="C2122" s="1793"/>
      <c r="D2122" s="1793"/>
    </row>
    <row r="2123" spans="3:4" ht="20.100000000000001" customHeight="1">
      <c r="C2123" s="1793"/>
      <c r="D2123" s="1793"/>
    </row>
    <row r="2124" spans="3:4" ht="20.100000000000001" customHeight="1">
      <c r="C2124" s="1793"/>
      <c r="D2124" s="1793"/>
    </row>
    <row r="2125" spans="3:4" ht="20.100000000000001" customHeight="1">
      <c r="C2125" s="1793"/>
      <c r="D2125" s="1793"/>
    </row>
    <row r="2126" spans="3:4" ht="20.100000000000001" customHeight="1">
      <c r="C2126" s="1793"/>
      <c r="D2126" s="1793"/>
    </row>
    <row r="2127" spans="3:4" ht="20.100000000000001" customHeight="1">
      <c r="C2127" s="1793"/>
      <c r="D2127" s="1793"/>
    </row>
    <row r="2128" spans="3:4" ht="20.100000000000001" customHeight="1">
      <c r="C2128" s="1793"/>
      <c r="D2128" s="1793"/>
    </row>
    <row r="2129" spans="3:4" ht="20.100000000000001" customHeight="1">
      <c r="C2129" s="1793"/>
      <c r="D2129" s="1793"/>
    </row>
    <row r="2130" spans="3:4" ht="20.100000000000001" customHeight="1">
      <c r="C2130" s="1793"/>
      <c r="D2130" s="1793"/>
    </row>
    <row r="2131" spans="3:4" ht="20.100000000000001" customHeight="1">
      <c r="C2131" s="1793"/>
      <c r="D2131" s="1793"/>
    </row>
    <row r="2132" spans="3:4" ht="20.100000000000001" customHeight="1">
      <c r="C2132" s="1793"/>
      <c r="D2132" s="1793"/>
    </row>
    <row r="2133" spans="3:4" ht="20.100000000000001" customHeight="1">
      <c r="C2133" s="1793"/>
      <c r="D2133" s="1793"/>
    </row>
    <row r="2134" spans="3:4" ht="20.100000000000001" customHeight="1">
      <c r="C2134" s="1793"/>
      <c r="D2134" s="1793"/>
    </row>
    <row r="2135" spans="3:4" ht="20.100000000000001" customHeight="1">
      <c r="C2135" s="1793"/>
      <c r="D2135" s="1793"/>
    </row>
    <row r="2136" spans="3:4" ht="20.100000000000001" customHeight="1">
      <c r="C2136" s="1793"/>
      <c r="D2136" s="1793"/>
    </row>
    <row r="2137" spans="3:4" ht="20.100000000000001" customHeight="1">
      <c r="C2137" s="1793"/>
      <c r="D2137" s="1793"/>
    </row>
    <row r="2138" spans="3:4" ht="20.100000000000001" customHeight="1">
      <c r="C2138" s="1793"/>
      <c r="D2138" s="1793"/>
    </row>
    <row r="2139" spans="3:4" ht="20.100000000000001" customHeight="1">
      <c r="C2139" s="1793"/>
      <c r="D2139" s="1793"/>
    </row>
    <row r="2140" spans="3:4" ht="20.100000000000001" customHeight="1">
      <c r="C2140" s="1793"/>
      <c r="D2140" s="1793"/>
    </row>
    <row r="2141" spans="3:4" ht="20.100000000000001" customHeight="1">
      <c r="C2141" s="1793"/>
      <c r="D2141" s="1793"/>
    </row>
    <row r="2142" spans="3:4" ht="20.100000000000001" customHeight="1">
      <c r="C2142" s="1793"/>
      <c r="D2142" s="1793"/>
    </row>
    <row r="2143" spans="3:4" ht="20.100000000000001" customHeight="1">
      <c r="C2143" s="1793"/>
      <c r="D2143" s="1793"/>
    </row>
    <row r="2144" spans="3:4" ht="20.100000000000001" customHeight="1">
      <c r="C2144" s="1793"/>
      <c r="D2144" s="1793"/>
    </row>
    <row r="2145" spans="3:4" ht="20.100000000000001" customHeight="1">
      <c r="C2145" s="1793"/>
      <c r="D2145" s="1793"/>
    </row>
    <row r="2146" spans="3:4" ht="20.100000000000001" customHeight="1">
      <c r="C2146" s="1793"/>
      <c r="D2146" s="1793"/>
    </row>
    <row r="2147" spans="3:4" ht="20.100000000000001" customHeight="1">
      <c r="C2147" s="1793"/>
      <c r="D2147" s="1793"/>
    </row>
    <row r="2148" spans="3:4" ht="20.100000000000001" customHeight="1">
      <c r="C2148" s="1793"/>
      <c r="D2148" s="1793"/>
    </row>
    <row r="2149" spans="3:4" ht="20.100000000000001" customHeight="1">
      <c r="C2149" s="1793"/>
      <c r="D2149" s="1793"/>
    </row>
    <row r="2150" spans="3:4" ht="20.100000000000001" customHeight="1">
      <c r="C2150" s="1793"/>
      <c r="D2150" s="1793"/>
    </row>
    <row r="2151" spans="3:4" ht="20.100000000000001" customHeight="1">
      <c r="C2151" s="1793"/>
      <c r="D2151" s="1793"/>
    </row>
    <row r="2152" spans="3:4" ht="20.100000000000001" customHeight="1">
      <c r="C2152" s="1793"/>
      <c r="D2152" s="1793"/>
    </row>
    <row r="2153" spans="3:4" ht="20.100000000000001" customHeight="1">
      <c r="C2153" s="1793"/>
      <c r="D2153" s="1793"/>
    </row>
    <row r="2154" spans="3:4" ht="20.100000000000001" customHeight="1">
      <c r="C2154" s="1793"/>
      <c r="D2154" s="1793"/>
    </row>
    <row r="2155" spans="3:4" ht="20.100000000000001" customHeight="1">
      <c r="C2155" s="1793"/>
      <c r="D2155" s="1793"/>
    </row>
    <row r="2156" spans="3:4" ht="20.100000000000001" customHeight="1">
      <c r="C2156" s="1793"/>
      <c r="D2156" s="1793"/>
    </row>
    <row r="2157" spans="3:4" ht="20.100000000000001" customHeight="1">
      <c r="C2157" s="1793"/>
      <c r="D2157" s="1793"/>
    </row>
    <row r="2158" spans="3:4" ht="20.100000000000001" customHeight="1">
      <c r="C2158" s="1793"/>
      <c r="D2158" s="1793"/>
    </row>
    <row r="2159" spans="3:4" ht="20.100000000000001" customHeight="1">
      <c r="C2159" s="1793"/>
      <c r="D2159" s="1793"/>
    </row>
    <row r="2160" spans="3:4" ht="20.100000000000001" customHeight="1">
      <c r="C2160" s="1793"/>
      <c r="D2160" s="1793"/>
    </row>
    <row r="2161" spans="3:4" ht="20.100000000000001" customHeight="1">
      <c r="C2161" s="1793"/>
      <c r="D2161" s="1793"/>
    </row>
    <row r="2162" spans="3:4" ht="20.100000000000001" customHeight="1">
      <c r="C2162" s="1793"/>
      <c r="D2162" s="1793"/>
    </row>
    <row r="2163" spans="3:4" ht="20.100000000000001" customHeight="1">
      <c r="C2163" s="1793"/>
      <c r="D2163" s="1793"/>
    </row>
    <row r="2164" spans="3:4" ht="20.100000000000001" customHeight="1">
      <c r="C2164" s="1793"/>
      <c r="D2164" s="1793"/>
    </row>
    <row r="2165" spans="3:4" ht="20.100000000000001" customHeight="1">
      <c r="C2165" s="1793"/>
      <c r="D2165" s="1793"/>
    </row>
    <row r="2166" spans="3:4" ht="20.100000000000001" customHeight="1">
      <c r="C2166" s="1793"/>
      <c r="D2166" s="1793"/>
    </row>
    <row r="2167" spans="3:4" ht="20.100000000000001" customHeight="1">
      <c r="C2167" s="1793"/>
      <c r="D2167" s="1793"/>
    </row>
    <row r="2168" spans="3:4" ht="20.100000000000001" customHeight="1">
      <c r="C2168" s="1793"/>
      <c r="D2168" s="1793"/>
    </row>
    <row r="2169" spans="3:4" ht="20.100000000000001" customHeight="1">
      <c r="C2169" s="1793"/>
      <c r="D2169" s="1793"/>
    </row>
    <row r="2170" spans="3:4" ht="20.100000000000001" customHeight="1">
      <c r="C2170" s="1793"/>
      <c r="D2170" s="1793"/>
    </row>
    <row r="2171" spans="3:4" ht="20.100000000000001" customHeight="1">
      <c r="C2171" s="1793"/>
      <c r="D2171" s="1793"/>
    </row>
    <row r="2172" spans="3:4" ht="20.100000000000001" customHeight="1">
      <c r="C2172" s="1793"/>
      <c r="D2172" s="1793"/>
    </row>
    <row r="2173" spans="3:4" ht="20.100000000000001" customHeight="1">
      <c r="C2173" s="1793"/>
      <c r="D2173" s="1793"/>
    </row>
    <row r="2174" spans="3:4" ht="20.100000000000001" customHeight="1">
      <c r="C2174" s="1793"/>
      <c r="D2174" s="1793"/>
    </row>
    <row r="2175" spans="3:4" ht="20.100000000000001" customHeight="1">
      <c r="C2175" s="1793"/>
      <c r="D2175" s="1793"/>
    </row>
    <row r="2176" spans="3:4" ht="20.100000000000001" customHeight="1">
      <c r="C2176" s="1793"/>
      <c r="D2176" s="1793"/>
    </row>
    <row r="2177" spans="3:4" ht="20.100000000000001" customHeight="1">
      <c r="C2177" s="1793"/>
      <c r="D2177" s="1793"/>
    </row>
    <row r="2178" spans="3:4" ht="20.100000000000001" customHeight="1">
      <c r="C2178" s="1793"/>
      <c r="D2178" s="1793"/>
    </row>
    <row r="2179" spans="3:4" ht="20.100000000000001" customHeight="1">
      <c r="C2179" s="1793"/>
      <c r="D2179" s="1793"/>
    </row>
    <row r="2180" spans="3:4" ht="20.100000000000001" customHeight="1">
      <c r="C2180" s="1793"/>
      <c r="D2180" s="1793"/>
    </row>
    <row r="2181" spans="3:4" ht="20.100000000000001" customHeight="1">
      <c r="C2181" s="1793"/>
      <c r="D2181" s="1793"/>
    </row>
    <row r="2182" spans="3:4" ht="20.100000000000001" customHeight="1">
      <c r="C2182" s="1793"/>
      <c r="D2182" s="1793"/>
    </row>
    <row r="2183" spans="3:4" ht="20.100000000000001" customHeight="1">
      <c r="C2183" s="1793"/>
      <c r="D2183" s="1793"/>
    </row>
    <row r="2184" spans="3:4" ht="20.100000000000001" customHeight="1">
      <c r="C2184" s="1793"/>
      <c r="D2184" s="1793"/>
    </row>
    <row r="2185" spans="3:4" ht="20.100000000000001" customHeight="1">
      <c r="C2185" s="1793"/>
      <c r="D2185" s="1793"/>
    </row>
    <row r="2186" spans="3:4" ht="20.100000000000001" customHeight="1">
      <c r="C2186" s="1793"/>
      <c r="D2186" s="1793"/>
    </row>
    <row r="2187" spans="3:4" ht="20.100000000000001" customHeight="1">
      <c r="C2187" s="1793"/>
      <c r="D2187" s="1793"/>
    </row>
    <row r="2188" spans="3:4" ht="20.100000000000001" customHeight="1">
      <c r="C2188" s="1793"/>
      <c r="D2188" s="1793"/>
    </row>
    <row r="2189" spans="3:4" ht="20.100000000000001" customHeight="1">
      <c r="C2189" s="1793"/>
      <c r="D2189" s="1793"/>
    </row>
    <row r="2190" spans="3:4" ht="20.100000000000001" customHeight="1">
      <c r="C2190" s="1793"/>
      <c r="D2190" s="1793"/>
    </row>
    <row r="2191" spans="3:4" ht="20.100000000000001" customHeight="1">
      <c r="C2191" s="1793"/>
      <c r="D2191" s="1793"/>
    </row>
    <row r="2192" spans="3:4" ht="20.100000000000001" customHeight="1">
      <c r="C2192" s="1793"/>
      <c r="D2192" s="1793"/>
    </row>
    <row r="2193" spans="3:4" ht="20.100000000000001" customHeight="1">
      <c r="C2193" s="1793"/>
      <c r="D2193" s="1793"/>
    </row>
    <row r="2194" spans="3:4" ht="20.100000000000001" customHeight="1">
      <c r="C2194" s="1793"/>
      <c r="D2194" s="1793"/>
    </row>
    <row r="2195" spans="3:4" ht="20.100000000000001" customHeight="1">
      <c r="C2195" s="1793"/>
      <c r="D2195" s="1793"/>
    </row>
    <row r="2196" spans="3:4" ht="20.100000000000001" customHeight="1">
      <c r="C2196" s="1793"/>
      <c r="D2196" s="1793"/>
    </row>
    <row r="2197" spans="3:4" ht="20.100000000000001" customHeight="1">
      <c r="C2197" s="1793"/>
      <c r="D2197" s="1793"/>
    </row>
    <row r="2198" spans="3:4" ht="20.100000000000001" customHeight="1">
      <c r="C2198" s="1793"/>
      <c r="D2198" s="1793"/>
    </row>
    <row r="2199" spans="3:4" ht="20.100000000000001" customHeight="1">
      <c r="C2199" s="1793"/>
      <c r="D2199" s="1793"/>
    </row>
    <row r="2200" spans="3:4" ht="20.100000000000001" customHeight="1">
      <c r="C2200" s="1793"/>
      <c r="D2200" s="1793"/>
    </row>
    <row r="2201" spans="3:4" ht="20.100000000000001" customHeight="1">
      <c r="C2201" s="1793"/>
      <c r="D2201" s="1793"/>
    </row>
    <row r="2202" spans="3:4" ht="20.100000000000001" customHeight="1">
      <c r="C2202" s="1793"/>
      <c r="D2202" s="1793"/>
    </row>
    <row r="2203" spans="3:4" ht="20.100000000000001" customHeight="1">
      <c r="C2203" s="1793"/>
      <c r="D2203" s="1793"/>
    </row>
    <row r="2204" spans="3:4" ht="20.100000000000001" customHeight="1">
      <c r="C2204" s="1793"/>
      <c r="D2204" s="1793"/>
    </row>
    <row r="2205" spans="3:4" ht="20.100000000000001" customHeight="1">
      <c r="C2205" s="1793"/>
      <c r="D2205" s="1793"/>
    </row>
    <row r="2206" spans="3:4" ht="20.100000000000001" customHeight="1">
      <c r="C2206" s="1793"/>
      <c r="D2206" s="1793"/>
    </row>
    <row r="2207" spans="3:4" ht="20.100000000000001" customHeight="1">
      <c r="C2207" s="1793"/>
      <c r="D2207" s="1793"/>
    </row>
    <row r="2208" spans="3:4" ht="20.100000000000001" customHeight="1">
      <c r="C2208" s="1793"/>
      <c r="D2208" s="1793"/>
    </row>
    <row r="2209" spans="3:4" ht="20.100000000000001" customHeight="1">
      <c r="C2209" s="1793"/>
      <c r="D2209" s="1793"/>
    </row>
    <row r="2210" spans="3:4" ht="20.100000000000001" customHeight="1">
      <c r="C2210" s="1793"/>
      <c r="D2210" s="1793"/>
    </row>
    <row r="2211" spans="3:4" ht="20.100000000000001" customHeight="1">
      <c r="C2211" s="1793"/>
      <c r="D2211" s="1793"/>
    </row>
    <row r="2212" spans="3:4" ht="20.100000000000001" customHeight="1">
      <c r="C2212" s="1793"/>
      <c r="D2212" s="1793"/>
    </row>
    <row r="2213" spans="3:4" ht="20.100000000000001" customHeight="1">
      <c r="C2213" s="1793"/>
      <c r="D2213" s="1793"/>
    </row>
    <row r="2214" spans="3:4" ht="20.100000000000001" customHeight="1">
      <c r="C2214" s="1793"/>
      <c r="D2214" s="1793"/>
    </row>
    <row r="2215" spans="3:4" ht="20.100000000000001" customHeight="1">
      <c r="C2215" s="1793"/>
      <c r="D2215" s="1793"/>
    </row>
    <row r="2216" spans="3:4" ht="20.100000000000001" customHeight="1">
      <c r="C2216" s="1793"/>
      <c r="D2216" s="1793"/>
    </row>
    <row r="2217" spans="3:4" ht="20.100000000000001" customHeight="1">
      <c r="C2217" s="1793"/>
      <c r="D2217" s="1793"/>
    </row>
    <row r="2218" spans="3:4" ht="20.100000000000001" customHeight="1">
      <c r="C2218" s="1793"/>
      <c r="D2218" s="1793"/>
    </row>
    <row r="2219" spans="3:4" ht="20.100000000000001" customHeight="1">
      <c r="C2219" s="1793"/>
      <c r="D2219" s="1793"/>
    </row>
    <row r="2220" spans="3:4" ht="20.100000000000001" customHeight="1">
      <c r="C2220" s="1793"/>
      <c r="D2220" s="1793"/>
    </row>
    <row r="2221" spans="3:4" ht="20.100000000000001" customHeight="1">
      <c r="C2221" s="1793"/>
      <c r="D2221" s="1793"/>
    </row>
    <row r="2222" spans="3:4" ht="20.100000000000001" customHeight="1">
      <c r="C2222" s="1793"/>
      <c r="D2222" s="1793"/>
    </row>
    <row r="2223" spans="3:4" ht="20.100000000000001" customHeight="1">
      <c r="C2223" s="1793"/>
      <c r="D2223" s="1793"/>
    </row>
    <row r="2224" spans="3:4" ht="20.100000000000001" customHeight="1">
      <c r="C2224" s="1793"/>
      <c r="D2224" s="1793"/>
    </row>
    <row r="2225" spans="3:4" ht="20.100000000000001" customHeight="1">
      <c r="C2225" s="1793"/>
      <c r="D2225" s="1793"/>
    </row>
    <row r="2226" spans="3:4" ht="20.100000000000001" customHeight="1">
      <c r="C2226" s="1793"/>
      <c r="D2226" s="1793"/>
    </row>
    <row r="2227" spans="3:4" ht="20.100000000000001" customHeight="1">
      <c r="C2227" s="1793"/>
      <c r="D2227" s="1793"/>
    </row>
    <row r="2228" spans="3:4" ht="20.100000000000001" customHeight="1">
      <c r="C2228" s="1793"/>
      <c r="D2228" s="1793"/>
    </row>
    <row r="2229" spans="3:4" ht="20.100000000000001" customHeight="1">
      <c r="C2229" s="1793"/>
      <c r="D2229" s="1793"/>
    </row>
    <row r="2230" spans="3:4" ht="20.100000000000001" customHeight="1">
      <c r="C2230" s="1793"/>
      <c r="D2230" s="1793"/>
    </row>
    <row r="2231" spans="3:4" ht="20.100000000000001" customHeight="1">
      <c r="C2231" s="1793"/>
      <c r="D2231" s="1793"/>
    </row>
    <row r="2232" spans="3:4" ht="20.100000000000001" customHeight="1">
      <c r="C2232" s="1793"/>
      <c r="D2232" s="1793"/>
    </row>
    <row r="2233" spans="3:4" ht="20.100000000000001" customHeight="1">
      <c r="C2233" s="1793"/>
      <c r="D2233" s="1793"/>
    </row>
    <row r="2234" spans="3:4" ht="20.100000000000001" customHeight="1">
      <c r="C2234" s="1793"/>
      <c r="D2234" s="1793"/>
    </row>
    <row r="2235" spans="3:4" ht="20.100000000000001" customHeight="1">
      <c r="C2235" s="1793"/>
      <c r="D2235" s="1793"/>
    </row>
    <row r="2236" spans="3:4" ht="20.100000000000001" customHeight="1">
      <c r="C2236" s="1793"/>
      <c r="D2236" s="1793"/>
    </row>
    <row r="2237" spans="3:4" ht="20.100000000000001" customHeight="1">
      <c r="C2237" s="1793"/>
      <c r="D2237" s="1793"/>
    </row>
    <row r="2238" spans="3:4" ht="20.100000000000001" customHeight="1">
      <c r="C2238" s="1793"/>
      <c r="D2238" s="1793"/>
    </row>
    <row r="2239" spans="3:4" ht="20.100000000000001" customHeight="1">
      <c r="C2239" s="1793"/>
      <c r="D2239" s="1793"/>
    </row>
    <row r="2240" spans="3:4" ht="20.100000000000001" customHeight="1">
      <c r="C2240" s="1793"/>
      <c r="D2240" s="1793"/>
    </row>
    <row r="2241" spans="3:4" ht="20.100000000000001" customHeight="1">
      <c r="C2241" s="1793"/>
      <c r="D2241" s="1793"/>
    </row>
    <row r="2242" spans="3:4" ht="20.100000000000001" customHeight="1">
      <c r="C2242" s="1793"/>
      <c r="D2242" s="1793"/>
    </row>
    <row r="2243" spans="3:4" ht="20.100000000000001" customHeight="1">
      <c r="C2243" s="1793"/>
      <c r="D2243" s="1793"/>
    </row>
    <row r="2244" spans="3:4" ht="20.100000000000001" customHeight="1">
      <c r="C2244" s="1793"/>
      <c r="D2244" s="1793"/>
    </row>
    <row r="2245" spans="3:4" ht="20.100000000000001" customHeight="1">
      <c r="C2245" s="1793"/>
      <c r="D2245" s="1793"/>
    </row>
    <row r="2246" spans="3:4" ht="20.100000000000001" customHeight="1">
      <c r="C2246" s="1793"/>
      <c r="D2246" s="1793"/>
    </row>
    <row r="2247" spans="3:4" ht="20.100000000000001" customHeight="1">
      <c r="C2247" s="1793"/>
      <c r="D2247" s="1793"/>
    </row>
    <row r="2248" spans="3:4" ht="20.100000000000001" customHeight="1">
      <c r="C2248" s="1793"/>
      <c r="D2248" s="1793"/>
    </row>
    <row r="2249" spans="3:4" ht="20.100000000000001" customHeight="1">
      <c r="C2249" s="1793"/>
      <c r="D2249" s="1793"/>
    </row>
    <row r="2250" spans="3:4" ht="20.100000000000001" customHeight="1">
      <c r="C2250" s="1793"/>
      <c r="D2250" s="1793"/>
    </row>
    <row r="2251" spans="3:4" ht="20.100000000000001" customHeight="1">
      <c r="C2251" s="1793"/>
      <c r="D2251" s="1793"/>
    </row>
    <row r="2252" spans="3:4" ht="20.100000000000001" customHeight="1">
      <c r="C2252" s="1793"/>
      <c r="D2252" s="1793"/>
    </row>
    <row r="2253" spans="3:4" ht="20.100000000000001" customHeight="1">
      <c r="C2253" s="1793"/>
      <c r="D2253" s="1793"/>
    </row>
    <row r="2254" spans="3:4" ht="20.100000000000001" customHeight="1">
      <c r="C2254" s="1793"/>
      <c r="D2254" s="1793"/>
    </row>
    <row r="2255" spans="3:4" ht="20.100000000000001" customHeight="1">
      <c r="C2255" s="1793"/>
      <c r="D2255" s="1793"/>
    </row>
    <row r="2256" spans="3:4" ht="20.100000000000001" customHeight="1">
      <c r="C2256" s="1793"/>
      <c r="D2256" s="1793"/>
    </row>
    <row r="2257" spans="3:4" ht="20.100000000000001" customHeight="1">
      <c r="C2257" s="1793"/>
      <c r="D2257" s="1793"/>
    </row>
    <row r="2258" spans="3:4" ht="20.100000000000001" customHeight="1">
      <c r="C2258" s="1793"/>
      <c r="D2258" s="1793"/>
    </row>
    <row r="2259" spans="3:4" ht="20.100000000000001" customHeight="1">
      <c r="C2259" s="1793"/>
      <c r="D2259" s="1793"/>
    </row>
    <row r="2260" spans="3:4" ht="20.100000000000001" customHeight="1">
      <c r="C2260" s="1793"/>
      <c r="D2260" s="1793"/>
    </row>
    <row r="2261" spans="3:4" ht="20.100000000000001" customHeight="1">
      <c r="C2261" s="1793"/>
      <c r="D2261" s="1793"/>
    </row>
    <row r="2262" spans="3:4" ht="20.100000000000001" customHeight="1">
      <c r="C2262" s="1793"/>
      <c r="D2262" s="1793"/>
    </row>
    <row r="2263" spans="3:4" ht="20.100000000000001" customHeight="1">
      <c r="C2263" s="1793"/>
      <c r="D2263" s="1793"/>
    </row>
    <row r="2264" spans="3:4" ht="20.100000000000001" customHeight="1">
      <c r="C2264" s="1793"/>
      <c r="D2264" s="1793"/>
    </row>
    <row r="2265" spans="3:4" ht="20.100000000000001" customHeight="1">
      <c r="C2265" s="1793"/>
      <c r="D2265" s="1793"/>
    </row>
    <row r="2266" spans="3:4" ht="20.100000000000001" customHeight="1">
      <c r="C2266" s="1793"/>
      <c r="D2266" s="1793"/>
    </row>
    <row r="2267" spans="3:4" ht="20.100000000000001" customHeight="1">
      <c r="C2267" s="1793"/>
      <c r="D2267" s="1793"/>
    </row>
    <row r="2268" spans="3:4" ht="20.100000000000001" customHeight="1">
      <c r="C2268" s="1793"/>
      <c r="D2268" s="1793"/>
    </row>
    <row r="2269" spans="3:4" ht="20.100000000000001" customHeight="1">
      <c r="C2269" s="1793"/>
      <c r="D2269" s="1793"/>
    </row>
    <row r="2270" spans="3:4" ht="20.100000000000001" customHeight="1">
      <c r="C2270" s="1793"/>
      <c r="D2270" s="1793"/>
    </row>
    <row r="2271" spans="3:4" ht="20.100000000000001" customHeight="1">
      <c r="C2271" s="1793"/>
      <c r="D2271" s="1793"/>
    </row>
    <row r="2272" spans="3:4" ht="20.100000000000001" customHeight="1">
      <c r="C2272" s="1793"/>
      <c r="D2272" s="1793"/>
    </row>
    <row r="2273" spans="3:4" ht="20.100000000000001" customHeight="1">
      <c r="C2273" s="1793"/>
      <c r="D2273" s="1793"/>
    </row>
    <row r="2274" spans="3:4" ht="20.100000000000001" customHeight="1">
      <c r="C2274" s="1793"/>
      <c r="D2274" s="1793"/>
    </row>
    <row r="2275" spans="3:4" ht="20.100000000000001" customHeight="1">
      <c r="C2275" s="1793"/>
      <c r="D2275" s="1793"/>
    </row>
    <row r="2276" spans="3:4" ht="20.100000000000001" customHeight="1">
      <c r="C2276" s="1793"/>
      <c r="D2276" s="1793"/>
    </row>
    <row r="2277" spans="3:4" ht="20.100000000000001" customHeight="1">
      <c r="C2277" s="1793"/>
      <c r="D2277" s="1793"/>
    </row>
    <row r="2278" spans="3:4" ht="20.100000000000001" customHeight="1">
      <c r="C2278" s="1793"/>
      <c r="D2278" s="1793"/>
    </row>
    <row r="2279" spans="3:4" ht="20.100000000000001" customHeight="1">
      <c r="C2279" s="1793"/>
      <c r="D2279" s="1793"/>
    </row>
    <row r="2280" spans="3:4" ht="20.100000000000001" customHeight="1">
      <c r="C2280" s="1793"/>
      <c r="D2280" s="1793"/>
    </row>
    <row r="2281" spans="3:4" ht="20.100000000000001" customHeight="1">
      <c r="C2281" s="1793"/>
      <c r="D2281" s="1793"/>
    </row>
    <row r="2282" spans="3:4" ht="20.100000000000001" customHeight="1">
      <c r="C2282" s="1793"/>
      <c r="D2282" s="1793"/>
    </row>
    <row r="2283" spans="3:4" ht="20.100000000000001" customHeight="1">
      <c r="C2283" s="1793"/>
      <c r="D2283" s="1793"/>
    </row>
    <row r="2284" spans="3:4" ht="20.100000000000001" customHeight="1">
      <c r="C2284" s="1793"/>
      <c r="D2284" s="1793"/>
    </row>
    <row r="2285" spans="3:4" ht="20.100000000000001" customHeight="1">
      <c r="C2285" s="1793"/>
      <c r="D2285" s="1793"/>
    </row>
    <row r="2286" spans="3:4" ht="20.100000000000001" customHeight="1">
      <c r="C2286" s="1793"/>
      <c r="D2286" s="1793"/>
    </row>
    <row r="2287" spans="3:4" ht="20.100000000000001" customHeight="1">
      <c r="C2287" s="1793"/>
      <c r="D2287" s="1793"/>
    </row>
    <row r="2288" spans="3:4" ht="20.100000000000001" customHeight="1">
      <c r="C2288" s="1793"/>
      <c r="D2288" s="1793"/>
    </row>
    <row r="2289" spans="3:4" ht="20.100000000000001" customHeight="1">
      <c r="C2289" s="1793"/>
      <c r="D2289" s="1793"/>
    </row>
    <row r="2290" spans="3:4" ht="20.100000000000001" customHeight="1">
      <c r="C2290" s="1793"/>
      <c r="D2290" s="1793"/>
    </row>
    <row r="2291" spans="3:4" ht="20.100000000000001" customHeight="1">
      <c r="C2291" s="1793"/>
      <c r="D2291" s="1793"/>
    </row>
    <row r="2292" spans="3:4" ht="20.100000000000001" customHeight="1">
      <c r="C2292" s="1793"/>
      <c r="D2292" s="1793"/>
    </row>
    <row r="2293" spans="3:4" ht="20.100000000000001" customHeight="1">
      <c r="C2293" s="1793"/>
      <c r="D2293" s="1793"/>
    </row>
    <row r="2294" spans="3:4" ht="20.100000000000001" customHeight="1">
      <c r="C2294" s="1793"/>
      <c r="D2294" s="1793"/>
    </row>
    <row r="2295" spans="3:4" ht="20.100000000000001" customHeight="1">
      <c r="C2295" s="1793"/>
      <c r="D2295" s="1793"/>
    </row>
    <row r="2296" spans="3:4" ht="20.100000000000001" customHeight="1">
      <c r="C2296" s="1793"/>
      <c r="D2296" s="1793"/>
    </row>
    <row r="2297" spans="3:4" ht="20.100000000000001" customHeight="1">
      <c r="C2297" s="1793"/>
      <c r="D2297" s="1793"/>
    </row>
    <row r="2298" spans="3:4" ht="20.100000000000001" customHeight="1">
      <c r="C2298" s="1793"/>
      <c r="D2298" s="1793"/>
    </row>
    <row r="2299" spans="3:4" ht="20.100000000000001" customHeight="1">
      <c r="C2299" s="1793"/>
      <c r="D2299" s="1793"/>
    </row>
    <row r="2300" spans="3:4" ht="20.100000000000001" customHeight="1">
      <c r="C2300" s="1793"/>
      <c r="D2300" s="1793"/>
    </row>
    <row r="2301" spans="3:4" ht="20.100000000000001" customHeight="1">
      <c r="C2301" s="1793"/>
      <c r="D2301" s="1793"/>
    </row>
    <row r="2302" spans="3:4" ht="20.100000000000001" customHeight="1">
      <c r="C2302" s="1793"/>
      <c r="D2302" s="1793"/>
    </row>
    <row r="2303" spans="3:4" ht="20.100000000000001" customHeight="1">
      <c r="C2303" s="1793"/>
      <c r="D2303" s="1793"/>
    </row>
    <row r="2304" spans="3:4" ht="20.100000000000001" customHeight="1">
      <c r="C2304" s="1793"/>
      <c r="D2304" s="1793"/>
    </row>
    <row r="2305" spans="3:4" ht="20.100000000000001" customHeight="1">
      <c r="C2305" s="1793"/>
      <c r="D2305" s="1793"/>
    </row>
    <row r="2306" spans="3:4" ht="20.100000000000001" customHeight="1">
      <c r="C2306" s="1793"/>
      <c r="D2306" s="1793"/>
    </row>
    <row r="2307" spans="3:4" ht="20.100000000000001" customHeight="1">
      <c r="C2307" s="1793"/>
      <c r="D2307" s="1793"/>
    </row>
    <row r="2308" spans="3:4" ht="20.100000000000001" customHeight="1">
      <c r="C2308" s="1793"/>
      <c r="D2308" s="1793"/>
    </row>
    <row r="2309" spans="3:4" ht="20.100000000000001" customHeight="1">
      <c r="C2309" s="1793"/>
      <c r="D2309" s="1793"/>
    </row>
    <row r="2310" spans="3:4" ht="20.100000000000001" customHeight="1">
      <c r="C2310" s="1793"/>
      <c r="D2310" s="1793"/>
    </row>
    <row r="2311" spans="3:4" ht="20.100000000000001" customHeight="1">
      <c r="C2311" s="1793"/>
      <c r="D2311" s="1793"/>
    </row>
    <row r="2312" spans="3:4" ht="20.100000000000001" customHeight="1">
      <c r="C2312" s="1793"/>
      <c r="D2312" s="1793"/>
    </row>
    <row r="2313" spans="3:4" ht="20.100000000000001" customHeight="1">
      <c r="C2313" s="1793"/>
      <c r="D2313" s="1793"/>
    </row>
    <row r="2314" spans="3:4" ht="20.100000000000001" customHeight="1">
      <c r="C2314" s="1793"/>
      <c r="D2314" s="1793"/>
    </row>
    <row r="2315" spans="3:4" ht="20.100000000000001" customHeight="1">
      <c r="C2315" s="1793"/>
      <c r="D2315" s="1793"/>
    </row>
    <row r="2316" spans="3:4" ht="20.100000000000001" customHeight="1">
      <c r="C2316" s="1793"/>
      <c r="D2316" s="1793"/>
    </row>
    <row r="2317" spans="3:4" ht="20.100000000000001" customHeight="1">
      <c r="C2317" s="1793"/>
      <c r="D2317" s="1793"/>
    </row>
    <row r="2318" spans="3:4" ht="20.100000000000001" customHeight="1">
      <c r="C2318" s="1793"/>
      <c r="D2318" s="1793"/>
    </row>
    <row r="2319" spans="3:4" ht="20.100000000000001" customHeight="1">
      <c r="C2319" s="1793"/>
      <c r="D2319" s="1793"/>
    </row>
    <row r="2320" spans="3:4" ht="20.100000000000001" customHeight="1">
      <c r="C2320" s="1793"/>
      <c r="D2320" s="1793"/>
    </row>
    <row r="2321" spans="3:4" ht="20.100000000000001" customHeight="1">
      <c r="C2321" s="1793"/>
      <c r="D2321" s="1793"/>
    </row>
    <row r="2322" spans="3:4" ht="20.100000000000001" customHeight="1">
      <c r="C2322" s="1793"/>
      <c r="D2322" s="1793"/>
    </row>
    <row r="2323" spans="3:4" ht="20.100000000000001" customHeight="1">
      <c r="C2323" s="1793"/>
      <c r="D2323" s="1793"/>
    </row>
    <row r="2324" spans="3:4" ht="20.100000000000001" customHeight="1">
      <c r="C2324" s="1793"/>
      <c r="D2324" s="1793"/>
    </row>
    <row r="2325" spans="3:4" ht="20.100000000000001" customHeight="1">
      <c r="C2325" s="1793"/>
      <c r="D2325" s="1793"/>
    </row>
    <row r="2326" spans="3:4" ht="20.100000000000001" customHeight="1">
      <c r="C2326" s="1793"/>
      <c r="D2326" s="1793"/>
    </row>
    <row r="2327" spans="3:4" ht="20.100000000000001" customHeight="1">
      <c r="C2327" s="1793"/>
      <c r="D2327" s="1793"/>
    </row>
    <row r="2328" spans="3:4" ht="20.100000000000001" customHeight="1">
      <c r="C2328" s="1793"/>
      <c r="D2328" s="1793"/>
    </row>
    <row r="2329" spans="3:4" ht="20.100000000000001" customHeight="1">
      <c r="C2329" s="1793"/>
      <c r="D2329" s="1793"/>
    </row>
    <row r="2330" spans="3:4" ht="20.100000000000001" customHeight="1">
      <c r="C2330" s="1793"/>
      <c r="D2330" s="1793"/>
    </row>
    <row r="2331" spans="3:4" ht="20.100000000000001" customHeight="1">
      <c r="C2331" s="1793"/>
      <c r="D2331" s="1793"/>
    </row>
    <row r="2332" spans="3:4" ht="20.100000000000001" customHeight="1">
      <c r="C2332" s="1793"/>
      <c r="D2332" s="1793"/>
    </row>
    <row r="2333" spans="3:4" ht="20.100000000000001" customHeight="1">
      <c r="C2333" s="1793"/>
      <c r="D2333" s="1793"/>
    </row>
    <row r="2334" spans="3:4" ht="20.100000000000001" customHeight="1">
      <c r="C2334" s="1793"/>
      <c r="D2334" s="1793"/>
    </row>
    <row r="2335" spans="3:4" ht="20.100000000000001" customHeight="1">
      <c r="C2335" s="1793"/>
      <c r="D2335" s="1793"/>
    </row>
    <row r="2336" spans="3:4" ht="20.100000000000001" customHeight="1">
      <c r="C2336" s="1793"/>
      <c r="D2336" s="1793"/>
    </row>
    <row r="2337" spans="3:4" ht="20.100000000000001" customHeight="1">
      <c r="C2337" s="1793"/>
      <c r="D2337" s="1793"/>
    </row>
    <row r="2338" spans="3:4" ht="20.100000000000001" customHeight="1">
      <c r="C2338" s="1793"/>
      <c r="D2338" s="1793"/>
    </row>
    <row r="2339" spans="3:4" ht="20.100000000000001" customHeight="1">
      <c r="C2339" s="1793"/>
      <c r="D2339" s="1793"/>
    </row>
    <row r="2340" spans="3:4" ht="20.100000000000001" customHeight="1">
      <c r="C2340" s="1793"/>
      <c r="D2340" s="1793"/>
    </row>
    <row r="2341" spans="3:4" ht="20.100000000000001" customHeight="1">
      <c r="C2341" s="1793"/>
      <c r="D2341" s="1793"/>
    </row>
    <row r="2342" spans="3:4" ht="20.100000000000001" customHeight="1">
      <c r="C2342" s="1793"/>
      <c r="D2342" s="1793"/>
    </row>
    <row r="2343" spans="3:4" ht="20.100000000000001" customHeight="1">
      <c r="C2343" s="1793"/>
      <c r="D2343" s="1793"/>
    </row>
    <row r="2344" spans="3:4" ht="20.100000000000001" customHeight="1">
      <c r="C2344" s="1793"/>
      <c r="D2344" s="1793"/>
    </row>
    <row r="2345" spans="3:4" ht="20.100000000000001" customHeight="1">
      <c r="C2345" s="1793"/>
      <c r="D2345" s="1793"/>
    </row>
    <row r="2346" spans="3:4" ht="20.100000000000001" customHeight="1">
      <c r="C2346" s="1793"/>
      <c r="D2346" s="1793"/>
    </row>
    <row r="2347" spans="3:4" ht="20.100000000000001" customHeight="1">
      <c r="C2347" s="1793"/>
      <c r="D2347" s="1793"/>
    </row>
    <row r="2348" spans="3:4" ht="20.100000000000001" customHeight="1">
      <c r="C2348" s="1793"/>
      <c r="D2348" s="1793"/>
    </row>
    <row r="2349" spans="3:4" ht="20.100000000000001" customHeight="1">
      <c r="C2349" s="1793"/>
      <c r="D2349" s="1793"/>
    </row>
    <row r="2350" spans="3:4" ht="20.100000000000001" customHeight="1">
      <c r="C2350" s="1793"/>
      <c r="D2350" s="1793"/>
    </row>
    <row r="2351" spans="3:4" ht="20.100000000000001" customHeight="1">
      <c r="C2351" s="1793"/>
      <c r="D2351" s="1793"/>
    </row>
    <row r="2352" spans="3:4" ht="20.100000000000001" customHeight="1">
      <c r="C2352" s="1793"/>
      <c r="D2352" s="1793"/>
    </row>
    <row r="2353" spans="3:4" ht="20.100000000000001" customHeight="1">
      <c r="C2353" s="1793"/>
      <c r="D2353" s="1793"/>
    </row>
    <row r="2354" spans="3:4" ht="20.100000000000001" customHeight="1">
      <c r="C2354" s="1793"/>
      <c r="D2354" s="1793"/>
    </row>
    <row r="2355" spans="3:4" ht="20.100000000000001" customHeight="1">
      <c r="C2355" s="1793"/>
      <c r="D2355" s="1793"/>
    </row>
    <row r="2356" spans="3:4" ht="20.100000000000001" customHeight="1">
      <c r="C2356" s="1793"/>
      <c r="D2356" s="1793"/>
    </row>
    <row r="2357" spans="3:4" ht="20.100000000000001" customHeight="1">
      <c r="C2357" s="1793"/>
      <c r="D2357" s="1793"/>
    </row>
    <row r="2358" spans="3:4" ht="20.100000000000001" customHeight="1">
      <c r="C2358" s="1793"/>
      <c r="D2358" s="1793"/>
    </row>
    <row r="2359" spans="3:4" ht="20.100000000000001" customHeight="1">
      <c r="C2359" s="1793"/>
      <c r="D2359" s="1793"/>
    </row>
    <row r="2360" spans="3:4" ht="20.100000000000001" customHeight="1">
      <c r="C2360" s="1793"/>
      <c r="D2360" s="1793"/>
    </row>
    <row r="2361" spans="3:4" ht="20.100000000000001" customHeight="1">
      <c r="C2361" s="1793"/>
      <c r="D2361" s="1793"/>
    </row>
    <row r="2362" spans="3:4" ht="20.100000000000001" customHeight="1">
      <c r="C2362" s="1793"/>
      <c r="D2362" s="1793"/>
    </row>
    <row r="2363" spans="3:4" ht="20.100000000000001" customHeight="1">
      <c r="C2363" s="1793"/>
      <c r="D2363" s="1793"/>
    </row>
    <row r="2364" spans="3:4" ht="20.100000000000001" customHeight="1">
      <c r="C2364" s="1793"/>
      <c r="D2364" s="1793"/>
    </row>
    <row r="2365" spans="3:4" ht="20.100000000000001" customHeight="1">
      <c r="C2365" s="1793"/>
      <c r="D2365" s="1793"/>
    </row>
    <row r="2366" spans="3:4" ht="20.100000000000001" customHeight="1">
      <c r="C2366" s="1793"/>
      <c r="D2366" s="1793"/>
    </row>
    <row r="2367" spans="3:4" ht="20.100000000000001" customHeight="1">
      <c r="C2367" s="1793"/>
      <c r="D2367" s="1793"/>
    </row>
    <row r="2368" spans="3:4" ht="20.100000000000001" customHeight="1">
      <c r="C2368" s="1793"/>
      <c r="D2368" s="1793"/>
    </row>
    <row r="2369" spans="3:4" ht="20.100000000000001" customHeight="1">
      <c r="C2369" s="1793"/>
      <c r="D2369" s="1793"/>
    </row>
    <row r="2370" spans="3:4" ht="20.100000000000001" customHeight="1">
      <c r="C2370" s="1793"/>
      <c r="D2370" s="1793"/>
    </row>
    <row r="2371" spans="3:4" ht="20.100000000000001" customHeight="1">
      <c r="C2371" s="1793"/>
      <c r="D2371" s="1793"/>
    </row>
    <row r="2372" spans="3:4" ht="20.100000000000001" customHeight="1">
      <c r="C2372" s="1793"/>
      <c r="D2372" s="1793"/>
    </row>
    <row r="2373" spans="3:4" ht="20.100000000000001" customHeight="1">
      <c r="C2373" s="1793"/>
      <c r="D2373" s="1793"/>
    </row>
    <row r="2374" spans="3:4" ht="20.100000000000001" customHeight="1">
      <c r="C2374" s="1793"/>
      <c r="D2374" s="1793"/>
    </row>
    <row r="2375" spans="3:4" ht="20.100000000000001" customHeight="1">
      <c r="C2375" s="1793"/>
      <c r="D2375" s="1793"/>
    </row>
    <row r="2376" spans="3:4" ht="20.100000000000001" customHeight="1">
      <c r="C2376" s="1793"/>
      <c r="D2376" s="1793"/>
    </row>
    <row r="2377" spans="3:4" ht="20.100000000000001" customHeight="1">
      <c r="C2377" s="1793"/>
      <c r="D2377" s="1793"/>
    </row>
    <row r="2378" spans="3:4" ht="20.100000000000001" customHeight="1">
      <c r="C2378" s="1793"/>
      <c r="D2378" s="1793"/>
    </row>
    <row r="2379" spans="3:4" ht="20.100000000000001" customHeight="1">
      <c r="C2379" s="1793"/>
      <c r="D2379" s="1793"/>
    </row>
    <row r="2380" spans="3:4" ht="20.100000000000001" customHeight="1">
      <c r="C2380" s="1793"/>
      <c r="D2380" s="1793"/>
    </row>
    <row r="2381" spans="3:4" ht="20.100000000000001" customHeight="1">
      <c r="C2381" s="1793"/>
      <c r="D2381" s="1793"/>
    </row>
    <row r="2382" spans="3:4" ht="20.100000000000001" customHeight="1">
      <c r="C2382" s="1793"/>
      <c r="D2382" s="1793"/>
    </row>
    <row r="2383" spans="3:4" ht="20.100000000000001" customHeight="1">
      <c r="C2383" s="1793"/>
      <c r="D2383" s="1793"/>
    </row>
    <row r="2384" spans="3:4" ht="20.100000000000001" customHeight="1">
      <c r="C2384" s="1793"/>
      <c r="D2384" s="1793"/>
    </row>
    <row r="2385" spans="3:4" ht="20.100000000000001" customHeight="1">
      <c r="C2385" s="1793"/>
      <c r="D2385" s="1793"/>
    </row>
    <row r="2386" spans="3:4" ht="20.100000000000001" customHeight="1">
      <c r="C2386" s="1793"/>
      <c r="D2386" s="1793"/>
    </row>
    <row r="2387" spans="3:4" ht="20.100000000000001" customHeight="1">
      <c r="C2387" s="1793"/>
      <c r="D2387" s="1793"/>
    </row>
    <row r="2388" spans="3:4" ht="20.100000000000001" customHeight="1">
      <c r="C2388" s="1793"/>
      <c r="D2388" s="1793"/>
    </row>
    <row r="2389" spans="3:4" ht="20.100000000000001" customHeight="1">
      <c r="C2389" s="1793"/>
      <c r="D2389" s="1793"/>
    </row>
    <row r="2390" spans="3:4" ht="20.100000000000001" customHeight="1">
      <c r="C2390" s="1793"/>
      <c r="D2390" s="1793"/>
    </row>
    <row r="2391" spans="3:4" ht="20.100000000000001" customHeight="1">
      <c r="C2391" s="1793"/>
      <c r="D2391" s="1793"/>
    </row>
    <row r="2392" spans="3:4" ht="20.100000000000001" customHeight="1">
      <c r="C2392" s="1793"/>
      <c r="D2392" s="1793"/>
    </row>
    <row r="2393" spans="3:4" ht="20.100000000000001" customHeight="1">
      <c r="C2393" s="1793"/>
      <c r="D2393" s="1793"/>
    </row>
    <row r="2394" spans="3:4" ht="20.100000000000001" customHeight="1">
      <c r="C2394" s="1793"/>
      <c r="D2394" s="1793"/>
    </row>
    <row r="2395" spans="3:4" ht="20.100000000000001" customHeight="1">
      <c r="C2395" s="1793"/>
      <c r="D2395" s="1793"/>
    </row>
    <row r="2396" spans="3:4" ht="20.100000000000001" customHeight="1">
      <c r="C2396" s="1793"/>
      <c r="D2396" s="1793"/>
    </row>
    <row r="2397" spans="3:4" ht="20.100000000000001" customHeight="1">
      <c r="C2397" s="1793"/>
      <c r="D2397" s="1793"/>
    </row>
    <row r="2398" spans="3:4" ht="20.100000000000001" customHeight="1">
      <c r="C2398" s="1793"/>
      <c r="D2398" s="1793"/>
    </row>
    <row r="2399" spans="3:4" ht="20.100000000000001" customHeight="1">
      <c r="C2399" s="1793"/>
      <c r="D2399" s="1793"/>
    </row>
    <row r="2400" spans="3:4" ht="20.100000000000001" customHeight="1">
      <c r="C2400" s="1793"/>
      <c r="D2400" s="1793"/>
    </row>
    <row r="2401" spans="3:4" ht="20.100000000000001" customHeight="1">
      <c r="C2401" s="1793"/>
      <c r="D2401" s="1793"/>
    </row>
    <row r="2402" spans="3:4" ht="20.100000000000001" customHeight="1">
      <c r="C2402" s="1793"/>
      <c r="D2402" s="1793"/>
    </row>
    <row r="2403" spans="3:4" ht="20.100000000000001" customHeight="1">
      <c r="C2403" s="1793"/>
      <c r="D2403" s="1793"/>
    </row>
    <row r="2404" spans="3:4" ht="20.100000000000001" customHeight="1">
      <c r="C2404" s="1793"/>
      <c r="D2404" s="1793"/>
    </row>
    <row r="2405" spans="3:4" ht="20.100000000000001" customHeight="1">
      <c r="C2405" s="1793"/>
      <c r="D2405" s="1793"/>
    </row>
    <row r="2406" spans="3:4" ht="20.100000000000001" customHeight="1">
      <c r="C2406" s="1793"/>
      <c r="D2406" s="1793"/>
    </row>
    <row r="2407" spans="3:4" ht="20.100000000000001" customHeight="1">
      <c r="C2407" s="1793"/>
      <c r="D2407" s="1793"/>
    </row>
    <row r="2408" spans="3:4" ht="20.100000000000001" customHeight="1">
      <c r="C2408" s="1793"/>
      <c r="D2408" s="1793"/>
    </row>
    <row r="2409" spans="3:4" ht="20.100000000000001" customHeight="1">
      <c r="C2409" s="1793"/>
      <c r="D2409" s="1793"/>
    </row>
    <row r="2410" spans="3:4" ht="20.100000000000001" customHeight="1">
      <c r="C2410" s="1793"/>
      <c r="D2410" s="1793"/>
    </row>
    <row r="2411" spans="3:4" ht="20.100000000000001" customHeight="1">
      <c r="C2411" s="1793"/>
      <c r="D2411" s="1793"/>
    </row>
    <row r="2412" spans="3:4" ht="20.100000000000001" customHeight="1">
      <c r="C2412" s="1793"/>
      <c r="D2412" s="1793"/>
    </row>
    <row r="2413" spans="3:4" ht="20.100000000000001" customHeight="1">
      <c r="C2413" s="1793"/>
      <c r="D2413" s="1793"/>
    </row>
    <row r="2414" spans="3:4" ht="20.100000000000001" customHeight="1">
      <c r="C2414" s="1793"/>
      <c r="D2414" s="1793"/>
    </row>
    <row r="2415" spans="3:4" ht="20.100000000000001" customHeight="1">
      <c r="C2415" s="1793"/>
      <c r="D2415" s="1793"/>
    </row>
    <row r="2416" spans="3:4" ht="20.100000000000001" customHeight="1">
      <c r="C2416" s="1793"/>
      <c r="D2416" s="1793"/>
    </row>
    <row r="2417" spans="3:4" ht="20.100000000000001" customHeight="1">
      <c r="C2417" s="1793"/>
      <c r="D2417" s="1793"/>
    </row>
    <row r="2418" spans="3:4" ht="20.100000000000001" customHeight="1">
      <c r="C2418" s="1793"/>
      <c r="D2418" s="1793"/>
    </row>
    <row r="2419" spans="3:4" ht="20.100000000000001" customHeight="1">
      <c r="C2419" s="1793"/>
      <c r="D2419" s="1793"/>
    </row>
    <row r="2420" spans="3:4" ht="20.100000000000001" customHeight="1">
      <c r="C2420" s="1793"/>
      <c r="D2420" s="1793"/>
    </row>
    <row r="2421" spans="3:4" ht="20.100000000000001" customHeight="1">
      <c r="C2421" s="1793"/>
      <c r="D2421" s="1793"/>
    </row>
    <row r="2422" spans="3:4" ht="20.100000000000001" customHeight="1">
      <c r="C2422" s="1793"/>
      <c r="D2422" s="1793"/>
    </row>
    <row r="2423" spans="3:4" ht="20.100000000000001" customHeight="1">
      <c r="C2423" s="1793"/>
      <c r="D2423" s="1793"/>
    </row>
    <row r="2424" spans="3:4" ht="20.100000000000001" customHeight="1">
      <c r="C2424" s="1793"/>
      <c r="D2424" s="1793"/>
    </row>
    <row r="2425" spans="3:4" ht="20.100000000000001" customHeight="1">
      <c r="C2425" s="1793"/>
      <c r="D2425" s="1793"/>
    </row>
    <row r="2426" spans="3:4" ht="20.100000000000001" customHeight="1">
      <c r="C2426" s="1793"/>
      <c r="D2426" s="1793"/>
    </row>
    <row r="2427" spans="3:4" ht="20.100000000000001" customHeight="1">
      <c r="C2427" s="1793"/>
      <c r="D2427" s="1793"/>
    </row>
    <row r="2428" spans="3:4" ht="20.100000000000001" customHeight="1">
      <c r="C2428" s="1793"/>
      <c r="D2428" s="1793"/>
    </row>
    <row r="2429" spans="3:4" ht="20.100000000000001" customHeight="1">
      <c r="C2429" s="1793"/>
      <c r="D2429" s="1793"/>
    </row>
    <row r="2430" spans="3:4" ht="20.100000000000001" customHeight="1">
      <c r="C2430" s="1793"/>
      <c r="D2430" s="1793"/>
    </row>
    <row r="2431" spans="3:4" ht="20.100000000000001" customHeight="1">
      <c r="C2431" s="1793"/>
      <c r="D2431" s="1793"/>
    </row>
    <row r="2432" spans="3:4" ht="20.100000000000001" customHeight="1">
      <c r="C2432" s="1793"/>
      <c r="D2432" s="1793"/>
    </row>
    <row r="2433" spans="3:4" ht="20.100000000000001" customHeight="1">
      <c r="C2433" s="1793"/>
      <c r="D2433" s="1793"/>
    </row>
    <row r="2434" spans="3:4" ht="20.100000000000001" customHeight="1">
      <c r="C2434" s="1793"/>
      <c r="D2434" s="1793"/>
    </row>
    <row r="2435" spans="3:4" ht="20.100000000000001" customHeight="1">
      <c r="C2435" s="1793"/>
      <c r="D2435" s="1793"/>
    </row>
    <row r="2436" spans="3:4" ht="20.100000000000001" customHeight="1">
      <c r="C2436" s="1793"/>
      <c r="D2436" s="1793"/>
    </row>
    <row r="2437" spans="3:4" ht="20.100000000000001" customHeight="1">
      <c r="C2437" s="1793"/>
      <c r="D2437" s="1793"/>
    </row>
    <row r="2438" spans="3:4" ht="20.100000000000001" customHeight="1">
      <c r="C2438" s="1793"/>
      <c r="D2438" s="1793"/>
    </row>
    <row r="2439" spans="3:4" ht="20.100000000000001" customHeight="1">
      <c r="C2439" s="1793"/>
      <c r="D2439" s="1793"/>
    </row>
    <row r="2440" spans="3:4" ht="20.100000000000001" customHeight="1">
      <c r="C2440" s="1793"/>
      <c r="D2440" s="1793"/>
    </row>
    <row r="2441" spans="3:4" ht="20.100000000000001" customHeight="1">
      <c r="C2441" s="1793"/>
      <c r="D2441" s="1793"/>
    </row>
    <row r="2442" spans="3:4" ht="20.100000000000001" customHeight="1">
      <c r="C2442" s="1793"/>
      <c r="D2442" s="1793"/>
    </row>
    <row r="2443" spans="3:4" ht="20.100000000000001" customHeight="1">
      <c r="C2443" s="1793"/>
      <c r="D2443" s="1793"/>
    </row>
    <row r="2444" spans="3:4" ht="20.100000000000001" customHeight="1">
      <c r="C2444" s="1793"/>
      <c r="D2444" s="1793"/>
    </row>
    <row r="2445" spans="3:4" ht="20.100000000000001" customHeight="1">
      <c r="C2445" s="1793"/>
      <c r="D2445" s="1793"/>
    </row>
    <row r="2446" spans="3:4" ht="20.100000000000001" customHeight="1">
      <c r="C2446" s="1793"/>
      <c r="D2446" s="1793"/>
    </row>
    <row r="2447" spans="3:4" ht="20.100000000000001" customHeight="1">
      <c r="C2447" s="1793"/>
      <c r="D2447" s="1793"/>
    </row>
    <row r="2448" spans="3:4" ht="20.100000000000001" customHeight="1">
      <c r="C2448" s="1793"/>
      <c r="D2448" s="1793"/>
    </row>
    <row r="2449" spans="3:4" ht="20.100000000000001" customHeight="1">
      <c r="C2449" s="1793"/>
      <c r="D2449" s="1793"/>
    </row>
    <row r="2450" spans="3:4" ht="20.100000000000001" customHeight="1">
      <c r="C2450" s="1793"/>
      <c r="D2450" s="1793"/>
    </row>
    <row r="2451" spans="3:4" ht="20.100000000000001" customHeight="1">
      <c r="C2451" s="1793"/>
      <c r="D2451" s="1793"/>
    </row>
    <row r="2452" spans="3:4" ht="20.100000000000001" customHeight="1">
      <c r="C2452" s="1793"/>
      <c r="D2452" s="1793"/>
    </row>
    <row r="2453" spans="3:4" ht="20.100000000000001" customHeight="1">
      <c r="C2453" s="1793"/>
      <c r="D2453" s="1793"/>
    </row>
    <row r="2454" spans="3:4" ht="20.100000000000001" customHeight="1">
      <c r="C2454" s="1793"/>
      <c r="D2454" s="1793"/>
    </row>
    <row r="2455" spans="3:4" ht="20.100000000000001" customHeight="1">
      <c r="C2455" s="1793"/>
      <c r="D2455" s="1793"/>
    </row>
    <row r="2456" spans="3:4" ht="20.100000000000001" customHeight="1">
      <c r="C2456" s="1793"/>
      <c r="D2456" s="1793"/>
    </row>
    <row r="2457" spans="3:4" ht="20.100000000000001" customHeight="1">
      <c r="C2457" s="1793"/>
      <c r="D2457" s="1793"/>
    </row>
    <row r="2458" spans="3:4" ht="20.100000000000001" customHeight="1">
      <c r="C2458" s="1793"/>
      <c r="D2458" s="1793"/>
    </row>
    <row r="2459" spans="3:4" ht="20.100000000000001" customHeight="1">
      <c r="C2459" s="1793"/>
      <c r="D2459" s="1793"/>
    </row>
    <row r="2460" spans="3:4" ht="20.100000000000001" customHeight="1">
      <c r="C2460" s="1793"/>
      <c r="D2460" s="1793"/>
    </row>
    <row r="2461" spans="3:4" ht="20.100000000000001" customHeight="1">
      <c r="C2461" s="1793"/>
      <c r="D2461" s="1793"/>
    </row>
    <row r="2462" spans="3:4" ht="20.100000000000001" customHeight="1">
      <c r="C2462" s="1793"/>
      <c r="D2462" s="1793"/>
    </row>
    <row r="2463" spans="3:4" ht="20.100000000000001" customHeight="1">
      <c r="C2463" s="1793"/>
      <c r="D2463" s="1793"/>
    </row>
    <row r="2464" spans="3:4" ht="20.100000000000001" customHeight="1">
      <c r="C2464" s="1793"/>
      <c r="D2464" s="1793"/>
    </row>
    <row r="2465" spans="3:4" ht="20.100000000000001" customHeight="1">
      <c r="C2465" s="1793"/>
      <c r="D2465" s="1793"/>
    </row>
    <row r="2466" spans="3:4" ht="20.100000000000001" customHeight="1">
      <c r="C2466" s="1793"/>
      <c r="D2466" s="1793"/>
    </row>
    <row r="2467" spans="3:4" ht="20.100000000000001" customHeight="1">
      <c r="C2467" s="1793"/>
      <c r="D2467" s="1793"/>
    </row>
    <row r="2468" spans="3:4" ht="20.100000000000001" customHeight="1">
      <c r="C2468" s="1793"/>
      <c r="D2468" s="1793"/>
    </row>
    <row r="2469" spans="3:4" ht="20.100000000000001" customHeight="1">
      <c r="C2469" s="1793"/>
      <c r="D2469" s="1793"/>
    </row>
    <row r="2470" spans="3:4" ht="20.100000000000001" customHeight="1">
      <c r="C2470" s="1793"/>
      <c r="D2470" s="1793"/>
    </row>
    <row r="2471" spans="3:4" ht="20.100000000000001" customHeight="1">
      <c r="C2471" s="1793"/>
      <c r="D2471" s="1793"/>
    </row>
    <row r="2472" spans="3:4" ht="20.100000000000001" customHeight="1">
      <c r="C2472" s="1793"/>
      <c r="D2472" s="1793"/>
    </row>
    <row r="2473" spans="3:4" ht="20.100000000000001" customHeight="1">
      <c r="C2473" s="1793"/>
      <c r="D2473" s="1793"/>
    </row>
    <row r="2474" spans="3:4" ht="20.100000000000001" customHeight="1">
      <c r="C2474" s="1793"/>
      <c r="D2474" s="1793"/>
    </row>
    <row r="2475" spans="3:4" ht="20.100000000000001" customHeight="1">
      <c r="C2475" s="1793"/>
      <c r="D2475" s="1793"/>
    </row>
    <row r="2476" spans="3:4" ht="20.100000000000001" customHeight="1">
      <c r="C2476" s="1793"/>
      <c r="D2476" s="1793"/>
    </row>
    <row r="2477" spans="3:4" ht="20.100000000000001" customHeight="1">
      <c r="C2477" s="1793"/>
      <c r="D2477" s="1793"/>
    </row>
    <row r="2478" spans="3:4" ht="20.100000000000001" customHeight="1">
      <c r="C2478" s="1793"/>
      <c r="D2478" s="1793"/>
    </row>
    <row r="2479" spans="3:4" ht="20.100000000000001" customHeight="1">
      <c r="C2479" s="1793"/>
      <c r="D2479" s="1793"/>
    </row>
    <row r="2480" spans="3:4" ht="20.100000000000001" customHeight="1">
      <c r="C2480" s="1793"/>
      <c r="D2480" s="1793"/>
    </row>
    <row r="2481" spans="3:4" ht="20.100000000000001" customHeight="1">
      <c r="C2481" s="1793"/>
      <c r="D2481" s="1793"/>
    </row>
    <row r="2482" spans="3:4" ht="20.100000000000001" customHeight="1">
      <c r="C2482" s="1793"/>
      <c r="D2482" s="1793"/>
    </row>
    <row r="2483" spans="3:4" ht="20.100000000000001" customHeight="1">
      <c r="C2483" s="1793"/>
      <c r="D2483" s="1793"/>
    </row>
    <row r="2484" spans="3:4" ht="20.100000000000001" customHeight="1">
      <c r="C2484" s="1793"/>
      <c r="D2484" s="1793"/>
    </row>
    <row r="2485" spans="3:4" ht="20.100000000000001" customHeight="1">
      <c r="C2485" s="1793"/>
      <c r="D2485" s="1793"/>
    </row>
    <row r="2486" spans="3:4" ht="20.100000000000001" customHeight="1">
      <c r="C2486" s="1793"/>
      <c r="D2486" s="1793"/>
    </row>
    <row r="2487" spans="3:4" ht="20.100000000000001" customHeight="1">
      <c r="C2487" s="1793"/>
      <c r="D2487" s="1793"/>
    </row>
    <row r="2488" spans="3:4" ht="20.100000000000001" customHeight="1">
      <c r="C2488" s="1793"/>
      <c r="D2488" s="1793"/>
    </row>
    <row r="2489" spans="3:4" ht="20.100000000000001" customHeight="1">
      <c r="C2489" s="1793"/>
      <c r="D2489" s="1793"/>
    </row>
    <row r="2490" spans="3:4" ht="20.100000000000001" customHeight="1">
      <c r="C2490" s="1793"/>
      <c r="D2490" s="1793"/>
    </row>
    <row r="2491" spans="3:4" ht="20.100000000000001" customHeight="1">
      <c r="C2491" s="1793"/>
      <c r="D2491" s="1793"/>
    </row>
    <row r="2492" spans="3:4" ht="20.100000000000001" customHeight="1">
      <c r="C2492" s="1793"/>
      <c r="D2492" s="1793"/>
    </row>
    <row r="2493" spans="3:4" ht="20.100000000000001" customHeight="1">
      <c r="C2493" s="1793"/>
      <c r="D2493" s="1793"/>
    </row>
    <row r="2494" spans="3:4" ht="20.100000000000001" customHeight="1">
      <c r="C2494" s="1793"/>
      <c r="D2494" s="1793"/>
    </row>
    <row r="2495" spans="3:4" ht="20.100000000000001" customHeight="1">
      <c r="C2495" s="1793"/>
      <c r="D2495" s="1793"/>
    </row>
    <row r="2496" spans="3:4" ht="20.100000000000001" customHeight="1">
      <c r="C2496" s="1793"/>
      <c r="D2496" s="1793"/>
    </row>
    <row r="2497" spans="3:4" ht="20.100000000000001" customHeight="1">
      <c r="C2497" s="1793"/>
      <c r="D2497" s="1793"/>
    </row>
    <row r="2498" spans="3:4" ht="20.100000000000001" customHeight="1">
      <c r="C2498" s="1793"/>
      <c r="D2498" s="1793"/>
    </row>
    <row r="2499" spans="3:4" ht="20.100000000000001" customHeight="1">
      <c r="C2499" s="1793"/>
      <c r="D2499" s="1793"/>
    </row>
    <row r="2500" spans="3:4" ht="20.100000000000001" customHeight="1">
      <c r="C2500" s="1793"/>
      <c r="D2500" s="1793"/>
    </row>
    <row r="2501" spans="3:4" ht="20.100000000000001" customHeight="1">
      <c r="C2501" s="1793"/>
      <c r="D2501" s="1793"/>
    </row>
    <row r="2502" spans="3:4" ht="20.100000000000001" customHeight="1">
      <c r="C2502" s="1793"/>
      <c r="D2502" s="1793"/>
    </row>
    <row r="2503" spans="3:4" ht="20.100000000000001" customHeight="1">
      <c r="C2503" s="1793"/>
      <c r="D2503" s="1793"/>
    </row>
    <row r="2504" spans="3:4" ht="20.100000000000001" customHeight="1">
      <c r="C2504" s="1793"/>
      <c r="D2504" s="1793"/>
    </row>
    <row r="2505" spans="3:4" ht="20.100000000000001" customHeight="1">
      <c r="C2505" s="1793"/>
      <c r="D2505" s="1793"/>
    </row>
    <row r="2506" spans="3:4" ht="20.100000000000001" customHeight="1">
      <c r="C2506" s="1793"/>
      <c r="D2506" s="1793"/>
    </row>
    <row r="2507" spans="3:4" ht="20.100000000000001" customHeight="1">
      <c r="C2507" s="1793"/>
      <c r="D2507" s="1793"/>
    </row>
    <row r="2508" spans="3:4" ht="20.100000000000001" customHeight="1">
      <c r="C2508" s="1793"/>
      <c r="D2508" s="1793"/>
    </row>
    <row r="2509" spans="3:4" ht="20.100000000000001" customHeight="1">
      <c r="C2509" s="1793"/>
      <c r="D2509" s="1793"/>
    </row>
    <row r="2510" spans="3:4" ht="20.100000000000001" customHeight="1">
      <c r="C2510" s="1793"/>
      <c r="D2510" s="1793"/>
    </row>
    <row r="2511" spans="3:4" ht="20.100000000000001" customHeight="1">
      <c r="C2511" s="1793"/>
      <c r="D2511" s="1793"/>
    </row>
    <row r="2512" spans="3:4" ht="20.100000000000001" customHeight="1">
      <c r="C2512" s="1793"/>
      <c r="D2512" s="1793"/>
    </row>
    <row r="2513" spans="3:4" ht="20.100000000000001" customHeight="1">
      <c r="C2513" s="1793"/>
      <c r="D2513" s="1793"/>
    </row>
    <row r="2514" spans="3:4" ht="20.100000000000001" customHeight="1">
      <c r="C2514" s="1793"/>
      <c r="D2514" s="1793"/>
    </row>
    <row r="2515" spans="3:4" ht="20.100000000000001" customHeight="1">
      <c r="C2515" s="1793"/>
      <c r="D2515" s="1793"/>
    </row>
    <row r="2516" spans="3:4" ht="20.100000000000001" customHeight="1">
      <c r="C2516" s="1793"/>
      <c r="D2516" s="1793"/>
    </row>
    <row r="2517" spans="3:4" ht="20.100000000000001" customHeight="1">
      <c r="C2517" s="1793"/>
      <c r="D2517" s="1793"/>
    </row>
    <row r="2518" spans="3:4" ht="20.100000000000001" customHeight="1">
      <c r="C2518" s="1793"/>
      <c r="D2518" s="1793"/>
    </row>
    <row r="2519" spans="3:4" ht="20.100000000000001" customHeight="1">
      <c r="C2519" s="1793"/>
      <c r="D2519" s="1793"/>
    </row>
    <row r="2520" spans="3:4" ht="20.100000000000001" customHeight="1">
      <c r="C2520" s="1793"/>
      <c r="D2520" s="1793"/>
    </row>
    <row r="2521" spans="3:4" ht="20.100000000000001" customHeight="1">
      <c r="C2521" s="1793"/>
      <c r="D2521" s="1793"/>
    </row>
    <row r="2522" spans="3:4" ht="20.100000000000001" customHeight="1">
      <c r="C2522" s="1793"/>
      <c r="D2522" s="1793"/>
    </row>
    <row r="2523" spans="3:4" ht="20.100000000000001" customHeight="1">
      <c r="C2523" s="1793"/>
      <c r="D2523" s="1793"/>
    </row>
    <row r="2524" spans="3:4" ht="20.100000000000001" customHeight="1">
      <c r="C2524" s="1793"/>
      <c r="D2524" s="1793"/>
    </row>
    <row r="2525" spans="3:4" ht="20.100000000000001" customHeight="1">
      <c r="C2525" s="1793"/>
      <c r="D2525" s="1793"/>
    </row>
    <row r="2526" spans="3:4" ht="20.100000000000001" customHeight="1">
      <c r="C2526" s="1793"/>
      <c r="D2526" s="1793"/>
    </row>
    <row r="2527" spans="3:4" ht="20.100000000000001" customHeight="1">
      <c r="C2527" s="1793"/>
      <c r="D2527" s="1793"/>
    </row>
    <row r="2528" spans="3:4" ht="20.100000000000001" customHeight="1">
      <c r="C2528" s="1793"/>
      <c r="D2528" s="1793"/>
    </row>
    <row r="2529" spans="3:4" ht="20.100000000000001" customHeight="1">
      <c r="C2529" s="1793"/>
      <c r="D2529" s="1793"/>
    </row>
    <row r="2530" spans="3:4" ht="20.100000000000001" customHeight="1">
      <c r="C2530" s="1793"/>
      <c r="D2530" s="1793"/>
    </row>
    <row r="2531" spans="3:4" ht="20.100000000000001" customHeight="1">
      <c r="C2531" s="1793"/>
      <c r="D2531" s="1793"/>
    </row>
    <row r="2532" spans="3:4" ht="20.100000000000001" customHeight="1">
      <c r="C2532" s="1793"/>
      <c r="D2532" s="1793"/>
    </row>
    <row r="2533" spans="3:4" ht="20.100000000000001" customHeight="1">
      <c r="C2533" s="1793"/>
      <c r="D2533" s="1793"/>
    </row>
    <row r="2534" spans="3:4" ht="20.100000000000001" customHeight="1">
      <c r="C2534" s="1793"/>
      <c r="D2534" s="1793"/>
    </row>
    <row r="2535" spans="3:4" ht="20.100000000000001" customHeight="1">
      <c r="C2535" s="1793"/>
      <c r="D2535" s="1793"/>
    </row>
    <row r="2536" spans="3:4" ht="20.100000000000001" customHeight="1">
      <c r="C2536" s="1793"/>
      <c r="D2536" s="1793"/>
    </row>
    <row r="2537" spans="3:4" ht="20.100000000000001" customHeight="1">
      <c r="C2537" s="1793"/>
      <c r="D2537" s="1793"/>
    </row>
    <row r="2538" spans="3:4" ht="20.100000000000001" customHeight="1">
      <c r="C2538" s="1793"/>
      <c r="D2538" s="1793"/>
    </row>
    <row r="2539" spans="3:4" ht="20.100000000000001" customHeight="1">
      <c r="C2539" s="1793"/>
      <c r="D2539" s="1793"/>
    </row>
    <row r="2540" spans="3:4" ht="20.100000000000001" customHeight="1">
      <c r="C2540" s="1793"/>
      <c r="D2540" s="1793"/>
    </row>
    <row r="2541" spans="3:4" ht="20.100000000000001" customHeight="1">
      <c r="C2541" s="1793"/>
      <c r="D2541" s="1793"/>
    </row>
    <row r="2542" spans="3:4" ht="20.100000000000001" customHeight="1">
      <c r="C2542" s="1793"/>
      <c r="D2542" s="1793"/>
    </row>
    <row r="2543" spans="3:4" ht="20.100000000000001" customHeight="1">
      <c r="C2543" s="1793"/>
      <c r="D2543" s="1793"/>
    </row>
    <row r="2544" spans="3:4" ht="20.100000000000001" customHeight="1">
      <c r="C2544" s="1793"/>
      <c r="D2544" s="1793"/>
    </row>
    <row r="2545" spans="3:4" ht="20.100000000000001" customHeight="1">
      <c r="C2545" s="1793"/>
      <c r="D2545" s="1793"/>
    </row>
    <row r="2546" spans="3:4" ht="20.100000000000001" customHeight="1">
      <c r="C2546" s="1793"/>
      <c r="D2546" s="1793"/>
    </row>
    <row r="2547" spans="3:4" ht="20.100000000000001" customHeight="1">
      <c r="C2547" s="1793"/>
      <c r="D2547" s="1793"/>
    </row>
    <row r="2548" spans="3:4" ht="20.100000000000001" customHeight="1">
      <c r="C2548" s="1793"/>
      <c r="D2548" s="1793"/>
    </row>
    <row r="2549" spans="3:4" ht="20.100000000000001" customHeight="1">
      <c r="C2549" s="1793"/>
      <c r="D2549" s="1793"/>
    </row>
    <row r="2550" spans="3:4" ht="20.100000000000001" customHeight="1">
      <c r="C2550" s="1793"/>
      <c r="D2550" s="1793"/>
    </row>
    <row r="2551" spans="3:4" ht="20.100000000000001" customHeight="1">
      <c r="C2551" s="1793"/>
      <c r="D2551" s="1793"/>
    </row>
    <row r="2552" spans="3:4" ht="20.100000000000001" customHeight="1">
      <c r="C2552" s="1793"/>
      <c r="D2552" s="1793"/>
    </row>
    <row r="2553" spans="3:4" ht="20.100000000000001" customHeight="1">
      <c r="C2553" s="1793"/>
      <c r="D2553" s="1793"/>
    </row>
    <row r="2554" spans="3:4" ht="20.100000000000001" customHeight="1">
      <c r="C2554" s="1793"/>
      <c r="D2554" s="1793"/>
    </row>
    <row r="2555" spans="3:4" ht="20.100000000000001" customHeight="1">
      <c r="C2555" s="1793"/>
      <c r="D2555" s="1793"/>
    </row>
    <row r="2556" spans="3:4" ht="20.100000000000001" customHeight="1">
      <c r="C2556" s="1793"/>
      <c r="D2556" s="1793"/>
    </row>
    <row r="2557" spans="3:4" ht="20.100000000000001" customHeight="1">
      <c r="C2557" s="1793"/>
      <c r="D2557" s="1793"/>
    </row>
    <row r="2558" spans="3:4" ht="20.100000000000001" customHeight="1">
      <c r="C2558" s="1793"/>
      <c r="D2558" s="1793"/>
    </row>
    <row r="2559" spans="3:4" ht="20.100000000000001" customHeight="1">
      <c r="C2559" s="1793"/>
      <c r="D2559" s="1793"/>
    </row>
    <row r="2560" spans="3:4" ht="20.100000000000001" customHeight="1">
      <c r="C2560" s="1793"/>
      <c r="D2560" s="1793"/>
    </row>
    <row r="2561" spans="3:4" ht="20.100000000000001" customHeight="1">
      <c r="C2561" s="1793"/>
      <c r="D2561" s="1793"/>
    </row>
    <row r="2562" spans="3:4" ht="20.100000000000001" customHeight="1">
      <c r="C2562" s="1793"/>
      <c r="D2562" s="1793"/>
    </row>
    <row r="2563" spans="3:4" ht="20.100000000000001" customHeight="1">
      <c r="C2563" s="1793"/>
      <c r="D2563" s="1793"/>
    </row>
    <row r="2564" spans="3:4" ht="20.100000000000001" customHeight="1">
      <c r="C2564" s="1793"/>
      <c r="D2564" s="1793"/>
    </row>
    <row r="2565" spans="3:4" ht="20.100000000000001" customHeight="1">
      <c r="C2565" s="1793"/>
      <c r="D2565" s="1793"/>
    </row>
    <row r="2566" spans="3:4" ht="20.100000000000001" customHeight="1">
      <c r="C2566" s="1793"/>
      <c r="D2566" s="1793"/>
    </row>
    <row r="2567" spans="3:4" ht="20.100000000000001" customHeight="1">
      <c r="C2567" s="1793"/>
      <c r="D2567" s="1793"/>
    </row>
    <row r="2568" spans="3:4" ht="20.100000000000001" customHeight="1">
      <c r="C2568" s="1793"/>
      <c r="D2568" s="1793"/>
    </row>
    <row r="2569" spans="3:4" ht="20.100000000000001" customHeight="1">
      <c r="C2569" s="1793"/>
      <c r="D2569" s="1793"/>
    </row>
    <row r="2570" spans="3:4" ht="20.100000000000001" customHeight="1">
      <c r="C2570" s="1793"/>
      <c r="D2570" s="1793"/>
    </row>
    <row r="2571" spans="3:4" ht="20.100000000000001" customHeight="1">
      <c r="C2571" s="1793"/>
      <c r="D2571" s="1793"/>
    </row>
    <row r="2572" spans="3:4" ht="20.100000000000001" customHeight="1">
      <c r="C2572" s="1793"/>
      <c r="D2572" s="1793"/>
    </row>
    <row r="2573" spans="3:4" ht="20.100000000000001" customHeight="1">
      <c r="C2573" s="1793"/>
      <c r="D2573" s="1793"/>
    </row>
    <row r="2574" spans="3:4" ht="20.100000000000001" customHeight="1">
      <c r="C2574" s="1793"/>
      <c r="D2574" s="1793"/>
    </row>
    <row r="2575" spans="3:4" ht="20.100000000000001" customHeight="1">
      <c r="C2575" s="1793"/>
      <c r="D2575" s="1793"/>
    </row>
    <row r="2576" spans="3:4" ht="20.100000000000001" customHeight="1">
      <c r="C2576" s="1793"/>
      <c r="D2576" s="1793"/>
    </row>
    <row r="2577" spans="3:4" ht="20.100000000000001" customHeight="1">
      <c r="C2577" s="1793"/>
      <c r="D2577" s="1793"/>
    </row>
    <row r="2578" spans="3:4" ht="20.100000000000001" customHeight="1">
      <c r="C2578" s="1793"/>
      <c r="D2578" s="1793"/>
    </row>
    <row r="2579" spans="3:4" ht="20.100000000000001" customHeight="1">
      <c r="C2579" s="1793"/>
      <c r="D2579" s="1793"/>
    </row>
    <row r="2580" spans="3:4" ht="20.100000000000001" customHeight="1">
      <c r="C2580" s="1793"/>
      <c r="D2580" s="1793"/>
    </row>
    <row r="2581" spans="3:4" ht="20.100000000000001" customHeight="1">
      <c r="C2581" s="1793"/>
      <c r="D2581" s="1793"/>
    </row>
    <row r="2582" spans="3:4" ht="20.100000000000001" customHeight="1">
      <c r="C2582" s="1793"/>
      <c r="D2582" s="1793"/>
    </row>
    <row r="2583" spans="3:4" ht="20.100000000000001" customHeight="1">
      <c r="C2583" s="1793"/>
      <c r="D2583" s="1793"/>
    </row>
    <row r="2584" spans="3:4" ht="20.100000000000001" customHeight="1">
      <c r="C2584" s="1793"/>
      <c r="D2584" s="1793"/>
    </row>
    <row r="2585" spans="3:4" ht="20.100000000000001" customHeight="1">
      <c r="C2585" s="1793"/>
      <c r="D2585" s="1793"/>
    </row>
    <row r="2586" spans="3:4" ht="20.100000000000001" customHeight="1">
      <c r="C2586" s="1793"/>
      <c r="D2586" s="1793"/>
    </row>
    <row r="2587" spans="3:4" ht="20.100000000000001" customHeight="1">
      <c r="C2587" s="1793"/>
      <c r="D2587" s="1793"/>
    </row>
    <row r="2588" spans="3:4" ht="20.100000000000001" customHeight="1">
      <c r="C2588" s="1793"/>
      <c r="D2588" s="1793"/>
    </row>
    <row r="2589" spans="3:4" ht="20.100000000000001" customHeight="1">
      <c r="C2589" s="1793"/>
      <c r="D2589" s="1793"/>
    </row>
    <row r="2590" spans="3:4" ht="20.100000000000001" customHeight="1">
      <c r="C2590" s="1793"/>
      <c r="D2590" s="1793"/>
    </row>
    <row r="2591" spans="3:4" ht="20.100000000000001" customHeight="1">
      <c r="C2591" s="1793"/>
      <c r="D2591" s="1793"/>
    </row>
    <row r="2592" spans="3:4" ht="20.100000000000001" customHeight="1">
      <c r="C2592" s="1793"/>
      <c r="D2592" s="1793"/>
    </row>
    <row r="2593" spans="3:4" ht="20.100000000000001" customHeight="1">
      <c r="C2593" s="1793"/>
      <c r="D2593" s="1793"/>
    </row>
    <row r="2594" spans="3:4" ht="20.100000000000001" customHeight="1">
      <c r="C2594" s="1793"/>
      <c r="D2594" s="1793"/>
    </row>
    <row r="2595" spans="3:4" ht="20.100000000000001" customHeight="1">
      <c r="C2595" s="1793"/>
      <c r="D2595" s="1793"/>
    </row>
    <row r="2596" spans="3:4" ht="20.100000000000001" customHeight="1">
      <c r="C2596" s="1793"/>
      <c r="D2596" s="1793"/>
    </row>
    <row r="2597" spans="3:4" ht="20.100000000000001" customHeight="1">
      <c r="C2597" s="1793"/>
      <c r="D2597" s="1793"/>
    </row>
    <row r="2598" spans="3:4" ht="20.100000000000001" customHeight="1">
      <c r="C2598" s="1793"/>
      <c r="D2598" s="1793"/>
    </row>
    <row r="2599" spans="3:4" ht="20.100000000000001" customHeight="1">
      <c r="C2599" s="1793"/>
      <c r="D2599" s="1793"/>
    </row>
    <row r="2600" spans="3:4" ht="20.100000000000001" customHeight="1">
      <c r="C2600" s="1793"/>
      <c r="D2600" s="1793"/>
    </row>
    <row r="2601" spans="3:4" ht="20.100000000000001" customHeight="1">
      <c r="C2601" s="1793"/>
      <c r="D2601" s="1793"/>
    </row>
    <row r="2602" spans="3:4" ht="20.100000000000001" customHeight="1">
      <c r="C2602" s="1793"/>
      <c r="D2602" s="1793"/>
    </row>
    <row r="2603" spans="3:4" ht="20.100000000000001" customHeight="1">
      <c r="C2603" s="1793"/>
      <c r="D2603" s="1793"/>
    </row>
    <row r="2604" spans="3:4" ht="20.100000000000001" customHeight="1">
      <c r="C2604" s="1793"/>
      <c r="D2604" s="1793"/>
    </row>
    <row r="2605" spans="3:4" ht="20.100000000000001" customHeight="1">
      <c r="C2605" s="1793"/>
      <c r="D2605" s="1793"/>
    </row>
    <row r="2606" spans="3:4" ht="20.100000000000001" customHeight="1">
      <c r="C2606" s="1793"/>
      <c r="D2606" s="1793"/>
    </row>
    <row r="2607" spans="3:4" ht="20.100000000000001" customHeight="1">
      <c r="C2607" s="1793"/>
      <c r="D2607" s="1793"/>
    </row>
    <row r="2608" spans="3:4" ht="20.100000000000001" customHeight="1">
      <c r="C2608" s="1793"/>
      <c r="D2608" s="1793"/>
    </row>
    <row r="2609" spans="3:4" ht="20.100000000000001" customHeight="1">
      <c r="C2609" s="1793"/>
      <c r="D2609" s="1793"/>
    </row>
    <row r="2610" spans="3:4" ht="20.100000000000001" customHeight="1">
      <c r="C2610" s="1793"/>
      <c r="D2610" s="1793"/>
    </row>
    <row r="2611" spans="3:4" ht="20.100000000000001" customHeight="1">
      <c r="C2611" s="1793"/>
      <c r="D2611" s="1793"/>
    </row>
    <row r="2612" spans="3:4" ht="20.100000000000001" customHeight="1">
      <c r="C2612" s="1793"/>
      <c r="D2612" s="1793"/>
    </row>
    <row r="2613" spans="3:4" ht="20.100000000000001" customHeight="1">
      <c r="C2613" s="1793"/>
      <c r="D2613" s="1793"/>
    </row>
    <row r="2614" spans="3:4" ht="20.100000000000001" customHeight="1">
      <c r="C2614" s="1793"/>
      <c r="D2614" s="1793"/>
    </row>
    <row r="2615" spans="3:4" ht="20.100000000000001" customHeight="1">
      <c r="C2615" s="1793"/>
      <c r="D2615" s="1793"/>
    </row>
    <row r="2616" spans="3:4" ht="20.100000000000001" customHeight="1">
      <c r="C2616" s="1793"/>
      <c r="D2616" s="1793"/>
    </row>
    <row r="2617" spans="3:4" ht="20.100000000000001" customHeight="1">
      <c r="C2617" s="1793"/>
      <c r="D2617" s="1793"/>
    </row>
    <row r="2618" spans="3:4" ht="20.100000000000001" customHeight="1">
      <c r="C2618" s="1793"/>
      <c r="D2618" s="1793"/>
    </row>
    <row r="2619" spans="3:4" ht="20.100000000000001" customHeight="1">
      <c r="C2619" s="1793"/>
      <c r="D2619" s="1793"/>
    </row>
    <row r="2620" spans="3:4" ht="20.100000000000001" customHeight="1">
      <c r="C2620" s="1793"/>
      <c r="D2620" s="1793"/>
    </row>
    <row r="2621" spans="3:4" ht="20.100000000000001" customHeight="1">
      <c r="C2621" s="1793"/>
      <c r="D2621" s="1793"/>
    </row>
    <row r="2622" spans="3:4" ht="20.100000000000001" customHeight="1">
      <c r="C2622" s="1793"/>
      <c r="D2622" s="1793"/>
    </row>
    <row r="2623" spans="3:4" ht="20.100000000000001" customHeight="1">
      <c r="C2623" s="1793"/>
      <c r="D2623" s="1793"/>
    </row>
    <row r="2624" spans="3:4" ht="20.100000000000001" customHeight="1">
      <c r="C2624" s="1793"/>
      <c r="D2624" s="1793"/>
    </row>
    <row r="2625" spans="3:4" ht="20.100000000000001" customHeight="1">
      <c r="C2625" s="1793"/>
      <c r="D2625" s="1793"/>
    </row>
    <row r="2626" spans="3:4" ht="20.100000000000001" customHeight="1">
      <c r="C2626" s="1793"/>
      <c r="D2626" s="1793"/>
    </row>
    <row r="2627" spans="3:4" ht="20.100000000000001" customHeight="1">
      <c r="C2627" s="1793"/>
      <c r="D2627" s="1793"/>
    </row>
    <row r="2628" spans="3:4" ht="20.100000000000001" customHeight="1">
      <c r="C2628" s="1793"/>
      <c r="D2628" s="1793"/>
    </row>
    <row r="2629" spans="3:4" ht="20.100000000000001" customHeight="1">
      <c r="C2629" s="1793"/>
      <c r="D2629" s="1793"/>
    </row>
    <row r="2630" spans="3:4" ht="20.100000000000001" customHeight="1">
      <c r="C2630" s="1793"/>
      <c r="D2630" s="1793"/>
    </row>
    <row r="2631" spans="3:4" ht="20.100000000000001" customHeight="1">
      <c r="C2631" s="1793"/>
      <c r="D2631" s="1793"/>
    </row>
    <row r="2632" spans="3:4" ht="20.100000000000001" customHeight="1">
      <c r="C2632" s="1793"/>
      <c r="D2632" s="1793"/>
    </row>
    <row r="2633" spans="3:4" ht="20.100000000000001" customHeight="1">
      <c r="C2633" s="1793"/>
      <c r="D2633" s="1793"/>
    </row>
    <row r="2634" spans="3:4" ht="20.100000000000001" customHeight="1">
      <c r="C2634" s="1793"/>
      <c r="D2634" s="1793"/>
    </row>
    <row r="2635" spans="3:4" ht="20.100000000000001" customHeight="1">
      <c r="C2635" s="1793"/>
      <c r="D2635" s="1793"/>
    </row>
    <row r="2636" spans="3:4" ht="20.100000000000001" customHeight="1">
      <c r="C2636" s="1793"/>
      <c r="D2636" s="1793"/>
    </row>
    <row r="2637" spans="3:4" ht="20.100000000000001" customHeight="1">
      <c r="C2637" s="1793"/>
      <c r="D2637" s="1793"/>
    </row>
    <row r="2638" spans="3:4" ht="20.100000000000001" customHeight="1">
      <c r="C2638" s="1793"/>
      <c r="D2638" s="1793"/>
    </row>
    <row r="2639" spans="3:4" ht="20.100000000000001" customHeight="1">
      <c r="C2639" s="1793"/>
      <c r="D2639" s="1793"/>
    </row>
    <row r="2640" spans="3:4" ht="20.100000000000001" customHeight="1">
      <c r="C2640" s="1793"/>
      <c r="D2640" s="1793"/>
    </row>
    <row r="2641" spans="3:4" ht="20.100000000000001" customHeight="1">
      <c r="C2641" s="1793"/>
      <c r="D2641" s="1793"/>
    </row>
    <row r="2642" spans="3:4" ht="20.100000000000001" customHeight="1">
      <c r="C2642" s="1793"/>
      <c r="D2642" s="1793"/>
    </row>
    <row r="2643" spans="3:4" ht="20.100000000000001" customHeight="1">
      <c r="C2643" s="1793"/>
      <c r="D2643" s="1793"/>
    </row>
    <row r="2644" spans="3:4" ht="20.100000000000001" customHeight="1">
      <c r="C2644" s="1793"/>
      <c r="D2644" s="1793"/>
    </row>
    <row r="2645" spans="3:4" ht="20.100000000000001" customHeight="1">
      <c r="C2645" s="1793"/>
      <c r="D2645" s="1793"/>
    </row>
    <row r="2646" spans="3:4" ht="20.100000000000001" customHeight="1">
      <c r="C2646" s="1793"/>
      <c r="D2646" s="1793"/>
    </row>
    <row r="2647" spans="3:4" ht="20.100000000000001" customHeight="1">
      <c r="C2647" s="1793"/>
      <c r="D2647" s="1793"/>
    </row>
    <row r="2648" spans="3:4" ht="20.100000000000001" customHeight="1">
      <c r="C2648" s="1793"/>
      <c r="D2648" s="1793"/>
    </row>
    <row r="2649" spans="3:4" ht="20.100000000000001" customHeight="1">
      <c r="C2649" s="1793"/>
      <c r="D2649" s="1793"/>
    </row>
    <row r="2650" spans="3:4" ht="20.100000000000001" customHeight="1">
      <c r="C2650" s="1793"/>
      <c r="D2650" s="1793"/>
    </row>
    <row r="2651" spans="3:4" ht="20.100000000000001" customHeight="1">
      <c r="C2651" s="1793"/>
      <c r="D2651" s="1793"/>
    </row>
    <row r="2652" spans="3:4" ht="20.100000000000001" customHeight="1">
      <c r="C2652" s="1793"/>
      <c r="D2652" s="1793"/>
    </row>
    <row r="2653" spans="3:4" ht="20.100000000000001" customHeight="1">
      <c r="C2653" s="1793"/>
      <c r="D2653" s="1793"/>
    </row>
    <row r="2654" spans="3:4" ht="20.100000000000001" customHeight="1">
      <c r="C2654" s="1793"/>
      <c r="D2654" s="1793"/>
    </row>
    <row r="2655" spans="3:4" ht="20.100000000000001" customHeight="1">
      <c r="C2655" s="1793"/>
      <c r="D2655" s="1793"/>
    </row>
    <row r="2656" spans="3:4" ht="20.100000000000001" customHeight="1">
      <c r="C2656" s="1793"/>
      <c r="D2656" s="1793"/>
    </row>
    <row r="2657" spans="3:4" ht="20.100000000000001" customHeight="1">
      <c r="C2657" s="1793"/>
      <c r="D2657" s="1793"/>
    </row>
    <row r="2658" spans="3:4" ht="20.100000000000001" customHeight="1">
      <c r="C2658" s="1793"/>
      <c r="D2658" s="1793"/>
    </row>
    <row r="2659" spans="3:4" ht="20.100000000000001" customHeight="1">
      <c r="C2659" s="1793"/>
      <c r="D2659" s="1793"/>
    </row>
    <row r="2660" spans="3:4" ht="20.100000000000001" customHeight="1">
      <c r="C2660" s="1793"/>
      <c r="D2660" s="1793"/>
    </row>
    <row r="2661" spans="3:4" ht="20.100000000000001" customHeight="1">
      <c r="C2661" s="1793"/>
      <c r="D2661" s="1793"/>
    </row>
    <row r="2662" spans="3:4" ht="20.100000000000001" customHeight="1">
      <c r="C2662" s="1793"/>
      <c r="D2662" s="1793"/>
    </row>
    <row r="2663" spans="3:4" ht="20.100000000000001" customHeight="1">
      <c r="C2663" s="1793"/>
      <c r="D2663" s="1793"/>
    </row>
    <row r="2664" spans="3:4" ht="20.100000000000001" customHeight="1">
      <c r="C2664" s="1793"/>
      <c r="D2664" s="1793"/>
    </row>
    <row r="2665" spans="3:4" ht="20.100000000000001" customHeight="1">
      <c r="C2665" s="1793"/>
      <c r="D2665" s="1793"/>
    </row>
    <row r="2666" spans="3:4" ht="20.100000000000001" customHeight="1">
      <c r="C2666" s="1793"/>
      <c r="D2666" s="1793"/>
    </row>
    <row r="2667" spans="3:4" ht="20.100000000000001" customHeight="1">
      <c r="C2667" s="1793"/>
      <c r="D2667" s="1793"/>
    </row>
    <row r="2668" spans="3:4" ht="20.100000000000001" customHeight="1">
      <c r="C2668" s="1793"/>
      <c r="D2668" s="1793"/>
    </row>
    <row r="2669" spans="3:4" ht="20.100000000000001" customHeight="1">
      <c r="C2669" s="1793"/>
      <c r="D2669" s="1793"/>
    </row>
    <row r="2670" spans="3:4" ht="20.100000000000001" customHeight="1">
      <c r="C2670" s="1793"/>
      <c r="D2670" s="1793"/>
    </row>
    <row r="2671" spans="3:4" ht="20.100000000000001" customHeight="1">
      <c r="C2671" s="1793"/>
      <c r="D2671" s="1793"/>
    </row>
    <row r="2672" spans="3:4" ht="20.100000000000001" customHeight="1">
      <c r="C2672" s="1793"/>
      <c r="D2672" s="1793"/>
    </row>
    <row r="2673" spans="3:4" ht="20.100000000000001" customHeight="1">
      <c r="C2673" s="1793"/>
      <c r="D2673" s="1793"/>
    </row>
    <row r="2674" spans="3:4" ht="20.100000000000001" customHeight="1">
      <c r="C2674" s="1793"/>
      <c r="D2674" s="1793"/>
    </row>
    <row r="2675" spans="3:4" ht="20.100000000000001" customHeight="1">
      <c r="C2675" s="1793"/>
      <c r="D2675" s="1793"/>
    </row>
    <row r="2676" spans="3:4" ht="20.100000000000001" customHeight="1">
      <c r="C2676" s="1793"/>
      <c r="D2676" s="1793"/>
    </row>
    <row r="2677" spans="3:4" ht="20.100000000000001" customHeight="1">
      <c r="C2677" s="1793"/>
      <c r="D2677" s="1793"/>
    </row>
    <row r="2678" spans="3:4" ht="20.100000000000001" customHeight="1">
      <c r="C2678" s="1793"/>
      <c r="D2678" s="1793"/>
    </row>
    <row r="2679" spans="3:4" ht="20.100000000000001" customHeight="1">
      <c r="C2679" s="1793"/>
      <c r="D2679" s="1793"/>
    </row>
    <row r="2680" spans="3:4" ht="20.100000000000001" customHeight="1">
      <c r="C2680" s="1793"/>
      <c r="D2680" s="1793"/>
    </row>
    <row r="2681" spans="3:4" ht="20.100000000000001" customHeight="1">
      <c r="C2681" s="1793"/>
      <c r="D2681" s="1793"/>
    </row>
    <row r="2682" spans="3:4" ht="20.100000000000001" customHeight="1">
      <c r="C2682" s="1793"/>
      <c r="D2682" s="1793"/>
    </row>
    <row r="2683" spans="3:4" ht="20.100000000000001" customHeight="1">
      <c r="C2683" s="1793"/>
      <c r="D2683" s="1793"/>
    </row>
    <row r="2684" spans="3:4" ht="20.100000000000001" customHeight="1">
      <c r="C2684" s="1793"/>
      <c r="D2684" s="1793"/>
    </row>
    <row r="2685" spans="3:4" ht="20.100000000000001" customHeight="1">
      <c r="C2685" s="1793"/>
      <c r="D2685" s="1793"/>
    </row>
    <row r="2686" spans="3:4" ht="20.100000000000001" customHeight="1">
      <c r="C2686" s="1793"/>
      <c r="D2686" s="1793"/>
    </row>
    <row r="2687" spans="3:4" ht="20.100000000000001" customHeight="1">
      <c r="C2687" s="1793"/>
      <c r="D2687" s="1793"/>
    </row>
    <row r="2688" spans="3:4" ht="20.100000000000001" customHeight="1">
      <c r="C2688" s="1793"/>
      <c r="D2688" s="1793"/>
    </row>
    <row r="2689" spans="3:4" ht="20.100000000000001" customHeight="1">
      <c r="C2689" s="1793"/>
      <c r="D2689" s="1793"/>
    </row>
    <row r="2690" spans="3:4" ht="20.100000000000001" customHeight="1">
      <c r="C2690" s="1793"/>
      <c r="D2690" s="1793"/>
    </row>
    <row r="2691" spans="3:4" ht="20.100000000000001" customHeight="1">
      <c r="C2691" s="1793"/>
      <c r="D2691" s="1793"/>
    </row>
    <row r="2692" spans="3:4" ht="20.100000000000001" customHeight="1">
      <c r="C2692" s="1793"/>
      <c r="D2692" s="1793"/>
    </row>
    <row r="2693" spans="3:4" ht="20.100000000000001" customHeight="1">
      <c r="C2693" s="1793"/>
      <c r="D2693" s="1793"/>
    </row>
    <row r="2694" spans="3:4" ht="20.100000000000001" customHeight="1">
      <c r="C2694" s="1793"/>
      <c r="D2694" s="1793"/>
    </row>
    <row r="2695" spans="3:4" ht="20.100000000000001" customHeight="1">
      <c r="C2695" s="1793"/>
      <c r="D2695" s="1793"/>
    </row>
    <row r="2696" spans="3:4" ht="20.100000000000001" customHeight="1">
      <c r="C2696" s="1793"/>
      <c r="D2696" s="1793"/>
    </row>
    <row r="2697" spans="3:4" ht="20.100000000000001" customHeight="1">
      <c r="C2697" s="1793"/>
      <c r="D2697" s="1793"/>
    </row>
    <row r="2698" spans="3:4" ht="20.100000000000001" customHeight="1">
      <c r="C2698" s="1793"/>
      <c r="D2698" s="1793"/>
    </row>
    <row r="2699" spans="3:4" ht="20.100000000000001" customHeight="1">
      <c r="C2699" s="1793"/>
      <c r="D2699" s="1793"/>
    </row>
    <row r="2700" spans="3:4" ht="20.100000000000001" customHeight="1">
      <c r="C2700" s="1793"/>
      <c r="D2700" s="1793"/>
    </row>
    <row r="2701" spans="3:4" ht="20.100000000000001" customHeight="1">
      <c r="C2701" s="1793"/>
      <c r="D2701" s="1793"/>
    </row>
    <row r="2702" spans="3:4" ht="20.100000000000001" customHeight="1">
      <c r="C2702" s="1793"/>
      <c r="D2702" s="1793"/>
    </row>
    <row r="2703" spans="3:4" ht="20.100000000000001" customHeight="1">
      <c r="C2703" s="1793"/>
      <c r="D2703" s="1793"/>
    </row>
    <row r="2704" spans="3:4" ht="20.100000000000001" customHeight="1">
      <c r="C2704" s="1793"/>
      <c r="D2704" s="1793"/>
    </row>
    <row r="2705" spans="3:4" ht="20.100000000000001" customHeight="1">
      <c r="C2705" s="1793"/>
      <c r="D2705" s="1793"/>
    </row>
    <row r="2706" spans="3:4" ht="20.100000000000001" customHeight="1">
      <c r="C2706" s="1793"/>
      <c r="D2706" s="1793"/>
    </row>
    <row r="2707" spans="3:4" ht="20.100000000000001" customHeight="1">
      <c r="C2707" s="1793"/>
      <c r="D2707" s="1793"/>
    </row>
    <row r="2708" spans="3:4" ht="20.100000000000001" customHeight="1">
      <c r="C2708" s="1793"/>
      <c r="D2708" s="1793"/>
    </row>
    <row r="2709" spans="3:4" ht="20.100000000000001" customHeight="1">
      <c r="C2709" s="1793"/>
      <c r="D2709" s="1793"/>
    </row>
    <row r="2710" spans="3:4" ht="20.100000000000001" customHeight="1">
      <c r="C2710" s="1793"/>
      <c r="D2710" s="1793"/>
    </row>
    <row r="2711" spans="3:4" ht="20.100000000000001" customHeight="1">
      <c r="C2711" s="1793"/>
      <c r="D2711" s="1793"/>
    </row>
    <row r="2712" spans="3:4" ht="20.100000000000001" customHeight="1">
      <c r="C2712" s="1793"/>
      <c r="D2712" s="1793"/>
    </row>
    <row r="2713" spans="3:4" ht="20.100000000000001" customHeight="1">
      <c r="C2713" s="1793"/>
      <c r="D2713" s="1793"/>
    </row>
    <row r="2714" spans="3:4" ht="20.100000000000001" customHeight="1">
      <c r="C2714" s="1793"/>
      <c r="D2714" s="1793"/>
    </row>
    <row r="2715" spans="3:4" ht="20.100000000000001" customHeight="1">
      <c r="C2715" s="1793"/>
      <c r="D2715" s="1793"/>
    </row>
    <row r="2716" spans="3:4" ht="20.100000000000001" customHeight="1">
      <c r="C2716" s="1793"/>
      <c r="D2716" s="1793"/>
    </row>
    <row r="2717" spans="3:4" ht="20.100000000000001" customHeight="1">
      <c r="C2717" s="1793"/>
      <c r="D2717" s="1793"/>
    </row>
    <row r="2718" spans="3:4" ht="20.100000000000001" customHeight="1">
      <c r="C2718" s="1793"/>
      <c r="D2718" s="1793"/>
    </row>
    <row r="2719" spans="3:4" ht="20.100000000000001" customHeight="1">
      <c r="C2719" s="1793"/>
      <c r="D2719" s="1793"/>
    </row>
    <row r="2720" spans="3:4" ht="20.100000000000001" customHeight="1">
      <c r="C2720" s="1793"/>
      <c r="D2720" s="1793"/>
    </row>
    <row r="2721" spans="3:4" ht="20.100000000000001" customHeight="1">
      <c r="C2721" s="1793"/>
      <c r="D2721" s="1793"/>
    </row>
    <row r="2722" spans="3:4" ht="20.100000000000001" customHeight="1">
      <c r="C2722" s="1793"/>
      <c r="D2722" s="1793"/>
    </row>
    <row r="2723" spans="3:4" ht="20.100000000000001" customHeight="1">
      <c r="C2723" s="1793"/>
      <c r="D2723" s="1793"/>
    </row>
    <row r="2724" spans="3:4" ht="20.100000000000001" customHeight="1">
      <c r="C2724" s="1793"/>
      <c r="D2724" s="1793"/>
    </row>
    <row r="2725" spans="3:4" ht="20.100000000000001" customHeight="1">
      <c r="C2725" s="1793"/>
      <c r="D2725" s="1793"/>
    </row>
    <row r="2726" spans="3:4" ht="20.100000000000001" customHeight="1">
      <c r="C2726" s="1793"/>
      <c r="D2726" s="1793"/>
    </row>
    <row r="2727" spans="3:4" ht="20.100000000000001" customHeight="1">
      <c r="C2727" s="1793"/>
      <c r="D2727" s="1793"/>
    </row>
    <row r="2728" spans="3:4" ht="20.100000000000001" customHeight="1">
      <c r="C2728" s="1793"/>
      <c r="D2728" s="1793"/>
    </row>
    <row r="2729" spans="3:4" ht="20.100000000000001" customHeight="1">
      <c r="C2729" s="1793"/>
      <c r="D2729" s="1793"/>
    </row>
    <row r="2730" spans="3:4" ht="20.100000000000001" customHeight="1">
      <c r="C2730" s="1793"/>
      <c r="D2730" s="1793"/>
    </row>
    <row r="2731" spans="3:4" ht="20.100000000000001" customHeight="1">
      <c r="C2731" s="1793"/>
      <c r="D2731" s="1793"/>
    </row>
    <row r="2732" spans="3:4" ht="20.100000000000001" customHeight="1">
      <c r="C2732" s="1793"/>
      <c r="D2732" s="1793"/>
    </row>
    <row r="2733" spans="3:4" ht="20.100000000000001" customHeight="1">
      <c r="C2733" s="1793"/>
      <c r="D2733" s="1793"/>
    </row>
    <row r="2734" spans="3:4" ht="20.100000000000001" customHeight="1">
      <c r="C2734" s="1793"/>
      <c r="D2734" s="1793"/>
    </row>
    <row r="2735" spans="3:4" ht="20.100000000000001" customHeight="1">
      <c r="C2735" s="1793"/>
      <c r="D2735" s="1793"/>
    </row>
    <row r="2736" spans="3:4" ht="20.100000000000001" customHeight="1">
      <c r="C2736" s="1793"/>
      <c r="D2736" s="1793"/>
    </row>
    <row r="2737" spans="3:4" ht="20.100000000000001" customHeight="1">
      <c r="C2737" s="1793"/>
      <c r="D2737" s="1793"/>
    </row>
    <row r="2738" spans="3:4" ht="20.100000000000001" customHeight="1">
      <c r="C2738" s="1793"/>
      <c r="D2738" s="1793"/>
    </row>
    <row r="2739" spans="3:4" ht="20.100000000000001" customHeight="1">
      <c r="C2739" s="1793"/>
      <c r="D2739" s="1793"/>
    </row>
    <row r="2740" spans="3:4" ht="20.100000000000001" customHeight="1">
      <c r="C2740" s="1793"/>
      <c r="D2740" s="1793"/>
    </row>
    <row r="2741" spans="3:4" ht="20.100000000000001" customHeight="1">
      <c r="C2741" s="1793"/>
      <c r="D2741" s="1793"/>
    </row>
    <row r="2742" spans="3:4" ht="20.100000000000001" customHeight="1">
      <c r="C2742" s="1793"/>
      <c r="D2742" s="1793"/>
    </row>
    <row r="2743" spans="3:4" ht="20.100000000000001" customHeight="1">
      <c r="C2743" s="1793"/>
      <c r="D2743" s="1793"/>
    </row>
    <row r="2744" spans="3:4" ht="20.100000000000001" customHeight="1">
      <c r="C2744" s="1793"/>
      <c r="D2744" s="1793"/>
    </row>
    <row r="2745" spans="3:4" ht="20.100000000000001" customHeight="1">
      <c r="C2745" s="1793"/>
      <c r="D2745" s="1793"/>
    </row>
    <row r="2746" spans="3:4" ht="20.100000000000001" customHeight="1">
      <c r="C2746" s="1793"/>
      <c r="D2746" s="1793"/>
    </row>
    <row r="2747" spans="3:4" ht="20.100000000000001" customHeight="1">
      <c r="C2747" s="1793"/>
      <c r="D2747" s="1793"/>
    </row>
    <row r="2748" spans="3:4" ht="20.100000000000001" customHeight="1">
      <c r="C2748" s="1793"/>
      <c r="D2748" s="1793"/>
    </row>
    <row r="2749" spans="3:4" ht="20.100000000000001" customHeight="1">
      <c r="C2749" s="1793"/>
      <c r="D2749" s="1793"/>
    </row>
    <row r="2750" spans="3:4" ht="20.100000000000001" customHeight="1">
      <c r="C2750" s="1793"/>
      <c r="D2750" s="1793"/>
    </row>
    <row r="2751" spans="3:4" ht="20.100000000000001" customHeight="1">
      <c r="C2751" s="1793"/>
      <c r="D2751" s="1793"/>
    </row>
    <row r="2752" spans="3:4" ht="20.100000000000001" customHeight="1">
      <c r="C2752" s="1793"/>
      <c r="D2752" s="1793"/>
    </row>
    <row r="2753" spans="3:4" ht="20.100000000000001" customHeight="1">
      <c r="C2753" s="1793"/>
      <c r="D2753" s="1793"/>
    </row>
    <row r="2754" spans="3:4" ht="20.100000000000001" customHeight="1">
      <c r="C2754" s="1793"/>
      <c r="D2754" s="1793"/>
    </row>
    <row r="2755" spans="3:4" ht="20.100000000000001" customHeight="1">
      <c r="C2755" s="1793"/>
      <c r="D2755" s="1793"/>
    </row>
    <row r="2756" spans="3:4" ht="20.100000000000001" customHeight="1">
      <c r="C2756" s="1793"/>
      <c r="D2756" s="1793"/>
    </row>
    <row r="2757" spans="3:4" ht="20.100000000000001" customHeight="1">
      <c r="C2757" s="1793"/>
      <c r="D2757" s="1793"/>
    </row>
    <row r="2758" spans="3:4" ht="20.100000000000001" customHeight="1">
      <c r="C2758" s="1793"/>
      <c r="D2758" s="1793"/>
    </row>
    <row r="2759" spans="3:4" ht="20.100000000000001" customHeight="1">
      <c r="C2759" s="1793"/>
      <c r="D2759" s="1793"/>
    </row>
    <row r="2760" spans="3:4" ht="20.100000000000001" customHeight="1">
      <c r="C2760" s="1793"/>
      <c r="D2760" s="1793"/>
    </row>
    <row r="2761" spans="3:4" ht="20.100000000000001" customHeight="1">
      <c r="C2761" s="1793"/>
      <c r="D2761" s="1793"/>
    </row>
    <row r="2762" spans="3:4" ht="20.100000000000001" customHeight="1">
      <c r="C2762" s="1793"/>
      <c r="D2762" s="1793"/>
    </row>
    <row r="2763" spans="3:4" ht="20.100000000000001" customHeight="1">
      <c r="C2763" s="1793"/>
      <c r="D2763" s="1793"/>
    </row>
    <row r="2764" spans="3:4" ht="20.100000000000001" customHeight="1">
      <c r="C2764" s="1793"/>
      <c r="D2764" s="1793"/>
    </row>
    <row r="2765" spans="3:4" ht="20.100000000000001" customHeight="1">
      <c r="C2765" s="1793"/>
      <c r="D2765" s="1793"/>
    </row>
    <row r="2766" spans="3:4" ht="20.100000000000001" customHeight="1">
      <c r="C2766" s="1793"/>
      <c r="D2766" s="1793"/>
    </row>
    <row r="2767" spans="3:4" ht="20.100000000000001" customHeight="1">
      <c r="C2767" s="1793"/>
      <c r="D2767" s="1793"/>
    </row>
    <row r="2768" spans="3:4" ht="20.100000000000001" customHeight="1">
      <c r="C2768" s="1793"/>
      <c r="D2768" s="1793"/>
    </row>
    <row r="2769" spans="3:4" ht="20.100000000000001" customHeight="1">
      <c r="C2769" s="1793"/>
      <c r="D2769" s="1793"/>
    </row>
    <row r="2770" spans="3:4" ht="20.100000000000001" customHeight="1">
      <c r="C2770" s="1793"/>
      <c r="D2770" s="1793"/>
    </row>
    <row r="2771" spans="3:4" ht="20.100000000000001" customHeight="1">
      <c r="C2771" s="1793"/>
      <c r="D2771" s="1793"/>
    </row>
    <row r="2772" spans="3:4" ht="20.100000000000001" customHeight="1">
      <c r="C2772" s="1793"/>
      <c r="D2772" s="1793"/>
    </row>
    <row r="2773" spans="3:4" ht="20.100000000000001" customHeight="1">
      <c r="C2773" s="1793"/>
      <c r="D2773" s="1793"/>
    </row>
    <row r="2774" spans="3:4" ht="20.100000000000001" customHeight="1">
      <c r="C2774" s="1793"/>
      <c r="D2774" s="1793"/>
    </row>
    <row r="2775" spans="3:4" ht="20.100000000000001" customHeight="1">
      <c r="C2775" s="1793"/>
      <c r="D2775" s="1793"/>
    </row>
    <row r="2776" spans="3:4" ht="20.100000000000001" customHeight="1">
      <c r="C2776" s="1793"/>
      <c r="D2776" s="1793"/>
    </row>
    <row r="2777" spans="3:4" ht="20.100000000000001" customHeight="1">
      <c r="C2777" s="1793"/>
      <c r="D2777" s="1793"/>
    </row>
    <row r="2778" spans="3:4" ht="20.100000000000001" customHeight="1">
      <c r="C2778" s="1793"/>
      <c r="D2778" s="1793"/>
    </row>
    <row r="2779" spans="3:4" ht="20.100000000000001" customHeight="1">
      <c r="C2779" s="1793"/>
      <c r="D2779" s="1793"/>
    </row>
    <row r="2780" spans="3:4" ht="20.100000000000001" customHeight="1">
      <c r="C2780" s="1793"/>
      <c r="D2780" s="1793"/>
    </row>
    <row r="2781" spans="3:4" ht="20.100000000000001" customHeight="1">
      <c r="C2781" s="1793"/>
      <c r="D2781" s="1793"/>
    </row>
    <row r="2782" spans="3:4" ht="20.100000000000001" customHeight="1">
      <c r="C2782" s="1793"/>
      <c r="D2782" s="1793"/>
    </row>
    <row r="2783" spans="3:4" ht="20.100000000000001" customHeight="1">
      <c r="C2783" s="1793"/>
      <c r="D2783" s="1793"/>
    </row>
    <row r="2784" spans="3:4" ht="20.100000000000001" customHeight="1">
      <c r="C2784" s="1793"/>
      <c r="D2784" s="1793"/>
    </row>
    <row r="2785" spans="3:4" ht="20.100000000000001" customHeight="1">
      <c r="C2785" s="1793"/>
      <c r="D2785" s="1793"/>
    </row>
    <row r="2786" spans="3:4" ht="20.100000000000001" customHeight="1">
      <c r="C2786" s="1793"/>
      <c r="D2786" s="1793"/>
    </row>
    <row r="2787" spans="3:4" ht="20.100000000000001" customHeight="1">
      <c r="C2787" s="1793"/>
      <c r="D2787" s="1793"/>
    </row>
    <row r="2788" spans="3:4" ht="20.100000000000001" customHeight="1">
      <c r="C2788" s="1793"/>
      <c r="D2788" s="1793"/>
    </row>
    <row r="2789" spans="3:4" ht="20.100000000000001" customHeight="1">
      <c r="C2789" s="1793"/>
      <c r="D2789" s="1793"/>
    </row>
    <row r="2790" spans="3:4" ht="20.100000000000001" customHeight="1">
      <c r="C2790" s="1793"/>
      <c r="D2790" s="1793"/>
    </row>
    <row r="2791" spans="3:4" ht="20.100000000000001" customHeight="1">
      <c r="C2791" s="1793"/>
      <c r="D2791" s="1793"/>
    </row>
    <row r="2792" spans="3:4" ht="20.100000000000001" customHeight="1">
      <c r="C2792" s="1793"/>
      <c r="D2792" s="1793"/>
    </row>
    <row r="2793" spans="3:4" ht="20.100000000000001" customHeight="1">
      <c r="C2793" s="1793"/>
      <c r="D2793" s="1793"/>
    </row>
    <row r="2794" spans="3:4" ht="20.100000000000001" customHeight="1">
      <c r="C2794" s="1793"/>
      <c r="D2794" s="1793"/>
    </row>
    <row r="2795" spans="3:4" ht="20.100000000000001" customHeight="1">
      <c r="C2795" s="1793"/>
      <c r="D2795" s="1793"/>
    </row>
    <row r="2796" spans="3:4" ht="20.100000000000001" customHeight="1">
      <c r="C2796" s="1793"/>
      <c r="D2796" s="1793"/>
    </row>
    <row r="2797" spans="3:4" ht="20.100000000000001" customHeight="1">
      <c r="C2797" s="1793"/>
      <c r="D2797" s="1793"/>
    </row>
    <row r="2798" spans="3:4" ht="20.100000000000001" customHeight="1">
      <c r="C2798" s="1793"/>
      <c r="D2798" s="1793"/>
    </row>
    <row r="2799" spans="3:4" ht="20.100000000000001" customHeight="1">
      <c r="C2799" s="1793"/>
      <c r="D2799" s="1793"/>
    </row>
    <row r="2800" spans="3:4" ht="20.100000000000001" customHeight="1">
      <c r="C2800" s="1793"/>
      <c r="D2800" s="1793"/>
    </row>
    <row r="2801" spans="3:4" ht="20.100000000000001" customHeight="1">
      <c r="C2801" s="1793"/>
      <c r="D2801" s="1793"/>
    </row>
    <row r="2802" spans="3:4" ht="20.100000000000001" customHeight="1">
      <c r="C2802" s="1793"/>
      <c r="D2802" s="1793"/>
    </row>
    <row r="2803" spans="3:4" ht="20.100000000000001" customHeight="1">
      <c r="C2803" s="1793"/>
      <c r="D2803" s="1793"/>
    </row>
    <row r="2804" spans="3:4" ht="20.100000000000001" customHeight="1">
      <c r="C2804" s="1793"/>
      <c r="D2804" s="1793"/>
    </row>
    <row r="2805" spans="3:4" ht="20.100000000000001" customHeight="1">
      <c r="C2805" s="1793"/>
      <c r="D2805" s="1793"/>
    </row>
    <row r="2806" spans="3:4" ht="20.100000000000001" customHeight="1">
      <c r="C2806" s="1793"/>
      <c r="D2806" s="1793"/>
    </row>
    <row r="2807" spans="3:4" ht="20.100000000000001" customHeight="1">
      <c r="C2807" s="1793"/>
      <c r="D2807" s="1793"/>
    </row>
    <row r="2808" spans="3:4" ht="20.100000000000001" customHeight="1">
      <c r="C2808" s="1793"/>
      <c r="D2808" s="1793"/>
    </row>
    <row r="2809" spans="3:4" ht="20.100000000000001" customHeight="1">
      <c r="C2809" s="1793"/>
      <c r="D2809" s="1793"/>
    </row>
    <row r="2810" spans="3:4" ht="20.100000000000001" customHeight="1">
      <c r="C2810" s="1793"/>
      <c r="D2810" s="1793"/>
    </row>
    <row r="2811" spans="3:4" ht="20.100000000000001" customHeight="1">
      <c r="C2811" s="1793"/>
      <c r="D2811" s="1793"/>
    </row>
    <row r="2812" spans="3:4" ht="20.100000000000001" customHeight="1">
      <c r="C2812" s="1793"/>
      <c r="D2812" s="1793"/>
    </row>
    <row r="2813" spans="3:4" ht="20.100000000000001" customHeight="1">
      <c r="C2813" s="1793"/>
      <c r="D2813" s="1793"/>
    </row>
    <row r="2814" spans="3:4" ht="20.100000000000001" customHeight="1">
      <c r="C2814" s="1793"/>
      <c r="D2814" s="1793"/>
    </row>
    <row r="2815" spans="3:4" ht="20.100000000000001" customHeight="1">
      <c r="C2815" s="1793"/>
      <c r="D2815" s="1793"/>
    </row>
    <row r="2816" spans="3:4" ht="20.100000000000001" customHeight="1">
      <c r="C2816" s="1793"/>
      <c r="D2816" s="1793"/>
    </row>
    <row r="2817" spans="3:4" ht="20.100000000000001" customHeight="1">
      <c r="C2817" s="1793"/>
      <c r="D2817" s="1793"/>
    </row>
    <row r="2818" spans="3:4" ht="20.100000000000001" customHeight="1">
      <c r="C2818" s="1793"/>
      <c r="D2818" s="1793"/>
    </row>
    <row r="2819" spans="3:4" ht="20.100000000000001" customHeight="1">
      <c r="C2819" s="1793"/>
      <c r="D2819" s="1793"/>
    </row>
    <row r="2820" spans="3:4" ht="20.100000000000001" customHeight="1">
      <c r="C2820" s="1793"/>
      <c r="D2820" s="1793"/>
    </row>
    <row r="2821" spans="3:4" ht="20.100000000000001" customHeight="1">
      <c r="C2821" s="1793"/>
      <c r="D2821" s="1793"/>
    </row>
    <row r="2822" spans="3:4" ht="20.100000000000001" customHeight="1">
      <c r="C2822" s="1793"/>
      <c r="D2822" s="1793"/>
    </row>
    <row r="2823" spans="3:4" ht="20.100000000000001" customHeight="1">
      <c r="C2823" s="1793"/>
      <c r="D2823" s="1793"/>
    </row>
    <row r="2824" spans="3:4" ht="20.100000000000001" customHeight="1">
      <c r="C2824" s="1793"/>
      <c r="D2824" s="1793"/>
    </row>
    <row r="2825" spans="3:4" ht="20.100000000000001" customHeight="1">
      <c r="C2825" s="1793"/>
      <c r="D2825" s="1793"/>
    </row>
    <row r="2826" spans="3:4" ht="20.100000000000001" customHeight="1">
      <c r="C2826" s="1793"/>
      <c r="D2826" s="1793"/>
    </row>
    <row r="2827" spans="3:4" ht="20.100000000000001" customHeight="1">
      <c r="C2827" s="1793"/>
      <c r="D2827" s="1793"/>
    </row>
    <row r="2828" spans="3:4" ht="20.100000000000001" customHeight="1">
      <c r="C2828" s="1793"/>
      <c r="D2828" s="1793"/>
    </row>
    <row r="2829" spans="3:4" ht="20.100000000000001" customHeight="1">
      <c r="C2829" s="1793"/>
      <c r="D2829" s="1793"/>
    </row>
    <row r="2830" spans="3:4" ht="20.100000000000001" customHeight="1">
      <c r="C2830" s="1793"/>
      <c r="D2830" s="1793"/>
    </row>
    <row r="2831" spans="3:4" ht="20.100000000000001" customHeight="1">
      <c r="C2831" s="1793"/>
      <c r="D2831" s="1793"/>
    </row>
    <row r="2832" spans="3:4" ht="20.100000000000001" customHeight="1">
      <c r="C2832" s="1793"/>
      <c r="D2832" s="1793"/>
    </row>
    <row r="2833" spans="3:4" ht="20.100000000000001" customHeight="1">
      <c r="C2833" s="1793"/>
      <c r="D2833" s="1793"/>
    </row>
    <row r="2834" spans="3:4" ht="20.100000000000001" customHeight="1">
      <c r="C2834" s="1793"/>
      <c r="D2834" s="1793"/>
    </row>
    <row r="2835" spans="3:4" ht="20.100000000000001" customHeight="1">
      <c r="C2835" s="1793"/>
      <c r="D2835" s="1793"/>
    </row>
    <row r="2836" spans="3:4" ht="20.100000000000001" customHeight="1">
      <c r="C2836" s="1793"/>
      <c r="D2836" s="1793"/>
    </row>
    <row r="2837" spans="3:4" ht="20.100000000000001" customHeight="1">
      <c r="C2837" s="1793"/>
      <c r="D2837" s="1793"/>
    </row>
    <row r="2838" spans="3:4" ht="20.100000000000001" customHeight="1">
      <c r="C2838" s="1793"/>
      <c r="D2838" s="1793"/>
    </row>
    <row r="2839" spans="3:4" ht="20.100000000000001" customHeight="1">
      <c r="C2839" s="1793"/>
      <c r="D2839" s="1793"/>
    </row>
    <row r="2840" spans="3:4" ht="20.100000000000001" customHeight="1">
      <c r="C2840" s="1793"/>
      <c r="D2840" s="1793"/>
    </row>
    <row r="2841" spans="3:4" ht="20.100000000000001" customHeight="1">
      <c r="C2841" s="1793"/>
      <c r="D2841" s="1793"/>
    </row>
    <row r="2842" spans="3:4" ht="20.100000000000001" customHeight="1">
      <c r="C2842" s="1793"/>
      <c r="D2842" s="1793"/>
    </row>
    <row r="2843" spans="3:4" ht="20.100000000000001" customHeight="1">
      <c r="C2843" s="1793"/>
      <c r="D2843" s="1793"/>
    </row>
    <row r="2844" spans="3:4" ht="20.100000000000001" customHeight="1">
      <c r="C2844" s="1793"/>
      <c r="D2844" s="1793"/>
    </row>
    <row r="2845" spans="3:4" ht="20.100000000000001" customHeight="1">
      <c r="C2845" s="1793"/>
      <c r="D2845" s="1793"/>
    </row>
    <row r="2846" spans="3:4" ht="20.100000000000001" customHeight="1">
      <c r="C2846" s="1793"/>
      <c r="D2846" s="1793"/>
    </row>
    <row r="2847" spans="3:4" ht="20.100000000000001" customHeight="1">
      <c r="C2847" s="1793"/>
      <c r="D2847" s="1793"/>
    </row>
    <row r="2848" spans="3:4" ht="20.100000000000001" customHeight="1">
      <c r="C2848" s="1793"/>
      <c r="D2848" s="1793"/>
    </row>
    <row r="2849" spans="3:4" ht="20.100000000000001" customHeight="1">
      <c r="C2849" s="1793"/>
      <c r="D2849" s="1793"/>
    </row>
    <row r="2850" spans="3:4" ht="20.100000000000001" customHeight="1">
      <c r="C2850" s="1793"/>
      <c r="D2850" s="1793"/>
    </row>
    <row r="2851" spans="3:4" ht="20.100000000000001" customHeight="1">
      <c r="C2851" s="1793"/>
      <c r="D2851" s="1793"/>
    </row>
    <row r="2852" spans="3:4" ht="20.100000000000001" customHeight="1">
      <c r="C2852" s="1793"/>
      <c r="D2852" s="1793"/>
    </row>
    <row r="2853" spans="3:4" ht="20.100000000000001" customHeight="1">
      <c r="C2853" s="1793"/>
      <c r="D2853" s="1793"/>
    </row>
    <row r="2854" spans="3:4" ht="20.100000000000001" customHeight="1">
      <c r="C2854" s="1793"/>
      <c r="D2854" s="1793"/>
    </row>
    <row r="2855" spans="3:4" ht="20.100000000000001" customHeight="1">
      <c r="C2855" s="1793"/>
      <c r="D2855" s="1793"/>
    </row>
    <row r="2856" spans="3:4" ht="20.100000000000001" customHeight="1">
      <c r="C2856" s="1793"/>
      <c r="D2856" s="1793"/>
    </row>
    <row r="2857" spans="3:4" ht="20.100000000000001" customHeight="1">
      <c r="C2857" s="1793"/>
      <c r="D2857" s="1793"/>
    </row>
    <row r="2858" spans="3:4" ht="20.100000000000001" customHeight="1">
      <c r="C2858" s="1793"/>
      <c r="D2858" s="1793"/>
    </row>
    <row r="2859" spans="3:4" ht="20.100000000000001" customHeight="1">
      <c r="C2859" s="1793"/>
      <c r="D2859" s="1793"/>
    </row>
    <row r="2860" spans="3:4" ht="20.100000000000001" customHeight="1">
      <c r="C2860" s="1793"/>
      <c r="D2860" s="1793"/>
    </row>
    <row r="2861" spans="3:4" ht="20.100000000000001" customHeight="1">
      <c r="C2861" s="1793"/>
      <c r="D2861" s="1793"/>
    </row>
    <row r="2862" spans="3:4" ht="20.100000000000001" customHeight="1">
      <c r="C2862" s="1793"/>
      <c r="D2862" s="1793"/>
    </row>
    <row r="2863" spans="3:4" ht="20.100000000000001" customHeight="1">
      <c r="C2863" s="1793"/>
      <c r="D2863" s="1793"/>
    </row>
    <row r="2864" spans="3:4" ht="20.100000000000001" customHeight="1">
      <c r="C2864" s="1793"/>
      <c r="D2864" s="1793"/>
    </row>
    <row r="2865" spans="3:4" ht="20.100000000000001" customHeight="1">
      <c r="C2865" s="1793"/>
      <c r="D2865" s="1793"/>
    </row>
    <row r="2866" spans="3:4" ht="20.100000000000001" customHeight="1">
      <c r="C2866" s="1793"/>
      <c r="D2866" s="1793"/>
    </row>
    <row r="2867" spans="3:4" ht="20.100000000000001" customHeight="1">
      <c r="C2867" s="1793"/>
      <c r="D2867" s="1793"/>
    </row>
    <row r="2868" spans="3:4" ht="20.100000000000001" customHeight="1">
      <c r="C2868" s="1793"/>
      <c r="D2868" s="1793"/>
    </row>
    <row r="2869" spans="3:4" ht="20.100000000000001" customHeight="1">
      <c r="C2869" s="1793"/>
      <c r="D2869" s="1793"/>
    </row>
    <row r="2870" spans="3:4" ht="20.100000000000001" customHeight="1">
      <c r="C2870" s="1793"/>
      <c r="D2870" s="1793"/>
    </row>
    <row r="2871" spans="3:4" ht="20.100000000000001" customHeight="1">
      <c r="C2871" s="1793"/>
      <c r="D2871" s="1793"/>
    </row>
    <row r="2872" spans="3:4" ht="20.100000000000001" customHeight="1">
      <c r="C2872" s="1793"/>
      <c r="D2872" s="1793"/>
    </row>
    <row r="2873" spans="3:4" ht="20.100000000000001" customHeight="1">
      <c r="C2873" s="1793"/>
      <c r="D2873" s="1793"/>
    </row>
    <row r="2874" spans="3:4" ht="20.100000000000001" customHeight="1">
      <c r="C2874" s="1793"/>
      <c r="D2874" s="1793"/>
    </row>
    <row r="2875" spans="3:4" ht="20.100000000000001" customHeight="1">
      <c r="C2875" s="1793"/>
      <c r="D2875" s="1793"/>
    </row>
    <row r="2876" spans="3:4" ht="20.100000000000001" customHeight="1">
      <c r="C2876" s="1793"/>
      <c r="D2876" s="1793"/>
    </row>
    <row r="2877" spans="3:4" ht="20.100000000000001" customHeight="1">
      <c r="C2877" s="1793"/>
      <c r="D2877" s="1793"/>
    </row>
    <row r="2878" spans="3:4" ht="20.100000000000001" customHeight="1">
      <c r="C2878" s="1793"/>
      <c r="D2878" s="1793"/>
    </row>
    <row r="2879" spans="3:4" ht="20.100000000000001" customHeight="1">
      <c r="C2879" s="1793"/>
      <c r="D2879" s="1793"/>
    </row>
    <row r="2880" spans="3:4" ht="20.100000000000001" customHeight="1">
      <c r="C2880" s="1793"/>
      <c r="D2880" s="1793"/>
    </row>
    <row r="2881" spans="3:4" ht="20.100000000000001" customHeight="1">
      <c r="C2881" s="1793"/>
      <c r="D2881" s="1793"/>
    </row>
    <row r="2882" spans="3:4" ht="20.100000000000001" customHeight="1">
      <c r="C2882" s="1793"/>
      <c r="D2882" s="1793"/>
    </row>
    <row r="2883" spans="3:4" ht="20.100000000000001" customHeight="1">
      <c r="C2883" s="1793"/>
      <c r="D2883" s="1793"/>
    </row>
    <row r="2884" spans="3:4" ht="20.100000000000001" customHeight="1">
      <c r="C2884" s="1793"/>
      <c r="D2884" s="1793"/>
    </row>
    <row r="2885" spans="3:4" ht="20.100000000000001" customHeight="1">
      <c r="C2885" s="1793"/>
      <c r="D2885" s="1793"/>
    </row>
    <row r="2886" spans="3:4" ht="20.100000000000001" customHeight="1">
      <c r="C2886" s="1793"/>
      <c r="D2886" s="1793"/>
    </row>
    <row r="2887" spans="3:4" ht="20.100000000000001" customHeight="1">
      <c r="C2887" s="1793"/>
      <c r="D2887" s="1793"/>
    </row>
    <row r="2888" spans="3:4" ht="20.100000000000001" customHeight="1">
      <c r="C2888" s="1793"/>
      <c r="D2888" s="1793"/>
    </row>
    <row r="2889" spans="3:4" ht="20.100000000000001" customHeight="1">
      <c r="C2889" s="1793"/>
      <c r="D2889" s="1793"/>
    </row>
    <row r="2890" spans="3:4" ht="20.100000000000001" customHeight="1">
      <c r="C2890" s="1793"/>
      <c r="D2890" s="1793"/>
    </row>
    <row r="2891" spans="3:4" ht="20.100000000000001" customHeight="1">
      <c r="C2891" s="1793"/>
      <c r="D2891" s="1793"/>
    </row>
    <row r="2892" spans="3:4" ht="20.100000000000001" customHeight="1">
      <c r="C2892" s="1793"/>
      <c r="D2892" s="1793"/>
    </row>
    <row r="2893" spans="3:4" ht="20.100000000000001" customHeight="1">
      <c r="C2893" s="1793"/>
      <c r="D2893" s="1793"/>
    </row>
    <row r="2894" spans="3:4" ht="20.100000000000001" customHeight="1">
      <c r="C2894" s="1793"/>
      <c r="D2894" s="1793"/>
    </row>
    <row r="2895" spans="3:4" ht="20.100000000000001" customHeight="1">
      <c r="C2895" s="1793"/>
      <c r="D2895" s="1793"/>
    </row>
    <row r="2896" spans="3:4" ht="20.100000000000001" customHeight="1">
      <c r="C2896" s="1793"/>
      <c r="D2896" s="1793"/>
    </row>
    <row r="2897" spans="3:4" ht="20.100000000000001" customHeight="1">
      <c r="C2897" s="1793"/>
      <c r="D2897" s="1793"/>
    </row>
    <row r="2898" spans="3:4" ht="20.100000000000001" customHeight="1">
      <c r="C2898" s="1793"/>
      <c r="D2898" s="1793"/>
    </row>
    <row r="2899" spans="3:4" ht="20.100000000000001" customHeight="1">
      <c r="C2899" s="1793"/>
      <c r="D2899" s="1793"/>
    </row>
    <row r="2900" spans="3:4" ht="20.100000000000001" customHeight="1">
      <c r="C2900" s="1793"/>
      <c r="D2900" s="1793"/>
    </row>
    <row r="2901" spans="3:4" ht="20.100000000000001" customHeight="1">
      <c r="C2901" s="1793"/>
      <c r="D2901" s="1793"/>
    </row>
    <row r="2902" spans="3:4" ht="20.100000000000001" customHeight="1">
      <c r="C2902" s="1793"/>
      <c r="D2902" s="1793"/>
    </row>
    <row r="2903" spans="3:4" ht="20.100000000000001" customHeight="1">
      <c r="C2903" s="1793"/>
      <c r="D2903" s="1793"/>
    </row>
    <row r="2904" spans="3:4" ht="20.100000000000001" customHeight="1">
      <c r="C2904" s="1793"/>
      <c r="D2904" s="1793"/>
    </row>
    <row r="2905" spans="3:4" ht="20.100000000000001" customHeight="1">
      <c r="C2905" s="1793"/>
      <c r="D2905" s="1793"/>
    </row>
    <row r="2906" spans="3:4" ht="20.100000000000001" customHeight="1">
      <c r="C2906" s="1793"/>
      <c r="D2906" s="1793"/>
    </row>
    <row r="2907" spans="3:4" ht="20.100000000000001" customHeight="1">
      <c r="C2907" s="1793"/>
      <c r="D2907" s="1793"/>
    </row>
    <row r="2908" spans="3:4" ht="20.100000000000001" customHeight="1">
      <c r="C2908" s="1793"/>
      <c r="D2908" s="1793"/>
    </row>
    <row r="2909" spans="3:4" ht="20.100000000000001" customHeight="1">
      <c r="C2909" s="1793"/>
      <c r="D2909" s="1793"/>
    </row>
    <row r="2910" spans="3:4" ht="20.100000000000001" customHeight="1">
      <c r="C2910" s="1793"/>
      <c r="D2910" s="1793"/>
    </row>
    <row r="2911" spans="3:4" ht="20.100000000000001" customHeight="1">
      <c r="C2911" s="1793"/>
      <c r="D2911" s="1793"/>
    </row>
    <row r="2912" spans="3:4" ht="20.100000000000001" customHeight="1">
      <c r="C2912" s="1793"/>
      <c r="D2912" s="1793"/>
    </row>
    <row r="2913" spans="3:4" ht="20.100000000000001" customHeight="1">
      <c r="C2913" s="1793"/>
      <c r="D2913" s="1793"/>
    </row>
    <row r="2914" spans="3:4" ht="20.100000000000001" customHeight="1">
      <c r="C2914" s="1793"/>
      <c r="D2914" s="1793"/>
    </row>
    <row r="2915" spans="3:4" ht="20.100000000000001" customHeight="1">
      <c r="C2915" s="1793"/>
      <c r="D2915" s="1793"/>
    </row>
    <row r="2916" spans="3:4" ht="20.100000000000001" customHeight="1">
      <c r="C2916" s="1793"/>
      <c r="D2916" s="1793"/>
    </row>
    <row r="2917" spans="3:4" ht="20.100000000000001" customHeight="1">
      <c r="C2917" s="1793"/>
      <c r="D2917" s="1793"/>
    </row>
    <row r="2918" spans="3:4" ht="20.100000000000001" customHeight="1">
      <c r="C2918" s="1793"/>
      <c r="D2918" s="1793"/>
    </row>
    <row r="2919" spans="3:4" ht="20.100000000000001" customHeight="1">
      <c r="C2919" s="1793"/>
      <c r="D2919" s="1793"/>
    </row>
    <row r="2920" spans="3:4" ht="20.100000000000001" customHeight="1">
      <c r="C2920" s="1793"/>
      <c r="D2920" s="1793"/>
    </row>
    <row r="2921" spans="3:4" ht="20.100000000000001" customHeight="1">
      <c r="C2921" s="1793"/>
      <c r="D2921" s="1793"/>
    </row>
    <row r="2922" spans="3:4" ht="20.100000000000001" customHeight="1">
      <c r="C2922" s="1793"/>
      <c r="D2922" s="1793"/>
    </row>
    <row r="2923" spans="3:4" ht="20.100000000000001" customHeight="1">
      <c r="C2923" s="1793"/>
      <c r="D2923" s="1793"/>
    </row>
    <row r="2924" spans="3:4" ht="20.100000000000001" customHeight="1">
      <c r="C2924" s="1793"/>
      <c r="D2924" s="1793"/>
    </row>
    <row r="2925" spans="3:4" ht="20.100000000000001" customHeight="1">
      <c r="C2925" s="1793"/>
      <c r="D2925" s="1793"/>
    </row>
    <row r="2926" spans="3:4" ht="20.100000000000001" customHeight="1">
      <c r="C2926" s="1793"/>
      <c r="D2926" s="1793"/>
    </row>
    <row r="2927" spans="3:4" ht="20.100000000000001" customHeight="1">
      <c r="C2927" s="1793"/>
      <c r="D2927" s="1793"/>
    </row>
    <row r="2928" spans="3:4" ht="20.100000000000001" customHeight="1">
      <c r="C2928" s="1793"/>
      <c r="D2928" s="1793"/>
    </row>
    <row r="2929" spans="3:4" ht="20.100000000000001" customHeight="1">
      <c r="C2929" s="1793"/>
      <c r="D2929" s="1793"/>
    </row>
    <row r="2930" spans="3:4" ht="20.100000000000001" customHeight="1">
      <c r="C2930" s="1793"/>
      <c r="D2930" s="1793"/>
    </row>
    <row r="2931" spans="3:4" ht="20.100000000000001" customHeight="1">
      <c r="C2931" s="1793"/>
      <c r="D2931" s="1793"/>
    </row>
    <row r="2932" spans="3:4" ht="20.100000000000001" customHeight="1">
      <c r="C2932" s="1793"/>
      <c r="D2932" s="1793"/>
    </row>
    <row r="2933" spans="3:4" ht="20.100000000000001" customHeight="1">
      <c r="C2933" s="1793"/>
      <c r="D2933" s="1793"/>
    </row>
    <row r="2934" spans="3:4" ht="20.100000000000001" customHeight="1">
      <c r="C2934" s="1793"/>
      <c r="D2934" s="1793"/>
    </row>
    <row r="2935" spans="3:4" ht="20.100000000000001" customHeight="1">
      <c r="C2935" s="1793"/>
      <c r="D2935" s="1793"/>
    </row>
    <row r="2936" spans="3:4" ht="20.100000000000001" customHeight="1">
      <c r="C2936" s="1793"/>
      <c r="D2936" s="1793"/>
    </row>
    <row r="2937" spans="3:4" ht="20.100000000000001" customHeight="1">
      <c r="C2937" s="1793"/>
      <c r="D2937" s="1793"/>
    </row>
    <row r="2938" spans="3:4" ht="20.100000000000001" customHeight="1">
      <c r="C2938" s="1793"/>
      <c r="D2938" s="1793"/>
    </row>
    <row r="2939" spans="3:4" ht="20.100000000000001" customHeight="1">
      <c r="C2939" s="1793"/>
      <c r="D2939" s="1793"/>
    </row>
    <row r="2940" spans="3:4" ht="20.100000000000001" customHeight="1">
      <c r="C2940" s="1793"/>
      <c r="D2940" s="1793"/>
    </row>
    <row r="2941" spans="3:4" ht="20.100000000000001" customHeight="1">
      <c r="C2941" s="1793"/>
      <c r="D2941" s="1793"/>
    </row>
    <row r="2942" spans="3:4" ht="20.100000000000001" customHeight="1">
      <c r="C2942" s="1793"/>
      <c r="D2942" s="1793"/>
    </row>
    <row r="2943" spans="3:4" ht="20.100000000000001" customHeight="1">
      <c r="C2943" s="1793"/>
      <c r="D2943" s="1793"/>
    </row>
    <row r="2944" spans="3:4" ht="20.100000000000001" customHeight="1">
      <c r="C2944" s="1793"/>
      <c r="D2944" s="1793"/>
    </row>
    <row r="2945" spans="3:4" ht="20.100000000000001" customHeight="1">
      <c r="C2945" s="1793"/>
      <c r="D2945" s="1793"/>
    </row>
    <row r="2946" spans="3:4" ht="20.100000000000001" customHeight="1">
      <c r="C2946" s="1793"/>
      <c r="D2946" s="1793"/>
    </row>
    <row r="2947" spans="3:4" ht="20.100000000000001" customHeight="1">
      <c r="C2947" s="1793"/>
      <c r="D2947" s="1793"/>
    </row>
    <row r="2948" spans="3:4" ht="20.100000000000001" customHeight="1">
      <c r="C2948" s="1793"/>
      <c r="D2948" s="1793"/>
    </row>
    <row r="2949" spans="3:4" ht="20.100000000000001" customHeight="1">
      <c r="C2949" s="1793"/>
      <c r="D2949" s="1793"/>
    </row>
    <row r="2950" spans="3:4" ht="20.100000000000001" customHeight="1">
      <c r="C2950" s="1793"/>
      <c r="D2950" s="1793"/>
    </row>
    <row r="2951" spans="3:4" ht="20.100000000000001" customHeight="1">
      <c r="C2951" s="1793"/>
      <c r="D2951" s="1793"/>
    </row>
    <row r="2952" spans="3:4" ht="20.100000000000001" customHeight="1">
      <c r="C2952" s="1793"/>
      <c r="D2952" s="1793"/>
    </row>
    <row r="2953" spans="3:4" ht="20.100000000000001" customHeight="1">
      <c r="C2953" s="1793"/>
      <c r="D2953" s="1793"/>
    </row>
    <row r="2954" spans="3:4" ht="20.100000000000001" customHeight="1">
      <c r="C2954" s="1793"/>
      <c r="D2954" s="1793"/>
    </row>
    <row r="2955" spans="3:4" ht="20.100000000000001" customHeight="1">
      <c r="C2955" s="1793"/>
      <c r="D2955" s="1793"/>
    </row>
    <row r="2956" spans="3:4" ht="20.100000000000001" customHeight="1">
      <c r="C2956" s="1793"/>
      <c r="D2956" s="1793"/>
    </row>
    <row r="2957" spans="3:4" ht="20.100000000000001" customHeight="1">
      <c r="C2957" s="1793"/>
      <c r="D2957" s="1793"/>
    </row>
    <row r="2958" spans="3:4" ht="20.100000000000001" customHeight="1">
      <c r="C2958" s="1793"/>
      <c r="D2958" s="1793"/>
    </row>
    <row r="2959" spans="3:4" ht="20.100000000000001" customHeight="1">
      <c r="C2959" s="1793"/>
      <c r="D2959" s="1793"/>
    </row>
    <row r="2960" spans="3:4" ht="20.100000000000001" customHeight="1">
      <c r="C2960" s="1793"/>
      <c r="D2960" s="1793"/>
    </row>
    <row r="2961" spans="3:4" ht="20.100000000000001" customHeight="1">
      <c r="C2961" s="1793"/>
      <c r="D2961" s="1793"/>
    </row>
    <row r="2962" spans="3:4" ht="20.100000000000001" customHeight="1">
      <c r="C2962" s="1793"/>
      <c r="D2962" s="1793"/>
    </row>
    <row r="2963" spans="3:4" ht="20.100000000000001" customHeight="1">
      <c r="C2963" s="1793"/>
      <c r="D2963" s="1793"/>
    </row>
    <row r="2964" spans="3:4" ht="20.100000000000001" customHeight="1">
      <c r="C2964" s="1793"/>
      <c r="D2964" s="1793"/>
    </row>
    <row r="2965" spans="3:4" ht="20.100000000000001" customHeight="1">
      <c r="C2965" s="1793"/>
      <c r="D2965" s="1793"/>
    </row>
    <row r="2966" spans="3:4" ht="20.100000000000001" customHeight="1">
      <c r="C2966" s="1793"/>
      <c r="D2966" s="1793"/>
    </row>
    <row r="2967" spans="3:4" ht="20.100000000000001" customHeight="1">
      <c r="C2967" s="1793"/>
      <c r="D2967" s="1793"/>
    </row>
    <row r="2968" spans="3:4" ht="20.100000000000001" customHeight="1">
      <c r="C2968" s="1793"/>
      <c r="D2968" s="1793"/>
    </row>
    <row r="2969" spans="3:4" ht="20.100000000000001" customHeight="1">
      <c r="C2969" s="1793"/>
      <c r="D2969" s="1793"/>
    </row>
    <row r="2970" spans="3:4" ht="20.100000000000001" customHeight="1">
      <c r="C2970" s="1793"/>
      <c r="D2970" s="1793"/>
    </row>
    <row r="2971" spans="3:4" ht="20.100000000000001" customHeight="1">
      <c r="C2971" s="1793"/>
      <c r="D2971" s="1793"/>
    </row>
    <row r="2972" spans="3:4" ht="20.100000000000001" customHeight="1">
      <c r="C2972" s="1793"/>
      <c r="D2972" s="1793"/>
    </row>
    <row r="2973" spans="3:4" ht="20.100000000000001" customHeight="1">
      <c r="C2973" s="1793"/>
      <c r="D2973" s="1793"/>
    </row>
    <row r="2974" spans="3:4" ht="20.100000000000001" customHeight="1">
      <c r="C2974" s="1793"/>
      <c r="D2974" s="1793"/>
    </row>
    <row r="2975" spans="3:4" ht="20.100000000000001" customHeight="1">
      <c r="C2975" s="1793"/>
      <c r="D2975" s="1793"/>
    </row>
    <row r="2976" spans="3:4" ht="20.100000000000001" customHeight="1">
      <c r="C2976" s="1793"/>
      <c r="D2976" s="1793"/>
    </row>
    <row r="2977" spans="3:4" ht="20.100000000000001" customHeight="1">
      <c r="C2977" s="1793"/>
      <c r="D2977" s="1793"/>
    </row>
    <row r="2978" spans="3:4" ht="20.100000000000001" customHeight="1">
      <c r="C2978" s="1793"/>
      <c r="D2978" s="1793"/>
    </row>
    <row r="2979" spans="3:4" ht="20.100000000000001" customHeight="1">
      <c r="C2979" s="1793"/>
      <c r="D2979" s="1793"/>
    </row>
    <row r="2980" spans="3:4" ht="20.100000000000001" customHeight="1">
      <c r="C2980" s="1793"/>
      <c r="D2980" s="1793"/>
    </row>
    <row r="2981" spans="3:4" ht="20.100000000000001" customHeight="1">
      <c r="C2981" s="1793"/>
      <c r="D2981" s="1793"/>
    </row>
    <row r="2982" spans="3:4" ht="20.100000000000001" customHeight="1">
      <c r="C2982" s="1793"/>
      <c r="D2982" s="1793"/>
    </row>
    <row r="2983" spans="3:4" ht="20.100000000000001" customHeight="1">
      <c r="C2983" s="1793"/>
      <c r="D2983" s="1793"/>
    </row>
    <row r="2984" spans="3:4" ht="20.100000000000001" customHeight="1">
      <c r="C2984" s="1793"/>
      <c r="D2984" s="1793"/>
    </row>
    <row r="2985" spans="3:4" ht="20.100000000000001" customHeight="1">
      <c r="C2985" s="1793"/>
      <c r="D2985" s="1793"/>
    </row>
    <row r="2986" spans="3:4" ht="20.100000000000001" customHeight="1">
      <c r="C2986" s="1793"/>
      <c r="D2986" s="1793"/>
    </row>
    <row r="2987" spans="3:4" ht="20.100000000000001" customHeight="1">
      <c r="C2987" s="1793"/>
      <c r="D2987" s="1793"/>
    </row>
    <row r="2988" spans="3:4" ht="20.100000000000001" customHeight="1">
      <c r="C2988" s="1793"/>
      <c r="D2988" s="1793"/>
    </row>
    <row r="2989" spans="3:4" ht="20.100000000000001" customHeight="1">
      <c r="C2989" s="1793"/>
      <c r="D2989" s="1793"/>
    </row>
    <row r="2990" spans="3:4" ht="20.100000000000001" customHeight="1">
      <c r="C2990" s="1793"/>
      <c r="D2990" s="1793"/>
    </row>
    <row r="2991" spans="3:4" ht="20.100000000000001" customHeight="1">
      <c r="C2991" s="1793"/>
      <c r="D2991" s="1793"/>
    </row>
    <row r="2992" spans="3:4" ht="20.100000000000001" customHeight="1">
      <c r="C2992" s="1793"/>
      <c r="D2992" s="1793"/>
    </row>
    <row r="2993" spans="3:4" ht="20.100000000000001" customHeight="1">
      <c r="C2993" s="1793"/>
      <c r="D2993" s="1793"/>
    </row>
    <row r="2994" spans="3:4" ht="20.100000000000001" customHeight="1">
      <c r="C2994" s="1793"/>
      <c r="D2994" s="1793"/>
    </row>
    <row r="2995" spans="3:4" ht="20.100000000000001" customHeight="1">
      <c r="C2995" s="1793"/>
      <c r="D2995" s="1793"/>
    </row>
    <row r="2996" spans="3:4" ht="20.100000000000001" customHeight="1">
      <c r="C2996" s="1793"/>
      <c r="D2996" s="1793"/>
    </row>
    <row r="2997" spans="3:4" ht="20.100000000000001" customHeight="1">
      <c r="C2997" s="1793"/>
      <c r="D2997" s="1793"/>
    </row>
    <row r="2998" spans="3:4" ht="20.100000000000001" customHeight="1">
      <c r="C2998" s="1793"/>
      <c r="D2998" s="1793"/>
    </row>
    <row r="2999" spans="3:4" ht="20.100000000000001" customHeight="1">
      <c r="C2999" s="1793"/>
      <c r="D2999" s="1793"/>
    </row>
    <row r="3000" spans="3:4" ht="20.100000000000001" customHeight="1">
      <c r="C3000" s="1793"/>
      <c r="D3000" s="1793"/>
    </row>
    <row r="3001" spans="3:4" ht="20.100000000000001" customHeight="1">
      <c r="C3001" s="1793"/>
      <c r="D3001" s="1793"/>
    </row>
    <row r="3002" spans="3:4" ht="20.100000000000001" customHeight="1">
      <c r="C3002" s="1793"/>
      <c r="D3002" s="1793"/>
    </row>
    <row r="3003" spans="3:4" ht="20.100000000000001" customHeight="1">
      <c r="C3003" s="1793"/>
      <c r="D3003" s="1793"/>
    </row>
    <row r="3004" spans="3:4" ht="20.100000000000001" customHeight="1">
      <c r="C3004" s="1793"/>
      <c r="D3004" s="1793"/>
    </row>
    <row r="3005" spans="3:4" ht="20.100000000000001" customHeight="1">
      <c r="C3005" s="1793"/>
      <c r="D3005" s="1793"/>
    </row>
    <row r="3006" spans="3:4" ht="20.100000000000001" customHeight="1">
      <c r="C3006" s="1793"/>
      <c r="D3006" s="1793"/>
    </row>
    <row r="3007" spans="3:4" ht="20.100000000000001" customHeight="1">
      <c r="C3007" s="1793"/>
      <c r="D3007" s="1793"/>
    </row>
    <row r="3008" spans="3:4" ht="20.100000000000001" customHeight="1">
      <c r="C3008" s="1793"/>
      <c r="D3008" s="1793"/>
    </row>
    <row r="3009" spans="3:4" ht="20.100000000000001" customHeight="1">
      <c r="C3009" s="1793"/>
      <c r="D3009" s="1793"/>
    </row>
    <row r="3010" spans="3:4" ht="20.100000000000001" customHeight="1">
      <c r="C3010" s="1793"/>
      <c r="D3010" s="1793"/>
    </row>
    <row r="3011" spans="3:4" ht="20.100000000000001" customHeight="1">
      <c r="C3011" s="1793"/>
      <c r="D3011" s="1793"/>
    </row>
    <row r="3012" spans="3:4" ht="20.100000000000001" customHeight="1">
      <c r="C3012" s="1793"/>
      <c r="D3012" s="1793"/>
    </row>
    <row r="3013" spans="3:4" ht="20.100000000000001" customHeight="1">
      <c r="C3013" s="1793"/>
      <c r="D3013" s="1793"/>
    </row>
    <row r="3014" spans="3:4" ht="20.100000000000001" customHeight="1">
      <c r="C3014" s="1793"/>
      <c r="D3014" s="1793"/>
    </row>
    <row r="3015" spans="3:4" ht="20.100000000000001" customHeight="1">
      <c r="C3015" s="1793"/>
      <c r="D3015" s="1793"/>
    </row>
    <row r="3016" spans="3:4" ht="20.100000000000001" customHeight="1">
      <c r="C3016" s="1793"/>
      <c r="D3016" s="1793"/>
    </row>
    <row r="3017" spans="3:4" ht="20.100000000000001" customHeight="1">
      <c r="C3017" s="1793"/>
      <c r="D3017" s="1793"/>
    </row>
    <row r="3018" spans="3:4" ht="20.100000000000001" customHeight="1">
      <c r="C3018" s="1793"/>
      <c r="D3018" s="1793"/>
    </row>
    <row r="3019" spans="3:4" ht="20.100000000000001" customHeight="1">
      <c r="C3019" s="1793"/>
      <c r="D3019" s="1793"/>
    </row>
    <row r="3020" spans="3:4" ht="20.100000000000001" customHeight="1">
      <c r="C3020" s="1793"/>
      <c r="D3020" s="1793"/>
    </row>
    <row r="3021" spans="3:4" ht="20.100000000000001" customHeight="1">
      <c r="C3021" s="1793"/>
      <c r="D3021" s="1793"/>
    </row>
    <row r="3022" spans="3:4" ht="20.100000000000001" customHeight="1">
      <c r="C3022" s="1793"/>
      <c r="D3022" s="1793"/>
    </row>
    <row r="3023" spans="3:4" ht="20.100000000000001" customHeight="1">
      <c r="C3023" s="1793"/>
      <c r="D3023" s="1793"/>
    </row>
    <row r="3024" spans="3:4" ht="20.100000000000001" customHeight="1">
      <c r="C3024" s="1793"/>
      <c r="D3024" s="1793"/>
    </row>
    <row r="3025" spans="3:4" ht="20.100000000000001" customHeight="1">
      <c r="C3025" s="1793"/>
      <c r="D3025" s="1793"/>
    </row>
    <row r="3026" spans="3:4" ht="20.100000000000001" customHeight="1">
      <c r="C3026" s="1793"/>
      <c r="D3026" s="1793"/>
    </row>
    <row r="3027" spans="3:4" ht="20.100000000000001" customHeight="1">
      <c r="C3027" s="1793"/>
      <c r="D3027" s="1793"/>
    </row>
    <row r="3028" spans="3:4" ht="20.100000000000001" customHeight="1">
      <c r="C3028" s="1793"/>
      <c r="D3028" s="1793"/>
    </row>
    <row r="3029" spans="3:4" ht="20.100000000000001" customHeight="1">
      <c r="C3029" s="1793"/>
      <c r="D3029" s="1793"/>
    </row>
    <row r="3030" spans="3:4" ht="20.100000000000001" customHeight="1">
      <c r="C3030" s="1793"/>
      <c r="D3030" s="1793"/>
    </row>
    <row r="3031" spans="3:4" ht="20.100000000000001" customHeight="1">
      <c r="C3031" s="1793"/>
      <c r="D3031" s="1793"/>
    </row>
    <row r="3032" spans="3:4" ht="20.100000000000001" customHeight="1">
      <c r="C3032" s="1793"/>
      <c r="D3032" s="1793"/>
    </row>
    <row r="3033" spans="3:4" ht="20.100000000000001" customHeight="1">
      <c r="C3033" s="1793"/>
      <c r="D3033" s="1793"/>
    </row>
    <row r="3034" spans="3:4" ht="20.100000000000001" customHeight="1">
      <c r="C3034" s="1793"/>
      <c r="D3034" s="1793"/>
    </row>
    <row r="3035" spans="3:4" ht="20.100000000000001" customHeight="1">
      <c r="C3035" s="1793"/>
      <c r="D3035" s="1793"/>
    </row>
    <row r="3036" spans="3:4" ht="20.100000000000001" customHeight="1">
      <c r="C3036" s="1793"/>
      <c r="D3036" s="1793"/>
    </row>
    <row r="3037" spans="3:4" ht="20.100000000000001" customHeight="1">
      <c r="C3037" s="1793"/>
      <c r="D3037" s="1793"/>
    </row>
    <row r="3038" spans="3:4" ht="20.100000000000001" customHeight="1">
      <c r="C3038" s="1793"/>
      <c r="D3038" s="1793"/>
    </row>
    <row r="3039" spans="3:4" ht="20.100000000000001" customHeight="1">
      <c r="C3039" s="1793"/>
      <c r="D3039" s="1793"/>
    </row>
    <row r="3040" spans="3:4" ht="20.100000000000001" customHeight="1">
      <c r="C3040" s="1793"/>
      <c r="D3040" s="1793"/>
    </row>
    <row r="3041" spans="3:4" ht="20.100000000000001" customHeight="1">
      <c r="C3041" s="1793"/>
      <c r="D3041" s="1793"/>
    </row>
    <row r="3042" spans="3:4" ht="20.100000000000001" customHeight="1">
      <c r="C3042" s="1793"/>
      <c r="D3042" s="1793"/>
    </row>
    <row r="3043" spans="3:4" ht="20.100000000000001" customHeight="1">
      <c r="C3043" s="1793"/>
      <c r="D3043" s="1793"/>
    </row>
    <row r="3044" spans="3:4" ht="20.100000000000001" customHeight="1">
      <c r="C3044" s="1793"/>
      <c r="D3044" s="1793"/>
    </row>
    <row r="3045" spans="3:4" ht="20.100000000000001" customHeight="1">
      <c r="C3045" s="1793"/>
      <c r="D3045" s="1793"/>
    </row>
    <row r="3046" spans="3:4" ht="20.100000000000001" customHeight="1">
      <c r="C3046" s="1793"/>
      <c r="D3046" s="1793"/>
    </row>
    <row r="3047" spans="3:4" ht="20.100000000000001" customHeight="1">
      <c r="C3047" s="1793"/>
      <c r="D3047" s="1793"/>
    </row>
    <row r="3048" spans="3:4" ht="20.100000000000001" customHeight="1">
      <c r="C3048" s="1793"/>
      <c r="D3048" s="1793"/>
    </row>
    <row r="3049" spans="3:4" ht="20.100000000000001" customHeight="1">
      <c r="C3049" s="1793"/>
      <c r="D3049" s="1793"/>
    </row>
    <row r="3050" spans="3:4" ht="20.100000000000001" customHeight="1">
      <c r="C3050" s="1793"/>
      <c r="D3050" s="1793"/>
    </row>
    <row r="3051" spans="3:4" ht="20.100000000000001" customHeight="1">
      <c r="C3051" s="1793"/>
      <c r="D3051" s="1793"/>
    </row>
    <row r="3052" spans="3:4" ht="20.100000000000001" customHeight="1">
      <c r="C3052" s="1793"/>
      <c r="D3052" s="1793"/>
    </row>
    <row r="3053" spans="3:4" ht="20.100000000000001" customHeight="1">
      <c r="C3053" s="1793"/>
      <c r="D3053" s="1793"/>
    </row>
    <row r="3054" spans="3:4" ht="20.100000000000001" customHeight="1">
      <c r="C3054" s="1793"/>
      <c r="D3054" s="1793"/>
    </row>
    <row r="3055" spans="3:4" ht="20.100000000000001" customHeight="1">
      <c r="C3055" s="1793"/>
      <c r="D3055" s="1793"/>
    </row>
    <row r="3056" spans="3:4" ht="20.100000000000001" customHeight="1">
      <c r="C3056" s="1793"/>
      <c r="D3056" s="1793"/>
    </row>
    <row r="3057" spans="3:4" ht="20.100000000000001" customHeight="1">
      <c r="C3057" s="1793"/>
      <c r="D3057" s="1793"/>
    </row>
    <row r="3058" spans="3:4" ht="20.100000000000001" customHeight="1">
      <c r="C3058" s="1793"/>
      <c r="D3058" s="1793"/>
    </row>
    <row r="3059" spans="3:4" ht="20.100000000000001" customHeight="1">
      <c r="C3059" s="1793"/>
      <c r="D3059" s="1793"/>
    </row>
    <row r="3060" spans="3:4" ht="20.100000000000001" customHeight="1">
      <c r="C3060" s="1793"/>
      <c r="D3060" s="1793"/>
    </row>
    <row r="3061" spans="3:4" ht="20.100000000000001" customHeight="1">
      <c r="C3061" s="1793"/>
      <c r="D3061" s="1793"/>
    </row>
    <row r="3062" spans="3:4" ht="20.100000000000001" customHeight="1">
      <c r="C3062" s="1793"/>
      <c r="D3062" s="1793"/>
    </row>
    <row r="3063" spans="3:4" ht="20.100000000000001" customHeight="1">
      <c r="C3063" s="1793"/>
      <c r="D3063" s="1793"/>
    </row>
    <row r="3064" spans="3:4" ht="20.100000000000001" customHeight="1">
      <c r="C3064" s="1793"/>
      <c r="D3064" s="1793"/>
    </row>
    <row r="3065" spans="3:4" ht="20.100000000000001" customHeight="1">
      <c r="C3065" s="1793"/>
      <c r="D3065" s="1793"/>
    </row>
    <row r="3066" spans="3:4" ht="20.100000000000001" customHeight="1">
      <c r="C3066" s="1793"/>
      <c r="D3066" s="1793"/>
    </row>
    <row r="3067" spans="3:4" ht="20.100000000000001" customHeight="1">
      <c r="C3067" s="1793"/>
      <c r="D3067" s="1793"/>
    </row>
    <row r="3068" spans="3:4" ht="20.100000000000001" customHeight="1">
      <c r="C3068" s="1793"/>
      <c r="D3068" s="1793"/>
    </row>
    <row r="3069" spans="3:4" ht="20.100000000000001" customHeight="1">
      <c r="C3069" s="1793"/>
      <c r="D3069" s="1793"/>
    </row>
    <row r="3070" spans="3:4" ht="20.100000000000001" customHeight="1">
      <c r="C3070" s="1793"/>
      <c r="D3070" s="1793"/>
    </row>
    <row r="3071" spans="3:4" ht="20.100000000000001" customHeight="1">
      <c r="C3071" s="1793"/>
      <c r="D3071" s="1793"/>
    </row>
    <row r="3072" spans="3:4" ht="20.100000000000001" customHeight="1">
      <c r="C3072" s="1793"/>
      <c r="D3072" s="1793"/>
    </row>
    <row r="3073" spans="3:4" ht="20.100000000000001" customHeight="1">
      <c r="C3073" s="1793"/>
      <c r="D3073" s="1793"/>
    </row>
    <row r="3074" spans="3:4" ht="20.100000000000001" customHeight="1">
      <c r="C3074" s="1793"/>
      <c r="D3074" s="1793"/>
    </row>
    <row r="3075" spans="3:4" ht="20.100000000000001" customHeight="1">
      <c r="C3075" s="1793"/>
      <c r="D3075" s="1793"/>
    </row>
    <row r="3076" spans="3:4" ht="20.100000000000001" customHeight="1">
      <c r="C3076" s="1793"/>
      <c r="D3076" s="1793"/>
    </row>
    <row r="3077" spans="3:4" ht="20.100000000000001" customHeight="1">
      <c r="C3077" s="1793"/>
      <c r="D3077" s="1793"/>
    </row>
    <row r="3078" spans="3:4" ht="20.100000000000001" customHeight="1">
      <c r="C3078" s="1793"/>
      <c r="D3078" s="1793"/>
    </row>
    <row r="3079" spans="3:4" ht="20.100000000000001" customHeight="1">
      <c r="C3079" s="1793"/>
      <c r="D3079" s="1793"/>
    </row>
    <row r="3080" spans="3:4" ht="20.100000000000001" customHeight="1">
      <c r="C3080" s="1793"/>
      <c r="D3080" s="1793"/>
    </row>
    <row r="3081" spans="3:4" ht="20.100000000000001" customHeight="1">
      <c r="C3081" s="1793"/>
      <c r="D3081" s="1793"/>
    </row>
    <row r="3082" spans="3:4" ht="20.100000000000001" customHeight="1">
      <c r="C3082" s="1793"/>
      <c r="D3082" s="1793"/>
    </row>
    <row r="3083" spans="3:4" ht="20.100000000000001" customHeight="1">
      <c r="C3083" s="1793"/>
      <c r="D3083" s="1793"/>
    </row>
    <row r="3084" spans="3:4" ht="20.100000000000001" customHeight="1">
      <c r="C3084" s="1793"/>
      <c r="D3084" s="1793"/>
    </row>
    <row r="3085" spans="3:4" ht="20.100000000000001" customHeight="1">
      <c r="C3085" s="1793"/>
      <c r="D3085" s="1793"/>
    </row>
    <row r="3086" spans="3:4" ht="20.100000000000001" customHeight="1">
      <c r="C3086" s="1793"/>
      <c r="D3086" s="1793"/>
    </row>
    <row r="3087" spans="3:4" ht="20.100000000000001" customHeight="1">
      <c r="C3087" s="1793"/>
      <c r="D3087" s="1793"/>
    </row>
    <row r="3088" spans="3:4" ht="20.100000000000001" customHeight="1">
      <c r="C3088" s="1793"/>
      <c r="D3088" s="1793"/>
    </row>
    <row r="3089" spans="3:4" ht="20.100000000000001" customHeight="1">
      <c r="C3089" s="1793"/>
      <c r="D3089" s="1793"/>
    </row>
    <row r="3090" spans="3:4" ht="20.100000000000001" customHeight="1">
      <c r="C3090" s="1793"/>
      <c r="D3090" s="1793"/>
    </row>
    <row r="3091" spans="3:4" ht="20.100000000000001" customHeight="1">
      <c r="C3091" s="1793"/>
      <c r="D3091" s="1793"/>
    </row>
    <row r="3092" spans="3:4" ht="20.100000000000001" customHeight="1">
      <c r="C3092" s="1793"/>
      <c r="D3092" s="1793"/>
    </row>
    <row r="3093" spans="3:4" ht="20.100000000000001" customHeight="1">
      <c r="C3093" s="1793"/>
      <c r="D3093" s="1793"/>
    </row>
    <row r="3094" spans="3:4" ht="20.100000000000001" customHeight="1">
      <c r="C3094" s="1793"/>
      <c r="D3094" s="1793"/>
    </row>
    <row r="3095" spans="3:4" ht="20.100000000000001" customHeight="1">
      <c r="C3095" s="1793"/>
      <c r="D3095" s="1793"/>
    </row>
    <row r="3096" spans="3:4" ht="20.100000000000001" customHeight="1">
      <c r="C3096" s="1793"/>
      <c r="D3096" s="1793"/>
    </row>
    <row r="3097" spans="3:4" ht="20.100000000000001" customHeight="1">
      <c r="C3097" s="1793"/>
      <c r="D3097" s="1793"/>
    </row>
    <row r="3098" spans="3:4" ht="20.100000000000001" customHeight="1">
      <c r="C3098" s="1793"/>
      <c r="D3098" s="1793"/>
    </row>
    <row r="3099" spans="3:4" ht="20.100000000000001" customHeight="1">
      <c r="C3099" s="1793"/>
      <c r="D3099" s="1793"/>
    </row>
    <row r="3100" spans="3:4" ht="20.100000000000001" customHeight="1">
      <c r="C3100" s="1793"/>
      <c r="D3100" s="1793"/>
    </row>
    <row r="3101" spans="3:4" ht="20.100000000000001" customHeight="1">
      <c r="C3101" s="1793"/>
      <c r="D3101" s="1793"/>
    </row>
    <row r="3102" spans="3:4" ht="20.100000000000001" customHeight="1">
      <c r="C3102" s="1793"/>
      <c r="D3102" s="1793"/>
    </row>
    <row r="3103" spans="3:4" ht="20.100000000000001" customHeight="1">
      <c r="C3103" s="1793"/>
      <c r="D3103" s="1793"/>
    </row>
    <row r="3104" spans="3:4" ht="20.100000000000001" customHeight="1">
      <c r="C3104" s="1793"/>
      <c r="D3104" s="1793"/>
    </row>
    <row r="3105" spans="3:4" ht="20.100000000000001" customHeight="1">
      <c r="C3105" s="1793"/>
      <c r="D3105" s="1793"/>
    </row>
    <row r="3106" spans="3:4" ht="20.100000000000001" customHeight="1">
      <c r="C3106" s="1793"/>
      <c r="D3106" s="1793"/>
    </row>
    <row r="3107" spans="3:4" ht="20.100000000000001" customHeight="1">
      <c r="C3107" s="1793"/>
      <c r="D3107" s="1793"/>
    </row>
    <row r="3108" spans="3:4" ht="20.100000000000001" customHeight="1">
      <c r="C3108" s="1793"/>
      <c r="D3108" s="1793"/>
    </row>
    <row r="3109" spans="3:4" ht="20.100000000000001" customHeight="1">
      <c r="C3109" s="1793"/>
      <c r="D3109" s="1793"/>
    </row>
    <row r="3110" spans="3:4" ht="20.100000000000001" customHeight="1">
      <c r="C3110" s="1793"/>
      <c r="D3110" s="1793"/>
    </row>
    <row r="3111" spans="3:4" ht="20.100000000000001" customHeight="1">
      <c r="C3111" s="1793"/>
      <c r="D3111" s="1793"/>
    </row>
    <row r="3112" spans="3:4" ht="20.100000000000001" customHeight="1">
      <c r="C3112" s="1793"/>
      <c r="D3112" s="1793"/>
    </row>
    <row r="3113" spans="3:4" ht="20.100000000000001" customHeight="1">
      <c r="C3113" s="1793"/>
      <c r="D3113" s="1793"/>
    </row>
    <row r="3114" spans="3:4" ht="20.100000000000001" customHeight="1">
      <c r="C3114" s="1793"/>
      <c r="D3114" s="1793"/>
    </row>
    <row r="3115" spans="3:4" ht="20.100000000000001" customHeight="1">
      <c r="C3115" s="1793"/>
      <c r="D3115" s="1793"/>
    </row>
    <row r="3116" spans="3:4" ht="20.100000000000001" customHeight="1">
      <c r="C3116" s="1793"/>
      <c r="D3116" s="1793"/>
    </row>
    <row r="3117" spans="3:4" ht="20.100000000000001" customHeight="1">
      <c r="C3117" s="1793"/>
      <c r="D3117" s="1793"/>
    </row>
    <row r="3118" spans="3:4" ht="20.100000000000001" customHeight="1">
      <c r="C3118" s="1793"/>
      <c r="D3118" s="1793"/>
    </row>
    <row r="3119" spans="3:4" ht="20.100000000000001" customHeight="1">
      <c r="C3119" s="1793"/>
      <c r="D3119" s="1793"/>
    </row>
    <row r="3120" spans="3:4" ht="20.100000000000001" customHeight="1">
      <c r="C3120" s="1793"/>
      <c r="D3120" s="1793"/>
    </row>
    <row r="3121" spans="3:4" ht="20.100000000000001" customHeight="1">
      <c r="C3121" s="1793"/>
      <c r="D3121" s="1793"/>
    </row>
    <row r="3122" spans="3:4" ht="20.100000000000001" customHeight="1">
      <c r="C3122" s="1793"/>
      <c r="D3122" s="1793"/>
    </row>
    <row r="3123" spans="3:4" ht="20.100000000000001" customHeight="1">
      <c r="C3123" s="1793"/>
      <c r="D3123" s="1793"/>
    </row>
    <row r="3124" spans="3:4" ht="20.100000000000001" customHeight="1">
      <c r="C3124" s="1793"/>
      <c r="D3124" s="1793"/>
    </row>
    <row r="3125" spans="3:4" ht="20.100000000000001" customHeight="1">
      <c r="C3125" s="1793"/>
      <c r="D3125" s="1793"/>
    </row>
    <row r="3126" spans="3:4" ht="20.100000000000001" customHeight="1">
      <c r="C3126" s="1793"/>
      <c r="D3126" s="1793"/>
    </row>
    <row r="3127" spans="3:4" ht="20.100000000000001" customHeight="1">
      <c r="C3127" s="1793"/>
      <c r="D3127" s="1793"/>
    </row>
    <row r="3128" spans="3:4" ht="20.100000000000001" customHeight="1">
      <c r="C3128" s="1793"/>
      <c r="D3128" s="1793"/>
    </row>
    <row r="3129" spans="3:4" ht="20.100000000000001" customHeight="1">
      <c r="C3129" s="1793"/>
      <c r="D3129" s="1793"/>
    </row>
    <row r="3130" spans="3:4" ht="20.100000000000001" customHeight="1">
      <c r="C3130" s="1793"/>
      <c r="D3130" s="1793"/>
    </row>
    <row r="3131" spans="3:4" ht="20.100000000000001" customHeight="1">
      <c r="C3131" s="1793"/>
      <c r="D3131" s="1793"/>
    </row>
    <row r="3132" spans="3:4" ht="20.100000000000001" customHeight="1">
      <c r="C3132" s="1793"/>
      <c r="D3132" s="1793"/>
    </row>
    <row r="3133" spans="3:4" ht="20.100000000000001" customHeight="1">
      <c r="C3133" s="1793"/>
      <c r="D3133" s="1793"/>
    </row>
    <row r="3134" spans="3:4" ht="20.100000000000001" customHeight="1">
      <c r="C3134" s="1793"/>
      <c r="D3134" s="1793"/>
    </row>
    <row r="3135" spans="3:4" ht="20.100000000000001" customHeight="1">
      <c r="C3135" s="1793"/>
      <c r="D3135" s="1793"/>
    </row>
    <row r="3136" spans="3:4" ht="20.100000000000001" customHeight="1">
      <c r="C3136" s="1793"/>
      <c r="D3136" s="1793"/>
    </row>
    <row r="3137" spans="3:4" ht="20.100000000000001" customHeight="1">
      <c r="C3137" s="1793"/>
      <c r="D3137" s="1793"/>
    </row>
    <row r="3138" spans="3:4" ht="20.100000000000001" customHeight="1">
      <c r="C3138" s="1793"/>
      <c r="D3138" s="1793"/>
    </row>
    <row r="3139" spans="3:4" ht="20.100000000000001" customHeight="1">
      <c r="C3139" s="1793"/>
      <c r="D3139" s="1793"/>
    </row>
    <row r="3140" spans="3:4" ht="20.100000000000001" customHeight="1">
      <c r="C3140" s="1793"/>
      <c r="D3140" s="1793"/>
    </row>
    <row r="3141" spans="3:4" ht="20.100000000000001" customHeight="1">
      <c r="C3141" s="1793"/>
      <c r="D3141" s="1793"/>
    </row>
    <row r="3142" spans="3:4" ht="20.100000000000001" customHeight="1">
      <c r="C3142" s="1793"/>
      <c r="D3142" s="1793"/>
    </row>
    <row r="3143" spans="3:4" ht="20.100000000000001" customHeight="1">
      <c r="C3143" s="1793"/>
      <c r="D3143" s="1793"/>
    </row>
    <row r="3144" spans="3:4" ht="20.100000000000001" customHeight="1">
      <c r="C3144" s="1793"/>
      <c r="D3144" s="1793"/>
    </row>
    <row r="3145" spans="3:4" ht="20.100000000000001" customHeight="1">
      <c r="C3145" s="1793"/>
      <c r="D3145" s="1793"/>
    </row>
    <row r="3146" spans="3:4" ht="20.100000000000001" customHeight="1">
      <c r="C3146" s="1793"/>
      <c r="D3146" s="1793"/>
    </row>
    <row r="3147" spans="3:4" ht="20.100000000000001" customHeight="1">
      <c r="C3147" s="1793"/>
      <c r="D3147" s="1793"/>
    </row>
    <row r="3148" spans="3:4" ht="20.100000000000001" customHeight="1">
      <c r="C3148" s="1793"/>
      <c r="D3148" s="1793"/>
    </row>
    <row r="3149" spans="3:4" ht="20.100000000000001" customHeight="1">
      <c r="C3149" s="1793"/>
      <c r="D3149" s="1793"/>
    </row>
    <row r="3150" spans="3:4" ht="20.100000000000001" customHeight="1">
      <c r="C3150" s="1793"/>
      <c r="D3150" s="1793"/>
    </row>
    <row r="3151" spans="3:4" ht="20.100000000000001" customHeight="1">
      <c r="C3151" s="1793"/>
      <c r="D3151" s="1793"/>
    </row>
    <row r="3152" spans="3:4" ht="20.100000000000001" customHeight="1">
      <c r="C3152" s="1793"/>
      <c r="D3152" s="1793"/>
    </row>
    <row r="3153" spans="3:4" ht="20.100000000000001" customHeight="1">
      <c r="C3153" s="1793"/>
      <c r="D3153" s="1793"/>
    </row>
    <row r="3154" spans="3:4" ht="20.100000000000001" customHeight="1">
      <c r="C3154" s="1793"/>
      <c r="D3154" s="1793"/>
    </row>
    <row r="3155" spans="3:4" ht="20.100000000000001" customHeight="1">
      <c r="C3155" s="1793"/>
      <c r="D3155" s="1793"/>
    </row>
    <row r="3156" spans="3:4" ht="20.100000000000001" customHeight="1">
      <c r="C3156" s="1793"/>
      <c r="D3156" s="1793"/>
    </row>
    <row r="3157" spans="3:4" ht="20.100000000000001" customHeight="1">
      <c r="C3157" s="1793"/>
      <c r="D3157" s="1793"/>
    </row>
    <row r="3158" spans="3:4" ht="20.100000000000001" customHeight="1">
      <c r="C3158" s="1793"/>
      <c r="D3158" s="1793"/>
    </row>
    <row r="3159" spans="3:4" ht="20.100000000000001" customHeight="1">
      <c r="C3159" s="1793"/>
      <c r="D3159" s="1793"/>
    </row>
  </sheetData>
  <mergeCells count="2">
    <mergeCell ref="C3:J3"/>
    <mergeCell ref="C4:J4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9" orientation="portrait" r:id="rId1"/>
  <headerFooter alignWithMargins="0">
    <oddFooter>&amp;C&amp;"+,Regular"&amp;22-27-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126"/>
  <sheetViews>
    <sheetView zoomScale="75" zoomScaleNormal="75" workbookViewId="0">
      <selection activeCell="AA4" sqref="AA4"/>
    </sheetView>
  </sheetViews>
  <sheetFormatPr defaultColWidth="1.42578125" defaultRowHeight="20.100000000000001" customHeight="1"/>
  <cols>
    <col min="1" max="1" width="10.85546875" style="1174" customWidth="1"/>
    <col min="2" max="2" width="12.5703125" style="1192" customWidth="1"/>
    <col min="3" max="3" width="20.5703125" style="1813" customWidth="1"/>
    <col min="4" max="5" width="20.5703125" style="1192" customWidth="1"/>
    <col min="6" max="6" width="30.42578125" style="1192" customWidth="1"/>
    <col min="7" max="7" width="22.5703125" style="1192" customWidth="1"/>
    <col min="8" max="8" width="18" style="1192" customWidth="1"/>
    <col min="9" max="9" width="16.7109375" style="2259" customWidth="1"/>
    <col min="10" max="10" width="4.7109375" style="2260" hidden="1" customWidth="1"/>
    <col min="11" max="16384" width="1.42578125" style="1174"/>
  </cols>
  <sheetData>
    <row r="1" spans="2:10" ht="18.95" customHeight="1">
      <c r="B1" s="4262"/>
      <c r="C1" s="2378"/>
      <c r="D1" s="2378"/>
      <c r="E1" s="2378"/>
      <c r="F1" s="2378"/>
      <c r="G1" s="2378"/>
      <c r="H1" s="2378"/>
      <c r="I1" s="2378"/>
      <c r="J1" s="2378"/>
    </row>
    <row r="2" spans="2:10" ht="18.95" customHeight="1">
      <c r="B2" s="4262"/>
      <c r="C2" s="2104"/>
      <c r="D2" s="1323"/>
      <c r="E2" s="1323"/>
      <c r="F2" s="1323"/>
      <c r="G2" s="1323"/>
      <c r="H2" s="1323"/>
      <c r="I2" s="2128"/>
      <c r="J2" s="2378"/>
    </row>
    <row r="3" spans="2:10" ht="20.100000000000001" customHeight="1">
      <c r="C3" s="4828" t="s">
        <v>746</v>
      </c>
      <c r="D3" s="4828"/>
      <c r="E3" s="4828"/>
      <c r="F3" s="4828"/>
      <c r="G3" s="4828"/>
      <c r="H3" s="4828"/>
      <c r="I3" s="4828"/>
      <c r="J3" s="2378"/>
    </row>
    <row r="4" spans="2:10" ht="20.100000000000001" customHeight="1">
      <c r="C4" s="4832" t="s">
        <v>747</v>
      </c>
      <c r="D4" s="4832"/>
      <c r="E4" s="4832"/>
      <c r="F4" s="4832"/>
      <c r="G4" s="4832"/>
      <c r="H4" s="4832"/>
      <c r="I4" s="4832"/>
      <c r="J4" s="2378"/>
    </row>
    <row r="5" spans="2:10" ht="20.100000000000001" customHeight="1">
      <c r="C5" s="1176" t="s">
        <v>545</v>
      </c>
      <c r="D5" s="1176"/>
      <c r="E5" s="1176"/>
      <c r="F5" s="1176"/>
      <c r="G5" s="1176"/>
      <c r="H5" s="1176"/>
      <c r="I5" s="1176" t="s">
        <v>729</v>
      </c>
      <c r="J5" s="2378"/>
    </row>
    <row r="6" spans="2:10" ht="6.75" customHeight="1">
      <c r="C6" s="2660"/>
      <c r="D6" s="1176"/>
      <c r="E6" s="1176"/>
      <c r="F6" s="1176"/>
      <c r="G6" s="1176"/>
      <c r="H6" s="1176"/>
      <c r="I6" s="2660"/>
      <c r="J6" s="2378"/>
    </row>
    <row r="7" spans="2:10" ht="20.100000000000001" customHeight="1">
      <c r="C7" s="2661"/>
      <c r="D7" s="4217"/>
      <c r="E7" s="4213"/>
      <c r="F7" s="2589"/>
      <c r="G7" s="2589"/>
      <c r="H7" s="2662"/>
      <c r="I7" s="4218"/>
      <c r="J7" s="2378"/>
    </row>
    <row r="8" spans="2:10" ht="20.100000000000001" customHeight="1">
      <c r="C8" s="4214"/>
      <c r="D8" s="4745"/>
      <c r="E8" s="4745"/>
      <c r="F8" s="4229"/>
      <c r="G8" s="4229"/>
      <c r="H8" s="2663" t="s">
        <v>338</v>
      </c>
      <c r="I8" s="4199" t="s">
        <v>107</v>
      </c>
      <c r="J8" s="2378"/>
    </row>
    <row r="9" spans="2:10" ht="20.100000000000001" customHeight="1">
      <c r="C9" s="4214" t="s">
        <v>748</v>
      </c>
      <c r="D9" s="4745" t="s">
        <v>749</v>
      </c>
      <c r="E9" s="4745"/>
      <c r="F9" s="4229" t="s">
        <v>750</v>
      </c>
      <c r="G9" s="4229" t="s">
        <v>751</v>
      </c>
      <c r="H9" s="1249" t="s">
        <v>100</v>
      </c>
      <c r="I9" s="4199" t="s">
        <v>116</v>
      </c>
      <c r="J9" s="2378"/>
    </row>
    <row r="10" spans="2:10" ht="20.100000000000001" customHeight="1">
      <c r="C10" s="4214"/>
      <c r="D10" s="4745"/>
      <c r="E10" s="4745"/>
      <c r="F10" s="4229"/>
      <c r="G10" s="4229"/>
      <c r="H10" s="2663"/>
      <c r="I10" s="4199"/>
      <c r="J10" s="2378"/>
    </row>
    <row r="11" spans="2:10" ht="20.100000000000001" customHeight="1">
      <c r="C11" s="4214"/>
      <c r="D11" s="4745"/>
      <c r="E11" s="4745"/>
      <c r="F11" s="4229"/>
      <c r="G11" s="4229"/>
      <c r="H11" s="1249"/>
      <c r="I11" s="4199"/>
      <c r="J11" s="2378"/>
    </row>
    <row r="12" spans="2:10" ht="20.100000000000001" customHeight="1">
      <c r="C12" s="4214"/>
      <c r="D12" s="4745" t="s">
        <v>752</v>
      </c>
      <c r="E12" s="4745"/>
      <c r="F12" s="4229" t="s">
        <v>753</v>
      </c>
      <c r="G12" s="4229" t="s">
        <v>754</v>
      </c>
      <c r="H12" s="1249" t="s">
        <v>187</v>
      </c>
      <c r="I12" s="4199" t="s">
        <v>136</v>
      </c>
      <c r="J12" s="2378"/>
    </row>
    <row r="13" spans="2:10" ht="20.100000000000001" customHeight="1">
      <c r="C13" s="4162" t="s">
        <v>755</v>
      </c>
      <c r="D13" s="4831" t="s">
        <v>756</v>
      </c>
      <c r="E13" s="4831"/>
      <c r="F13" s="4238" t="s">
        <v>140</v>
      </c>
      <c r="G13" s="4238" t="s">
        <v>757</v>
      </c>
      <c r="H13" s="2533" t="s">
        <v>139</v>
      </c>
      <c r="I13" s="4203" t="s">
        <v>144</v>
      </c>
      <c r="J13" s="2378"/>
    </row>
    <row r="14" spans="2:10" ht="18.75" customHeight="1">
      <c r="C14" s="4251">
        <v>41.1</v>
      </c>
      <c r="D14" s="4725">
        <v>8.3000000000000007</v>
      </c>
      <c r="E14" s="4725"/>
      <c r="F14" s="4184">
        <v>727.8</v>
      </c>
      <c r="G14" s="4184">
        <v>95.2</v>
      </c>
      <c r="H14" s="1345">
        <f t="shared" ref="H14:H39" si="0">G14+F14+D14+C14</f>
        <v>872.4</v>
      </c>
      <c r="I14" s="4155">
        <v>1995</v>
      </c>
      <c r="J14" s="2658"/>
    </row>
    <row r="15" spans="2:10" ht="19.5" customHeight="1">
      <c r="B15" s="4262"/>
      <c r="C15" s="4271">
        <v>60.3</v>
      </c>
      <c r="D15" s="4726">
        <v>34.5</v>
      </c>
      <c r="E15" s="4726"/>
      <c r="F15" s="4183">
        <v>1064.3</v>
      </c>
      <c r="G15" s="4183">
        <v>109.2</v>
      </c>
      <c r="H15" s="1424">
        <f t="shared" si="0"/>
        <v>1268.3</v>
      </c>
      <c r="I15" s="1425">
        <v>1996</v>
      </c>
      <c r="J15" s="2659"/>
    </row>
    <row r="16" spans="2:10" ht="18.75" customHeight="1">
      <c r="C16" s="4251">
        <v>97.4</v>
      </c>
      <c r="D16" s="4830">
        <v>51</v>
      </c>
      <c r="E16" s="4830"/>
      <c r="F16" s="4184">
        <v>1172.7</v>
      </c>
      <c r="G16" s="4184">
        <v>236.9</v>
      </c>
      <c r="H16" s="1345">
        <f t="shared" si="0"/>
        <v>1558.0000000000002</v>
      </c>
      <c r="I16" s="4155">
        <f>I15+1</f>
        <v>1997</v>
      </c>
      <c r="J16" s="2658"/>
    </row>
    <row r="17" spans="2:10" ht="19.5" customHeight="1">
      <c r="B17" s="4262"/>
      <c r="C17" s="4271">
        <v>135.5</v>
      </c>
      <c r="D17" s="4726">
        <v>56.4</v>
      </c>
      <c r="E17" s="4726"/>
      <c r="F17" s="4183">
        <v>1256.5</v>
      </c>
      <c r="G17" s="4183">
        <v>253.5</v>
      </c>
      <c r="H17" s="1424">
        <f t="shared" si="0"/>
        <v>1701.9</v>
      </c>
      <c r="I17" s="1425">
        <f t="shared" ref="I17:I32" si="1">I16+1</f>
        <v>1998</v>
      </c>
      <c r="J17" s="2659"/>
    </row>
    <row r="18" spans="2:10" ht="18.75" customHeight="1">
      <c r="C18" s="4251">
        <v>159.1</v>
      </c>
      <c r="D18" s="4830">
        <v>62.3</v>
      </c>
      <c r="E18" s="4830"/>
      <c r="F18" s="4184">
        <v>1419.1</v>
      </c>
      <c r="G18" s="4184">
        <v>317.60000000000002</v>
      </c>
      <c r="H18" s="1345">
        <f t="shared" si="0"/>
        <v>1958.0999999999997</v>
      </c>
      <c r="I18" s="4155">
        <f t="shared" si="1"/>
        <v>1999</v>
      </c>
      <c r="J18" s="2658"/>
    </row>
    <row r="19" spans="2:10" ht="19.5" customHeight="1">
      <c r="B19" s="4262"/>
      <c r="C19" s="4271">
        <v>239.3</v>
      </c>
      <c r="D19" s="4726">
        <v>75</v>
      </c>
      <c r="E19" s="4726"/>
      <c r="F19" s="4183">
        <v>1712.8</v>
      </c>
      <c r="G19" s="4183">
        <v>269.39999999999998</v>
      </c>
      <c r="H19" s="1424">
        <f t="shared" si="0"/>
        <v>2296.5</v>
      </c>
      <c r="I19" s="1425">
        <f t="shared" si="1"/>
        <v>2000</v>
      </c>
      <c r="J19" s="2659"/>
    </row>
    <row r="20" spans="2:10" ht="18.75" customHeight="1">
      <c r="C20" s="4251">
        <v>162.6</v>
      </c>
      <c r="D20" s="4830">
        <v>83.9</v>
      </c>
      <c r="E20" s="4830"/>
      <c r="F20" s="4184">
        <v>1702.8</v>
      </c>
      <c r="G20" s="4184">
        <v>250.1</v>
      </c>
      <c r="H20" s="1345">
        <f t="shared" si="0"/>
        <v>2199.4</v>
      </c>
      <c r="I20" s="4155">
        <f t="shared" si="1"/>
        <v>2001</v>
      </c>
      <c r="J20" s="2658"/>
    </row>
    <row r="21" spans="2:10" ht="19.5" customHeight="1">
      <c r="B21" s="4262"/>
      <c r="C21" s="4271">
        <v>156</v>
      </c>
      <c r="D21" s="4726">
        <v>103.8</v>
      </c>
      <c r="E21" s="4726"/>
      <c r="F21" s="4183">
        <v>1774.3</v>
      </c>
      <c r="G21" s="4183">
        <v>122.7</v>
      </c>
      <c r="H21" s="1424">
        <f t="shared" si="0"/>
        <v>2156.8000000000002</v>
      </c>
      <c r="I21" s="1425">
        <f t="shared" si="1"/>
        <v>2002</v>
      </c>
      <c r="J21" s="2659"/>
    </row>
    <row r="22" spans="2:10" ht="18.75" customHeight="1">
      <c r="C22" s="4251">
        <v>153.5</v>
      </c>
      <c r="D22" s="4830">
        <v>135.4</v>
      </c>
      <c r="E22" s="4830"/>
      <c r="F22" s="4184">
        <v>1882.9</v>
      </c>
      <c r="G22" s="4184">
        <v>139.4</v>
      </c>
      <c r="H22" s="1345">
        <f t="shared" si="0"/>
        <v>2311.2000000000003</v>
      </c>
      <c r="I22" s="4155">
        <f t="shared" si="1"/>
        <v>2003</v>
      </c>
      <c r="J22" s="2658"/>
    </row>
    <row r="23" spans="2:10" ht="19.5" customHeight="1">
      <c r="B23" s="4262"/>
      <c r="C23" s="4271">
        <v>230.79999999999998</v>
      </c>
      <c r="D23" s="4726">
        <v>178.9</v>
      </c>
      <c r="E23" s="4726"/>
      <c r="F23" s="4183">
        <v>2030.4999999999998</v>
      </c>
      <c r="G23" s="4183">
        <v>111.1</v>
      </c>
      <c r="H23" s="1424">
        <f t="shared" si="0"/>
        <v>2551.3000000000002</v>
      </c>
      <c r="I23" s="1425">
        <f t="shared" si="1"/>
        <v>2004</v>
      </c>
      <c r="J23" s="2659"/>
    </row>
    <row r="24" spans="2:10" ht="18.75" customHeight="1">
      <c r="C24" s="4251">
        <v>216</v>
      </c>
      <c r="D24" s="4830">
        <v>253.8</v>
      </c>
      <c r="E24" s="4830"/>
      <c r="F24" s="4184">
        <v>2146.1999999999998</v>
      </c>
      <c r="G24" s="4184">
        <v>145.60000000000002</v>
      </c>
      <c r="H24" s="1345">
        <f t="shared" si="0"/>
        <v>2761.6</v>
      </c>
      <c r="I24" s="4155">
        <f t="shared" si="1"/>
        <v>2005</v>
      </c>
      <c r="J24" s="2658"/>
    </row>
    <row r="25" spans="2:10" ht="19.5" customHeight="1">
      <c r="B25" s="4262"/>
      <c r="C25" s="4271">
        <v>168.2</v>
      </c>
      <c r="D25" s="4726">
        <v>280.2</v>
      </c>
      <c r="E25" s="4726"/>
      <c r="F25" s="4183">
        <v>2055.1999999999998</v>
      </c>
      <c r="G25" s="4183">
        <v>160.80000000000001</v>
      </c>
      <c r="H25" s="1424">
        <f t="shared" si="0"/>
        <v>2664.3999999999996</v>
      </c>
      <c r="I25" s="1425">
        <f t="shared" si="1"/>
        <v>2006</v>
      </c>
      <c r="J25" s="2659"/>
    </row>
    <row r="26" spans="2:10" ht="18.75" customHeight="1">
      <c r="C26" s="4251">
        <v>193.39999999999998</v>
      </c>
      <c r="D26" s="4830">
        <v>345.09999999999997</v>
      </c>
      <c r="E26" s="4830"/>
      <c r="F26" s="4184">
        <v>2401.1999999999998</v>
      </c>
      <c r="G26" s="4184">
        <v>134.80000000000001</v>
      </c>
      <c r="H26" s="1345">
        <f t="shared" si="0"/>
        <v>3074.5</v>
      </c>
      <c r="I26" s="4155">
        <f t="shared" si="1"/>
        <v>2007</v>
      </c>
      <c r="J26" s="2658"/>
    </row>
    <row r="27" spans="2:10" ht="19.5" customHeight="1">
      <c r="B27" s="4262"/>
      <c r="C27" s="4271">
        <v>231.99</v>
      </c>
      <c r="D27" s="4726">
        <v>367.29999999999995</v>
      </c>
      <c r="E27" s="4726"/>
      <c r="F27" s="4183">
        <v>2665.36</v>
      </c>
      <c r="G27" s="4183">
        <v>146.1</v>
      </c>
      <c r="H27" s="1424">
        <f t="shared" si="0"/>
        <v>3410.75</v>
      </c>
      <c r="I27" s="1425">
        <f t="shared" si="1"/>
        <v>2008</v>
      </c>
      <c r="J27" s="2659"/>
    </row>
    <row r="28" spans="2:10" ht="18.75" customHeight="1">
      <c r="C28" s="4251">
        <v>230</v>
      </c>
      <c r="D28" s="4830">
        <v>414.20000000000005</v>
      </c>
      <c r="E28" s="4830"/>
      <c r="F28" s="4184">
        <v>2750.8</v>
      </c>
      <c r="G28" s="4184">
        <v>67.8</v>
      </c>
      <c r="H28" s="1345">
        <f t="shared" si="0"/>
        <v>3462.8</v>
      </c>
      <c r="I28" s="4155">
        <f t="shared" si="1"/>
        <v>2009</v>
      </c>
      <c r="J28" s="2658"/>
    </row>
    <row r="29" spans="2:10" ht="19.5" customHeight="1">
      <c r="B29" s="4262"/>
      <c r="C29" s="4271">
        <v>285.3</v>
      </c>
      <c r="D29" s="4726">
        <v>454.5</v>
      </c>
      <c r="E29" s="4726"/>
      <c r="F29" s="4183">
        <v>2853.3</v>
      </c>
      <c r="G29" s="4183">
        <v>126.5</v>
      </c>
      <c r="H29" s="1424">
        <f t="shared" si="0"/>
        <v>3719.6000000000004</v>
      </c>
      <c r="I29" s="1425">
        <f t="shared" si="1"/>
        <v>2010</v>
      </c>
      <c r="J29" s="2659"/>
    </row>
    <row r="30" spans="2:10" ht="18.75" customHeight="1">
      <c r="C30" s="4251">
        <v>237.40000000000003</v>
      </c>
      <c r="D30" s="4830">
        <v>499.8</v>
      </c>
      <c r="E30" s="4830"/>
      <c r="F30" s="4184">
        <v>2932.1</v>
      </c>
      <c r="G30" s="4184">
        <v>228.3</v>
      </c>
      <c r="H30" s="1345">
        <f t="shared" si="0"/>
        <v>3897.6000000000004</v>
      </c>
      <c r="I30" s="4155">
        <f t="shared" si="1"/>
        <v>2011</v>
      </c>
      <c r="J30" s="2658"/>
    </row>
    <row r="31" spans="2:10" ht="19.5" customHeight="1">
      <c r="B31" s="4262"/>
      <c r="C31" s="4271">
        <v>228</v>
      </c>
      <c r="D31" s="4726">
        <v>528.20000000000005</v>
      </c>
      <c r="E31" s="4726"/>
      <c r="F31" s="4183">
        <v>2952</v>
      </c>
      <c r="G31" s="4183">
        <v>189.10000000000002</v>
      </c>
      <c r="H31" s="1424">
        <f t="shared" si="0"/>
        <v>3897.3</v>
      </c>
      <c r="I31" s="1425">
        <f>I30+1</f>
        <v>2012</v>
      </c>
      <c r="J31" s="2659"/>
    </row>
    <row r="32" spans="2:10" ht="18.75" customHeight="1">
      <c r="C32" s="4251">
        <v>239.2</v>
      </c>
      <c r="D32" s="4830">
        <v>555</v>
      </c>
      <c r="E32" s="4830"/>
      <c r="F32" s="4184">
        <v>3160.9</v>
      </c>
      <c r="G32" s="4184">
        <v>163.80000000000001</v>
      </c>
      <c r="H32" s="1345">
        <f t="shared" si="0"/>
        <v>4118.9000000000005</v>
      </c>
      <c r="I32" s="4155">
        <f t="shared" si="1"/>
        <v>2013</v>
      </c>
      <c r="J32" s="2658"/>
    </row>
    <row r="33" spans="2:10" ht="19.5" customHeight="1">
      <c r="B33" s="4262"/>
      <c r="C33" s="4271">
        <v>252.5</v>
      </c>
      <c r="D33" s="4726">
        <v>586.29999999999995</v>
      </c>
      <c r="E33" s="4726"/>
      <c r="F33" s="4183">
        <v>3126.2</v>
      </c>
      <c r="G33" s="4183">
        <v>159.5</v>
      </c>
      <c r="H33" s="1424">
        <f t="shared" si="0"/>
        <v>4124.5</v>
      </c>
      <c r="I33" s="1425">
        <f>I32+1</f>
        <v>2014</v>
      </c>
      <c r="J33" s="2659"/>
    </row>
    <row r="34" spans="2:10" ht="18.75" customHeight="1">
      <c r="C34" s="4251">
        <v>243.7</v>
      </c>
      <c r="D34" s="4725">
        <v>556.79999999999995</v>
      </c>
      <c r="E34" s="4725"/>
      <c r="F34" s="4184">
        <v>3185.8</v>
      </c>
      <c r="G34" s="4184">
        <v>183</v>
      </c>
      <c r="H34" s="1345">
        <f t="shared" si="0"/>
        <v>4169.3</v>
      </c>
      <c r="I34" s="4155">
        <v>2015</v>
      </c>
      <c r="J34" s="2658"/>
    </row>
    <row r="35" spans="2:10" ht="19.5" customHeight="1">
      <c r="B35" s="4262"/>
      <c r="C35" s="4271">
        <v>254.20000000000002</v>
      </c>
      <c r="D35" s="4726">
        <v>593.5</v>
      </c>
      <c r="E35" s="4726"/>
      <c r="F35" s="4183">
        <v>3438.3</v>
      </c>
      <c r="G35" s="4183">
        <v>280.8</v>
      </c>
      <c r="H35" s="1424">
        <f t="shared" si="0"/>
        <v>4566.8</v>
      </c>
      <c r="I35" s="1425">
        <v>2016</v>
      </c>
      <c r="J35" s="2659"/>
    </row>
    <row r="36" spans="2:10" ht="20.100000000000001" customHeight="1">
      <c r="C36" s="4251">
        <v>289.2</v>
      </c>
      <c r="D36" s="4725">
        <v>641.20000000000005</v>
      </c>
      <c r="E36" s="4725"/>
      <c r="F36" s="4184">
        <v>3610.7</v>
      </c>
      <c r="G36" s="4184">
        <v>211.6</v>
      </c>
      <c r="H36" s="1345">
        <f t="shared" si="0"/>
        <v>4752.7</v>
      </c>
      <c r="I36" s="4155">
        <v>2017</v>
      </c>
    </row>
    <row r="37" spans="2:10" ht="20.100000000000001" customHeight="1">
      <c r="C37" s="4271">
        <v>305.60000000000002</v>
      </c>
      <c r="D37" s="4726">
        <v>668.7</v>
      </c>
      <c r="E37" s="4726"/>
      <c r="F37" s="4183">
        <v>3604.7</v>
      </c>
      <c r="G37" s="4183">
        <v>233.10000000000002</v>
      </c>
      <c r="H37" s="1424">
        <f t="shared" si="0"/>
        <v>4812.1000000000004</v>
      </c>
      <c r="I37" s="1425">
        <v>2018</v>
      </c>
    </row>
    <row r="38" spans="2:10" ht="20.100000000000001" customHeight="1">
      <c r="C38" s="4251">
        <v>349.1</v>
      </c>
      <c r="D38" s="4725">
        <v>635.1</v>
      </c>
      <c r="E38" s="4725"/>
      <c r="F38" s="4184">
        <v>3711.2</v>
      </c>
      <c r="G38" s="4184">
        <v>237.7</v>
      </c>
      <c r="H38" s="1345">
        <f t="shared" si="0"/>
        <v>4933.1000000000004</v>
      </c>
      <c r="I38" s="4155">
        <v>2019</v>
      </c>
    </row>
    <row r="39" spans="2:10" ht="20.100000000000001" customHeight="1">
      <c r="C39" s="4270">
        <v>343.79999999999995</v>
      </c>
      <c r="D39" s="4733">
        <v>729.8</v>
      </c>
      <c r="E39" s="4733"/>
      <c r="F39" s="4237">
        <v>4083</v>
      </c>
      <c r="G39" s="4237">
        <v>309</v>
      </c>
      <c r="H39" s="4337">
        <f t="shared" si="0"/>
        <v>5465.6</v>
      </c>
      <c r="I39" s="4338">
        <v>2020</v>
      </c>
    </row>
    <row r="40" spans="2:10" ht="20.100000000000001" customHeight="1">
      <c r="C40" s="1793"/>
      <c r="D40" s="1793"/>
    </row>
    <row r="41" spans="2:10" ht="20.100000000000001" customHeight="1">
      <c r="C41" s="1793"/>
      <c r="D41" s="1793"/>
    </row>
    <row r="42" spans="2:10" ht="20.100000000000001" customHeight="1">
      <c r="C42" s="1793"/>
      <c r="D42" s="1793"/>
    </row>
    <row r="43" spans="2:10" ht="20.100000000000001" customHeight="1">
      <c r="C43" s="1793"/>
      <c r="D43" s="1793"/>
    </row>
    <row r="44" spans="2:10" ht="20.100000000000001" customHeight="1">
      <c r="C44" s="1793"/>
      <c r="D44" s="1793"/>
    </row>
    <row r="45" spans="2:10" ht="20.100000000000001" customHeight="1">
      <c r="C45" s="1793"/>
      <c r="D45" s="1793"/>
    </row>
    <row r="46" spans="2:10" ht="20.100000000000001" customHeight="1">
      <c r="C46" s="1793"/>
      <c r="D46" s="1793"/>
    </row>
    <row r="47" spans="2:10" ht="20.100000000000001" customHeight="1">
      <c r="C47" s="1793"/>
      <c r="D47" s="1793"/>
    </row>
    <row r="48" spans="2:10" ht="20.100000000000001" customHeight="1">
      <c r="C48" s="1793"/>
      <c r="D48" s="1793"/>
    </row>
    <row r="49" spans="3:4" ht="20.100000000000001" customHeight="1">
      <c r="C49" s="1793"/>
      <c r="D49" s="1793"/>
    </row>
    <row r="50" spans="3:4" ht="20.100000000000001" customHeight="1">
      <c r="C50" s="1793"/>
      <c r="D50" s="1793"/>
    </row>
    <row r="51" spans="3:4" ht="20.100000000000001" customHeight="1">
      <c r="C51" s="1793"/>
      <c r="D51" s="1793"/>
    </row>
    <row r="52" spans="3:4" ht="20.100000000000001" customHeight="1">
      <c r="C52" s="1793"/>
      <c r="D52" s="1793"/>
    </row>
    <row r="53" spans="3:4" ht="20.100000000000001" customHeight="1">
      <c r="C53" s="1793"/>
      <c r="D53" s="1793"/>
    </row>
    <row r="54" spans="3:4" ht="20.100000000000001" customHeight="1">
      <c r="C54" s="1793"/>
      <c r="D54" s="1793"/>
    </row>
    <row r="55" spans="3:4" ht="20.100000000000001" customHeight="1">
      <c r="C55" s="1793"/>
      <c r="D55" s="1793"/>
    </row>
    <row r="56" spans="3:4" ht="20.100000000000001" customHeight="1">
      <c r="C56" s="1793"/>
      <c r="D56" s="1793"/>
    </row>
    <row r="57" spans="3:4" ht="20.100000000000001" customHeight="1">
      <c r="C57" s="1793"/>
      <c r="D57" s="1793"/>
    </row>
    <row r="58" spans="3:4" ht="20.100000000000001" customHeight="1">
      <c r="C58" s="1793"/>
      <c r="D58" s="1793"/>
    </row>
    <row r="59" spans="3:4" ht="20.100000000000001" customHeight="1">
      <c r="C59" s="1793"/>
      <c r="D59" s="1793"/>
    </row>
    <row r="60" spans="3:4" ht="20.100000000000001" customHeight="1">
      <c r="C60" s="1793"/>
      <c r="D60" s="1793"/>
    </row>
    <row r="61" spans="3:4" ht="20.100000000000001" customHeight="1">
      <c r="C61" s="1793"/>
      <c r="D61" s="1793"/>
    </row>
    <row r="62" spans="3:4" ht="20.100000000000001" customHeight="1">
      <c r="C62" s="1793"/>
      <c r="D62" s="1793"/>
    </row>
    <row r="63" spans="3:4" ht="20.100000000000001" customHeight="1">
      <c r="C63" s="1793"/>
      <c r="D63" s="1793"/>
    </row>
    <row r="64" spans="3:4" ht="20.100000000000001" customHeight="1">
      <c r="C64" s="1793"/>
      <c r="D64" s="1793"/>
    </row>
    <row r="65" spans="3:4" ht="20.100000000000001" customHeight="1">
      <c r="C65" s="1793"/>
      <c r="D65" s="1793"/>
    </row>
    <row r="66" spans="3:4" ht="20.100000000000001" customHeight="1">
      <c r="C66" s="1793"/>
      <c r="D66" s="1793"/>
    </row>
    <row r="67" spans="3:4" ht="20.100000000000001" customHeight="1">
      <c r="C67" s="1793"/>
      <c r="D67" s="1793"/>
    </row>
    <row r="68" spans="3:4" ht="20.100000000000001" customHeight="1">
      <c r="C68" s="1793"/>
      <c r="D68" s="1793"/>
    </row>
    <row r="69" spans="3:4" ht="20.100000000000001" customHeight="1">
      <c r="C69" s="1793"/>
      <c r="D69" s="1793"/>
    </row>
    <row r="70" spans="3:4" ht="20.100000000000001" customHeight="1">
      <c r="C70" s="1793"/>
      <c r="D70" s="1793"/>
    </row>
    <row r="71" spans="3:4" ht="20.100000000000001" customHeight="1">
      <c r="C71" s="1793"/>
      <c r="D71" s="1793"/>
    </row>
    <row r="72" spans="3:4" ht="20.100000000000001" customHeight="1">
      <c r="C72" s="1793"/>
      <c r="D72" s="1793"/>
    </row>
    <row r="73" spans="3:4" ht="20.100000000000001" customHeight="1">
      <c r="C73" s="1793"/>
      <c r="D73" s="1793"/>
    </row>
    <row r="74" spans="3:4" ht="20.100000000000001" customHeight="1">
      <c r="C74" s="1793"/>
      <c r="D74" s="1793"/>
    </row>
    <row r="75" spans="3:4" ht="20.100000000000001" customHeight="1">
      <c r="C75" s="1793"/>
      <c r="D75" s="1793"/>
    </row>
    <row r="76" spans="3:4" ht="20.100000000000001" customHeight="1">
      <c r="C76" s="1793"/>
      <c r="D76" s="1793"/>
    </row>
    <row r="77" spans="3:4" ht="20.100000000000001" customHeight="1">
      <c r="C77" s="1793"/>
      <c r="D77" s="1793"/>
    </row>
    <row r="78" spans="3:4" ht="20.100000000000001" customHeight="1">
      <c r="C78" s="1793"/>
      <c r="D78" s="1793"/>
    </row>
    <row r="79" spans="3:4" ht="20.100000000000001" customHeight="1">
      <c r="C79" s="1793"/>
      <c r="D79" s="1793"/>
    </row>
    <row r="80" spans="3:4" ht="20.100000000000001" customHeight="1">
      <c r="C80" s="1793"/>
      <c r="D80" s="1793"/>
    </row>
    <row r="81" spans="3:4" ht="20.100000000000001" customHeight="1">
      <c r="C81" s="1793"/>
      <c r="D81" s="1793"/>
    </row>
    <row r="82" spans="3:4" ht="20.100000000000001" customHeight="1">
      <c r="C82" s="1793"/>
      <c r="D82" s="1793"/>
    </row>
    <row r="83" spans="3:4" ht="20.100000000000001" customHeight="1">
      <c r="C83" s="1793"/>
      <c r="D83" s="1793"/>
    </row>
    <row r="84" spans="3:4" ht="20.100000000000001" customHeight="1">
      <c r="C84" s="1793"/>
      <c r="D84" s="1793"/>
    </row>
    <row r="85" spans="3:4" ht="20.100000000000001" customHeight="1">
      <c r="C85" s="1793"/>
      <c r="D85" s="1793"/>
    </row>
    <row r="86" spans="3:4" ht="20.100000000000001" customHeight="1">
      <c r="C86" s="1793"/>
      <c r="D86" s="1793"/>
    </row>
    <row r="87" spans="3:4" ht="20.100000000000001" customHeight="1">
      <c r="C87" s="1793"/>
      <c r="D87" s="1793"/>
    </row>
    <row r="88" spans="3:4" ht="20.100000000000001" customHeight="1">
      <c r="C88" s="1793"/>
      <c r="D88" s="1793"/>
    </row>
    <row r="89" spans="3:4" ht="20.100000000000001" customHeight="1">
      <c r="C89" s="1793"/>
      <c r="D89" s="1793"/>
    </row>
    <row r="90" spans="3:4" ht="20.100000000000001" customHeight="1">
      <c r="C90" s="1793"/>
      <c r="D90" s="1793"/>
    </row>
    <row r="91" spans="3:4" ht="20.100000000000001" customHeight="1">
      <c r="C91" s="1793"/>
      <c r="D91" s="1793"/>
    </row>
    <row r="92" spans="3:4" ht="20.100000000000001" customHeight="1">
      <c r="C92" s="1793"/>
      <c r="D92" s="1793"/>
    </row>
    <row r="93" spans="3:4" ht="20.100000000000001" customHeight="1">
      <c r="C93" s="1793"/>
      <c r="D93" s="1793"/>
    </row>
    <row r="94" spans="3:4" ht="20.100000000000001" customHeight="1">
      <c r="C94" s="1793"/>
      <c r="D94" s="1793"/>
    </row>
    <row r="95" spans="3:4" ht="20.100000000000001" customHeight="1">
      <c r="C95" s="1793"/>
      <c r="D95" s="1793"/>
    </row>
    <row r="96" spans="3:4" ht="20.100000000000001" customHeight="1">
      <c r="C96" s="1793"/>
      <c r="D96" s="1793"/>
    </row>
    <row r="97" spans="3:4" ht="20.100000000000001" customHeight="1">
      <c r="C97" s="1793"/>
      <c r="D97" s="1793"/>
    </row>
    <row r="98" spans="3:4" ht="20.100000000000001" customHeight="1">
      <c r="C98" s="1793"/>
      <c r="D98" s="1793"/>
    </row>
    <row r="99" spans="3:4" ht="20.100000000000001" customHeight="1">
      <c r="C99" s="1793"/>
      <c r="D99" s="1793"/>
    </row>
    <row r="100" spans="3:4" ht="20.100000000000001" customHeight="1">
      <c r="C100" s="1793"/>
      <c r="D100" s="1793"/>
    </row>
    <row r="101" spans="3:4" ht="20.100000000000001" customHeight="1">
      <c r="C101" s="1793"/>
      <c r="D101" s="1793"/>
    </row>
    <row r="102" spans="3:4" ht="20.100000000000001" customHeight="1">
      <c r="C102" s="1793"/>
      <c r="D102" s="1793"/>
    </row>
    <row r="103" spans="3:4" ht="20.100000000000001" customHeight="1">
      <c r="C103" s="1793"/>
      <c r="D103" s="1793"/>
    </row>
    <row r="104" spans="3:4" ht="20.100000000000001" customHeight="1">
      <c r="C104" s="1793"/>
      <c r="D104" s="1793"/>
    </row>
    <row r="105" spans="3:4" ht="20.100000000000001" customHeight="1">
      <c r="C105" s="1793"/>
      <c r="D105" s="1793"/>
    </row>
    <row r="106" spans="3:4" ht="20.100000000000001" customHeight="1">
      <c r="C106" s="1793"/>
      <c r="D106" s="1793"/>
    </row>
    <row r="107" spans="3:4" ht="20.100000000000001" customHeight="1">
      <c r="C107" s="1793"/>
      <c r="D107" s="1793"/>
    </row>
    <row r="108" spans="3:4" ht="20.100000000000001" customHeight="1">
      <c r="C108" s="1793"/>
      <c r="D108" s="1793"/>
    </row>
    <row r="109" spans="3:4" ht="20.100000000000001" customHeight="1">
      <c r="C109" s="1793"/>
      <c r="D109" s="1793"/>
    </row>
    <row r="110" spans="3:4" ht="20.100000000000001" customHeight="1">
      <c r="C110" s="1793"/>
      <c r="D110" s="1793"/>
    </row>
    <row r="111" spans="3:4" ht="20.100000000000001" customHeight="1">
      <c r="C111" s="1793"/>
      <c r="D111" s="1793"/>
    </row>
    <row r="112" spans="3:4" ht="20.100000000000001" customHeight="1">
      <c r="C112" s="1793"/>
      <c r="D112" s="1793"/>
    </row>
    <row r="113" spans="3:4" ht="20.100000000000001" customHeight="1">
      <c r="C113" s="1793"/>
      <c r="D113" s="1793"/>
    </row>
    <row r="114" spans="3:4" ht="20.100000000000001" customHeight="1">
      <c r="C114" s="1793"/>
      <c r="D114" s="1793"/>
    </row>
    <row r="115" spans="3:4" ht="20.100000000000001" customHeight="1">
      <c r="C115" s="1793"/>
      <c r="D115" s="1793"/>
    </row>
    <row r="116" spans="3:4" ht="20.100000000000001" customHeight="1">
      <c r="C116" s="1793"/>
      <c r="D116" s="1793"/>
    </row>
    <row r="117" spans="3:4" ht="20.100000000000001" customHeight="1">
      <c r="C117" s="1793"/>
      <c r="D117" s="1793"/>
    </row>
    <row r="118" spans="3:4" ht="20.100000000000001" customHeight="1">
      <c r="C118" s="1793"/>
      <c r="D118" s="1793"/>
    </row>
    <row r="119" spans="3:4" ht="20.100000000000001" customHeight="1">
      <c r="C119" s="1793"/>
      <c r="D119" s="1793"/>
    </row>
    <row r="120" spans="3:4" ht="20.100000000000001" customHeight="1">
      <c r="C120" s="1793"/>
      <c r="D120" s="1793"/>
    </row>
    <row r="121" spans="3:4" ht="20.100000000000001" customHeight="1">
      <c r="C121" s="1793"/>
      <c r="D121" s="1793"/>
    </row>
    <row r="122" spans="3:4" ht="20.100000000000001" customHeight="1">
      <c r="C122" s="1793"/>
      <c r="D122" s="1793"/>
    </row>
    <row r="123" spans="3:4" ht="20.100000000000001" customHeight="1">
      <c r="C123" s="1793"/>
      <c r="D123" s="1793"/>
    </row>
    <row r="124" spans="3:4" ht="20.100000000000001" customHeight="1">
      <c r="C124" s="1793"/>
      <c r="D124" s="1793"/>
    </row>
    <row r="125" spans="3:4" ht="20.100000000000001" customHeight="1">
      <c r="C125" s="1793"/>
      <c r="D125" s="1793"/>
    </row>
    <row r="126" spans="3:4" ht="20.100000000000001" customHeight="1">
      <c r="C126" s="1793"/>
      <c r="D126" s="1793"/>
    </row>
    <row r="127" spans="3:4" ht="20.100000000000001" customHeight="1">
      <c r="C127" s="1793"/>
      <c r="D127" s="1793"/>
    </row>
    <row r="128" spans="3:4" ht="20.100000000000001" customHeight="1">
      <c r="C128" s="1793"/>
      <c r="D128" s="1793"/>
    </row>
    <row r="129" spans="3:4" ht="20.100000000000001" customHeight="1">
      <c r="C129" s="1793"/>
      <c r="D129" s="1793"/>
    </row>
    <row r="130" spans="3:4" ht="20.100000000000001" customHeight="1">
      <c r="C130" s="1793"/>
      <c r="D130" s="1793"/>
    </row>
    <row r="131" spans="3:4" ht="20.100000000000001" customHeight="1">
      <c r="C131" s="1793"/>
      <c r="D131" s="1793"/>
    </row>
    <row r="132" spans="3:4" ht="20.100000000000001" customHeight="1">
      <c r="C132" s="1793"/>
      <c r="D132" s="1793"/>
    </row>
    <row r="133" spans="3:4" ht="20.100000000000001" customHeight="1">
      <c r="C133" s="1793"/>
      <c r="D133" s="1793"/>
    </row>
    <row r="134" spans="3:4" ht="20.100000000000001" customHeight="1">
      <c r="C134" s="1793"/>
      <c r="D134" s="1793"/>
    </row>
    <row r="135" spans="3:4" ht="20.100000000000001" customHeight="1">
      <c r="C135" s="1793"/>
      <c r="D135" s="1793"/>
    </row>
    <row r="136" spans="3:4" ht="20.100000000000001" customHeight="1">
      <c r="C136" s="1793"/>
      <c r="D136" s="1793"/>
    </row>
    <row r="137" spans="3:4" ht="20.100000000000001" customHeight="1">
      <c r="C137" s="1793"/>
      <c r="D137" s="1793"/>
    </row>
    <row r="138" spans="3:4" ht="20.100000000000001" customHeight="1">
      <c r="C138" s="1793"/>
      <c r="D138" s="1793"/>
    </row>
    <row r="139" spans="3:4" ht="20.100000000000001" customHeight="1">
      <c r="C139" s="1793"/>
      <c r="D139" s="1793"/>
    </row>
    <row r="140" spans="3:4" ht="20.100000000000001" customHeight="1">
      <c r="C140" s="1793"/>
      <c r="D140" s="1793"/>
    </row>
    <row r="141" spans="3:4" ht="20.100000000000001" customHeight="1">
      <c r="C141" s="1793"/>
      <c r="D141" s="1793"/>
    </row>
    <row r="142" spans="3:4" ht="20.100000000000001" customHeight="1">
      <c r="C142" s="1793"/>
      <c r="D142" s="1793"/>
    </row>
    <row r="143" spans="3:4" ht="20.100000000000001" customHeight="1">
      <c r="C143" s="1793"/>
      <c r="D143" s="1793"/>
    </row>
    <row r="144" spans="3:4" ht="20.100000000000001" customHeight="1">
      <c r="C144" s="1793"/>
      <c r="D144" s="1793"/>
    </row>
    <row r="145" spans="3:4" ht="20.100000000000001" customHeight="1">
      <c r="C145" s="1793"/>
      <c r="D145" s="1793"/>
    </row>
    <row r="146" spans="3:4" ht="20.100000000000001" customHeight="1">
      <c r="C146" s="1793"/>
      <c r="D146" s="1793"/>
    </row>
    <row r="147" spans="3:4" ht="20.100000000000001" customHeight="1">
      <c r="C147" s="1793"/>
      <c r="D147" s="1793"/>
    </row>
    <row r="148" spans="3:4" ht="20.100000000000001" customHeight="1">
      <c r="C148" s="1793"/>
      <c r="D148" s="1793"/>
    </row>
    <row r="149" spans="3:4" ht="20.100000000000001" customHeight="1">
      <c r="C149" s="1793"/>
      <c r="D149" s="1793"/>
    </row>
    <row r="150" spans="3:4" ht="20.100000000000001" customHeight="1">
      <c r="C150" s="1793"/>
      <c r="D150" s="1793"/>
    </row>
    <row r="151" spans="3:4" ht="20.100000000000001" customHeight="1">
      <c r="C151" s="1793"/>
      <c r="D151" s="1793"/>
    </row>
    <row r="152" spans="3:4" ht="20.100000000000001" customHeight="1">
      <c r="C152" s="1793"/>
      <c r="D152" s="1793"/>
    </row>
    <row r="153" spans="3:4" ht="20.100000000000001" customHeight="1">
      <c r="C153" s="1793"/>
      <c r="D153" s="1793"/>
    </row>
    <row r="154" spans="3:4" ht="20.100000000000001" customHeight="1">
      <c r="C154" s="1793"/>
      <c r="D154" s="1793"/>
    </row>
    <row r="155" spans="3:4" ht="20.100000000000001" customHeight="1">
      <c r="C155" s="1793"/>
      <c r="D155" s="1793"/>
    </row>
    <row r="156" spans="3:4" ht="20.100000000000001" customHeight="1">
      <c r="C156" s="1793"/>
      <c r="D156" s="1793"/>
    </row>
    <row r="157" spans="3:4" ht="20.100000000000001" customHeight="1">
      <c r="C157" s="1793"/>
      <c r="D157" s="1793"/>
    </row>
    <row r="158" spans="3:4" ht="20.100000000000001" customHeight="1">
      <c r="C158" s="1793"/>
      <c r="D158" s="1793"/>
    </row>
    <row r="159" spans="3:4" ht="20.100000000000001" customHeight="1">
      <c r="C159" s="1793"/>
      <c r="D159" s="1793"/>
    </row>
    <row r="160" spans="3:4" ht="20.100000000000001" customHeight="1">
      <c r="C160" s="1793"/>
      <c r="D160" s="1793"/>
    </row>
    <row r="161" spans="3:4" ht="20.100000000000001" customHeight="1">
      <c r="C161" s="1793"/>
      <c r="D161" s="1793"/>
    </row>
    <row r="162" spans="3:4" ht="20.100000000000001" customHeight="1">
      <c r="C162" s="1793"/>
      <c r="D162" s="1793"/>
    </row>
    <row r="163" spans="3:4" ht="20.100000000000001" customHeight="1">
      <c r="C163" s="1793"/>
      <c r="D163" s="1793"/>
    </row>
    <row r="164" spans="3:4" ht="20.100000000000001" customHeight="1">
      <c r="C164" s="1793"/>
      <c r="D164" s="1793"/>
    </row>
    <row r="165" spans="3:4" ht="20.100000000000001" customHeight="1">
      <c r="C165" s="1793"/>
      <c r="D165" s="1793"/>
    </row>
    <row r="166" spans="3:4" ht="20.100000000000001" customHeight="1">
      <c r="C166" s="1793"/>
      <c r="D166" s="1793"/>
    </row>
    <row r="167" spans="3:4" ht="20.100000000000001" customHeight="1">
      <c r="C167" s="1793"/>
      <c r="D167" s="1793"/>
    </row>
    <row r="168" spans="3:4" ht="20.100000000000001" customHeight="1">
      <c r="C168" s="1793"/>
      <c r="D168" s="1793"/>
    </row>
    <row r="169" spans="3:4" ht="20.100000000000001" customHeight="1">
      <c r="C169" s="1793"/>
      <c r="D169" s="1793"/>
    </row>
    <row r="170" spans="3:4" ht="20.100000000000001" customHeight="1">
      <c r="C170" s="1793"/>
      <c r="D170" s="1793"/>
    </row>
    <row r="171" spans="3:4" ht="20.100000000000001" customHeight="1">
      <c r="C171" s="1793"/>
      <c r="D171" s="1793"/>
    </row>
    <row r="172" spans="3:4" ht="20.100000000000001" customHeight="1">
      <c r="C172" s="1793"/>
      <c r="D172" s="1793"/>
    </row>
    <row r="173" spans="3:4" ht="20.100000000000001" customHeight="1">
      <c r="C173" s="1793"/>
      <c r="D173" s="1793"/>
    </row>
    <row r="174" spans="3:4" ht="20.100000000000001" customHeight="1">
      <c r="C174" s="1793"/>
      <c r="D174" s="1793"/>
    </row>
    <row r="175" spans="3:4" ht="20.100000000000001" customHeight="1">
      <c r="C175" s="1793"/>
      <c r="D175" s="1793"/>
    </row>
    <row r="176" spans="3:4" ht="20.100000000000001" customHeight="1">
      <c r="C176" s="1793"/>
      <c r="D176" s="1793"/>
    </row>
    <row r="177" spans="3:4" ht="20.100000000000001" customHeight="1">
      <c r="C177" s="1793"/>
      <c r="D177" s="1793"/>
    </row>
    <row r="178" spans="3:4" ht="20.100000000000001" customHeight="1">
      <c r="C178" s="1793"/>
      <c r="D178" s="1793"/>
    </row>
    <row r="179" spans="3:4" ht="20.100000000000001" customHeight="1">
      <c r="C179" s="1793"/>
      <c r="D179" s="1793"/>
    </row>
    <row r="180" spans="3:4" ht="20.100000000000001" customHeight="1">
      <c r="C180" s="1793"/>
      <c r="D180" s="1793"/>
    </row>
    <row r="181" spans="3:4" ht="20.100000000000001" customHeight="1">
      <c r="C181" s="1793"/>
      <c r="D181" s="1793"/>
    </row>
    <row r="182" spans="3:4" ht="20.100000000000001" customHeight="1">
      <c r="C182" s="1793"/>
      <c r="D182" s="1793"/>
    </row>
    <row r="183" spans="3:4" ht="20.100000000000001" customHeight="1">
      <c r="C183" s="1793"/>
      <c r="D183" s="1793"/>
    </row>
    <row r="184" spans="3:4" ht="20.100000000000001" customHeight="1">
      <c r="C184" s="1793"/>
      <c r="D184" s="1793"/>
    </row>
    <row r="185" spans="3:4" ht="20.100000000000001" customHeight="1">
      <c r="C185" s="1793"/>
      <c r="D185" s="1793"/>
    </row>
    <row r="186" spans="3:4" ht="20.100000000000001" customHeight="1">
      <c r="C186" s="1793"/>
      <c r="D186" s="1793"/>
    </row>
    <row r="187" spans="3:4" ht="20.100000000000001" customHeight="1">
      <c r="C187" s="1793"/>
      <c r="D187" s="1793"/>
    </row>
    <row r="188" spans="3:4" ht="20.100000000000001" customHeight="1">
      <c r="C188" s="1793"/>
      <c r="D188" s="1793"/>
    </row>
    <row r="189" spans="3:4" ht="20.100000000000001" customHeight="1">
      <c r="C189" s="1793"/>
      <c r="D189" s="1793"/>
    </row>
    <row r="190" spans="3:4" ht="20.100000000000001" customHeight="1">
      <c r="C190" s="1793"/>
      <c r="D190" s="1793"/>
    </row>
    <row r="191" spans="3:4" ht="20.100000000000001" customHeight="1">
      <c r="C191" s="1793"/>
      <c r="D191" s="1793"/>
    </row>
    <row r="192" spans="3:4" ht="20.100000000000001" customHeight="1">
      <c r="C192" s="1793"/>
      <c r="D192" s="1793"/>
    </row>
    <row r="193" spans="3:4" ht="20.100000000000001" customHeight="1">
      <c r="C193" s="1793"/>
      <c r="D193" s="1793"/>
    </row>
    <row r="194" spans="3:4" ht="20.100000000000001" customHeight="1">
      <c r="C194" s="1793"/>
      <c r="D194" s="1793"/>
    </row>
    <row r="195" spans="3:4" ht="20.100000000000001" customHeight="1">
      <c r="C195" s="1793"/>
      <c r="D195" s="1793"/>
    </row>
    <row r="196" spans="3:4" ht="20.100000000000001" customHeight="1">
      <c r="C196" s="1793"/>
      <c r="D196" s="1793"/>
    </row>
    <row r="197" spans="3:4" ht="20.100000000000001" customHeight="1">
      <c r="C197" s="1793"/>
      <c r="D197" s="1793"/>
    </row>
    <row r="198" spans="3:4" ht="20.100000000000001" customHeight="1">
      <c r="C198" s="1793"/>
      <c r="D198" s="1793"/>
    </row>
    <row r="199" spans="3:4" ht="20.100000000000001" customHeight="1">
      <c r="C199" s="1793"/>
      <c r="D199" s="1793"/>
    </row>
    <row r="200" spans="3:4" ht="20.100000000000001" customHeight="1">
      <c r="C200" s="1793"/>
      <c r="D200" s="1793"/>
    </row>
    <row r="201" spans="3:4" ht="20.100000000000001" customHeight="1">
      <c r="C201" s="1793"/>
      <c r="D201" s="1793"/>
    </row>
    <row r="202" spans="3:4" ht="20.100000000000001" customHeight="1">
      <c r="C202" s="1793"/>
      <c r="D202" s="1793"/>
    </row>
    <row r="203" spans="3:4" ht="20.100000000000001" customHeight="1">
      <c r="C203" s="1793"/>
      <c r="D203" s="1793"/>
    </row>
    <row r="204" spans="3:4" ht="20.100000000000001" customHeight="1">
      <c r="C204" s="1793"/>
      <c r="D204" s="1793"/>
    </row>
    <row r="205" spans="3:4" ht="20.100000000000001" customHeight="1">
      <c r="C205" s="1793"/>
      <c r="D205" s="1793"/>
    </row>
    <row r="206" spans="3:4" ht="20.100000000000001" customHeight="1">
      <c r="C206" s="1793"/>
      <c r="D206" s="1793"/>
    </row>
    <row r="207" spans="3:4" ht="20.100000000000001" customHeight="1">
      <c r="C207" s="1793"/>
      <c r="D207" s="1793"/>
    </row>
    <row r="208" spans="3:4" ht="20.100000000000001" customHeight="1">
      <c r="C208" s="1793"/>
      <c r="D208" s="1793"/>
    </row>
    <row r="209" spans="3:4" ht="20.100000000000001" customHeight="1">
      <c r="C209" s="1793"/>
      <c r="D209" s="1793"/>
    </row>
    <row r="210" spans="3:4" ht="20.100000000000001" customHeight="1">
      <c r="C210" s="1793"/>
      <c r="D210" s="1793"/>
    </row>
    <row r="211" spans="3:4" ht="20.100000000000001" customHeight="1">
      <c r="C211" s="1793"/>
      <c r="D211" s="1793"/>
    </row>
    <row r="212" spans="3:4" ht="20.100000000000001" customHeight="1">
      <c r="C212" s="1793"/>
      <c r="D212" s="1793"/>
    </row>
    <row r="213" spans="3:4" ht="20.100000000000001" customHeight="1">
      <c r="C213" s="1793"/>
      <c r="D213" s="1793"/>
    </row>
    <row r="214" spans="3:4" ht="20.100000000000001" customHeight="1">
      <c r="C214" s="1793"/>
      <c r="D214" s="1793"/>
    </row>
    <row r="215" spans="3:4" ht="20.100000000000001" customHeight="1">
      <c r="C215" s="1793"/>
      <c r="D215" s="1793"/>
    </row>
    <row r="216" spans="3:4" ht="20.100000000000001" customHeight="1">
      <c r="C216" s="1793"/>
      <c r="D216" s="1793"/>
    </row>
    <row r="217" spans="3:4" ht="20.100000000000001" customHeight="1">
      <c r="C217" s="1793"/>
      <c r="D217" s="1793"/>
    </row>
    <row r="218" spans="3:4" ht="20.100000000000001" customHeight="1">
      <c r="C218" s="1793"/>
      <c r="D218" s="1793"/>
    </row>
    <row r="219" spans="3:4" ht="20.100000000000001" customHeight="1">
      <c r="C219" s="1793"/>
      <c r="D219" s="1793"/>
    </row>
    <row r="220" spans="3:4" ht="20.100000000000001" customHeight="1">
      <c r="C220" s="1793"/>
      <c r="D220" s="1793"/>
    </row>
    <row r="221" spans="3:4" ht="20.100000000000001" customHeight="1">
      <c r="C221" s="1793"/>
      <c r="D221" s="1793"/>
    </row>
    <row r="222" spans="3:4" ht="20.100000000000001" customHeight="1">
      <c r="C222" s="1793"/>
      <c r="D222" s="1793"/>
    </row>
    <row r="223" spans="3:4" ht="20.100000000000001" customHeight="1">
      <c r="C223" s="1793"/>
      <c r="D223" s="1793"/>
    </row>
    <row r="224" spans="3:4" ht="20.100000000000001" customHeight="1">
      <c r="C224" s="1793"/>
      <c r="D224" s="1793"/>
    </row>
    <row r="225" spans="3:4" ht="20.100000000000001" customHeight="1">
      <c r="C225" s="1793"/>
      <c r="D225" s="1793"/>
    </row>
    <row r="226" spans="3:4" ht="20.100000000000001" customHeight="1">
      <c r="C226" s="1793"/>
      <c r="D226" s="1793"/>
    </row>
    <row r="227" spans="3:4" ht="20.100000000000001" customHeight="1">
      <c r="C227" s="1793"/>
      <c r="D227" s="1793"/>
    </row>
    <row r="228" spans="3:4" ht="20.100000000000001" customHeight="1">
      <c r="C228" s="1793"/>
      <c r="D228" s="1793"/>
    </row>
    <row r="229" spans="3:4" ht="20.100000000000001" customHeight="1">
      <c r="C229" s="1793"/>
      <c r="D229" s="1793"/>
    </row>
    <row r="230" spans="3:4" ht="20.100000000000001" customHeight="1">
      <c r="C230" s="1793"/>
      <c r="D230" s="1793"/>
    </row>
    <row r="231" spans="3:4" ht="20.100000000000001" customHeight="1">
      <c r="C231" s="1793"/>
      <c r="D231" s="1793"/>
    </row>
    <row r="232" spans="3:4" ht="20.100000000000001" customHeight="1">
      <c r="C232" s="1793"/>
      <c r="D232" s="1793"/>
    </row>
    <row r="233" spans="3:4" ht="20.100000000000001" customHeight="1">
      <c r="C233" s="1793"/>
      <c r="D233" s="1793"/>
    </row>
    <row r="234" spans="3:4" ht="20.100000000000001" customHeight="1">
      <c r="C234" s="1793"/>
      <c r="D234" s="1793"/>
    </row>
    <row r="235" spans="3:4" ht="20.100000000000001" customHeight="1">
      <c r="C235" s="1793"/>
      <c r="D235" s="1793"/>
    </row>
    <row r="236" spans="3:4" ht="20.100000000000001" customHeight="1">
      <c r="C236" s="1793"/>
      <c r="D236" s="1793"/>
    </row>
    <row r="237" spans="3:4" ht="20.100000000000001" customHeight="1">
      <c r="C237" s="1793"/>
      <c r="D237" s="1793"/>
    </row>
    <row r="238" spans="3:4" ht="20.100000000000001" customHeight="1">
      <c r="C238" s="1793"/>
      <c r="D238" s="1793"/>
    </row>
    <row r="239" spans="3:4" ht="20.100000000000001" customHeight="1">
      <c r="C239" s="1793"/>
      <c r="D239" s="1793"/>
    </row>
    <row r="240" spans="3:4" ht="20.100000000000001" customHeight="1">
      <c r="C240" s="1793"/>
      <c r="D240" s="1793"/>
    </row>
    <row r="241" spans="3:4" ht="20.100000000000001" customHeight="1">
      <c r="C241" s="1793"/>
      <c r="D241" s="1793"/>
    </row>
    <row r="242" spans="3:4" ht="20.100000000000001" customHeight="1">
      <c r="C242" s="1793"/>
      <c r="D242" s="1793"/>
    </row>
    <row r="243" spans="3:4" ht="20.100000000000001" customHeight="1">
      <c r="C243" s="1793"/>
      <c r="D243" s="1793"/>
    </row>
    <row r="244" spans="3:4" ht="20.100000000000001" customHeight="1">
      <c r="C244" s="1793"/>
      <c r="D244" s="1793"/>
    </row>
    <row r="245" spans="3:4" ht="20.100000000000001" customHeight="1">
      <c r="C245" s="1793"/>
      <c r="D245" s="1793"/>
    </row>
    <row r="246" spans="3:4" ht="20.100000000000001" customHeight="1">
      <c r="C246" s="1793"/>
      <c r="D246" s="1793"/>
    </row>
    <row r="247" spans="3:4" ht="20.100000000000001" customHeight="1">
      <c r="C247" s="1793"/>
      <c r="D247" s="1793"/>
    </row>
    <row r="248" spans="3:4" ht="20.100000000000001" customHeight="1">
      <c r="C248" s="1793"/>
      <c r="D248" s="1793"/>
    </row>
    <row r="249" spans="3:4" ht="20.100000000000001" customHeight="1">
      <c r="C249" s="1793"/>
      <c r="D249" s="1793"/>
    </row>
    <row r="250" spans="3:4" ht="20.100000000000001" customHeight="1">
      <c r="C250" s="1793"/>
      <c r="D250" s="1793"/>
    </row>
    <row r="251" spans="3:4" ht="20.100000000000001" customHeight="1">
      <c r="C251" s="1793"/>
      <c r="D251" s="1793"/>
    </row>
    <row r="252" spans="3:4" ht="20.100000000000001" customHeight="1">
      <c r="C252" s="1793"/>
      <c r="D252" s="1793"/>
    </row>
    <row r="253" spans="3:4" ht="20.100000000000001" customHeight="1">
      <c r="C253" s="1793"/>
      <c r="D253" s="1793"/>
    </row>
    <row r="254" spans="3:4" ht="20.100000000000001" customHeight="1">
      <c r="C254" s="1793"/>
      <c r="D254" s="1793"/>
    </row>
    <row r="255" spans="3:4" ht="20.100000000000001" customHeight="1">
      <c r="C255" s="1793"/>
      <c r="D255" s="1793"/>
    </row>
    <row r="256" spans="3:4" ht="20.100000000000001" customHeight="1">
      <c r="C256" s="1793"/>
      <c r="D256" s="1793"/>
    </row>
    <row r="257" spans="3:4" ht="20.100000000000001" customHeight="1">
      <c r="C257" s="1793"/>
      <c r="D257" s="1793"/>
    </row>
    <row r="258" spans="3:4" ht="20.100000000000001" customHeight="1">
      <c r="C258" s="1793"/>
      <c r="D258" s="1793"/>
    </row>
    <row r="259" spans="3:4" ht="20.100000000000001" customHeight="1">
      <c r="C259" s="1793"/>
      <c r="D259" s="1793"/>
    </row>
    <row r="260" spans="3:4" ht="20.100000000000001" customHeight="1">
      <c r="C260" s="1793"/>
      <c r="D260" s="1793"/>
    </row>
    <row r="261" spans="3:4" ht="20.100000000000001" customHeight="1">
      <c r="C261" s="1793"/>
      <c r="D261" s="1793"/>
    </row>
    <row r="262" spans="3:4" ht="20.100000000000001" customHeight="1">
      <c r="C262" s="1793"/>
      <c r="D262" s="1793"/>
    </row>
    <row r="263" spans="3:4" ht="20.100000000000001" customHeight="1">
      <c r="C263" s="1793"/>
      <c r="D263" s="1793"/>
    </row>
    <row r="264" spans="3:4" ht="20.100000000000001" customHeight="1">
      <c r="C264" s="1793"/>
      <c r="D264" s="1793"/>
    </row>
    <row r="265" spans="3:4" ht="20.100000000000001" customHeight="1">
      <c r="C265" s="1793"/>
      <c r="D265" s="1793"/>
    </row>
    <row r="266" spans="3:4" ht="20.100000000000001" customHeight="1">
      <c r="C266" s="1793"/>
      <c r="D266" s="1793"/>
    </row>
    <row r="267" spans="3:4" ht="20.100000000000001" customHeight="1">
      <c r="C267" s="1793"/>
      <c r="D267" s="1793"/>
    </row>
    <row r="268" spans="3:4" ht="20.100000000000001" customHeight="1">
      <c r="C268" s="1793"/>
      <c r="D268" s="1793"/>
    </row>
    <row r="269" spans="3:4" ht="20.100000000000001" customHeight="1">
      <c r="C269" s="1793"/>
      <c r="D269" s="1793"/>
    </row>
    <row r="270" spans="3:4" ht="20.100000000000001" customHeight="1">
      <c r="C270" s="1793"/>
      <c r="D270" s="1793"/>
    </row>
    <row r="271" spans="3:4" ht="20.100000000000001" customHeight="1">
      <c r="C271" s="1793"/>
      <c r="D271" s="1793"/>
    </row>
    <row r="272" spans="3:4" ht="20.100000000000001" customHeight="1">
      <c r="C272" s="1793"/>
      <c r="D272" s="1793"/>
    </row>
    <row r="273" spans="3:4" ht="20.100000000000001" customHeight="1">
      <c r="C273" s="1793"/>
      <c r="D273" s="1793"/>
    </row>
    <row r="274" spans="3:4" ht="20.100000000000001" customHeight="1">
      <c r="C274" s="1793"/>
      <c r="D274" s="1793"/>
    </row>
    <row r="275" spans="3:4" ht="20.100000000000001" customHeight="1">
      <c r="C275" s="1793"/>
      <c r="D275" s="1793"/>
    </row>
    <row r="276" spans="3:4" ht="20.100000000000001" customHeight="1">
      <c r="C276" s="1793"/>
      <c r="D276" s="1793"/>
    </row>
    <row r="277" spans="3:4" ht="20.100000000000001" customHeight="1">
      <c r="C277" s="1793"/>
      <c r="D277" s="1793"/>
    </row>
    <row r="278" spans="3:4" ht="20.100000000000001" customHeight="1">
      <c r="C278" s="1793"/>
      <c r="D278" s="1793"/>
    </row>
    <row r="279" spans="3:4" ht="20.100000000000001" customHeight="1">
      <c r="C279" s="1793"/>
      <c r="D279" s="1793"/>
    </row>
    <row r="280" spans="3:4" ht="20.100000000000001" customHeight="1">
      <c r="C280" s="1793"/>
      <c r="D280" s="1793"/>
    </row>
    <row r="281" spans="3:4" ht="20.100000000000001" customHeight="1">
      <c r="C281" s="1793"/>
      <c r="D281" s="1793"/>
    </row>
    <row r="282" spans="3:4" ht="20.100000000000001" customHeight="1">
      <c r="C282" s="1793"/>
      <c r="D282" s="1793"/>
    </row>
    <row r="283" spans="3:4" ht="20.100000000000001" customHeight="1">
      <c r="C283" s="1793"/>
      <c r="D283" s="1793"/>
    </row>
    <row r="284" spans="3:4" ht="20.100000000000001" customHeight="1">
      <c r="C284" s="1793"/>
      <c r="D284" s="1793"/>
    </row>
    <row r="285" spans="3:4" ht="20.100000000000001" customHeight="1">
      <c r="C285" s="1793"/>
      <c r="D285" s="1793"/>
    </row>
    <row r="286" spans="3:4" ht="20.100000000000001" customHeight="1">
      <c r="C286" s="1793"/>
      <c r="D286" s="1793"/>
    </row>
    <row r="287" spans="3:4" ht="20.100000000000001" customHeight="1">
      <c r="C287" s="1793"/>
      <c r="D287" s="1793"/>
    </row>
    <row r="288" spans="3:4" ht="20.100000000000001" customHeight="1">
      <c r="C288" s="1793"/>
      <c r="D288" s="1793"/>
    </row>
    <row r="289" spans="3:4" ht="20.100000000000001" customHeight="1">
      <c r="C289" s="1793"/>
      <c r="D289" s="1793"/>
    </row>
    <row r="290" spans="3:4" ht="20.100000000000001" customHeight="1">
      <c r="C290" s="1793"/>
      <c r="D290" s="1793"/>
    </row>
    <row r="291" spans="3:4" ht="20.100000000000001" customHeight="1">
      <c r="C291" s="1793"/>
      <c r="D291" s="1793"/>
    </row>
    <row r="292" spans="3:4" ht="20.100000000000001" customHeight="1">
      <c r="C292" s="1793"/>
      <c r="D292" s="1793"/>
    </row>
    <row r="293" spans="3:4" ht="20.100000000000001" customHeight="1">
      <c r="C293" s="1793"/>
      <c r="D293" s="1793"/>
    </row>
    <row r="294" spans="3:4" ht="20.100000000000001" customHeight="1">
      <c r="C294" s="1793"/>
      <c r="D294" s="1793"/>
    </row>
    <row r="295" spans="3:4" ht="20.100000000000001" customHeight="1">
      <c r="C295" s="1793"/>
      <c r="D295" s="1793"/>
    </row>
    <row r="296" spans="3:4" ht="20.100000000000001" customHeight="1">
      <c r="C296" s="1793"/>
      <c r="D296" s="1793"/>
    </row>
    <row r="297" spans="3:4" ht="20.100000000000001" customHeight="1">
      <c r="C297" s="1793"/>
      <c r="D297" s="1793"/>
    </row>
    <row r="298" spans="3:4" ht="20.100000000000001" customHeight="1">
      <c r="C298" s="1793"/>
      <c r="D298" s="1793"/>
    </row>
    <row r="299" spans="3:4" ht="20.100000000000001" customHeight="1">
      <c r="C299" s="1793"/>
      <c r="D299" s="1793"/>
    </row>
    <row r="300" spans="3:4" ht="20.100000000000001" customHeight="1">
      <c r="C300" s="1793"/>
      <c r="D300" s="1793"/>
    </row>
    <row r="301" spans="3:4" ht="20.100000000000001" customHeight="1">
      <c r="C301" s="1793"/>
      <c r="D301" s="1793"/>
    </row>
    <row r="302" spans="3:4" ht="20.100000000000001" customHeight="1">
      <c r="C302" s="1793"/>
      <c r="D302" s="1793"/>
    </row>
    <row r="303" spans="3:4" ht="20.100000000000001" customHeight="1">
      <c r="C303" s="1793"/>
      <c r="D303" s="1793"/>
    </row>
    <row r="304" spans="3:4" ht="20.100000000000001" customHeight="1">
      <c r="C304" s="1793"/>
      <c r="D304" s="1793"/>
    </row>
    <row r="305" spans="3:4" ht="20.100000000000001" customHeight="1">
      <c r="C305" s="1793"/>
      <c r="D305" s="1793"/>
    </row>
    <row r="306" spans="3:4" ht="20.100000000000001" customHeight="1">
      <c r="C306" s="1793"/>
      <c r="D306" s="1793"/>
    </row>
    <row r="307" spans="3:4" ht="20.100000000000001" customHeight="1">
      <c r="C307" s="1793"/>
      <c r="D307" s="1793"/>
    </row>
    <row r="308" spans="3:4" ht="20.100000000000001" customHeight="1">
      <c r="C308" s="1793"/>
      <c r="D308" s="1793"/>
    </row>
    <row r="309" spans="3:4" ht="20.100000000000001" customHeight="1">
      <c r="C309" s="1793"/>
      <c r="D309" s="1793"/>
    </row>
    <row r="310" spans="3:4" ht="20.100000000000001" customHeight="1">
      <c r="C310" s="1793"/>
      <c r="D310" s="1793"/>
    </row>
    <row r="311" spans="3:4" ht="20.100000000000001" customHeight="1">
      <c r="C311" s="1793"/>
      <c r="D311" s="1793"/>
    </row>
    <row r="312" spans="3:4" ht="20.100000000000001" customHeight="1">
      <c r="C312" s="1793"/>
      <c r="D312" s="1793"/>
    </row>
    <row r="313" spans="3:4" ht="20.100000000000001" customHeight="1">
      <c r="C313" s="1793"/>
      <c r="D313" s="1793"/>
    </row>
    <row r="314" spans="3:4" ht="20.100000000000001" customHeight="1">
      <c r="C314" s="1793"/>
      <c r="D314" s="1793"/>
    </row>
    <row r="315" spans="3:4" ht="20.100000000000001" customHeight="1">
      <c r="C315" s="1793"/>
      <c r="D315" s="1793"/>
    </row>
    <row r="316" spans="3:4" ht="20.100000000000001" customHeight="1">
      <c r="C316" s="1793"/>
      <c r="D316" s="1793"/>
    </row>
    <row r="317" spans="3:4" ht="20.100000000000001" customHeight="1">
      <c r="C317" s="1793"/>
      <c r="D317" s="1793"/>
    </row>
    <row r="318" spans="3:4" ht="20.100000000000001" customHeight="1">
      <c r="C318" s="1793"/>
      <c r="D318" s="1793"/>
    </row>
    <row r="319" spans="3:4" ht="20.100000000000001" customHeight="1">
      <c r="C319" s="1793"/>
      <c r="D319" s="1793"/>
    </row>
    <row r="320" spans="3:4" ht="20.100000000000001" customHeight="1">
      <c r="C320" s="1793"/>
      <c r="D320" s="1793"/>
    </row>
    <row r="321" spans="3:4" ht="20.100000000000001" customHeight="1">
      <c r="C321" s="1793"/>
      <c r="D321" s="1793"/>
    </row>
    <row r="322" spans="3:4" ht="20.100000000000001" customHeight="1">
      <c r="C322" s="1793"/>
      <c r="D322" s="1793"/>
    </row>
    <row r="323" spans="3:4" ht="20.100000000000001" customHeight="1">
      <c r="C323" s="1793"/>
      <c r="D323" s="1793"/>
    </row>
    <row r="324" spans="3:4" ht="20.100000000000001" customHeight="1">
      <c r="C324" s="1793"/>
      <c r="D324" s="1793"/>
    </row>
    <row r="325" spans="3:4" ht="20.100000000000001" customHeight="1">
      <c r="C325" s="1793"/>
      <c r="D325" s="1793"/>
    </row>
    <row r="326" spans="3:4" ht="20.100000000000001" customHeight="1">
      <c r="C326" s="1793"/>
      <c r="D326" s="1793"/>
    </row>
    <row r="327" spans="3:4" ht="20.100000000000001" customHeight="1">
      <c r="C327" s="1793"/>
      <c r="D327" s="1793"/>
    </row>
    <row r="328" spans="3:4" ht="20.100000000000001" customHeight="1">
      <c r="C328" s="1793"/>
      <c r="D328" s="1793"/>
    </row>
    <row r="329" spans="3:4" ht="20.100000000000001" customHeight="1">
      <c r="C329" s="1793"/>
      <c r="D329" s="1793"/>
    </row>
    <row r="330" spans="3:4" ht="20.100000000000001" customHeight="1">
      <c r="C330" s="1793"/>
      <c r="D330" s="1793"/>
    </row>
    <row r="331" spans="3:4" ht="20.100000000000001" customHeight="1">
      <c r="C331" s="1793"/>
      <c r="D331" s="1793"/>
    </row>
    <row r="332" spans="3:4" ht="20.100000000000001" customHeight="1">
      <c r="C332" s="1793"/>
      <c r="D332" s="1793"/>
    </row>
    <row r="333" spans="3:4" ht="20.100000000000001" customHeight="1">
      <c r="C333" s="1793"/>
      <c r="D333" s="1793"/>
    </row>
    <row r="334" spans="3:4" ht="20.100000000000001" customHeight="1">
      <c r="C334" s="1793"/>
      <c r="D334" s="1793"/>
    </row>
    <row r="335" spans="3:4" ht="20.100000000000001" customHeight="1">
      <c r="C335" s="1793"/>
      <c r="D335" s="1793"/>
    </row>
    <row r="336" spans="3:4" ht="20.100000000000001" customHeight="1">
      <c r="C336" s="1793"/>
      <c r="D336" s="1793"/>
    </row>
    <row r="337" spans="3:4" ht="20.100000000000001" customHeight="1">
      <c r="C337" s="1793"/>
      <c r="D337" s="1793"/>
    </row>
    <row r="338" spans="3:4" ht="20.100000000000001" customHeight="1">
      <c r="C338" s="1793"/>
      <c r="D338" s="1793"/>
    </row>
    <row r="339" spans="3:4" ht="20.100000000000001" customHeight="1">
      <c r="C339" s="1793"/>
      <c r="D339" s="1793"/>
    </row>
    <row r="340" spans="3:4" ht="20.100000000000001" customHeight="1">
      <c r="C340" s="1793"/>
      <c r="D340" s="1793"/>
    </row>
    <row r="341" spans="3:4" ht="20.100000000000001" customHeight="1">
      <c r="C341" s="1793"/>
      <c r="D341" s="1793"/>
    </row>
    <row r="342" spans="3:4" ht="20.100000000000001" customHeight="1">
      <c r="C342" s="1793"/>
      <c r="D342" s="1793"/>
    </row>
    <row r="343" spans="3:4" ht="20.100000000000001" customHeight="1">
      <c r="C343" s="1793"/>
      <c r="D343" s="1793"/>
    </row>
    <row r="344" spans="3:4" ht="20.100000000000001" customHeight="1">
      <c r="C344" s="1793"/>
      <c r="D344" s="1793"/>
    </row>
    <row r="345" spans="3:4" ht="20.100000000000001" customHeight="1">
      <c r="C345" s="1793"/>
      <c r="D345" s="1793"/>
    </row>
    <row r="346" spans="3:4" ht="20.100000000000001" customHeight="1">
      <c r="C346" s="1793"/>
      <c r="D346" s="1793"/>
    </row>
    <row r="347" spans="3:4" ht="20.100000000000001" customHeight="1">
      <c r="C347" s="1793"/>
      <c r="D347" s="1793"/>
    </row>
    <row r="348" spans="3:4" ht="20.100000000000001" customHeight="1">
      <c r="C348" s="1793"/>
      <c r="D348" s="1793"/>
    </row>
    <row r="349" spans="3:4" ht="20.100000000000001" customHeight="1">
      <c r="C349" s="1793"/>
      <c r="D349" s="1793"/>
    </row>
    <row r="350" spans="3:4" ht="20.100000000000001" customHeight="1">
      <c r="C350" s="1793"/>
      <c r="D350" s="1793"/>
    </row>
    <row r="351" spans="3:4" ht="20.100000000000001" customHeight="1">
      <c r="C351" s="1793"/>
      <c r="D351" s="1793"/>
    </row>
    <row r="352" spans="3:4" ht="20.100000000000001" customHeight="1">
      <c r="C352" s="1793"/>
      <c r="D352" s="1793"/>
    </row>
    <row r="353" spans="3:4" ht="20.100000000000001" customHeight="1">
      <c r="C353" s="1793"/>
      <c r="D353" s="1793"/>
    </row>
    <row r="354" spans="3:4" ht="20.100000000000001" customHeight="1">
      <c r="C354" s="1793"/>
      <c r="D354" s="1793"/>
    </row>
    <row r="355" spans="3:4" ht="20.100000000000001" customHeight="1">
      <c r="C355" s="1793"/>
      <c r="D355" s="1793"/>
    </row>
    <row r="356" spans="3:4" ht="20.100000000000001" customHeight="1">
      <c r="C356" s="1793"/>
      <c r="D356" s="1793"/>
    </row>
    <row r="357" spans="3:4" ht="20.100000000000001" customHeight="1">
      <c r="C357" s="1793"/>
      <c r="D357" s="1793"/>
    </row>
    <row r="358" spans="3:4" ht="20.100000000000001" customHeight="1">
      <c r="C358" s="1793"/>
      <c r="D358" s="1793"/>
    </row>
    <row r="359" spans="3:4" ht="20.100000000000001" customHeight="1">
      <c r="C359" s="1793"/>
      <c r="D359" s="1793"/>
    </row>
    <row r="360" spans="3:4" ht="20.100000000000001" customHeight="1">
      <c r="C360" s="1793"/>
      <c r="D360" s="1793"/>
    </row>
    <row r="361" spans="3:4" ht="20.100000000000001" customHeight="1">
      <c r="C361" s="1793"/>
      <c r="D361" s="1793"/>
    </row>
    <row r="362" spans="3:4" ht="20.100000000000001" customHeight="1">
      <c r="C362" s="1793"/>
      <c r="D362" s="1793"/>
    </row>
    <row r="363" spans="3:4" ht="20.100000000000001" customHeight="1">
      <c r="C363" s="1793"/>
      <c r="D363" s="1793"/>
    </row>
    <row r="364" spans="3:4" ht="20.100000000000001" customHeight="1">
      <c r="C364" s="1793"/>
      <c r="D364" s="1793"/>
    </row>
    <row r="365" spans="3:4" ht="20.100000000000001" customHeight="1">
      <c r="C365" s="1793"/>
      <c r="D365" s="1793"/>
    </row>
    <row r="366" spans="3:4" ht="20.100000000000001" customHeight="1">
      <c r="C366" s="1793"/>
      <c r="D366" s="1793"/>
    </row>
    <row r="367" spans="3:4" ht="20.100000000000001" customHeight="1">
      <c r="C367" s="1793"/>
      <c r="D367" s="1793"/>
    </row>
    <row r="368" spans="3:4" ht="20.100000000000001" customHeight="1">
      <c r="C368" s="1793"/>
      <c r="D368" s="1793"/>
    </row>
    <row r="369" spans="3:4" ht="20.100000000000001" customHeight="1">
      <c r="C369" s="1793"/>
      <c r="D369" s="1793"/>
    </row>
    <row r="370" spans="3:4" ht="20.100000000000001" customHeight="1">
      <c r="C370" s="1793"/>
      <c r="D370" s="1793"/>
    </row>
    <row r="371" spans="3:4" ht="20.100000000000001" customHeight="1">
      <c r="C371" s="1793"/>
      <c r="D371" s="1793"/>
    </row>
    <row r="372" spans="3:4" ht="20.100000000000001" customHeight="1">
      <c r="C372" s="1793"/>
      <c r="D372" s="1793"/>
    </row>
    <row r="373" spans="3:4" ht="20.100000000000001" customHeight="1">
      <c r="C373" s="1793"/>
      <c r="D373" s="1793"/>
    </row>
    <row r="374" spans="3:4" ht="20.100000000000001" customHeight="1">
      <c r="C374" s="1793"/>
      <c r="D374" s="1793"/>
    </row>
    <row r="375" spans="3:4" ht="20.100000000000001" customHeight="1">
      <c r="C375" s="1793"/>
      <c r="D375" s="1793"/>
    </row>
    <row r="376" spans="3:4" ht="20.100000000000001" customHeight="1">
      <c r="C376" s="1793"/>
      <c r="D376" s="1793"/>
    </row>
    <row r="377" spans="3:4" ht="20.100000000000001" customHeight="1">
      <c r="C377" s="1793"/>
      <c r="D377" s="1793"/>
    </row>
    <row r="378" spans="3:4" ht="20.100000000000001" customHeight="1">
      <c r="C378" s="1793"/>
      <c r="D378" s="1793"/>
    </row>
    <row r="379" spans="3:4" ht="20.100000000000001" customHeight="1">
      <c r="C379" s="1793"/>
      <c r="D379" s="1793"/>
    </row>
    <row r="380" spans="3:4" ht="20.100000000000001" customHeight="1">
      <c r="C380" s="1793"/>
      <c r="D380" s="1793"/>
    </row>
    <row r="381" spans="3:4" ht="20.100000000000001" customHeight="1">
      <c r="C381" s="1793"/>
      <c r="D381" s="1793"/>
    </row>
    <row r="382" spans="3:4" ht="20.100000000000001" customHeight="1">
      <c r="C382" s="1793"/>
      <c r="D382" s="1793"/>
    </row>
    <row r="383" spans="3:4" ht="20.100000000000001" customHeight="1">
      <c r="C383" s="1793"/>
      <c r="D383" s="1793"/>
    </row>
    <row r="384" spans="3:4" ht="20.100000000000001" customHeight="1">
      <c r="C384" s="1793"/>
      <c r="D384" s="1793"/>
    </row>
    <row r="385" spans="3:4" ht="20.100000000000001" customHeight="1">
      <c r="C385" s="1793"/>
      <c r="D385" s="1793"/>
    </row>
    <row r="386" spans="3:4" ht="20.100000000000001" customHeight="1">
      <c r="C386" s="1793"/>
      <c r="D386" s="1793"/>
    </row>
    <row r="387" spans="3:4" ht="20.100000000000001" customHeight="1">
      <c r="C387" s="1793"/>
      <c r="D387" s="1793"/>
    </row>
    <row r="388" spans="3:4" ht="20.100000000000001" customHeight="1">
      <c r="C388" s="1793"/>
      <c r="D388" s="1793"/>
    </row>
    <row r="389" spans="3:4" ht="20.100000000000001" customHeight="1">
      <c r="C389" s="1793"/>
      <c r="D389" s="1793"/>
    </row>
    <row r="390" spans="3:4" ht="20.100000000000001" customHeight="1">
      <c r="C390" s="1793"/>
      <c r="D390" s="1793"/>
    </row>
    <row r="391" spans="3:4" ht="20.100000000000001" customHeight="1">
      <c r="C391" s="1793"/>
      <c r="D391" s="1793"/>
    </row>
    <row r="392" spans="3:4" ht="20.100000000000001" customHeight="1">
      <c r="C392" s="1793"/>
      <c r="D392" s="1793"/>
    </row>
    <row r="393" spans="3:4" ht="20.100000000000001" customHeight="1">
      <c r="C393" s="1793"/>
      <c r="D393" s="1793"/>
    </row>
    <row r="394" spans="3:4" ht="20.100000000000001" customHeight="1">
      <c r="C394" s="1793"/>
      <c r="D394" s="1793"/>
    </row>
    <row r="395" spans="3:4" ht="20.100000000000001" customHeight="1">
      <c r="C395" s="1793"/>
      <c r="D395" s="1793"/>
    </row>
    <row r="396" spans="3:4" ht="20.100000000000001" customHeight="1">
      <c r="C396" s="1793"/>
      <c r="D396" s="1793"/>
    </row>
    <row r="397" spans="3:4" ht="20.100000000000001" customHeight="1">
      <c r="C397" s="1793"/>
      <c r="D397" s="1793"/>
    </row>
    <row r="398" spans="3:4" ht="20.100000000000001" customHeight="1">
      <c r="C398" s="1793"/>
      <c r="D398" s="1793"/>
    </row>
    <row r="399" spans="3:4" ht="20.100000000000001" customHeight="1">
      <c r="C399" s="1793"/>
      <c r="D399" s="1793"/>
    </row>
    <row r="400" spans="3:4" ht="20.100000000000001" customHeight="1">
      <c r="C400" s="1793"/>
      <c r="D400" s="1793"/>
    </row>
    <row r="401" spans="3:4" ht="20.100000000000001" customHeight="1">
      <c r="C401" s="1793"/>
      <c r="D401" s="1793"/>
    </row>
    <row r="402" spans="3:4" ht="20.100000000000001" customHeight="1">
      <c r="C402" s="1793"/>
      <c r="D402" s="1793"/>
    </row>
    <row r="403" spans="3:4" ht="20.100000000000001" customHeight="1">
      <c r="C403" s="1793"/>
      <c r="D403" s="1793"/>
    </row>
    <row r="404" spans="3:4" ht="20.100000000000001" customHeight="1">
      <c r="C404" s="1793"/>
      <c r="D404" s="1793"/>
    </row>
    <row r="405" spans="3:4" ht="20.100000000000001" customHeight="1">
      <c r="C405" s="1793"/>
      <c r="D405" s="1793"/>
    </row>
    <row r="406" spans="3:4" ht="20.100000000000001" customHeight="1">
      <c r="C406" s="1793"/>
      <c r="D406" s="1793"/>
    </row>
    <row r="407" spans="3:4" ht="20.100000000000001" customHeight="1">
      <c r="C407" s="1793"/>
      <c r="D407" s="1793"/>
    </row>
    <row r="408" spans="3:4" ht="20.100000000000001" customHeight="1">
      <c r="C408" s="1793"/>
      <c r="D408" s="1793"/>
    </row>
    <row r="409" spans="3:4" ht="20.100000000000001" customHeight="1">
      <c r="C409" s="1793"/>
      <c r="D409" s="1793"/>
    </row>
    <row r="410" spans="3:4" ht="20.100000000000001" customHeight="1">
      <c r="C410" s="1793"/>
      <c r="D410" s="1793"/>
    </row>
    <row r="411" spans="3:4" ht="20.100000000000001" customHeight="1">
      <c r="C411" s="1793"/>
      <c r="D411" s="1793"/>
    </row>
    <row r="412" spans="3:4" ht="20.100000000000001" customHeight="1">
      <c r="C412" s="1793"/>
      <c r="D412" s="1793"/>
    </row>
    <row r="413" spans="3:4" ht="20.100000000000001" customHeight="1">
      <c r="C413" s="1793"/>
      <c r="D413" s="1793"/>
    </row>
    <row r="414" spans="3:4" ht="20.100000000000001" customHeight="1">
      <c r="C414" s="1793"/>
      <c r="D414" s="1793"/>
    </row>
    <row r="415" spans="3:4" ht="20.100000000000001" customHeight="1">
      <c r="C415" s="1793"/>
      <c r="D415" s="1793"/>
    </row>
    <row r="416" spans="3:4" ht="20.100000000000001" customHeight="1">
      <c r="C416" s="1793"/>
      <c r="D416" s="1793"/>
    </row>
    <row r="417" spans="3:4" ht="20.100000000000001" customHeight="1">
      <c r="C417" s="1793"/>
      <c r="D417" s="1793"/>
    </row>
    <row r="418" spans="3:4" ht="20.100000000000001" customHeight="1">
      <c r="C418" s="1793"/>
      <c r="D418" s="1793"/>
    </row>
    <row r="419" spans="3:4" ht="20.100000000000001" customHeight="1">
      <c r="C419" s="1793"/>
      <c r="D419" s="1793"/>
    </row>
    <row r="420" spans="3:4" ht="20.100000000000001" customHeight="1">
      <c r="C420" s="1793"/>
      <c r="D420" s="1793"/>
    </row>
    <row r="421" spans="3:4" ht="20.100000000000001" customHeight="1">
      <c r="C421" s="1793"/>
      <c r="D421" s="1793"/>
    </row>
    <row r="422" spans="3:4" ht="20.100000000000001" customHeight="1">
      <c r="C422" s="1793"/>
      <c r="D422" s="1793"/>
    </row>
    <row r="423" spans="3:4" ht="20.100000000000001" customHeight="1">
      <c r="C423" s="1793"/>
      <c r="D423" s="1793"/>
    </row>
    <row r="424" spans="3:4" ht="20.100000000000001" customHeight="1">
      <c r="C424" s="1793"/>
      <c r="D424" s="1793"/>
    </row>
    <row r="425" spans="3:4" ht="20.100000000000001" customHeight="1">
      <c r="C425" s="1793"/>
      <c r="D425" s="1793"/>
    </row>
    <row r="426" spans="3:4" ht="20.100000000000001" customHeight="1">
      <c r="C426" s="1793"/>
      <c r="D426" s="1793"/>
    </row>
    <row r="427" spans="3:4" ht="20.100000000000001" customHeight="1">
      <c r="C427" s="1793"/>
      <c r="D427" s="1793"/>
    </row>
    <row r="428" spans="3:4" ht="20.100000000000001" customHeight="1">
      <c r="C428" s="1793"/>
      <c r="D428" s="1793"/>
    </row>
    <row r="429" spans="3:4" ht="20.100000000000001" customHeight="1">
      <c r="C429" s="1793"/>
      <c r="D429" s="1793"/>
    </row>
    <row r="430" spans="3:4" ht="20.100000000000001" customHeight="1">
      <c r="C430" s="1793"/>
      <c r="D430" s="1793"/>
    </row>
    <row r="431" spans="3:4" ht="20.100000000000001" customHeight="1">
      <c r="C431" s="1793"/>
      <c r="D431" s="1793"/>
    </row>
    <row r="432" spans="3:4" ht="20.100000000000001" customHeight="1">
      <c r="C432" s="1793"/>
      <c r="D432" s="1793"/>
    </row>
    <row r="433" spans="3:4" ht="20.100000000000001" customHeight="1">
      <c r="C433" s="1793"/>
      <c r="D433" s="1793"/>
    </row>
    <row r="434" spans="3:4" ht="20.100000000000001" customHeight="1">
      <c r="C434" s="1793"/>
      <c r="D434" s="1793"/>
    </row>
    <row r="435" spans="3:4" ht="20.100000000000001" customHeight="1">
      <c r="C435" s="1793"/>
      <c r="D435" s="1793"/>
    </row>
    <row r="436" spans="3:4" ht="20.100000000000001" customHeight="1">
      <c r="C436" s="1793"/>
      <c r="D436" s="1793"/>
    </row>
    <row r="437" spans="3:4" ht="20.100000000000001" customHeight="1">
      <c r="C437" s="1793"/>
      <c r="D437" s="1793"/>
    </row>
    <row r="438" spans="3:4" ht="20.100000000000001" customHeight="1">
      <c r="C438" s="1793"/>
      <c r="D438" s="1793"/>
    </row>
    <row r="439" spans="3:4" ht="20.100000000000001" customHeight="1">
      <c r="C439" s="1793"/>
      <c r="D439" s="1793"/>
    </row>
    <row r="440" spans="3:4" ht="20.100000000000001" customHeight="1">
      <c r="C440" s="1793"/>
      <c r="D440" s="1793"/>
    </row>
    <row r="441" spans="3:4" ht="20.100000000000001" customHeight="1">
      <c r="C441" s="1793"/>
      <c r="D441" s="1793"/>
    </row>
    <row r="442" spans="3:4" ht="20.100000000000001" customHeight="1">
      <c r="C442" s="1793"/>
      <c r="D442" s="1793"/>
    </row>
    <row r="443" spans="3:4" ht="20.100000000000001" customHeight="1">
      <c r="C443" s="1793"/>
      <c r="D443" s="1793"/>
    </row>
    <row r="444" spans="3:4" ht="20.100000000000001" customHeight="1">
      <c r="C444" s="1793"/>
      <c r="D444" s="1793"/>
    </row>
    <row r="445" spans="3:4" ht="20.100000000000001" customHeight="1">
      <c r="C445" s="1793"/>
      <c r="D445" s="1793"/>
    </row>
    <row r="446" spans="3:4" ht="20.100000000000001" customHeight="1">
      <c r="C446" s="1793"/>
      <c r="D446" s="1793"/>
    </row>
    <row r="447" spans="3:4" ht="20.100000000000001" customHeight="1">
      <c r="C447" s="1793"/>
      <c r="D447" s="1793"/>
    </row>
    <row r="448" spans="3:4" ht="20.100000000000001" customHeight="1">
      <c r="C448" s="1793"/>
      <c r="D448" s="1793"/>
    </row>
    <row r="449" spans="3:4" ht="20.100000000000001" customHeight="1">
      <c r="C449" s="1793"/>
      <c r="D449" s="1793"/>
    </row>
    <row r="450" spans="3:4" ht="20.100000000000001" customHeight="1">
      <c r="C450" s="1793"/>
      <c r="D450" s="1793"/>
    </row>
    <row r="451" spans="3:4" ht="20.100000000000001" customHeight="1">
      <c r="C451" s="1793"/>
      <c r="D451" s="1793"/>
    </row>
    <row r="452" spans="3:4" ht="20.100000000000001" customHeight="1">
      <c r="C452" s="1793"/>
      <c r="D452" s="1793"/>
    </row>
    <row r="453" spans="3:4" ht="20.100000000000001" customHeight="1">
      <c r="C453" s="1793"/>
      <c r="D453" s="1793"/>
    </row>
    <row r="454" spans="3:4" ht="20.100000000000001" customHeight="1">
      <c r="C454" s="1793"/>
      <c r="D454" s="1793"/>
    </row>
    <row r="455" spans="3:4" ht="20.100000000000001" customHeight="1">
      <c r="C455" s="1793"/>
      <c r="D455" s="1793"/>
    </row>
    <row r="456" spans="3:4" ht="20.100000000000001" customHeight="1">
      <c r="C456" s="1793"/>
      <c r="D456" s="1793"/>
    </row>
    <row r="457" spans="3:4" ht="20.100000000000001" customHeight="1">
      <c r="C457" s="1793"/>
      <c r="D457" s="1793"/>
    </row>
    <row r="458" spans="3:4" ht="20.100000000000001" customHeight="1">
      <c r="C458" s="1793"/>
      <c r="D458" s="1793"/>
    </row>
    <row r="459" spans="3:4" ht="20.100000000000001" customHeight="1">
      <c r="C459" s="1793"/>
      <c r="D459" s="1793"/>
    </row>
    <row r="460" spans="3:4" ht="20.100000000000001" customHeight="1">
      <c r="C460" s="1793"/>
      <c r="D460" s="1793"/>
    </row>
    <row r="461" spans="3:4" ht="20.100000000000001" customHeight="1">
      <c r="C461" s="1793"/>
      <c r="D461" s="1793"/>
    </row>
    <row r="462" spans="3:4" ht="20.100000000000001" customHeight="1">
      <c r="C462" s="1793"/>
      <c r="D462" s="1793"/>
    </row>
    <row r="463" spans="3:4" ht="20.100000000000001" customHeight="1">
      <c r="C463" s="1793"/>
      <c r="D463" s="1793"/>
    </row>
    <row r="464" spans="3:4" ht="20.100000000000001" customHeight="1">
      <c r="C464" s="1793"/>
      <c r="D464" s="1793"/>
    </row>
    <row r="465" spans="3:4" ht="20.100000000000001" customHeight="1">
      <c r="C465" s="1793"/>
      <c r="D465" s="1793"/>
    </row>
    <row r="466" spans="3:4" ht="20.100000000000001" customHeight="1">
      <c r="C466" s="1793"/>
      <c r="D466" s="1793"/>
    </row>
    <row r="467" spans="3:4" ht="20.100000000000001" customHeight="1">
      <c r="C467" s="1793"/>
      <c r="D467" s="1793"/>
    </row>
    <row r="468" spans="3:4" ht="20.100000000000001" customHeight="1">
      <c r="C468" s="1793"/>
      <c r="D468" s="1793"/>
    </row>
    <row r="469" spans="3:4" ht="20.100000000000001" customHeight="1">
      <c r="C469" s="1793"/>
      <c r="D469" s="1793"/>
    </row>
    <row r="470" spans="3:4" ht="20.100000000000001" customHeight="1">
      <c r="C470" s="1793"/>
      <c r="D470" s="1793"/>
    </row>
    <row r="471" spans="3:4" ht="20.100000000000001" customHeight="1">
      <c r="C471" s="1793"/>
      <c r="D471" s="1793"/>
    </row>
    <row r="472" spans="3:4" ht="20.100000000000001" customHeight="1">
      <c r="C472" s="1793"/>
      <c r="D472" s="1793"/>
    </row>
    <row r="473" spans="3:4" ht="20.100000000000001" customHeight="1">
      <c r="C473" s="1793"/>
      <c r="D473" s="1793"/>
    </row>
    <row r="474" spans="3:4" ht="20.100000000000001" customHeight="1">
      <c r="C474" s="1793"/>
      <c r="D474" s="1793"/>
    </row>
    <row r="475" spans="3:4" ht="20.100000000000001" customHeight="1">
      <c r="C475" s="1793"/>
      <c r="D475" s="1793"/>
    </row>
    <row r="476" spans="3:4" ht="20.100000000000001" customHeight="1">
      <c r="C476" s="1793"/>
      <c r="D476" s="1793"/>
    </row>
    <row r="477" spans="3:4" ht="20.100000000000001" customHeight="1">
      <c r="C477" s="1793"/>
      <c r="D477" s="1793"/>
    </row>
    <row r="478" spans="3:4" ht="20.100000000000001" customHeight="1">
      <c r="C478" s="1793"/>
      <c r="D478" s="1793"/>
    </row>
    <row r="479" spans="3:4" ht="20.100000000000001" customHeight="1">
      <c r="C479" s="1793"/>
      <c r="D479" s="1793"/>
    </row>
    <row r="480" spans="3:4" ht="20.100000000000001" customHeight="1">
      <c r="C480" s="1793"/>
      <c r="D480" s="1793"/>
    </row>
    <row r="481" spans="3:4" ht="20.100000000000001" customHeight="1">
      <c r="C481" s="1793"/>
      <c r="D481" s="1793"/>
    </row>
    <row r="482" spans="3:4" ht="20.100000000000001" customHeight="1">
      <c r="C482" s="1793"/>
      <c r="D482" s="1793"/>
    </row>
    <row r="483" spans="3:4" ht="20.100000000000001" customHeight="1">
      <c r="C483" s="1793"/>
      <c r="D483" s="1793"/>
    </row>
    <row r="484" spans="3:4" ht="20.100000000000001" customHeight="1">
      <c r="C484" s="1793"/>
      <c r="D484" s="1793"/>
    </row>
    <row r="485" spans="3:4" ht="20.100000000000001" customHeight="1">
      <c r="C485" s="1793"/>
      <c r="D485" s="1793"/>
    </row>
    <row r="486" spans="3:4" ht="20.100000000000001" customHeight="1">
      <c r="C486" s="1793"/>
      <c r="D486" s="1793"/>
    </row>
    <row r="487" spans="3:4" ht="20.100000000000001" customHeight="1">
      <c r="C487" s="1793"/>
      <c r="D487" s="1793"/>
    </row>
    <row r="488" spans="3:4" ht="20.100000000000001" customHeight="1">
      <c r="C488" s="1793"/>
      <c r="D488" s="1793"/>
    </row>
    <row r="489" spans="3:4" ht="20.100000000000001" customHeight="1">
      <c r="C489" s="1793"/>
      <c r="D489" s="1793"/>
    </row>
    <row r="490" spans="3:4" ht="20.100000000000001" customHeight="1">
      <c r="C490" s="1793"/>
      <c r="D490" s="1793"/>
    </row>
    <row r="491" spans="3:4" ht="20.100000000000001" customHeight="1">
      <c r="C491" s="1793"/>
      <c r="D491" s="1793"/>
    </row>
    <row r="492" spans="3:4" ht="20.100000000000001" customHeight="1">
      <c r="C492" s="1793"/>
      <c r="D492" s="1793"/>
    </row>
    <row r="493" spans="3:4" ht="20.100000000000001" customHeight="1">
      <c r="C493" s="1793"/>
      <c r="D493" s="1793"/>
    </row>
    <row r="494" spans="3:4" ht="20.100000000000001" customHeight="1">
      <c r="C494" s="1793"/>
      <c r="D494" s="1793"/>
    </row>
    <row r="495" spans="3:4" ht="20.100000000000001" customHeight="1">
      <c r="C495" s="1793"/>
      <c r="D495" s="1793"/>
    </row>
    <row r="496" spans="3:4" ht="20.100000000000001" customHeight="1">
      <c r="C496" s="1793"/>
      <c r="D496" s="1793"/>
    </row>
    <row r="497" spans="3:4" ht="20.100000000000001" customHeight="1">
      <c r="C497" s="1793"/>
      <c r="D497" s="1793"/>
    </row>
    <row r="498" spans="3:4" ht="20.100000000000001" customHeight="1">
      <c r="C498" s="1793"/>
      <c r="D498" s="1793"/>
    </row>
    <row r="499" spans="3:4" ht="20.100000000000001" customHeight="1">
      <c r="C499" s="1793"/>
      <c r="D499" s="1793"/>
    </row>
    <row r="500" spans="3:4" ht="20.100000000000001" customHeight="1">
      <c r="C500" s="1793"/>
      <c r="D500" s="1793"/>
    </row>
    <row r="501" spans="3:4" ht="20.100000000000001" customHeight="1">
      <c r="C501" s="1793"/>
      <c r="D501" s="1793"/>
    </row>
    <row r="502" spans="3:4" ht="20.100000000000001" customHeight="1">
      <c r="C502" s="1793"/>
      <c r="D502" s="1793"/>
    </row>
    <row r="503" spans="3:4" ht="20.100000000000001" customHeight="1">
      <c r="C503" s="1793"/>
      <c r="D503" s="1793"/>
    </row>
    <row r="504" spans="3:4" ht="20.100000000000001" customHeight="1">
      <c r="C504" s="1793"/>
      <c r="D504" s="1793"/>
    </row>
    <row r="505" spans="3:4" ht="20.100000000000001" customHeight="1">
      <c r="C505" s="1793"/>
      <c r="D505" s="1793"/>
    </row>
    <row r="506" spans="3:4" ht="20.100000000000001" customHeight="1">
      <c r="C506" s="1793"/>
      <c r="D506" s="1793"/>
    </row>
    <row r="507" spans="3:4" ht="20.100000000000001" customHeight="1">
      <c r="C507" s="1793"/>
      <c r="D507" s="1793"/>
    </row>
    <row r="508" spans="3:4" ht="20.100000000000001" customHeight="1">
      <c r="C508" s="1793"/>
      <c r="D508" s="1793"/>
    </row>
    <row r="509" spans="3:4" ht="20.100000000000001" customHeight="1">
      <c r="C509" s="1793"/>
      <c r="D509" s="1793"/>
    </row>
    <row r="510" spans="3:4" ht="20.100000000000001" customHeight="1">
      <c r="C510" s="1793"/>
      <c r="D510" s="1793"/>
    </row>
    <row r="511" spans="3:4" ht="20.100000000000001" customHeight="1">
      <c r="C511" s="1793"/>
      <c r="D511" s="1793"/>
    </row>
    <row r="512" spans="3:4" ht="20.100000000000001" customHeight="1">
      <c r="C512" s="1793"/>
      <c r="D512" s="1793"/>
    </row>
    <row r="513" spans="3:4" ht="20.100000000000001" customHeight="1">
      <c r="C513" s="1793"/>
      <c r="D513" s="1793"/>
    </row>
    <row r="514" spans="3:4" ht="20.100000000000001" customHeight="1">
      <c r="C514" s="1793"/>
      <c r="D514" s="1793"/>
    </row>
    <row r="515" spans="3:4" ht="20.100000000000001" customHeight="1">
      <c r="C515" s="1793"/>
      <c r="D515" s="1793"/>
    </row>
    <row r="516" spans="3:4" ht="20.100000000000001" customHeight="1">
      <c r="C516" s="1793"/>
      <c r="D516" s="1793"/>
    </row>
    <row r="517" spans="3:4" ht="20.100000000000001" customHeight="1">
      <c r="C517" s="1793"/>
      <c r="D517" s="1793"/>
    </row>
    <row r="518" spans="3:4" ht="20.100000000000001" customHeight="1">
      <c r="C518" s="1793"/>
      <c r="D518" s="1793"/>
    </row>
    <row r="519" spans="3:4" ht="20.100000000000001" customHeight="1">
      <c r="C519" s="1793"/>
      <c r="D519" s="1793"/>
    </row>
    <row r="520" spans="3:4" ht="20.100000000000001" customHeight="1">
      <c r="C520" s="1793"/>
      <c r="D520" s="1793"/>
    </row>
    <row r="521" spans="3:4" ht="20.100000000000001" customHeight="1">
      <c r="C521" s="1793"/>
      <c r="D521" s="1793"/>
    </row>
    <row r="522" spans="3:4" ht="20.100000000000001" customHeight="1">
      <c r="C522" s="1793"/>
      <c r="D522" s="1793"/>
    </row>
    <row r="523" spans="3:4" ht="20.100000000000001" customHeight="1">
      <c r="C523" s="1793"/>
      <c r="D523" s="1793"/>
    </row>
    <row r="524" spans="3:4" ht="20.100000000000001" customHeight="1">
      <c r="C524" s="1793"/>
      <c r="D524" s="1793"/>
    </row>
    <row r="525" spans="3:4" ht="20.100000000000001" customHeight="1">
      <c r="C525" s="1793"/>
      <c r="D525" s="1793"/>
    </row>
    <row r="526" spans="3:4" ht="20.100000000000001" customHeight="1">
      <c r="C526" s="1793"/>
      <c r="D526" s="1793"/>
    </row>
    <row r="527" spans="3:4" ht="20.100000000000001" customHeight="1">
      <c r="C527" s="1793"/>
      <c r="D527" s="1793"/>
    </row>
    <row r="528" spans="3:4" ht="20.100000000000001" customHeight="1">
      <c r="C528" s="1793"/>
      <c r="D528" s="1793"/>
    </row>
    <row r="529" spans="3:4" ht="20.100000000000001" customHeight="1">
      <c r="C529" s="1793"/>
      <c r="D529" s="1793"/>
    </row>
    <row r="530" spans="3:4" ht="20.100000000000001" customHeight="1">
      <c r="C530" s="1793"/>
      <c r="D530" s="1793"/>
    </row>
    <row r="531" spans="3:4" ht="20.100000000000001" customHeight="1">
      <c r="C531" s="1793"/>
      <c r="D531" s="1793"/>
    </row>
    <row r="532" spans="3:4" ht="20.100000000000001" customHeight="1">
      <c r="C532" s="1793"/>
      <c r="D532" s="1793"/>
    </row>
    <row r="533" spans="3:4" ht="20.100000000000001" customHeight="1">
      <c r="C533" s="1793"/>
      <c r="D533" s="1793"/>
    </row>
    <row r="534" spans="3:4" ht="20.100000000000001" customHeight="1">
      <c r="C534" s="1793"/>
      <c r="D534" s="1793"/>
    </row>
    <row r="535" spans="3:4" ht="20.100000000000001" customHeight="1">
      <c r="C535" s="1793"/>
      <c r="D535" s="1793"/>
    </row>
    <row r="536" spans="3:4" ht="20.100000000000001" customHeight="1">
      <c r="C536" s="1793"/>
      <c r="D536" s="1793"/>
    </row>
    <row r="537" spans="3:4" ht="20.100000000000001" customHeight="1">
      <c r="C537" s="1793"/>
      <c r="D537" s="1793"/>
    </row>
    <row r="538" spans="3:4" ht="20.100000000000001" customHeight="1">
      <c r="C538" s="1793"/>
      <c r="D538" s="1793"/>
    </row>
    <row r="539" spans="3:4" ht="20.100000000000001" customHeight="1">
      <c r="C539" s="1793"/>
      <c r="D539" s="1793"/>
    </row>
    <row r="540" spans="3:4" ht="20.100000000000001" customHeight="1">
      <c r="C540" s="1793"/>
      <c r="D540" s="1793"/>
    </row>
    <row r="541" spans="3:4" ht="20.100000000000001" customHeight="1">
      <c r="C541" s="1793"/>
      <c r="D541" s="1793"/>
    </row>
    <row r="542" spans="3:4" ht="20.100000000000001" customHeight="1">
      <c r="C542" s="1793"/>
      <c r="D542" s="1793"/>
    </row>
    <row r="543" spans="3:4" ht="20.100000000000001" customHeight="1">
      <c r="C543" s="1793"/>
      <c r="D543" s="1793"/>
    </row>
    <row r="544" spans="3:4" ht="20.100000000000001" customHeight="1">
      <c r="C544" s="1793"/>
      <c r="D544" s="1793"/>
    </row>
    <row r="545" spans="3:4" ht="20.100000000000001" customHeight="1">
      <c r="C545" s="1793"/>
      <c r="D545" s="1793"/>
    </row>
    <row r="546" spans="3:4" ht="20.100000000000001" customHeight="1">
      <c r="C546" s="1793"/>
      <c r="D546" s="1793"/>
    </row>
    <row r="547" spans="3:4" ht="20.100000000000001" customHeight="1">
      <c r="C547" s="1793"/>
      <c r="D547" s="1793"/>
    </row>
    <row r="548" spans="3:4" ht="20.100000000000001" customHeight="1">
      <c r="C548" s="1793"/>
      <c r="D548" s="1793"/>
    </row>
    <row r="549" spans="3:4" ht="20.100000000000001" customHeight="1">
      <c r="C549" s="1793"/>
      <c r="D549" s="1793"/>
    </row>
    <row r="550" spans="3:4" ht="20.100000000000001" customHeight="1">
      <c r="C550" s="1793"/>
      <c r="D550" s="1793"/>
    </row>
    <row r="551" spans="3:4" ht="20.100000000000001" customHeight="1">
      <c r="C551" s="1793"/>
      <c r="D551" s="1793"/>
    </row>
    <row r="552" spans="3:4" ht="20.100000000000001" customHeight="1">
      <c r="C552" s="1793"/>
      <c r="D552" s="1793"/>
    </row>
    <row r="553" spans="3:4" ht="20.100000000000001" customHeight="1">
      <c r="C553" s="1793"/>
      <c r="D553" s="1793"/>
    </row>
    <row r="554" spans="3:4" ht="20.100000000000001" customHeight="1">
      <c r="C554" s="1793"/>
      <c r="D554" s="1793"/>
    </row>
    <row r="555" spans="3:4" ht="20.100000000000001" customHeight="1">
      <c r="C555" s="1793"/>
      <c r="D555" s="1793"/>
    </row>
    <row r="556" spans="3:4" ht="20.100000000000001" customHeight="1">
      <c r="C556" s="1793"/>
      <c r="D556" s="1793"/>
    </row>
    <row r="557" spans="3:4" ht="20.100000000000001" customHeight="1">
      <c r="C557" s="1793"/>
      <c r="D557" s="1793"/>
    </row>
    <row r="558" spans="3:4" ht="20.100000000000001" customHeight="1">
      <c r="C558" s="1793"/>
      <c r="D558" s="1793"/>
    </row>
    <row r="559" spans="3:4" ht="20.100000000000001" customHeight="1">
      <c r="C559" s="1793"/>
      <c r="D559" s="1793"/>
    </row>
    <row r="560" spans="3:4" ht="20.100000000000001" customHeight="1">
      <c r="C560" s="1793"/>
      <c r="D560" s="1793"/>
    </row>
    <row r="561" spans="3:4" ht="20.100000000000001" customHeight="1">
      <c r="C561" s="1793"/>
      <c r="D561" s="1793"/>
    </row>
    <row r="562" spans="3:4" ht="20.100000000000001" customHeight="1">
      <c r="C562" s="1793"/>
      <c r="D562" s="1793"/>
    </row>
    <row r="563" spans="3:4" ht="20.100000000000001" customHeight="1">
      <c r="C563" s="1793"/>
      <c r="D563" s="1793"/>
    </row>
    <row r="564" spans="3:4" ht="20.100000000000001" customHeight="1">
      <c r="C564" s="1793"/>
      <c r="D564" s="1793"/>
    </row>
    <row r="565" spans="3:4" ht="20.100000000000001" customHeight="1">
      <c r="C565" s="1793"/>
      <c r="D565" s="1793"/>
    </row>
    <row r="566" spans="3:4" ht="20.100000000000001" customHeight="1">
      <c r="C566" s="1793"/>
      <c r="D566" s="1793"/>
    </row>
    <row r="567" spans="3:4" ht="20.100000000000001" customHeight="1">
      <c r="C567" s="1793"/>
      <c r="D567" s="1793"/>
    </row>
    <row r="568" spans="3:4" ht="20.100000000000001" customHeight="1">
      <c r="C568" s="1793"/>
      <c r="D568" s="1793"/>
    </row>
    <row r="569" spans="3:4" ht="20.100000000000001" customHeight="1">
      <c r="C569" s="1793"/>
      <c r="D569" s="1793"/>
    </row>
    <row r="570" spans="3:4" ht="20.100000000000001" customHeight="1">
      <c r="C570" s="1793"/>
      <c r="D570" s="1793"/>
    </row>
    <row r="571" spans="3:4" ht="20.100000000000001" customHeight="1">
      <c r="C571" s="1793"/>
      <c r="D571" s="1793"/>
    </row>
    <row r="572" spans="3:4" ht="20.100000000000001" customHeight="1">
      <c r="C572" s="1793"/>
      <c r="D572" s="1793"/>
    </row>
    <row r="573" spans="3:4" ht="20.100000000000001" customHeight="1">
      <c r="C573" s="1793"/>
      <c r="D573" s="1793"/>
    </row>
    <row r="574" spans="3:4" ht="20.100000000000001" customHeight="1">
      <c r="C574" s="1793"/>
      <c r="D574" s="1793"/>
    </row>
    <row r="575" spans="3:4" ht="20.100000000000001" customHeight="1">
      <c r="C575" s="1793"/>
      <c r="D575" s="1793"/>
    </row>
    <row r="576" spans="3:4" ht="20.100000000000001" customHeight="1">
      <c r="C576" s="1793"/>
      <c r="D576" s="1793"/>
    </row>
    <row r="577" spans="3:4" ht="20.100000000000001" customHeight="1">
      <c r="C577" s="1793"/>
      <c r="D577" s="1793"/>
    </row>
    <row r="578" spans="3:4" ht="20.100000000000001" customHeight="1">
      <c r="C578" s="1793"/>
      <c r="D578" s="1793"/>
    </row>
    <row r="579" spans="3:4" ht="20.100000000000001" customHeight="1">
      <c r="C579" s="1793"/>
      <c r="D579" s="1793"/>
    </row>
    <row r="580" spans="3:4" ht="20.100000000000001" customHeight="1">
      <c r="C580" s="1793"/>
      <c r="D580" s="1793"/>
    </row>
    <row r="581" spans="3:4" ht="20.100000000000001" customHeight="1">
      <c r="C581" s="1793"/>
      <c r="D581" s="1793"/>
    </row>
    <row r="582" spans="3:4" ht="20.100000000000001" customHeight="1">
      <c r="C582" s="1793"/>
      <c r="D582" s="1793"/>
    </row>
    <row r="583" spans="3:4" ht="20.100000000000001" customHeight="1">
      <c r="C583" s="1793"/>
      <c r="D583" s="1793"/>
    </row>
    <row r="584" spans="3:4" ht="20.100000000000001" customHeight="1">
      <c r="C584" s="1793"/>
      <c r="D584" s="1793"/>
    </row>
    <row r="585" spans="3:4" ht="20.100000000000001" customHeight="1">
      <c r="C585" s="1793"/>
      <c r="D585" s="1793"/>
    </row>
    <row r="586" spans="3:4" ht="20.100000000000001" customHeight="1">
      <c r="C586" s="1793"/>
      <c r="D586" s="1793"/>
    </row>
    <row r="587" spans="3:4" ht="20.100000000000001" customHeight="1">
      <c r="C587" s="1793"/>
      <c r="D587" s="1793"/>
    </row>
    <row r="588" spans="3:4" ht="20.100000000000001" customHeight="1">
      <c r="C588" s="1793"/>
      <c r="D588" s="1793"/>
    </row>
    <row r="589" spans="3:4" ht="20.100000000000001" customHeight="1">
      <c r="C589" s="1793"/>
      <c r="D589" s="1793"/>
    </row>
    <row r="590" spans="3:4" ht="20.100000000000001" customHeight="1">
      <c r="C590" s="1793"/>
      <c r="D590" s="1793"/>
    </row>
    <row r="591" spans="3:4" ht="20.100000000000001" customHeight="1">
      <c r="C591" s="1793"/>
      <c r="D591" s="1793"/>
    </row>
    <row r="592" spans="3:4" ht="20.100000000000001" customHeight="1">
      <c r="C592" s="1793"/>
      <c r="D592" s="1793"/>
    </row>
    <row r="593" spans="3:4" ht="20.100000000000001" customHeight="1">
      <c r="C593" s="1793"/>
      <c r="D593" s="1793"/>
    </row>
    <row r="594" spans="3:4" ht="20.100000000000001" customHeight="1">
      <c r="C594" s="1793"/>
      <c r="D594" s="1793"/>
    </row>
    <row r="595" spans="3:4" ht="20.100000000000001" customHeight="1">
      <c r="C595" s="1793"/>
      <c r="D595" s="1793"/>
    </row>
    <row r="596" spans="3:4" ht="20.100000000000001" customHeight="1">
      <c r="C596" s="1793"/>
      <c r="D596" s="1793"/>
    </row>
    <row r="597" spans="3:4" ht="20.100000000000001" customHeight="1">
      <c r="C597" s="1793"/>
      <c r="D597" s="1793"/>
    </row>
    <row r="598" spans="3:4" ht="20.100000000000001" customHeight="1">
      <c r="C598" s="1793"/>
      <c r="D598" s="1793"/>
    </row>
    <row r="599" spans="3:4" ht="20.100000000000001" customHeight="1">
      <c r="C599" s="1793"/>
      <c r="D599" s="1793"/>
    </row>
    <row r="600" spans="3:4" ht="20.100000000000001" customHeight="1">
      <c r="C600" s="1793"/>
      <c r="D600" s="1793"/>
    </row>
    <row r="601" spans="3:4" ht="20.100000000000001" customHeight="1">
      <c r="C601" s="1793"/>
      <c r="D601" s="1793"/>
    </row>
    <row r="602" spans="3:4" ht="20.100000000000001" customHeight="1">
      <c r="C602" s="1793"/>
      <c r="D602" s="1793"/>
    </row>
    <row r="603" spans="3:4" ht="20.100000000000001" customHeight="1">
      <c r="C603" s="1793"/>
      <c r="D603" s="1793"/>
    </row>
    <row r="604" spans="3:4" ht="20.100000000000001" customHeight="1">
      <c r="C604" s="1793"/>
      <c r="D604" s="1793"/>
    </row>
    <row r="605" spans="3:4" ht="20.100000000000001" customHeight="1">
      <c r="C605" s="1793"/>
      <c r="D605" s="1793"/>
    </row>
    <row r="606" spans="3:4" ht="20.100000000000001" customHeight="1">
      <c r="C606" s="1793"/>
      <c r="D606" s="1793"/>
    </row>
    <row r="607" spans="3:4" ht="20.100000000000001" customHeight="1">
      <c r="C607" s="1793"/>
      <c r="D607" s="1793"/>
    </row>
    <row r="608" spans="3:4" ht="20.100000000000001" customHeight="1">
      <c r="C608" s="1793"/>
      <c r="D608" s="1793"/>
    </row>
    <row r="609" spans="3:4" ht="20.100000000000001" customHeight="1">
      <c r="C609" s="1793"/>
      <c r="D609" s="1793"/>
    </row>
    <row r="610" spans="3:4" ht="20.100000000000001" customHeight="1">
      <c r="C610" s="1793"/>
      <c r="D610" s="1793"/>
    </row>
    <row r="611" spans="3:4" ht="20.100000000000001" customHeight="1">
      <c r="C611" s="1793"/>
      <c r="D611" s="1793"/>
    </row>
    <row r="612" spans="3:4" ht="20.100000000000001" customHeight="1">
      <c r="C612" s="1793"/>
      <c r="D612" s="1793"/>
    </row>
    <row r="613" spans="3:4" ht="20.100000000000001" customHeight="1">
      <c r="C613" s="1793"/>
      <c r="D613" s="1793"/>
    </row>
    <row r="614" spans="3:4" ht="20.100000000000001" customHeight="1">
      <c r="C614" s="1793"/>
      <c r="D614" s="1793"/>
    </row>
    <row r="615" spans="3:4" ht="20.100000000000001" customHeight="1">
      <c r="C615" s="1793"/>
      <c r="D615" s="1793"/>
    </row>
    <row r="616" spans="3:4" ht="20.100000000000001" customHeight="1">
      <c r="C616" s="1793"/>
      <c r="D616" s="1793"/>
    </row>
    <row r="617" spans="3:4" ht="20.100000000000001" customHeight="1">
      <c r="C617" s="1793"/>
      <c r="D617" s="1793"/>
    </row>
    <row r="618" spans="3:4" ht="20.100000000000001" customHeight="1">
      <c r="C618" s="1793"/>
      <c r="D618" s="1793"/>
    </row>
    <row r="619" spans="3:4" ht="20.100000000000001" customHeight="1">
      <c r="C619" s="1793"/>
      <c r="D619" s="1793"/>
    </row>
    <row r="620" spans="3:4" ht="20.100000000000001" customHeight="1">
      <c r="C620" s="1793"/>
      <c r="D620" s="1793"/>
    </row>
    <row r="621" spans="3:4" ht="20.100000000000001" customHeight="1">
      <c r="C621" s="1793"/>
      <c r="D621" s="1793"/>
    </row>
    <row r="622" spans="3:4" ht="20.100000000000001" customHeight="1">
      <c r="C622" s="1793"/>
      <c r="D622" s="1793"/>
    </row>
    <row r="623" spans="3:4" ht="20.100000000000001" customHeight="1">
      <c r="C623" s="1793"/>
      <c r="D623" s="1793"/>
    </row>
    <row r="624" spans="3:4" ht="20.100000000000001" customHeight="1">
      <c r="C624" s="1793"/>
      <c r="D624" s="1793"/>
    </row>
    <row r="625" spans="3:4" ht="20.100000000000001" customHeight="1">
      <c r="C625" s="1793"/>
      <c r="D625" s="1793"/>
    </row>
    <row r="626" spans="3:4" ht="20.100000000000001" customHeight="1">
      <c r="C626" s="1793"/>
      <c r="D626" s="1793"/>
    </row>
    <row r="627" spans="3:4" ht="20.100000000000001" customHeight="1">
      <c r="C627" s="1793"/>
      <c r="D627" s="1793"/>
    </row>
    <row r="628" spans="3:4" ht="20.100000000000001" customHeight="1">
      <c r="C628" s="1793"/>
      <c r="D628" s="1793"/>
    </row>
    <row r="629" spans="3:4" ht="20.100000000000001" customHeight="1">
      <c r="C629" s="1793"/>
      <c r="D629" s="1793"/>
    </row>
    <row r="630" spans="3:4" ht="20.100000000000001" customHeight="1">
      <c r="C630" s="1793"/>
      <c r="D630" s="1793"/>
    </row>
    <row r="631" spans="3:4" ht="20.100000000000001" customHeight="1">
      <c r="C631" s="1793"/>
      <c r="D631" s="1793"/>
    </row>
    <row r="632" spans="3:4" ht="20.100000000000001" customHeight="1">
      <c r="C632" s="1793"/>
      <c r="D632" s="1793"/>
    </row>
    <row r="633" spans="3:4" ht="20.100000000000001" customHeight="1">
      <c r="C633" s="1793"/>
      <c r="D633" s="1793"/>
    </row>
    <row r="634" spans="3:4" ht="20.100000000000001" customHeight="1">
      <c r="C634" s="1793"/>
      <c r="D634" s="1793"/>
    </row>
    <row r="635" spans="3:4" ht="20.100000000000001" customHeight="1">
      <c r="C635" s="1793"/>
      <c r="D635" s="1793"/>
    </row>
    <row r="636" spans="3:4" ht="20.100000000000001" customHeight="1">
      <c r="C636" s="1793"/>
      <c r="D636" s="1793"/>
    </row>
    <row r="637" spans="3:4" ht="20.100000000000001" customHeight="1">
      <c r="C637" s="1793"/>
      <c r="D637" s="1793"/>
    </row>
    <row r="638" spans="3:4" ht="20.100000000000001" customHeight="1">
      <c r="C638" s="1793"/>
      <c r="D638" s="1793"/>
    </row>
    <row r="639" spans="3:4" ht="20.100000000000001" customHeight="1">
      <c r="C639" s="1793"/>
      <c r="D639" s="1793"/>
    </row>
    <row r="640" spans="3:4" ht="20.100000000000001" customHeight="1">
      <c r="C640" s="1793"/>
      <c r="D640" s="1793"/>
    </row>
    <row r="641" spans="3:4" ht="20.100000000000001" customHeight="1">
      <c r="C641" s="1793"/>
      <c r="D641" s="1793"/>
    </row>
    <row r="642" spans="3:4" ht="20.100000000000001" customHeight="1">
      <c r="C642" s="1793"/>
      <c r="D642" s="1793"/>
    </row>
    <row r="643" spans="3:4" ht="20.100000000000001" customHeight="1">
      <c r="C643" s="1793"/>
      <c r="D643" s="1793"/>
    </row>
    <row r="644" spans="3:4" ht="20.100000000000001" customHeight="1">
      <c r="C644" s="1793"/>
      <c r="D644" s="1793"/>
    </row>
    <row r="645" spans="3:4" ht="20.100000000000001" customHeight="1">
      <c r="C645" s="1793"/>
      <c r="D645" s="1793"/>
    </row>
    <row r="646" spans="3:4" ht="20.100000000000001" customHeight="1">
      <c r="C646" s="1793"/>
      <c r="D646" s="1793"/>
    </row>
    <row r="647" spans="3:4" ht="20.100000000000001" customHeight="1">
      <c r="C647" s="1793"/>
      <c r="D647" s="1793"/>
    </row>
    <row r="648" spans="3:4" ht="20.100000000000001" customHeight="1">
      <c r="C648" s="1793"/>
      <c r="D648" s="1793"/>
    </row>
    <row r="649" spans="3:4" ht="20.100000000000001" customHeight="1">
      <c r="C649" s="1793"/>
      <c r="D649" s="1793"/>
    </row>
    <row r="650" spans="3:4" ht="20.100000000000001" customHeight="1">
      <c r="C650" s="1793"/>
      <c r="D650" s="1793"/>
    </row>
    <row r="651" spans="3:4" ht="20.100000000000001" customHeight="1">
      <c r="C651" s="1793"/>
      <c r="D651" s="1793"/>
    </row>
    <row r="652" spans="3:4" ht="20.100000000000001" customHeight="1">
      <c r="C652" s="1793"/>
      <c r="D652" s="1793"/>
    </row>
    <row r="653" spans="3:4" ht="20.100000000000001" customHeight="1">
      <c r="C653" s="1793"/>
      <c r="D653" s="1793"/>
    </row>
    <row r="654" spans="3:4" ht="20.100000000000001" customHeight="1">
      <c r="C654" s="1793"/>
      <c r="D654" s="1793"/>
    </row>
    <row r="655" spans="3:4" ht="20.100000000000001" customHeight="1">
      <c r="C655" s="1793"/>
      <c r="D655" s="1793"/>
    </row>
    <row r="656" spans="3:4" ht="20.100000000000001" customHeight="1">
      <c r="C656" s="1793"/>
      <c r="D656" s="1793"/>
    </row>
    <row r="657" spans="3:4" ht="20.100000000000001" customHeight="1">
      <c r="C657" s="1793"/>
      <c r="D657" s="1793"/>
    </row>
    <row r="658" spans="3:4" ht="20.100000000000001" customHeight="1">
      <c r="C658" s="1793"/>
      <c r="D658" s="1793"/>
    </row>
    <row r="659" spans="3:4" ht="20.100000000000001" customHeight="1">
      <c r="C659" s="1793"/>
      <c r="D659" s="1793"/>
    </row>
    <row r="660" spans="3:4" ht="20.100000000000001" customHeight="1">
      <c r="C660" s="1793"/>
      <c r="D660" s="1793"/>
    </row>
    <row r="661" spans="3:4" ht="20.100000000000001" customHeight="1">
      <c r="C661" s="1793"/>
      <c r="D661" s="1793"/>
    </row>
    <row r="662" spans="3:4" ht="20.100000000000001" customHeight="1">
      <c r="C662" s="1793"/>
      <c r="D662" s="1793"/>
    </row>
    <row r="663" spans="3:4" ht="20.100000000000001" customHeight="1">
      <c r="C663" s="1793"/>
      <c r="D663" s="1793"/>
    </row>
    <row r="664" spans="3:4" ht="20.100000000000001" customHeight="1">
      <c r="C664" s="1793"/>
      <c r="D664" s="1793"/>
    </row>
    <row r="665" spans="3:4" ht="20.100000000000001" customHeight="1">
      <c r="C665" s="1793"/>
      <c r="D665" s="1793"/>
    </row>
    <row r="666" spans="3:4" ht="20.100000000000001" customHeight="1">
      <c r="C666" s="1793"/>
      <c r="D666" s="1793"/>
    </row>
    <row r="667" spans="3:4" ht="20.100000000000001" customHeight="1">
      <c r="C667" s="1793"/>
      <c r="D667" s="1793"/>
    </row>
    <row r="668" spans="3:4" ht="20.100000000000001" customHeight="1">
      <c r="C668" s="1793"/>
      <c r="D668" s="1793"/>
    </row>
    <row r="669" spans="3:4" ht="20.100000000000001" customHeight="1">
      <c r="C669" s="1793"/>
      <c r="D669" s="1793"/>
    </row>
    <row r="670" spans="3:4" ht="20.100000000000001" customHeight="1">
      <c r="C670" s="1793"/>
      <c r="D670" s="1793"/>
    </row>
    <row r="671" spans="3:4" ht="20.100000000000001" customHeight="1">
      <c r="C671" s="1793"/>
      <c r="D671" s="1793"/>
    </row>
    <row r="672" spans="3:4" ht="20.100000000000001" customHeight="1">
      <c r="C672" s="1793"/>
      <c r="D672" s="1793"/>
    </row>
    <row r="673" spans="3:4" ht="20.100000000000001" customHeight="1">
      <c r="C673" s="1793"/>
      <c r="D673" s="1793"/>
    </row>
    <row r="674" spans="3:4" ht="20.100000000000001" customHeight="1">
      <c r="C674" s="1793"/>
      <c r="D674" s="1793"/>
    </row>
    <row r="675" spans="3:4" ht="20.100000000000001" customHeight="1">
      <c r="C675" s="1793"/>
      <c r="D675" s="1793"/>
    </row>
    <row r="676" spans="3:4" ht="20.100000000000001" customHeight="1">
      <c r="C676" s="1793"/>
      <c r="D676" s="1793"/>
    </row>
    <row r="677" spans="3:4" ht="20.100000000000001" customHeight="1">
      <c r="C677" s="1793"/>
      <c r="D677" s="1793"/>
    </row>
    <row r="678" spans="3:4" ht="20.100000000000001" customHeight="1">
      <c r="C678" s="1793"/>
      <c r="D678" s="1793"/>
    </row>
    <row r="679" spans="3:4" ht="20.100000000000001" customHeight="1">
      <c r="C679" s="1793"/>
      <c r="D679" s="1793"/>
    </row>
    <row r="680" spans="3:4" ht="20.100000000000001" customHeight="1">
      <c r="C680" s="1793"/>
      <c r="D680" s="1793"/>
    </row>
    <row r="681" spans="3:4" ht="20.100000000000001" customHeight="1">
      <c r="C681" s="1793"/>
      <c r="D681" s="1793"/>
    </row>
    <row r="682" spans="3:4" ht="20.100000000000001" customHeight="1">
      <c r="C682" s="1793"/>
      <c r="D682" s="1793"/>
    </row>
    <row r="683" spans="3:4" ht="20.100000000000001" customHeight="1">
      <c r="C683" s="1793"/>
      <c r="D683" s="1793"/>
    </row>
    <row r="684" spans="3:4" ht="20.100000000000001" customHeight="1">
      <c r="C684" s="1793"/>
      <c r="D684" s="1793"/>
    </row>
    <row r="685" spans="3:4" ht="20.100000000000001" customHeight="1">
      <c r="C685" s="1793"/>
      <c r="D685" s="1793"/>
    </row>
    <row r="686" spans="3:4" ht="20.100000000000001" customHeight="1">
      <c r="C686" s="1793"/>
      <c r="D686" s="1793"/>
    </row>
    <row r="687" spans="3:4" ht="20.100000000000001" customHeight="1">
      <c r="C687" s="1793"/>
      <c r="D687" s="1793"/>
    </row>
    <row r="688" spans="3:4" ht="20.100000000000001" customHeight="1">
      <c r="C688" s="1793"/>
      <c r="D688" s="1793"/>
    </row>
    <row r="689" spans="3:4" ht="20.100000000000001" customHeight="1">
      <c r="C689" s="1793"/>
      <c r="D689" s="1793"/>
    </row>
    <row r="690" spans="3:4" ht="20.100000000000001" customHeight="1">
      <c r="C690" s="1793"/>
      <c r="D690" s="1793"/>
    </row>
    <row r="691" spans="3:4" ht="20.100000000000001" customHeight="1">
      <c r="C691" s="1793"/>
      <c r="D691" s="1793"/>
    </row>
    <row r="692" spans="3:4" ht="20.100000000000001" customHeight="1">
      <c r="C692" s="1793"/>
      <c r="D692" s="1793"/>
    </row>
    <row r="693" spans="3:4" ht="20.100000000000001" customHeight="1">
      <c r="C693" s="1793"/>
      <c r="D693" s="1793"/>
    </row>
    <row r="694" spans="3:4" ht="20.100000000000001" customHeight="1">
      <c r="C694" s="1793"/>
      <c r="D694" s="1793"/>
    </row>
    <row r="695" spans="3:4" ht="20.100000000000001" customHeight="1">
      <c r="C695" s="1793"/>
      <c r="D695" s="1793"/>
    </row>
    <row r="696" spans="3:4" ht="20.100000000000001" customHeight="1">
      <c r="C696" s="1793"/>
      <c r="D696" s="1793"/>
    </row>
    <row r="697" spans="3:4" ht="20.100000000000001" customHeight="1">
      <c r="C697" s="1793"/>
      <c r="D697" s="1793"/>
    </row>
    <row r="698" spans="3:4" ht="20.100000000000001" customHeight="1">
      <c r="C698" s="1793"/>
      <c r="D698" s="1793"/>
    </row>
    <row r="699" spans="3:4" ht="20.100000000000001" customHeight="1">
      <c r="C699" s="1793"/>
      <c r="D699" s="1793"/>
    </row>
    <row r="700" spans="3:4" ht="20.100000000000001" customHeight="1">
      <c r="C700" s="1793"/>
      <c r="D700" s="1793"/>
    </row>
    <row r="701" spans="3:4" ht="20.100000000000001" customHeight="1">
      <c r="C701" s="1793"/>
      <c r="D701" s="1793"/>
    </row>
    <row r="702" spans="3:4" ht="20.100000000000001" customHeight="1">
      <c r="C702" s="1793"/>
      <c r="D702" s="1793"/>
    </row>
    <row r="703" spans="3:4" ht="20.100000000000001" customHeight="1">
      <c r="C703" s="1793"/>
      <c r="D703" s="1793"/>
    </row>
    <row r="704" spans="3:4" ht="20.100000000000001" customHeight="1">
      <c r="C704" s="1793"/>
      <c r="D704" s="1793"/>
    </row>
    <row r="705" spans="3:4" ht="20.100000000000001" customHeight="1">
      <c r="C705" s="1793"/>
      <c r="D705" s="1793"/>
    </row>
    <row r="706" spans="3:4" ht="20.100000000000001" customHeight="1">
      <c r="C706" s="1793"/>
      <c r="D706" s="1793"/>
    </row>
    <row r="707" spans="3:4" ht="20.100000000000001" customHeight="1">
      <c r="C707" s="1793"/>
      <c r="D707" s="1793"/>
    </row>
    <row r="708" spans="3:4" ht="20.100000000000001" customHeight="1">
      <c r="C708" s="1793"/>
      <c r="D708" s="1793"/>
    </row>
    <row r="709" spans="3:4" ht="20.100000000000001" customHeight="1">
      <c r="C709" s="1793"/>
      <c r="D709" s="1793"/>
    </row>
    <row r="710" spans="3:4" ht="20.100000000000001" customHeight="1">
      <c r="C710" s="1793"/>
      <c r="D710" s="1793"/>
    </row>
    <row r="711" spans="3:4" ht="20.100000000000001" customHeight="1">
      <c r="C711" s="1793"/>
      <c r="D711" s="1793"/>
    </row>
    <row r="712" spans="3:4" ht="20.100000000000001" customHeight="1">
      <c r="C712" s="1793"/>
      <c r="D712" s="1793"/>
    </row>
    <row r="713" spans="3:4" ht="20.100000000000001" customHeight="1">
      <c r="C713" s="1793"/>
      <c r="D713" s="1793"/>
    </row>
    <row r="714" spans="3:4" ht="20.100000000000001" customHeight="1">
      <c r="C714" s="1793"/>
      <c r="D714" s="1793"/>
    </row>
    <row r="715" spans="3:4" ht="20.100000000000001" customHeight="1">
      <c r="C715" s="1793"/>
      <c r="D715" s="1793"/>
    </row>
    <row r="716" spans="3:4" ht="20.100000000000001" customHeight="1">
      <c r="C716" s="1793"/>
      <c r="D716" s="1793"/>
    </row>
    <row r="717" spans="3:4" ht="20.100000000000001" customHeight="1">
      <c r="C717" s="1793"/>
      <c r="D717" s="1793"/>
    </row>
    <row r="718" spans="3:4" ht="20.100000000000001" customHeight="1">
      <c r="C718" s="1793"/>
      <c r="D718" s="1793"/>
    </row>
    <row r="719" spans="3:4" ht="20.100000000000001" customHeight="1">
      <c r="C719" s="1793"/>
      <c r="D719" s="1793"/>
    </row>
    <row r="720" spans="3:4" ht="20.100000000000001" customHeight="1">
      <c r="C720" s="1793"/>
      <c r="D720" s="1793"/>
    </row>
    <row r="721" spans="3:4" ht="20.100000000000001" customHeight="1">
      <c r="C721" s="1793"/>
      <c r="D721" s="1793"/>
    </row>
    <row r="722" spans="3:4" ht="20.100000000000001" customHeight="1">
      <c r="C722" s="1793"/>
      <c r="D722" s="1793"/>
    </row>
    <row r="723" spans="3:4" ht="20.100000000000001" customHeight="1">
      <c r="C723" s="1793"/>
      <c r="D723" s="1793"/>
    </row>
    <row r="724" spans="3:4" ht="20.100000000000001" customHeight="1">
      <c r="C724" s="1793"/>
      <c r="D724" s="1793"/>
    </row>
    <row r="725" spans="3:4" ht="20.100000000000001" customHeight="1">
      <c r="C725" s="1793"/>
      <c r="D725" s="1793"/>
    </row>
    <row r="726" spans="3:4" ht="20.100000000000001" customHeight="1">
      <c r="C726" s="1793"/>
      <c r="D726" s="1793"/>
    </row>
    <row r="727" spans="3:4" ht="20.100000000000001" customHeight="1">
      <c r="C727" s="1793"/>
      <c r="D727" s="1793"/>
    </row>
    <row r="728" spans="3:4" ht="20.100000000000001" customHeight="1">
      <c r="C728" s="1793"/>
      <c r="D728" s="1793"/>
    </row>
    <row r="729" spans="3:4" ht="20.100000000000001" customHeight="1">
      <c r="C729" s="1793"/>
      <c r="D729" s="1793"/>
    </row>
    <row r="730" spans="3:4" ht="20.100000000000001" customHeight="1">
      <c r="C730" s="1793"/>
      <c r="D730" s="1793"/>
    </row>
    <row r="731" spans="3:4" ht="20.100000000000001" customHeight="1">
      <c r="C731" s="1793"/>
      <c r="D731" s="1793"/>
    </row>
    <row r="732" spans="3:4" ht="20.100000000000001" customHeight="1">
      <c r="C732" s="1793"/>
      <c r="D732" s="1793"/>
    </row>
    <row r="733" spans="3:4" ht="20.100000000000001" customHeight="1">
      <c r="C733" s="1793"/>
      <c r="D733" s="1793"/>
    </row>
    <row r="734" spans="3:4" ht="20.100000000000001" customHeight="1">
      <c r="C734" s="1793"/>
      <c r="D734" s="1793"/>
    </row>
    <row r="735" spans="3:4" ht="20.100000000000001" customHeight="1">
      <c r="C735" s="1793"/>
      <c r="D735" s="1793"/>
    </row>
    <row r="736" spans="3:4" ht="20.100000000000001" customHeight="1">
      <c r="C736" s="1793"/>
      <c r="D736" s="1793"/>
    </row>
    <row r="737" spans="3:4" ht="20.100000000000001" customHeight="1">
      <c r="C737" s="1793"/>
      <c r="D737" s="1793"/>
    </row>
    <row r="738" spans="3:4" ht="20.100000000000001" customHeight="1">
      <c r="C738" s="1793"/>
      <c r="D738" s="1793"/>
    </row>
    <row r="739" spans="3:4" ht="20.100000000000001" customHeight="1">
      <c r="C739" s="1793"/>
      <c r="D739" s="1793"/>
    </row>
    <row r="740" spans="3:4" ht="20.100000000000001" customHeight="1">
      <c r="C740" s="1793"/>
      <c r="D740" s="1793"/>
    </row>
    <row r="741" spans="3:4" ht="20.100000000000001" customHeight="1">
      <c r="C741" s="1793"/>
      <c r="D741" s="1793"/>
    </row>
    <row r="742" spans="3:4" ht="20.100000000000001" customHeight="1">
      <c r="C742" s="1793"/>
      <c r="D742" s="1793"/>
    </row>
    <row r="743" spans="3:4" ht="20.100000000000001" customHeight="1">
      <c r="C743" s="1793"/>
      <c r="D743" s="1793"/>
    </row>
    <row r="744" spans="3:4" ht="20.100000000000001" customHeight="1">
      <c r="C744" s="1793"/>
      <c r="D744" s="1793"/>
    </row>
    <row r="745" spans="3:4" ht="20.100000000000001" customHeight="1">
      <c r="C745" s="1793"/>
      <c r="D745" s="1793"/>
    </row>
    <row r="746" spans="3:4" ht="20.100000000000001" customHeight="1">
      <c r="C746" s="1793"/>
      <c r="D746" s="1793"/>
    </row>
    <row r="747" spans="3:4" ht="20.100000000000001" customHeight="1">
      <c r="C747" s="1793"/>
      <c r="D747" s="1793"/>
    </row>
    <row r="748" spans="3:4" ht="20.100000000000001" customHeight="1">
      <c r="C748" s="1793"/>
      <c r="D748" s="1793"/>
    </row>
    <row r="749" spans="3:4" ht="20.100000000000001" customHeight="1">
      <c r="C749" s="1793"/>
      <c r="D749" s="1793"/>
    </row>
    <row r="750" spans="3:4" ht="20.100000000000001" customHeight="1">
      <c r="C750" s="1793"/>
      <c r="D750" s="1793"/>
    </row>
    <row r="751" spans="3:4" ht="20.100000000000001" customHeight="1">
      <c r="C751" s="1793"/>
      <c r="D751" s="1793"/>
    </row>
    <row r="752" spans="3:4" ht="20.100000000000001" customHeight="1">
      <c r="C752" s="1793"/>
      <c r="D752" s="1793"/>
    </row>
    <row r="753" spans="3:4" ht="20.100000000000001" customHeight="1">
      <c r="C753" s="1793"/>
      <c r="D753" s="1793"/>
    </row>
    <row r="754" spans="3:4" ht="20.100000000000001" customHeight="1">
      <c r="C754" s="1793"/>
      <c r="D754" s="1793"/>
    </row>
    <row r="755" spans="3:4" ht="20.100000000000001" customHeight="1">
      <c r="C755" s="1793"/>
      <c r="D755" s="1793"/>
    </row>
    <row r="756" spans="3:4" ht="20.100000000000001" customHeight="1">
      <c r="C756" s="1793"/>
      <c r="D756" s="1793"/>
    </row>
    <row r="757" spans="3:4" ht="20.100000000000001" customHeight="1">
      <c r="C757" s="1793"/>
      <c r="D757" s="1793"/>
    </row>
    <row r="758" spans="3:4" ht="20.100000000000001" customHeight="1">
      <c r="C758" s="1793"/>
      <c r="D758" s="1793"/>
    </row>
    <row r="759" spans="3:4" ht="20.100000000000001" customHeight="1">
      <c r="C759" s="1793"/>
      <c r="D759" s="1793"/>
    </row>
    <row r="760" spans="3:4" ht="20.100000000000001" customHeight="1">
      <c r="C760" s="1793"/>
      <c r="D760" s="1793"/>
    </row>
    <row r="761" spans="3:4" ht="20.100000000000001" customHeight="1">
      <c r="C761" s="1793"/>
      <c r="D761" s="1793"/>
    </row>
    <row r="762" spans="3:4" ht="20.100000000000001" customHeight="1">
      <c r="C762" s="1793"/>
      <c r="D762" s="1793"/>
    </row>
    <row r="763" spans="3:4" ht="20.100000000000001" customHeight="1">
      <c r="C763" s="1793"/>
      <c r="D763" s="1793"/>
    </row>
    <row r="764" spans="3:4" ht="20.100000000000001" customHeight="1">
      <c r="C764" s="1793"/>
      <c r="D764" s="1793"/>
    </row>
    <row r="765" spans="3:4" ht="20.100000000000001" customHeight="1">
      <c r="C765" s="1793"/>
      <c r="D765" s="1793"/>
    </row>
    <row r="766" spans="3:4" ht="20.100000000000001" customHeight="1">
      <c r="C766" s="1793"/>
      <c r="D766" s="1793"/>
    </row>
    <row r="767" spans="3:4" ht="20.100000000000001" customHeight="1">
      <c r="C767" s="1793"/>
      <c r="D767" s="1793"/>
    </row>
    <row r="768" spans="3:4" ht="20.100000000000001" customHeight="1">
      <c r="C768" s="1793"/>
      <c r="D768" s="1793"/>
    </row>
    <row r="769" spans="3:4" ht="20.100000000000001" customHeight="1">
      <c r="C769" s="1793"/>
      <c r="D769" s="1793"/>
    </row>
    <row r="770" spans="3:4" ht="20.100000000000001" customHeight="1">
      <c r="C770" s="1793"/>
      <c r="D770" s="1793"/>
    </row>
    <row r="771" spans="3:4" ht="20.100000000000001" customHeight="1">
      <c r="C771" s="1793"/>
      <c r="D771" s="1793"/>
    </row>
    <row r="772" spans="3:4" ht="20.100000000000001" customHeight="1">
      <c r="C772" s="1793"/>
      <c r="D772" s="1793"/>
    </row>
    <row r="773" spans="3:4" ht="20.100000000000001" customHeight="1">
      <c r="C773" s="1793"/>
      <c r="D773" s="1793"/>
    </row>
    <row r="774" spans="3:4" ht="20.100000000000001" customHeight="1">
      <c r="C774" s="1793"/>
      <c r="D774" s="1793"/>
    </row>
    <row r="775" spans="3:4" ht="20.100000000000001" customHeight="1">
      <c r="C775" s="1793"/>
      <c r="D775" s="1793"/>
    </row>
    <row r="776" spans="3:4" ht="20.100000000000001" customHeight="1">
      <c r="C776" s="1793"/>
      <c r="D776" s="1793"/>
    </row>
    <row r="777" spans="3:4" ht="20.100000000000001" customHeight="1">
      <c r="C777" s="1793"/>
      <c r="D777" s="1793"/>
    </row>
    <row r="778" spans="3:4" ht="20.100000000000001" customHeight="1">
      <c r="C778" s="1793"/>
      <c r="D778" s="1793"/>
    </row>
    <row r="779" spans="3:4" ht="20.100000000000001" customHeight="1">
      <c r="C779" s="1793"/>
      <c r="D779" s="1793"/>
    </row>
    <row r="780" spans="3:4" ht="20.100000000000001" customHeight="1">
      <c r="C780" s="1793"/>
      <c r="D780" s="1793"/>
    </row>
    <row r="781" spans="3:4" ht="20.100000000000001" customHeight="1">
      <c r="C781" s="1793"/>
      <c r="D781" s="1793"/>
    </row>
    <row r="782" spans="3:4" ht="20.100000000000001" customHeight="1">
      <c r="C782" s="1793"/>
      <c r="D782" s="1793"/>
    </row>
    <row r="783" spans="3:4" ht="20.100000000000001" customHeight="1">
      <c r="C783" s="1793"/>
      <c r="D783" s="1793"/>
    </row>
    <row r="784" spans="3:4" ht="20.100000000000001" customHeight="1">
      <c r="C784" s="1793"/>
      <c r="D784" s="1793"/>
    </row>
    <row r="785" spans="3:4" ht="20.100000000000001" customHeight="1">
      <c r="C785" s="1793"/>
      <c r="D785" s="1793"/>
    </row>
    <row r="786" spans="3:4" ht="20.100000000000001" customHeight="1">
      <c r="C786" s="1793"/>
      <c r="D786" s="1793"/>
    </row>
    <row r="787" spans="3:4" ht="20.100000000000001" customHeight="1">
      <c r="C787" s="1793"/>
      <c r="D787" s="1793"/>
    </row>
    <row r="788" spans="3:4" ht="20.100000000000001" customHeight="1">
      <c r="C788" s="1793"/>
      <c r="D788" s="1793"/>
    </row>
    <row r="789" spans="3:4" ht="20.100000000000001" customHeight="1">
      <c r="C789" s="1793"/>
      <c r="D789" s="1793"/>
    </row>
    <row r="790" spans="3:4" ht="20.100000000000001" customHeight="1">
      <c r="C790" s="1793"/>
      <c r="D790" s="1793"/>
    </row>
    <row r="791" spans="3:4" ht="20.100000000000001" customHeight="1">
      <c r="C791" s="1793"/>
      <c r="D791" s="1793"/>
    </row>
    <row r="792" spans="3:4" ht="20.100000000000001" customHeight="1">
      <c r="C792" s="1793"/>
      <c r="D792" s="1793"/>
    </row>
    <row r="793" spans="3:4" ht="20.100000000000001" customHeight="1">
      <c r="C793" s="1793"/>
      <c r="D793" s="1793"/>
    </row>
    <row r="794" spans="3:4" ht="20.100000000000001" customHeight="1">
      <c r="C794" s="1793"/>
      <c r="D794" s="1793"/>
    </row>
    <row r="795" spans="3:4" ht="20.100000000000001" customHeight="1">
      <c r="C795" s="1793"/>
      <c r="D795" s="1793"/>
    </row>
    <row r="796" spans="3:4" ht="20.100000000000001" customHeight="1">
      <c r="C796" s="1793"/>
      <c r="D796" s="1793"/>
    </row>
    <row r="797" spans="3:4" ht="20.100000000000001" customHeight="1">
      <c r="C797" s="1793"/>
      <c r="D797" s="1793"/>
    </row>
    <row r="798" spans="3:4" ht="20.100000000000001" customHeight="1">
      <c r="C798" s="1793"/>
      <c r="D798" s="1793"/>
    </row>
    <row r="799" spans="3:4" ht="20.100000000000001" customHeight="1">
      <c r="C799" s="1793"/>
      <c r="D799" s="1793"/>
    </row>
    <row r="800" spans="3:4" ht="20.100000000000001" customHeight="1">
      <c r="C800" s="1793"/>
      <c r="D800" s="1793"/>
    </row>
    <row r="801" spans="3:4" ht="20.100000000000001" customHeight="1">
      <c r="C801" s="1793"/>
      <c r="D801" s="1793"/>
    </row>
    <row r="802" spans="3:4" ht="20.100000000000001" customHeight="1">
      <c r="C802" s="1793"/>
      <c r="D802" s="1793"/>
    </row>
    <row r="803" spans="3:4" ht="20.100000000000001" customHeight="1">
      <c r="C803" s="1793"/>
      <c r="D803" s="1793"/>
    </row>
    <row r="804" spans="3:4" ht="20.100000000000001" customHeight="1">
      <c r="C804" s="1793"/>
      <c r="D804" s="1793"/>
    </row>
    <row r="805" spans="3:4" ht="20.100000000000001" customHeight="1">
      <c r="C805" s="1793"/>
      <c r="D805" s="1793"/>
    </row>
    <row r="806" spans="3:4" ht="20.100000000000001" customHeight="1">
      <c r="C806" s="1793"/>
      <c r="D806" s="1793"/>
    </row>
    <row r="807" spans="3:4" ht="20.100000000000001" customHeight="1">
      <c r="C807" s="1793"/>
      <c r="D807" s="1793"/>
    </row>
    <row r="808" spans="3:4" ht="20.100000000000001" customHeight="1">
      <c r="C808" s="1793"/>
      <c r="D808" s="1793"/>
    </row>
    <row r="809" spans="3:4" ht="20.100000000000001" customHeight="1">
      <c r="C809" s="1793"/>
      <c r="D809" s="1793"/>
    </row>
    <row r="810" spans="3:4" ht="20.100000000000001" customHeight="1">
      <c r="C810" s="1793"/>
      <c r="D810" s="1793"/>
    </row>
    <row r="811" spans="3:4" ht="20.100000000000001" customHeight="1">
      <c r="C811" s="1793"/>
      <c r="D811" s="1793"/>
    </row>
    <row r="812" spans="3:4" ht="20.100000000000001" customHeight="1">
      <c r="C812" s="1793"/>
      <c r="D812" s="1793"/>
    </row>
    <row r="813" spans="3:4" ht="20.100000000000001" customHeight="1">
      <c r="C813" s="1793"/>
      <c r="D813" s="1793"/>
    </row>
    <row r="814" spans="3:4" ht="20.100000000000001" customHeight="1">
      <c r="C814" s="1793"/>
      <c r="D814" s="1793"/>
    </row>
    <row r="815" spans="3:4" ht="20.100000000000001" customHeight="1">
      <c r="C815" s="1793"/>
      <c r="D815" s="1793"/>
    </row>
    <row r="816" spans="3:4" ht="20.100000000000001" customHeight="1">
      <c r="C816" s="1793"/>
      <c r="D816" s="1793"/>
    </row>
    <row r="817" spans="3:4" ht="20.100000000000001" customHeight="1">
      <c r="C817" s="1793"/>
      <c r="D817" s="1793"/>
    </row>
    <row r="818" spans="3:4" ht="20.100000000000001" customHeight="1">
      <c r="C818" s="1793"/>
      <c r="D818" s="1793"/>
    </row>
    <row r="819" spans="3:4" ht="20.100000000000001" customHeight="1">
      <c r="C819" s="1793"/>
      <c r="D819" s="1793"/>
    </row>
    <row r="820" spans="3:4" ht="20.100000000000001" customHeight="1">
      <c r="C820" s="1793"/>
      <c r="D820" s="1793"/>
    </row>
    <row r="821" spans="3:4" ht="20.100000000000001" customHeight="1">
      <c r="C821" s="1793"/>
      <c r="D821" s="1793"/>
    </row>
    <row r="822" spans="3:4" ht="20.100000000000001" customHeight="1">
      <c r="C822" s="1793"/>
      <c r="D822" s="1793"/>
    </row>
    <row r="823" spans="3:4" ht="20.100000000000001" customHeight="1">
      <c r="C823" s="1793"/>
      <c r="D823" s="1793"/>
    </row>
    <row r="824" spans="3:4" ht="20.100000000000001" customHeight="1">
      <c r="C824" s="1793"/>
      <c r="D824" s="1793"/>
    </row>
    <row r="825" spans="3:4" ht="20.100000000000001" customHeight="1">
      <c r="C825" s="1793"/>
      <c r="D825" s="1793"/>
    </row>
    <row r="826" spans="3:4" ht="20.100000000000001" customHeight="1">
      <c r="C826" s="1793"/>
      <c r="D826" s="1793"/>
    </row>
    <row r="827" spans="3:4" ht="20.100000000000001" customHeight="1">
      <c r="C827" s="1793"/>
      <c r="D827" s="1793"/>
    </row>
    <row r="828" spans="3:4" ht="20.100000000000001" customHeight="1">
      <c r="C828" s="1793"/>
      <c r="D828" s="1793"/>
    </row>
    <row r="829" spans="3:4" ht="20.100000000000001" customHeight="1">
      <c r="C829" s="1793"/>
      <c r="D829" s="1793"/>
    </row>
    <row r="830" spans="3:4" ht="20.100000000000001" customHeight="1">
      <c r="C830" s="1793"/>
      <c r="D830" s="1793"/>
    </row>
    <row r="831" spans="3:4" ht="20.100000000000001" customHeight="1">
      <c r="C831" s="1793"/>
      <c r="D831" s="1793"/>
    </row>
    <row r="832" spans="3:4" ht="20.100000000000001" customHeight="1">
      <c r="C832" s="1793"/>
      <c r="D832" s="1793"/>
    </row>
    <row r="833" spans="3:4" ht="20.100000000000001" customHeight="1">
      <c r="C833" s="1793"/>
      <c r="D833" s="1793"/>
    </row>
    <row r="834" spans="3:4" ht="20.100000000000001" customHeight="1">
      <c r="C834" s="1793"/>
      <c r="D834" s="1793"/>
    </row>
    <row r="835" spans="3:4" ht="20.100000000000001" customHeight="1">
      <c r="C835" s="1793"/>
      <c r="D835" s="1793"/>
    </row>
    <row r="836" spans="3:4" ht="20.100000000000001" customHeight="1">
      <c r="C836" s="1793"/>
      <c r="D836" s="1793"/>
    </row>
    <row r="837" spans="3:4" ht="20.100000000000001" customHeight="1">
      <c r="C837" s="1793"/>
      <c r="D837" s="1793"/>
    </row>
    <row r="838" spans="3:4" ht="20.100000000000001" customHeight="1">
      <c r="C838" s="1793"/>
      <c r="D838" s="1793"/>
    </row>
    <row r="839" spans="3:4" ht="20.100000000000001" customHeight="1">
      <c r="C839" s="1793"/>
      <c r="D839" s="1793"/>
    </row>
    <row r="840" spans="3:4" ht="20.100000000000001" customHeight="1">
      <c r="C840" s="1793"/>
      <c r="D840" s="1793"/>
    </row>
    <row r="841" spans="3:4" ht="20.100000000000001" customHeight="1">
      <c r="C841" s="1793"/>
      <c r="D841" s="1793"/>
    </row>
    <row r="842" spans="3:4" ht="20.100000000000001" customHeight="1">
      <c r="C842" s="1793"/>
      <c r="D842" s="1793"/>
    </row>
    <row r="843" spans="3:4" ht="20.100000000000001" customHeight="1">
      <c r="C843" s="1793"/>
      <c r="D843" s="1793"/>
    </row>
    <row r="844" spans="3:4" ht="20.100000000000001" customHeight="1">
      <c r="C844" s="1793"/>
      <c r="D844" s="1793"/>
    </row>
    <row r="845" spans="3:4" ht="20.100000000000001" customHeight="1">
      <c r="C845" s="1793"/>
      <c r="D845" s="1793"/>
    </row>
    <row r="846" spans="3:4" ht="20.100000000000001" customHeight="1">
      <c r="C846" s="1793"/>
      <c r="D846" s="1793"/>
    </row>
    <row r="847" spans="3:4" ht="20.100000000000001" customHeight="1">
      <c r="C847" s="1793"/>
      <c r="D847" s="1793"/>
    </row>
    <row r="848" spans="3:4" ht="20.100000000000001" customHeight="1">
      <c r="C848" s="1793"/>
      <c r="D848" s="1793"/>
    </row>
    <row r="849" spans="3:4" ht="20.100000000000001" customHeight="1">
      <c r="C849" s="1793"/>
      <c r="D849" s="1793"/>
    </row>
    <row r="850" spans="3:4" ht="20.100000000000001" customHeight="1">
      <c r="C850" s="1793"/>
      <c r="D850" s="1793"/>
    </row>
    <row r="851" spans="3:4" ht="20.100000000000001" customHeight="1">
      <c r="C851" s="1793"/>
      <c r="D851" s="1793"/>
    </row>
    <row r="852" spans="3:4" ht="20.100000000000001" customHeight="1">
      <c r="C852" s="1793"/>
      <c r="D852" s="1793"/>
    </row>
    <row r="853" spans="3:4" ht="20.100000000000001" customHeight="1">
      <c r="C853" s="1793"/>
      <c r="D853" s="1793"/>
    </row>
    <row r="854" spans="3:4" ht="20.100000000000001" customHeight="1">
      <c r="C854" s="1793"/>
      <c r="D854" s="1793"/>
    </row>
    <row r="855" spans="3:4" ht="20.100000000000001" customHeight="1">
      <c r="C855" s="1793"/>
      <c r="D855" s="1793"/>
    </row>
    <row r="856" spans="3:4" ht="20.100000000000001" customHeight="1">
      <c r="C856" s="1793"/>
      <c r="D856" s="1793"/>
    </row>
    <row r="857" spans="3:4" ht="20.100000000000001" customHeight="1">
      <c r="C857" s="1793"/>
      <c r="D857" s="1793"/>
    </row>
    <row r="858" spans="3:4" ht="20.100000000000001" customHeight="1">
      <c r="C858" s="1793"/>
      <c r="D858" s="1793"/>
    </row>
    <row r="859" spans="3:4" ht="20.100000000000001" customHeight="1">
      <c r="C859" s="1793"/>
      <c r="D859" s="1793"/>
    </row>
    <row r="860" spans="3:4" ht="20.100000000000001" customHeight="1">
      <c r="C860" s="1793"/>
      <c r="D860" s="1793"/>
    </row>
    <row r="861" spans="3:4" ht="20.100000000000001" customHeight="1">
      <c r="C861" s="1793"/>
      <c r="D861" s="1793"/>
    </row>
    <row r="862" spans="3:4" ht="20.100000000000001" customHeight="1">
      <c r="C862" s="1793"/>
      <c r="D862" s="1793"/>
    </row>
    <row r="863" spans="3:4" ht="20.100000000000001" customHeight="1">
      <c r="C863" s="1793"/>
      <c r="D863" s="1793"/>
    </row>
    <row r="864" spans="3:4" ht="20.100000000000001" customHeight="1">
      <c r="C864" s="1793"/>
      <c r="D864" s="1793"/>
    </row>
    <row r="865" spans="3:4" ht="20.100000000000001" customHeight="1">
      <c r="C865" s="1793"/>
      <c r="D865" s="1793"/>
    </row>
    <row r="866" spans="3:4" ht="20.100000000000001" customHeight="1">
      <c r="C866" s="1793"/>
      <c r="D866" s="1793"/>
    </row>
    <row r="867" spans="3:4" ht="20.100000000000001" customHeight="1">
      <c r="C867" s="1793"/>
      <c r="D867" s="1793"/>
    </row>
    <row r="868" spans="3:4" ht="20.100000000000001" customHeight="1">
      <c r="C868" s="1793"/>
      <c r="D868" s="1793"/>
    </row>
    <row r="869" spans="3:4" ht="20.100000000000001" customHeight="1">
      <c r="C869" s="1793"/>
      <c r="D869" s="1793"/>
    </row>
    <row r="870" spans="3:4" ht="20.100000000000001" customHeight="1">
      <c r="C870" s="1793"/>
      <c r="D870" s="1793"/>
    </row>
    <row r="871" spans="3:4" ht="20.100000000000001" customHeight="1">
      <c r="C871" s="1793"/>
      <c r="D871" s="1793"/>
    </row>
    <row r="872" spans="3:4" ht="20.100000000000001" customHeight="1">
      <c r="C872" s="1793"/>
      <c r="D872" s="1793"/>
    </row>
    <row r="873" spans="3:4" ht="20.100000000000001" customHeight="1">
      <c r="C873" s="1793"/>
      <c r="D873" s="1793"/>
    </row>
    <row r="874" spans="3:4" ht="20.100000000000001" customHeight="1">
      <c r="C874" s="1793"/>
      <c r="D874" s="1793"/>
    </row>
    <row r="875" spans="3:4" ht="20.100000000000001" customHeight="1">
      <c r="C875" s="1793"/>
      <c r="D875" s="1793"/>
    </row>
    <row r="876" spans="3:4" ht="20.100000000000001" customHeight="1">
      <c r="C876" s="1793"/>
      <c r="D876" s="1793"/>
    </row>
    <row r="877" spans="3:4" ht="20.100000000000001" customHeight="1">
      <c r="C877" s="1793"/>
      <c r="D877" s="1793"/>
    </row>
    <row r="878" spans="3:4" ht="20.100000000000001" customHeight="1">
      <c r="C878" s="1793"/>
      <c r="D878" s="1793"/>
    </row>
    <row r="879" spans="3:4" ht="20.100000000000001" customHeight="1">
      <c r="C879" s="1793"/>
      <c r="D879" s="1793"/>
    </row>
    <row r="880" spans="3:4" ht="20.100000000000001" customHeight="1">
      <c r="C880" s="1793"/>
      <c r="D880" s="1793"/>
    </row>
    <row r="881" spans="3:4" ht="20.100000000000001" customHeight="1">
      <c r="C881" s="1793"/>
      <c r="D881" s="1793"/>
    </row>
    <row r="882" spans="3:4" ht="20.100000000000001" customHeight="1">
      <c r="C882" s="1793"/>
      <c r="D882" s="1793"/>
    </row>
    <row r="883" spans="3:4" ht="20.100000000000001" customHeight="1">
      <c r="C883" s="1793"/>
      <c r="D883" s="1793"/>
    </row>
    <row r="884" spans="3:4" ht="20.100000000000001" customHeight="1">
      <c r="C884" s="1793"/>
      <c r="D884" s="1793"/>
    </row>
    <row r="885" spans="3:4" ht="20.100000000000001" customHeight="1">
      <c r="C885" s="1793"/>
      <c r="D885" s="1793"/>
    </row>
    <row r="886" spans="3:4" ht="20.100000000000001" customHeight="1">
      <c r="C886" s="1793"/>
      <c r="D886" s="1793"/>
    </row>
    <row r="887" spans="3:4" ht="20.100000000000001" customHeight="1">
      <c r="C887" s="1793"/>
      <c r="D887" s="1793"/>
    </row>
    <row r="888" spans="3:4" ht="20.100000000000001" customHeight="1">
      <c r="C888" s="1793"/>
      <c r="D888" s="1793"/>
    </row>
    <row r="889" spans="3:4" ht="20.100000000000001" customHeight="1">
      <c r="C889" s="1793"/>
      <c r="D889" s="1793"/>
    </row>
    <row r="890" spans="3:4" ht="20.100000000000001" customHeight="1">
      <c r="C890" s="1793"/>
      <c r="D890" s="1793"/>
    </row>
    <row r="891" spans="3:4" ht="20.100000000000001" customHeight="1">
      <c r="C891" s="1793"/>
      <c r="D891" s="1793"/>
    </row>
    <row r="892" spans="3:4" ht="20.100000000000001" customHeight="1">
      <c r="C892" s="1793"/>
      <c r="D892" s="1793"/>
    </row>
    <row r="893" spans="3:4" ht="20.100000000000001" customHeight="1">
      <c r="C893" s="1793"/>
      <c r="D893" s="1793"/>
    </row>
    <row r="894" spans="3:4" ht="20.100000000000001" customHeight="1">
      <c r="C894" s="1793"/>
      <c r="D894" s="1793"/>
    </row>
    <row r="895" spans="3:4" ht="20.100000000000001" customHeight="1">
      <c r="C895" s="1793"/>
      <c r="D895" s="1793"/>
    </row>
    <row r="896" spans="3:4" ht="20.100000000000001" customHeight="1">
      <c r="C896" s="1793"/>
      <c r="D896" s="1793"/>
    </row>
    <row r="897" spans="3:4" ht="20.100000000000001" customHeight="1">
      <c r="C897" s="1793"/>
      <c r="D897" s="1793"/>
    </row>
    <row r="898" spans="3:4" ht="20.100000000000001" customHeight="1">
      <c r="C898" s="1793"/>
      <c r="D898" s="1793"/>
    </row>
    <row r="899" spans="3:4" ht="20.100000000000001" customHeight="1">
      <c r="C899" s="1793"/>
      <c r="D899" s="1793"/>
    </row>
    <row r="900" spans="3:4" ht="20.100000000000001" customHeight="1">
      <c r="C900" s="1793"/>
      <c r="D900" s="1793"/>
    </row>
    <row r="901" spans="3:4" ht="20.100000000000001" customHeight="1">
      <c r="C901" s="1793"/>
      <c r="D901" s="1793"/>
    </row>
    <row r="902" spans="3:4" ht="20.100000000000001" customHeight="1">
      <c r="C902" s="1793"/>
      <c r="D902" s="1793"/>
    </row>
    <row r="903" spans="3:4" ht="20.100000000000001" customHeight="1">
      <c r="C903" s="1793"/>
      <c r="D903" s="1793"/>
    </row>
    <row r="904" spans="3:4" ht="20.100000000000001" customHeight="1">
      <c r="C904" s="1793"/>
      <c r="D904" s="1793"/>
    </row>
    <row r="905" spans="3:4" ht="20.100000000000001" customHeight="1">
      <c r="C905" s="1793"/>
      <c r="D905" s="1793"/>
    </row>
    <row r="906" spans="3:4" ht="20.100000000000001" customHeight="1">
      <c r="C906" s="1793"/>
      <c r="D906" s="1793"/>
    </row>
    <row r="907" spans="3:4" ht="20.100000000000001" customHeight="1">
      <c r="C907" s="1793"/>
      <c r="D907" s="1793"/>
    </row>
    <row r="908" spans="3:4" ht="20.100000000000001" customHeight="1">
      <c r="C908" s="1793"/>
      <c r="D908" s="1793"/>
    </row>
    <row r="909" spans="3:4" ht="20.100000000000001" customHeight="1">
      <c r="C909" s="1793"/>
      <c r="D909" s="1793"/>
    </row>
    <row r="910" spans="3:4" ht="20.100000000000001" customHeight="1">
      <c r="C910" s="1793"/>
      <c r="D910" s="1793"/>
    </row>
    <row r="911" spans="3:4" ht="20.100000000000001" customHeight="1">
      <c r="C911" s="1793"/>
      <c r="D911" s="1793"/>
    </row>
    <row r="912" spans="3:4" ht="20.100000000000001" customHeight="1">
      <c r="C912" s="1793"/>
      <c r="D912" s="1793"/>
    </row>
    <row r="913" spans="3:4" ht="20.100000000000001" customHeight="1">
      <c r="C913" s="1793"/>
      <c r="D913" s="1793"/>
    </row>
    <row r="914" spans="3:4" ht="20.100000000000001" customHeight="1">
      <c r="C914" s="1793"/>
      <c r="D914" s="1793"/>
    </row>
    <row r="915" spans="3:4" ht="20.100000000000001" customHeight="1">
      <c r="C915" s="1793"/>
      <c r="D915" s="1793"/>
    </row>
    <row r="916" spans="3:4" ht="20.100000000000001" customHeight="1">
      <c r="C916" s="1793"/>
      <c r="D916" s="1793"/>
    </row>
    <row r="917" spans="3:4" ht="20.100000000000001" customHeight="1">
      <c r="C917" s="1793"/>
      <c r="D917" s="1793"/>
    </row>
    <row r="918" spans="3:4" ht="20.100000000000001" customHeight="1">
      <c r="C918" s="1793"/>
      <c r="D918" s="1793"/>
    </row>
    <row r="919" spans="3:4" ht="20.100000000000001" customHeight="1">
      <c r="C919" s="1793"/>
      <c r="D919" s="1793"/>
    </row>
    <row r="920" spans="3:4" ht="20.100000000000001" customHeight="1">
      <c r="C920" s="1793"/>
      <c r="D920" s="1793"/>
    </row>
    <row r="921" spans="3:4" ht="20.100000000000001" customHeight="1">
      <c r="C921" s="1793"/>
      <c r="D921" s="1793"/>
    </row>
    <row r="922" spans="3:4" ht="20.100000000000001" customHeight="1">
      <c r="C922" s="1793"/>
      <c r="D922" s="1793"/>
    </row>
    <row r="923" spans="3:4" ht="20.100000000000001" customHeight="1">
      <c r="C923" s="1793"/>
      <c r="D923" s="1793"/>
    </row>
    <row r="924" spans="3:4" ht="20.100000000000001" customHeight="1">
      <c r="C924" s="1793"/>
      <c r="D924" s="1793"/>
    </row>
    <row r="925" spans="3:4" ht="20.100000000000001" customHeight="1">
      <c r="C925" s="1793"/>
      <c r="D925" s="1793"/>
    </row>
    <row r="926" spans="3:4" ht="20.100000000000001" customHeight="1">
      <c r="C926" s="1793"/>
      <c r="D926" s="1793"/>
    </row>
    <row r="927" spans="3:4" ht="20.100000000000001" customHeight="1">
      <c r="C927" s="1793"/>
      <c r="D927" s="1793"/>
    </row>
    <row r="928" spans="3:4" ht="20.100000000000001" customHeight="1">
      <c r="C928" s="1793"/>
      <c r="D928" s="1793"/>
    </row>
    <row r="929" spans="3:4" ht="20.100000000000001" customHeight="1">
      <c r="C929" s="1793"/>
      <c r="D929" s="1793"/>
    </row>
    <row r="930" spans="3:4" ht="20.100000000000001" customHeight="1">
      <c r="C930" s="1793"/>
      <c r="D930" s="1793"/>
    </row>
    <row r="931" spans="3:4" ht="20.100000000000001" customHeight="1">
      <c r="C931" s="1793"/>
      <c r="D931" s="1793"/>
    </row>
    <row r="932" spans="3:4" ht="20.100000000000001" customHeight="1">
      <c r="C932" s="1793"/>
      <c r="D932" s="1793"/>
    </row>
    <row r="933" spans="3:4" ht="20.100000000000001" customHeight="1">
      <c r="C933" s="1793"/>
      <c r="D933" s="1793"/>
    </row>
    <row r="934" spans="3:4" ht="20.100000000000001" customHeight="1">
      <c r="C934" s="1793"/>
      <c r="D934" s="1793"/>
    </row>
    <row r="935" spans="3:4" ht="20.100000000000001" customHeight="1">
      <c r="C935" s="1793"/>
      <c r="D935" s="1793"/>
    </row>
    <row r="936" spans="3:4" ht="20.100000000000001" customHeight="1">
      <c r="C936" s="1793"/>
      <c r="D936" s="1793"/>
    </row>
    <row r="937" spans="3:4" ht="20.100000000000001" customHeight="1">
      <c r="C937" s="1793"/>
      <c r="D937" s="1793"/>
    </row>
    <row r="938" spans="3:4" ht="20.100000000000001" customHeight="1">
      <c r="C938" s="1793"/>
      <c r="D938" s="1793"/>
    </row>
    <row r="939" spans="3:4" ht="20.100000000000001" customHeight="1">
      <c r="C939" s="1793"/>
      <c r="D939" s="1793"/>
    </row>
    <row r="940" spans="3:4" ht="20.100000000000001" customHeight="1">
      <c r="C940" s="1793"/>
      <c r="D940" s="1793"/>
    </row>
    <row r="941" spans="3:4" ht="20.100000000000001" customHeight="1">
      <c r="C941" s="1793"/>
      <c r="D941" s="1793"/>
    </row>
    <row r="942" spans="3:4" ht="20.100000000000001" customHeight="1">
      <c r="C942" s="1793"/>
      <c r="D942" s="1793"/>
    </row>
    <row r="943" spans="3:4" ht="20.100000000000001" customHeight="1">
      <c r="C943" s="1793"/>
      <c r="D943" s="1793"/>
    </row>
    <row r="944" spans="3:4" ht="20.100000000000001" customHeight="1">
      <c r="C944" s="1793"/>
      <c r="D944" s="1793"/>
    </row>
    <row r="945" spans="3:4" ht="20.100000000000001" customHeight="1">
      <c r="C945" s="1793"/>
      <c r="D945" s="1793"/>
    </row>
    <row r="946" spans="3:4" ht="20.100000000000001" customHeight="1">
      <c r="C946" s="1793"/>
      <c r="D946" s="1793"/>
    </row>
    <row r="947" spans="3:4" ht="20.100000000000001" customHeight="1">
      <c r="C947" s="1793"/>
      <c r="D947" s="1793"/>
    </row>
    <row r="948" spans="3:4" ht="20.100000000000001" customHeight="1">
      <c r="C948" s="1793"/>
      <c r="D948" s="1793"/>
    </row>
    <row r="949" spans="3:4" ht="20.100000000000001" customHeight="1">
      <c r="C949" s="1793"/>
      <c r="D949" s="1793"/>
    </row>
    <row r="950" spans="3:4" ht="20.100000000000001" customHeight="1">
      <c r="C950" s="1793"/>
      <c r="D950" s="1793"/>
    </row>
    <row r="951" spans="3:4" ht="20.100000000000001" customHeight="1">
      <c r="C951" s="1793"/>
      <c r="D951" s="1793"/>
    </row>
    <row r="952" spans="3:4" ht="20.100000000000001" customHeight="1">
      <c r="C952" s="1793"/>
      <c r="D952" s="1793"/>
    </row>
    <row r="953" spans="3:4" ht="20.100000000000001" customHeight="1">
      <c r="C953" s="1793"/>
      <c r="D953" s="1793"/>
    </row>
    <row r="954" spans="3:4" ht="20.100000000000001" customHeight="1">
      <c r="C954" s="1793"/>
      <c r="D954" s="1793"/>
    </row>
    <row r="955" spans="3:4" ht="20.100000000000001" customHeight="1">
      <c r="C955" s="1793"/>
      <c r="D955" s="1793"/>
    </row>
    <row r="956" spans="3:4" ht="20.100000000000001" customHeight="1">
      <c r="C956" s="1793"/>
      <c r="D956" s="1793"/>
    </row>
    <row r="957" spans="3:4" ht="20.100000000000001" customHeight="1">
      <c r="C957" s="1793"/>
      <c r="D957" s="1793"/>
    </row>
    <row r="958" spans="3:4" ht="20.100000000000001" customHeight="1">
      <c r="C958" s="1793"/>
      <c r="D958" s="1793"/>
    </row>
    <row r="959" spans="3:4" ht="20.100000000000001" customHeight="1">
      <c r="C959" s="1793"/>
      <c r="D959" s="1793"/>
    </row>
    <row r="960" spans="3:4" ht="20.100000000000001" customHeight="1">
      <c r="C960" s="1793"/>
      <c r="D960" s="1793"/>
    </row>
    <row r="961" spans="3:4" ht="20.100000000000001" customHeight="1">
      <c r="C961" s="1793"/>
      <c r="D961" s="1793"/>
    </row>
    <row r="962" spans="3:4" ht="20.100000000000001" customHeight="1">
      <c r="C962" s="1793"/>
      <c r="D962" s="1793"/>
    </row>
    <row r="963" spans="3:4" ht="20.100000000000001" customHeight="1">
      <c r="C963" s="1793"/>
      <c r="D963" s="1793"/>
    </row>
    <row r="964" spans="3:4" ht="20.100000000000001" customHeight="1">
      <c r="C964" s="1793"/>
      <c r="D964" s="1793"/>
    </row>
    <row r="965" spans="3:4" ht="20.100000000000001" customHeight="1">
      <c r="C965" s="1793"/>
      <c r="D965" s="1793"/>
    </row>
    <row r="966" spans="3:4" ht="20.100000000000001" customHeight="1">
      <c r="C966" s="1793"/>
      <c r="D966" s="1793"/>
    </row>
    <row r="967" spans="3:4" ht="20.100000000000001" customHeight="1">
      <c r="C967" s="1793"/>
      <c r="D967" s="1793"/>
    </row>
    <row r="968" spans="3:4" ht="20.100000000000001" customHeight="1">
      <c r="C968" s="1793"/>
      <c r="D968" s="1793"/>
    </row>
    <row r="969" spans="3:4" ht="20.100000000000001" customHeight="1">
      <c r="C969" s="1793"/>
      <c r="D969" s="1793"/>
    </row>
    <row r="970" spans="3:4" ht="20.100000000000001" customHeight="1">
      <c r="C970" s="1793"/>
      <c r="D970" s="1793"/>
    </row>
    <row r="971" spans="3:4" ht="20.100000000000001" customHeight="1">
      <c r="C971" s="1793"/>
      <c r="D971" s="1793"/>
    </row>
    <row r="972" spans="3:4" ht="20.100000000000001" customHeight="1">
      <c r="C972" s="1793"/>
      <c r="D972" s="1793"/>
    </row>
    <row r="973" spans="3:4" ht="20.100000000000001" customHeight="1">
      <c r="C973" s="1793"/>
      <c r="D973" s="1793"/>
    </row>
    <row r="974" spans="3:4" ht="20.100000000000001" customHeight="1">
      <c r="C974" s="1793"/>
      <c r="D974" s="1793"/>
    </row>
    <row r="975" spans="3:4" ht="20.100000000000001" customHeight="1">
      <c r="C975" s="1793"/>
      <c r="D975" s="1793"/>
    </row>
    <row r="976" spans="3:4" ht="20.100000000000001" customHeight="1">
      <c r="C976" s="1793"/>
      <c r="D976" s="1793"/>
    </row>
    <row r="977" spans="3:4" ht="20.100000000000001" customHeight="1">
      <c r="C977" s="1793"/>
      <c r="D977" s="1793"/>
    </row>
    <row r="978" spans="3:4" ht="20.100000000000001" customHeight="1">
      <c r="C978" s="1793"/>
      <c r="D978" s="1793"/>
    </row>
    <row r="979" spans="3:4" ht="20.100000000000001" customHeight="1">
      <c r="C979" s="1793"/>
      <c r="D979" s="1793"/>
    </row>
    <row r="980" spans="3:4" ht="20.100000000000001" customHeight="1">
      <c r="C980" s="1793"/>
      <c r="D980" s="1793"/>
    </row>
    <row r="981" spans="3:4" ht="20.100000000000001" customHeight="1">
      <c r="C981" s="1793"/>
      <c r="D981" s="1793"/>
    </row>
    <row r="982" spans="3:4" ht="20.100000000000001" customHeight="1">
      <c r="C982" s="1793"/>
      <c r="D982" s="1793"/>
    </row>
    <row r="983" spans="3:4" ht="20.100000000000001" customHeight="1">
      <c r="C983" s="1793"/>
      <c r="D983" s="1793"/>
    </row>
    <row r="984" spans="3:4" ht="20.100000000000001" customHeight="1">
      <c r="C984" s="1793"/>
      <c r="D984" s="1793"/>
    </row>
    <row r="985" spans="3:4" ht="20.100000000000001" customHeight="1">
      <c r="C985" s="1793"/>
      <c r="D985" s="1793"/>
    </row>
    <row r="986" spans="3:4" ht="20.100000000000001" customHeight="1">
      <c r="C986" s="1793"/>
      <c r="D986" s="1793"/>
    </row>
    <row r="987" spans="3:4" ht="20.100000000000001" customHeight="1">
      <c r="C987" s="1793"/>
      <c r="D987" s="1793"/>
    </row>
    <row r="988" spans="3:4" ht="20.100000000000001" customHeight="1">
      <c r="C988" s="1793"/>
      <c r="D988" s="1793"/>
    </row>
    <row r="989" spans="3:4" ht="20.100000000000001" customHeight="1">
      <c r="C989" s="1793"/>
      <c r="D989" s="1793"/>
    </row>
    <row r="990" spans="3:4" ht="20.100000000000001" customHeight="1">
      <c r="C990" s="1793"/>
      <c r="D990" s="1793"/>
    </row>
    <row r="991" spans="3:4" ht="20.100000000000001" customHeight="1">
      <c r="C991" s="1793"/>
      <c r="D991" s="1793"/>
    </row>
    <row r="992" spans="3:4" ht="20.100000000000001" customHeight="1">
      <c r="C992" s="1793"/>
      <c r="D992" s="1793"/>
    </row>
    <row r="993" spans="3:4" ht="20.100000000000001" customHeight="1">
      <c r="C993" s="1793"/>
      <c r="D993" s="1793"/>
    </row>
    <row r="994" spans="3:4" ht="20.100000000000001" customHeight="1">
      <c r="C994" s="1793"/>
      <c r="D994" s="1793"/>
    </row>
    <row r="995" spans="3:4" ht="20.100000000000001" customHeight="1">
      <c r="C995" s="1793"/>
      <c r="D995" s="1793"/>
    </row>
    <row r="996" spans="3:4" ht="20.100000000000001" customHeight="1">
      <c r="C996" s="1793"/>
      <c r="D996" s="1793"/>
    </row>
    <row r="997" spans="3:4" ht="20.100000000000001" customHeight="1">
      <c r="C997" s="1793"/>
      <c r="D997" s="1793"/>
    </row>
    <row r="998" spans="3:4" ht="20.100000000000001" customHeight="1">
      <c r="C998" s="1793"/>
      <c r="D998" s="1793"/>
    </row>
    <row r="999" spans="3:4" ht="20.100000000000001" customHeight="1">
      <c r="C999" s="1793"/>
      <c r="D999" s="1793"/>
    </row>
    <row r="1000" spans="3:4" ht="20.100000000000001" customHeight="1">
      <c r="C1000" s="1793"/>
      <c r="D1000" s="1793"/>
    </row>
    <row r="1001" spans="3:4" ht="20.100000000000001" customHeight="1">
      <c r="C1001" s="1793"/>
      <c r="D1001" s="1793"/>
    </row>
    <row r="1002" spans="3:4" ht="20.100000000000001" customHeight="1">
      <c r="C1002" s="1793"/>
      <c r="D1002" s="1793"/>
    </row>
    <row r="1003" spans="3:4" ht="20.100000000000001" customHeight="1">
      <c r="C1003" s="1793"/>
      <c r="D1003" s="1793"/>
    </row>
    <row r="1004" spans="3:4" ht="20.100000000000001" customHeight="1">
      <c r="C1004" s="1793"/>
      <c r="D1004" s="1793"/>
    </row>
    <row r="1005" spans="3:4" ht="20.100000000000001" customHeight="1">
      <c r="C1005" s="1793"/>
      <c r="D1005" s="1793"/>
    </row>
    <row r="1006" spans="3:4" ht="20.100000000000001" customHeight="1">
      <c r="C1006" s="1793"/>
      <c r="D1006" s="1793"/>
    </row>
    <row r="1007" spans="3:4" ht="20.100000000000001" customHeight="1">
      <c r="C1007" s="1793"/>
      <c r="D1007" s="1793"/>
    </row>
    <row r="1008" spans="3:4" ht="20.100000000000001" customHeight="1">
      <c r="C1008" s="1793"/>
      <c r="D1008" s="1793"/>
    </row>
    <row r="1009" spans="3:4" ht="20.100000000000001" customHeight="1">
      <c r="C1009" s="1793"/>
      <c r="D1009" s="1793"/>
    </row>
    <row r="1010" spans="3:4" ht="20.100000000000001" customHeight="1">
      <c r="C1010" s="1793"/>
      <c r="D1010" s="1793"/>
    </row>
    <row r="1011" spans="3:4" ht="20.100000000000001" customHeight="1">
      <c r="C1011" s="1793"/>
      <c r="D1011" s="1793"/>
    </row>
    <row r="1012" spans="3:4" ht="20.100000000000001" customHeight="1">
      <c r="C1012" s="1793"/>
      <c r="D1012" s="1793"/>
    </row>
    <row r="1013" spans="3:4" ht="20.100000000000001" customHeight="1">
      <c r="C1013" s="1793"/>
      <c r="D1013" s="1793"/>
    </row>
    <row r="1014" spans="3:4" ht="20.100000000000001" customHeight="1">
      <c r="C1014" s="1793"/>
      <c r="D1014" s="1793"/>
    </row>
    <row r="1015" spans="3:4" ht="20.100000000000001" customHeight="1">
      <c r="C1015" s="1793"/>
      <c r="D1015" s="1793"/>
    </row>
    <row r="1016" spans="3:4" ht="20.100000000000001" customHeight="1">
      <c r="C1016" s="1793"/>
      <c r="D1016" s="1793"/>
    </row>
    <row r="1017" spans="3:4" ht="20.100000000000001" customHeight="1">
      <c r="C1017" s="1793"/>
      <c r="D1017" s="1793"/>
    </row>
    <row r="1018" spans="3:4" ht="20.100000000000001" customHeight="1">
      <c r="C1018" s="1793"/>
      <c r="D1018" s="1793"/>
    </row>
    <row r="1019" spans="3:4" ht="20.100000000000001" customHeight="1">
      <c r="C1019" s="1793"/>
      <c r="D1019" s="1793"/>
    </row>
    <row r="1020" spans="3:4" ht="20.100000000000001" customHeight="1">
      <c r="C1020" s="1793"/>
      <c r="D1020" s="1793"/>
    </row>
    <row r="1021" spans="3:4" ht="20.100000000000001" customHeight="1">
      <c r="C1021" s="1793"/>
      <c r="D1021" s="1793"/>
    </row>
    <row r="1022" spans="3:4" ht="20.100000000000001" customHeight="1">
      <c r="C1022" s="1793"/>
      <c r="D1022" s="1793"/>
    </row>
    <row r="1023" spans="3:4" ht="20.100000000000001" customHeight="1">
      <c r="C1023" s="1793"/>
      <c r="D1023" s="1793"/>
    </row>
    <row r="1024" spans="3:4" ht="20.100000000000001" customHeight="1">
      <c r="C1024" s="1793"/>
      <c r="D1024" s="1793"/>
    </row>
    <row r="1025" spans="3:4" ht="20.100000000000001" customHeight="1">
      <c r="C1025" s="1793"/>
      <c r="D1025" s="1793"/>
    </row>
    <row r="1026" spans="3:4" ht="20.100000000000001" customHeight="1">
      <c r="C1026" s="1793"/>
      <c r="D1026" s="1793"/>
    </row>
    <row r="1027" spans="3:4" ht="20.100000000000001" customHeight="1">
      <c r="C1027" s="1793"/>
      <c r="D1027" s="1793"/>
    </row>
    <row r="1028" spans="3:4" ht="20.100000000000001" customHeight="1">
      <c r="C1028" s="1793"/>
      <c r="D1028" s="1793"/>
    </row>
    <row r="1029" spans="3:4" ht="20.100000000000001" customHeight="1">
      <c r="C1029" s="1793"/>
      <c r="D1029" s="1793"/>
    </row>
    <row r="1030" spans="3:4" ht="20.100000000000001" customHeight="1">
      <c r="C1030" s="1793"/>
      <c r="D1030" s="1793"/>
    </row>
    <row r="1031" spans="3:4" ht="20.100000000000001" customHeight="1">
      <c r="C1031" s="1793"/>
      <c r="D1031" s="1793"/>
    </row>
    <row r="1032" spans="3:4" ht="20.100000000000001" customHeight="1">
      <c r="C1032" s="1793"/>
      <c r="D1032" s="1793"/>
    </row>
    <row r="1033" spans="3:4" ht="20.100000000000001" customHeight="1">
      <c r="C1033" s="1793"/>
      <c r="D1033" s="1793"/>
    </row>
    <row r="1034" spans="3:4" ht="20.100000000000001" customHeight="1">
      <c r="C1034" s="1793"/>
      <c r="D1034" s="1793"/>
    </row>
    <row r="1035" spans="3:4" ht="20.100000000000001" customHeight="1">
      <c r="C1035" s="1793"/>
      <c r="D1035" s="1793"/>
    </row>
    <row r="1036" spans="3:4" ht="20.100000000000001" customHeight="1">
      <c r="C1036" s="1793"/>
      <c r="D1036" s="1793"/>
    </row>
    <row r="1037" spans="3:4" ht="20.100000000000001" customHeight="1">
      <c r="C1037" s="1793"/>
      <c r="D1037" s="1793"/>
    </row>
    <row r="1038" spans="3:4" ht="20.100000000000001" customHeight="1">
      <c r="C1038" s="1793"/>
      <c r="D1038" s="1793"/>
    </row>
    <row r="1039" spans="3:4" ht="20.100000000000001" customHeight="1">
      <c r="C1039" s="1793"/>
      <c r="D1039" s="1793"/>
    </row>
    <row r="1040" spans="3:4" ht="20.100000000000001" customHeight="1">
      <c r="C1040" s="1793"/>
      <c r="D1040" s="1793"/>
    </row>
    <row r="1041" spans="3:4" ht="20.100000000000001" customHeight="1">
      <c r="C1041" s="1793"/>
      <c r="D1041" s="1793"/>
    </row>
    <row r="1042" spans="3:4" ht="20.100000000000001" customHeight="1">
      <c r="C1042" s="1793"/>
      <c r="D1042" s="1793"/>
    </row>
    <row r="1043" spans="3:4" ht="20.100000000000001" customHeight="1">
      <c r="C1043" s="1793"/>
      <c r="D1043" s="1793"/>
    </row>
    <row r="1044" spans="3:4" ht="20.100000000000001" customHeight="1">
      <c r="C1044" s="1793"/>
      <c r="D1044" s="1793"/>
    </row>
    <row r="1045" spans="3:4" ht="20.100000000000001" customHeight="1">
      <c r="C1045" s="1793"/>
      <c r="D1045" s="1793"/>
    </row>
    <row r="1046" spans="3:4" ht="20.100000000000001" customHeight="1">
      <c r="C1046" s="1793"/>
      <c r="D1046" s="1793"/>
    </row>
    <row r="1047" spans="3:4" ht="20.100000000000001" customHeight="1">
      <c r="C1047" s="1793"/>
      <c r="D1047" s="1793"/>
    </row>
    <row r="1048" spans="3:4" ht="20.100000000000001" customHeight="1">
      <c r="C1048" s="1793"/>
      <c r="D1048" s="1793"/>
    </row>
    <row r="1049" spans="3:4" ht="20.100000000000001" customHeight="1">
      <c r="C1049" s="1793"/>
      <c r="D1049" s="1793"/>
    </row>
    <row r="1050" spans="3:4" ht="20.100000000000001" customHeight="1">
      <c r="C1050" s="1793"/>
      <c r="D1050" s="1793"/>
    </row>
    <row r="1051" spans="3:4" ht="20.100000000000001" customHeight="1">
      <c r="C1051" s="1793"/>
      <c r="D1051" s="1793"/>
    </row>
    <row r="1052" spans="3:4" ht="20.100000000000001" customHeight="1">
      <c r="C1052" s="1793"/>
      <c r="D1052" s="1793"/>
    </row>
    <row r="1053" spans="3:4" ht="20.100000000000001" customHeight="1">
      <c r="C1053" s="1793"/>
      <c r="D1053" s="1793"/>
    </row>
    <row r="1054" spans="3:4" ht="20.100000000000001" customHeight="1">
      <c r="C1054" s="1793"/>
      <c r="D1054" s="1793"/>
    </row>
    <row r="1055" spans="3:4" ht="20.100000000000001" customHeight="1">
      <c r="C1055" s="1793"/>
      <c r="D1055" s="1793"/>
    </row>
    <row r="1056" spans="3:4" ht="20.100000000000001" customHeight="1">
      <c r="C1056" s="1793"/>
      <c r="D1056" s="1793"/>
    </row>
    <row r="1057" spans="3:4" ht="20.100000000000001" customHeight="1">
      <c r="C1057" s="1793"/>
      <c r="D1057" s="1793"/>
    </row>
    <row r="1058" spans="3:4" ht="20.100000000000001" customHeight="1">
      <c r="C1058" s="1793"/>
      <c r="D1058" s="1793"/>
    </row>
    <row r="1059" spans="3:4" ht="20.100000000000001" customHeight="1">
      <c r="C1059" s="1793"/>
      <c r="D1059" s="1793"/>
    </row>
    <row r="1060" spans="3:4" ht="20.100000000000001" customHeight="1">
      <c r="C1060" s="1793"/>
      <c r="D1060" s="1793"/>
    </row>
    <row r="1061" spans="3:4" ht="20.100000000000001" customHeight="1">
      <c r="C1061" s="1793"/>
      <c r="D1061" s="1793"/>
    </row>
    <row r="1062" spans="3:4" ht="20.100000000000001" customHeight="1">
      <c r="C1062" s="1793"/>
      <c r="D1062" s="1793"/>
    </row>
    <row r="1063" spans="3:4" ht="20.100000000000001" customHeight="1">
      <c r="C1063" s="1793"/>
      <c r="D1063" s="1793"/>
    </row>
    <row r="1064" spans="3:4" ht="20.100000000000001" customHeight="1">
      <c r="C1064" s="1793"/>
      <c r="D1064" s="1793"/>
    </row>
    <row r="1065" spans="3:4" ht="20.100000000000001" customHeight="1">
      <c r="C1065" s="1793"/>
      <c r="D1065" s="1793"/>
    </row>
    <row r="1066" spans="3:4" ht="20.100000000000001" customHeight="1">
      <c r="C1066" s="1793"/>
      <c r="D1066" s="1793"/>
    </row>
    <row r="1067" spans="3:4" ht="20.100000000000001" customHeight="1">
      <c r="C1067" s="1793"/>
      <c r="D1067" s="1793"/>
    </row>
    <row r="1068" spans="3:4" ht="20.100000000000001" customHeight="1">
      <c r="C1068" s="1793"/>
      <c r="D1068" s="1793"/>
    </row>
    <row r="1069" spans="3:4" ht="20.100000000000001" customHeight="1">
      <c r="C1069" s="1793"/>
      <c r="D1069" s="1793"/>
    </row>
    <row r="1070" spans="3:4" ht="20.100000000000001" customHeight="1">
      <c r="C1070" s="1793"/>
      <c r="D1070" s="1793"/>
    </row>
    <row r="1071" spans="3:4" ht="20.100000000000001" customHeight="1">
      <c r="C1071" s="1793"/>
      <c r="D1071" s="1793"/>
    </row>
    <row r="1072" spans="3:4" ht="20.100000000000001" customHeight="1">
      <c r="C1072" s="1793"/>
      <c r="D1072" s="1793"/>
    </row>
    <row r="1073" spans="3:4" ht="20.100000000000001" customHeight="1">
      <c r="C1073" s="1793"/>
      <c r="D1073" s="1793"/>
    </row>
    <row r="1074" spans="3:4" ht="20.100000000000001" customHeight="1">
      <c r="C1074" s="1793"/>
      <c r="D1074" s="1793"/>
    </row>
    <row r="1075" spans="3:4" ht="20.100000000000001" customHeight="1">
      <c r="C1075" s="1793"/>
      <c r="D1075" s="1793"/>
    </row>
    <row r="1076" spans="3:4" ht="20.100000000000001" customHeight="1">
      <c r="C1076" s="1793"/>
      <c r="D1076" s="1793"/>
    </row>
    <row r="1077" spans="3:4" ht="20.100000000000001" customHeight="1">
      <c r="C1077" s="1793"/>
      <c r="D1077" s="1793"/>
    </row>
    <row r="1078" spans="3:4" ht="20.100000000000001" customHeight="1">
      <c r="C1078" s="1793"/>
      <c r="D1078" s="1793"/>
    </row>
    <row r="1079" spans="3:4" ht="20.100000000000001" customHeight="1">
      <c r="C1079" s="1793"/>
      <c r="D1079" s="1793"/>
    </row>
    <row r="1080" spans="3:4" ht="20.100000000000001" customHeight="1">
      <c r="C1080" s="1793"/>
      <c r="D1080" s="1793"/>
    </row>
    <row r="1081" spans="3:4" ht="20.100000000000001" customHeight="1">
      <c r="C1081" s="1793"/>
      <c r="D1081" s="1793"/>
    </row>
    <row r="1082" spans="3:4" ht="20.100000000000001" customHeight="1">
      <c r="C1082" s="1793"/>
      <c r="D1082" s="1793"/>
    </row>
    <row r="1083" spans="3:4" ht="20.100000000000001" customHeight="1">
      <c r="C1083" s="1793"/>
      <c r="D1083" s="1793"/>
    </row>
    <row r="1084" spans="3:4" ht="20.100000000000001" customHeight="1">
      <c r="C1084" s="1793"/>
      <c r="D1084" s="1793"/>
    </row>
    <row r="1085" spans="3:4" ht="20.100000000000001" customHeight="1">
      <c r="C1085" s="1793"/>
      <c r="D1085" s="1793"/>
    </row>
    <row r="1086" spans="3:4" ht="20.100000000000001" customHeight="1">
      <c r="C1086" s="1793"/>
      <c r="D1086" s="1793"/>
    </row>
    <row r="1087" spans="3:4" ht="20.100000000000001" customHeight="1">
      <c r="C1087" s="1793"/>
      <c r="D1087" s="1793"/>
    </row>
    <row r="1088" spans="3:4" ht="20.100000000000001" customHeight="1">
      <c r="C1088" s="1793"/>
      <c r="D1088" s="1793"/>
    </row>
    <row r="1089" spans="3:4" ht="20.100000000000001" customHeight="1">
      <c r="C1089" s="1793"/>
      <c r="D1089" s="1793"/>
    </row>
    <row r="1090" spans="3:4" ht="20.100000000000001" customHeight="1">
      <c r="C1090" s="1793"/>
      <c r="D1090" s="1793"/>
    </row>
    <row r="1091" spans="3:4" ht="20.100000000000001" customHeight="1">
      <c r="C1091" s="1793"/>
      <c r="D1091" s="1793"/>
    </row>
    <row r="1092" spans="3:4" ht="20.100000000000001" customHeight="1">
      <c r="C1092" s="1793"/>
      <c r="D1092" s="1793"/>
    </row>
    <row r="1093" spans="3:4" ht="20.100000000000001" customHeight="1">
      <c r="C1093" s="1793"/>
      <c r="D1093" s="1793"/>
    </row>
    <row r="1094" spans="3:4" ht="20.100000000000001" customHeight="1">
      <c r="C1094" s="1793"/>
      <c r="D1094" s="1793"/>
    </row>
    <row r="1095" spans="3:4" ht="20.100000000000001" customHeight="1">
      <c r="C1095" s="1793"/>
      <c r="D1095" s="1793"/>
    </row>
    <row r="1096" spans="3:4" ht="20.100000000000001" customHeight="1">
      <c r="C1096" s="1793"/>
      <c r="D1096" s="1793"/>
    </row>
    <row r="1097" spans="3:4" ht="20.100000000000001" customHeight="1">
      <c r="C1097" s="1793"/>
      <c r="D1097" s="1793"/>
    </row>
    <row r="1098" spans="3:4" ht="20.100000000000001" customHeight="1">
      <c r="C1098" s="1793"/>
      <c r="D1098" s="1793"/>
    </row>
    <row r="1099" spans="3:4" ht="20.100000000000001" customHeight="1">
      <c r="C1099" s="1793"/>
      <c r="D1099" s="1793"/>
    </row>
    <row r="1100" spans="3:4" ht="20.100000000000001" customHeight="1">
      <c r="C1100" s="1793"/>
      <c r="D1100" s="1793"/>
    </row>
    <row r="1101" spans="3:4" ht="20.100000000000001" customHeight="1">
      <c r="C1101" s="1793"/>
      <c r="D1101" s="1793"/>
    </row>
    <row r="1102" spans="3:4" ht="20.100000000000001" customHeight="1">
      <c r="C1102" s="1793"/>
      <c r="D1102" s="1793"/>
    </row>
    <row r="1103" spans="3:4" ht="20.100000000000001" customHeight="1">
      <c r="C1103" s="1793"/>
      <c r="D1103" s="1793"/>
    </row>
    <row r="1104" spans="3:4" ht="20.100000000000001" customHeight="1">
      <c r="C1104" s="1793"/>
      <c r="D1104" s="1793"/>
    </row>
    <row r="1105" spans="3:4" ht="20.100000000000001" customHeight="1">
      <c r="C1105" s="1793"/>
      <c r="D1105" s="1793"/>
    </row>
    <row r="1106" spans="3:4" ht="20.100000000000001" customHeight="1">
      <c r="C1106" s="1793"/>
      <c r="D1106" s="1793"/>
    </row>
    <row r="1107" spans="3:4" ht="20.100000000000001" customHeight="1">
      <c r="C1107" s="1793"/>
      <c r="D1107" s="1793"/>
    </row>
    <row r="1108" spans="3:4" ht="20.100000000000001" customHeight="1">
      <c r="C1108" s="1793"/>
      <c r="D1108" s="1793"/>
    </row>
    <row r="1109" spans="3:4" ht="20.100000000000001" customHeight="1">
      <c r="C1109" s="1793"/>
      <c r="D1109" s="1793"/>
    </row>
    <row r="1110" spans="3:4" ht="20.100000000000001" customHeight="1">
      <c r="C1110" s="1793"/>
      <c r="D1110" s="1793"/>
    </row>
    <row r="1111" spans="3:4" ht="20.100000000000001" customHeight="1">
      <c r="C1111" s="1793"/>
      <c r="D1111" s="1793"/>
    </row>
    <row r="1112" spans="3:4" ht="20.100000000000001" customHeight="1">
      <c r="C1112" s="1793"/>
      <c r="D1112" s="1793"/>
    </row>
    <row r="1113" spans="3:4" ht="20.100000000000001" customHeight="1">
      <c r="C1113" s="1793"/>
      <c r="D1113" s="1793"/>
    </row>
    <row r="1114" spans="3:4" ht="20.100000000000001" customHeight="1">
      <c r="C1114" s="1793"/>
      <c r="D1114" s="1793"/>
    </row>
    <row r="1115" spans="3:4" ht="20.100000000000001" customHeight="1">
      <c r="C1115" s="1793"/>
      <c r="D1115" s="1793"/>
    </row>
    <row r="1116" spans="3:4" ht="20.100000000000001" customHeight="1">
      <c r="C1116" s="1793"/>
      <c r="D1116" s="1793"/>
    </row>
    <row r="1117" spans="3:4" ht="20.100000000000001" customHeight="1">
      <c r="C1117" s="1793"/>
      <c r="D1117" s="1793"/>
    </row>
    <row r="1118" spans="3:4" ht="20.100000000000001" customHeight="1">
      <c r="C1118" s="1793"/>
      <c r="D1118" s="1793"/>
    </row>
    <row r="1119" spans="3:4" ht="20.100000000000001" customHeight="1">
      <c r="C1119" s="1793"/>
      <c r="D1119" s="1793"/>
    </row>
    <row r="1120" spans="3:4" ht="20.100000000000001" customHeight="1">
      <c r="C1120" s="1793"/>
      <c r="D1120" s="1793"/>
    </row>
    <row r="1121" spans="3:4" ht="20.100000000000001" customHeight="1">
      <c r="C1121" s="1793"/>
      <c r="D1121" s="1793"/>
    </row>
    <row r="1122" spans="3:4" ht="20.100000000000001" customHeight="1">
      <c r="C1122" s="1793"/>
      <c r="D1122" s="1793"/>
    </row>
    <row r="1123" spans="3:4" ht="20.100000000000001" customHeight="1">
      <c r="C1123" s="1793"/>
      <c r="D1123" s="1793"/>
    </row>
    <row r="1124" spans="3:4" ht="20.100000000000001" customHeight="1">
      <c r="C1124" s="1793"/>
      <c r="D1124" s="1793"/>
    </row>
    <row r="1125" spans="3:4" ht="20.100000000000001" customHeight="1">
      <c r="C1125" s="1793"/>
      <c r="D1125" s="1793"/>
    </row>
    <row r="1126" spans="3:4" ht="20.100000000000001" customHeight="1">
      <c r="C1126" s="1793"/>
      <c r="D1126" s="1793"/>
    </row>
    <row r="1127" spans="3:4" ht="20.100000000000001" customHeight="1">
      <c r="C1127" s="1793"/>
      <c r="D1127" s="1793"/>
    </row>
    <row r="1128" spans="3:4" ht="20.100000000000001" customHeight="1">
      <c r="C1128" s="1793"/>
      <c r="D1128" s="1793"/>
    </row>
    <row r="1129" spans="3:4" ht="20.100000000000001" customHeight="1">
      <c r="C1129" s="1793"/>
      <c r="D1129" s="1793"/>
    </row>
    <row r="1130" spans="3:4" ht="20.100000000000001" customHeight="1">
      <c r="C1130" s="1793"/>
      <c r="D1130" s="1793"/>
    </row>
    <row r="1131" spans="3:4" ht="20.100000000000001" customHeight="1">
      <c r="C1131" s="1793"/>
      <c r="D1131" s="1793"/>
    </row>
    <row r="1132" spans="3:4" ht="20.100000000000001" customHeight="1">
      <c r="C1132" s="1793"/>
      <c r="D1132" s="1793"/>
    </row>
    <row r="1133" spans="3:4" ht="20.100000000000001" customHeight="1">
      <c r="C1133" s="1793"/>
      <c r="D1133" s="1793"/>
    </row>
    <row r="1134" spans="3:4" ht="20.100000000000001" customHeight="1">
      <c r="C1134" s="1793"/>
      <c r="D1134" s="1793"/>
    </row>
    <row r="1135" spans="3:4" ht="20.100000000000001" customHeight="1">
      <c r="C1135" s="1793"/>
      <c r="D1135" s="1793"/>
    </row>
    <row r="1136" spans="3:4" ht="20.100000000000001" customHeight="1">
      <c r="C1136" s="1793"/>
      <c r="D1136" s="1793"/>
    </row>
    <row r="1137" spans="3:4" ht="20.100000000000001" customHeight="1">
      <c r="C1137" s="1793"/>
      <c r="D1137" s="1793"/>
    </row>
    <row r="1138" spans="3:4" ht="20.100000000000001" customHeight="1">
      <c r="C1138" s="1793"/>
      <c r="D1138" s="1793"/>
    </row>
    <row r="1139" spans="3:4" ht="20.100000000000001" customHeight="1">
      <c r="C1139" s="1793"/>
      <c r="D1139" s="1793"/>
    </row>
    <row r="1140" spans="3:4" ht="20.100000000000001" customHeight="1">
      <c r="C1140" s="1793"/>
      <c r="D1140" s="1793"/>
    </row>
    <row r="1141" spans="3:4" ht="20.100000000000001" customHeight="1">
      <c r="C1141" s="1793"/>
      <c r="D1141" s="1793"/>
    </row>
    <row r="1142" spans="3:4" ht="20.100000000000001" customHeight="1">
      <c r="C1142" s="1793"/>
      <c r="D1142" s="1793"/>
    </row>
    <row r="1143" spans="3:4" ht="20.100000000000001" customHeight="1">
      <c r="C1143" s="1793"/>
      <c r="D1143" s="1793"/>
    </row>
    <row r="1144" spans="3:4" ht="20.100000000000001" customHeight="1">
      <c r="C1144" s="1793"/>
      <c r="D1144" s="1793"/>
    </row>
    <row r="1145" spans="3:4" ht="20.100000000000001" customHeight="1">
      <c r="C1145" s="1793"/>
      <c r="D1145" s="1793"/>
    </row>
    <row r="1146" spans="3:4" ht="20.100000000000001" customHeight="1">
      <c r="C1146" s="1793"/>
      <c r="D1146" s="1793"/>
    </row>
    <row r="1147" spans="3:4" ht="20.100000000000001" customHeight="1">
      <c r="C1147" s="1793"/>
      <c r="D1147" s="1793"/>
    </row>
    <row r="1148" spans="3:4" ht="20.100000000000001" customHeight="1">
      <c r="C1148" s="1793"/>
      <c r="D1148" s="1793"/>
    </row>
    <row r="1149" spans="3:4" ht="20.100000000000001" customHeight="1">
      <c r="C1149" s="1793"/>
      <c r="D1149" s="1793"/>
    </row>
    <row r="1150" spans="3:4" ht="20.100000000000001" customHeight="1">
      <c r="C1150" s="1793"/>
      <c r="D1150" s="1793"/>
    </row>
    <row r="1151" spans="3:4" ht="20.100000000000001" customHeight="1">
      <c r="C1151" s="1793"/>
      <c r="D1151" s="1793"/>
    </row>
    <row r="1152" spans="3:4" ht="20.100000000000001" customHeight="1">
      <c r="C1152" s="1793"/>
      <c r="D1152" s="1793"/>
    </row>
    <row r="1153" spans="3:4" ht="20.100000000000001" customHeight="1">
      <c r="C1153" s="1793"/>
      <c r="D1153" s="1793"/>
    </row>
    <row r="1154" spans="3:4" ht="20.100000000000001" customHeight="1">
      <c r="C1154" s="1793"/>
      <c r="D1154" s="1793"/>
    </row>
    <row r="1155" spans="3:4" ht="20.100000000000001" customHeight="1">
      <c r="C1155" s="1793"/>
      <c r="D1155" s="1793"/>
    </row>
    <row r="1156" spans="3:4" ht="20.100000000000001" customHeight="1">
      <c r="C1156" s="1793"/>
      <c r="D1156" s="1793"/>
    </row>
    <row r="1157" spans="3:4" ht="20.100000000000001" customHeight="1">
      <c r="C1157" s="1793"/>
      <c r="D1157" s="1793"/>
    </row>
    <row r="1158" spans="3:4" ht="20.100000000000001" customHeight="1">
      <c r="C1158" s="1793"/>
      <c r="D1158" s="1793"/>
    </row>
    <row r="1159" spans="3:4" ht="20.100000000000001" customHeight="1">
      <c r="C1159" s="1793"/>
      <c r="D1159" s="1793"/>
    </row>
    <row r="1160" spans="3:4" ht="20.100000000000001" customHeight="1">
      <c r="C1160" s="1793"/>
      <c r="D1160" s="1793"/>
    </row>
    <row r="1161" spans="3:4" ht="20.100000000000001" customHeight="1">
      <c r="C1161" s="1793"/>
      <c r="D1161" s="1793"/>
    </row>
    <row r="1162" spans="3:4" ht="20.100000000000001" customHeight="1">
      <c r="C1162" s="1793"/>
      <c r="D1162" s="1793"/>
    </row>
    <row r="1163" spans="3:4" ht="20.100000000000001" customHeight="1">
      <c r="C1163" s="1793"/>
      <c r="D1163" s="1793"/>
    </row>
    <row r="1164" spans="3:4" ht="20.100000000000001" customHeight="1">
      <c r="C1164" s="1793"/>
      <c r="D1164" s="1793"/>
    </row>
    <row r="1165" spans="3:4" ht="20.100000000000001" customHeight="1">
      <c r="C1165" s="1793"/>
      <c r="D1165" s="1793"/>
    </row>
    <row r="1166" spans="3:4" ht="20.100000000000001" customHeight="1">
      <c r="C1166" s="1793"/>
      <c r="D1166" s="1793"/>
    </row>
    <row r="1167" spans="3:4" ht="20.100000000000001" customHeight="1">
      <c r="C1167" s="1793"/>
      <c r="D1167" s="1793"/>
    </row>
    <row r="1168" spans="3:4" ht="20.100000000000001" customHeight="1">
      <c r="C1168" s="1793"/>
      <c r="D1168" s="1793"/>
    </row>
    <row r="1169" spans="3:4" ht="20.100000000000001" customHeight="1">
      <c r="C1169" s="1793"/>
      <c r="D1169" s="1793"/>
    </row>
    <row r="1170" spans="3:4" ht="20.100000000000001" customHeight="1">
      <c r="C1170" s="1793"/>
      <c r="D1170" s="1793"/>
    </row>
    <row r="1171" spans="3:4" ht="20.100000000000001" customHeight="1">
      <c r="C1171" s="1793"/>
      <c r="D1171" s="1793"/>
    </row>
    <row r="1172" spans="3:4" ht="20.100000000000001" customHeight="1">
      <c r="C1172" s="1793"/>
      <c r="D1172" s="1793"/>
    </row>
    <row r="1173" spans="3:4" ht="20.100000000000001" customHeight="1">
      <c r="C1173" s="1793"/>
      <c r="D1173" s="1793"/>
    </row>
    <row r="1174" spans="3:4" ht="20.100000000000001" customHeight="1">
      <c r="C1174" s="1793"/>
      <c r="D1174" s="1793"/>
    </row>
    <row r="1175" spans="3:4" ht="20.100000000000001" customHeight="1">
      <c r="C1175" s="1793"/>
      <c r="D1175" s="1793"/>
    </row>
    <row r="1176" spans="3:4" ht="20.100000000000001" customHeight="1">
      <c r="C1176" s="1793"/>
      <c r="D1176" s="1793"/>
    </row>
    <row r="1177" spans="3:4" ht="20.100000000000001" customHeight="1">
      <c r="C1177" s="1793"/>
      <c r="D1177" s="1793"/>
    </row>
    <row r="1178" spans="3:4" ht="20.100000000000001" customHeight="1">
      <c r="C1178" s="1793"/>
      <c r="D1178" s="1793"/>
    </row>
    <row r="1179" spans="3:4" ht="20.100000000000001" customHeight="1">
      <c r="C1179" s="1793"/>
      <c r="D1179" s="1793"/>
    </row>
    <row r="1180" spans="3:4" ht="20.100000000000001" customHeight="1">
      <c r="C1180" s="1793"/>
      <c r="D1180" s="1793"/>
    </row>
    <row r="1181" spans="3:4" ht="20.100000000000001" customHeight="1">
      <c r="C1181" s="1793"/>
      <c r="D1181" s="1793"/>
    </row>
    <row r="1182" spans="3:4" ht="20.100000000000001" customHeight="1">
      <c r="C1182" s="1793"/>
      <c r="D1182" s="1793"/>
    </row>
    <row r="1183" spans="3:4" ht="20.100000000000001" customHeight="1">
      <c r="C1183" s="1793"/>
      <c r="D1183" s="1793"/>
    </row>
    <row r="1184" spans="3:4" ht="20.100000000000001" customHeight="1">
      <c r="C1184" s="1793"/>
      <c r="D1184" s="1793"/>
    </row>
    <row r="1185" spans="3:4" ht="20.100000000000001" customHeight="1">
      <c r="C1185" s="1793"/>
      <c r="D1185" s="1793"/>
    </row>
    <row r="1186" spans="3:4" ht="20.100000000000001" customHeight="1">
      <c r="C1186" s="1793"/>
      <c r="D1186" s="1793"/>
    </row>
    <row r="1187" spans="3:4" ht="20.100000000000001" customHeight="1">
      <c r="C1187" s="1793"/>
      <c r="D1187" s="1793"/>
    </row>
    <row r="1188" spans="3:4" ht="20.100000000000001" customHeight="1">
      <c r="C1188" s="1793"/>
      <c r="D1188" s="1793"/>
    </row>
    <row r="1189" spans="3:4" ht="20.100000000000001" customHeight="1">
      <c r="C1189" s="1793"/>
      <c r="D1189" s="1793"/>
    </row>
    <row r="1190" spans="3:4" ht="20.100000000000001" customHeight="1">
      <c r="C1190" s="1793"/>
      <c r="D1190" s="1793"/>
    </row>
    <row r="1191" spans="3:4" ht="20.100000000000001" customHeight="1">
      <c r="C1191" s="1793"/>
      <c r="D1191" s="1793"/>
    </row>
    <row r="1192" spans="3:4" ht="20.100000000000001" customHeight="1">
      <c r="C1192" s="1793"/>
      <c r="D1192" s="1793"/>
    </row>
    <row r="1193" spans="3:4" ht="20.100000000000001" customHeight="1">
      <c r="C1193" s="1793"/>
      <c r="D1193" s="1793"/>
    </row>
    <row r="1194" spans="3:4" ht="20.100000000000001" customHeight="1">
      <c r="C1194" s="1793"/>
      <c r="D1194" s="1793"/>
    </row>
    <row r="1195" spans="3:4" ht="20.100000000000001" customHeight="1">
      <c r="C1195" s="1793"/>
      <c r="D1195" s="1793"/>
    </row>
    <row r="1196" spans="3:4" ht="20.100000000000001" customHeight="1">
      <c r="C1196" s="1793"/>
      <c r="D1196" s="1793"/>
    </row>
    <row r="1197" spans="3:4" ht="20.100000000000001" customHeight="1">
      <c r="C1197" s="1793"/>
      <c r="D1197" s="1793"/>
    </row>
    <row r="1198" spans="3:4" ht="20.100000000000001" customHeight="1">
      <c r="C1198" s="1793"/>
      <c r="D1198" s="1793"/>
    </row>
    <row r="1199" spans="3:4" ht="20.100000000000001" customHeight="1">
      <c r="C1199" s="1793"/>
      <c r="D1199" s="1793"/>
    </row>
    <row r="1200" spans="3:4" ht="20.100000000000001" customHeight="1">
      <c r="C1200" s="1793"/>
      <c r="D1200" s="1793"/>
    </row>
    <row r="1201" spans="3:4" ht="20.100000000000001" customHeight="1">
      <c r="C1201" s="1793"/>
      <c r="D1201" s="1793"/>
    </row>
    <row r="1202" spans="3:4" ht="20.100000000000001" customHeight="1">
      <c r="C1202" s="1793"/>
      <c r="D1202" s="1793"/>
    </row>
    <row r="1203" spans="3:4" ht="20.100000000000001" customHeight="1">
      <c r="C1203" s="1793"/>
      <c r="D1203" s="1793"/>
    </row>
    <row r="1204" spans="3:4" ht="20.100000000000001" customHeight="1">
      <c r="C1204" s="1793"/>
      <c r="D1204" s="1793"/>
    </row>
    <row r="1205" spans="3:4" ht="20.100000000000001" customHeight="1">
      <c r="C1205" s="1793"/>
      <c r="D1205" s="1793"/>
    </row>
    <row r="1206" spans="3:4" ht="20.100000000000001" customHeight="1">
      <c r="C1206" s="1793"/>
      <c r="D1206" s="1793"/>
    </row>
    <row r="1207" spans="3:4" ht="20.100000000000001" customHeight="1">
      <c r="C1207" s="1793"/>
      <c r="D1207" s="1793"/>
    </row>
    <row r="1208" spans="3:4" ht="20.100000000000001" customHeight="1">
      <c r="C1208" s="1793"/>
      <c r="D1208" s="1793"/>
    </row>
    <row r="1209" spans="3:4" ht="20.100000000000001" customHeight="1">
      <c r="C1209" s="1793"/>
      <c r="D1209" s="1793"/>
    </row>
    <row r="1210" spans="3:4" ht="20.100000000000001" customHeight="1">
      <c r="C1210" s="1793"/>
      <c r="D1210" s="1793"/>
    </row>
    <row r="1211" spans="3:4" ht="20.100000000000001" customHeight="1">
      <c r="C1211" s="1793"/>
      <c r="D1211" s="1793"/>
    </row>
    <row r="1212" spans="3:4" ht="20.100000000000001" customHeight="1">
      <c r="C1212" s="1793"/>
      <c r="D1212" s="1793"/>
    </row>
    <row r="1213" spans="3:4" ht="20.100000000000001" customHeight="1">
      <c r="C1213" s="1793"/>
      <c r="D1213" s="1793"/>
    </row>
    <row r="1214" spans="3:4" ht="20.100000000000001" customHeight="1">
      <c r="C1214" s="1793"/>
      <c r="D1214" s="1793"/>
    </row>
    <row r="1215" spans="3:4" ht="20.100000000000001" customHeight="1">
      <c r="C1215" s="1793"/>
      <c r="D1215" s="1793"/>
    </row>
    <row r="1216" spans="3:4" ht="20.100000000000001" customHeight="1">
      <c r="C1216" s="1793"/>
      <c r="D1216" s="1793"/>
    </row>
    <row r="1217" spans="3:4" ht="20.100000000000001" customHeight="1">
      <c r="C1217" s="1793"/>
      <c r="D1217" s="1793"/>
    </row>
    <row r="1218" spans="3:4" ht="20.100000000000001" customHeight="1">
      <c r="C1218" s="1793"/>
      <c r="D1218" s="1793"/>
    </row>
    <row r="1219" spans="3:4" ht="20.100000000000001" customHeight="1">
      <c r="C1219" s="1793"/>
      <c r="D1219" s="1793"/>
    </row>
    <row r="1220" spans="3:4" ht="20.100000000000001" customHeight="1">
      <c r="C1220" s="1793"/>
      <c r="D1220" s="1793"/>
    </row>
    <row r="1221" spans="3:4" ht="20.100000000000001" customHeight="1">
      <c r="C1221" s="1793"/>
      <c r="D1221" s="1793"/>
    </row>
    <row r="1222" spans="3:4" ht="20.100000000000001" customHeight="1">
      <c r="C1222" s="1793"/>
      <c r="D1222" s="1793"/>
    </row>
    <row r="1223" spans="3:4" ht="20.100000000000001" customHeight="1">
      <c r="C1223" s="1793"/>
      <c r="D1223" s="1793"/>
    </row>
    <row r="1224" spans="3:4" ht="20.100000000000001" customHeight="1">
      <c r="C1224" s="1793"/>
      <c r="D1224" s="1793"/>
    </row>
    <row r="1225" spans="3:4" ht="20.100000000000001" customHeight="1">
      <c r="C1225" s="1793"/>
      <c r="D1225" s="1793"/>
    </row>
    <row r="1226" spans="3:4" ht="20.100000000000001" customHeight="1">
      <c r="C1226" s="1793"/>
      <c r="D1226" s="1793"/>
    </row>
    <row r="1227" spans="3:4" ht="20.100000000000001" customHeight="1">
      <c r="C1227" s="1793"/>
      <c r="D1227" s="1793"/>
    </row>
    <row r="1228" spans="3:4" ht="20.100000000000001" customHeight="1">
      <c r="C1228" s="1793"/>
      <c r="D1228" s="1793"/>
    </row>
    <row r="1229" spans="3:4" ht="20.100000000000001" customHeight="1">
      <c r="C1229" s="1793"/>
      <c r="D1229" s="1793"/>
    </row>
    <row r="1230" spans="3:4" ht="20.100000000000001" customHeight="1">
      <c r="C1230" s="1793"/>
      <c r="D1230" s="1793"/>
    </row>
    <row r="1231" spans="3:4" ht="20.100000000000001" customHeight="1">
      <c r="C1231" s="1793"/>
      <c r="D1231" s="1793"/>
    </row>
    <row r="1232" spans="3:4" ht="20.100000000000001" customHeight="1">
      <c r="C1232" s="1793"/>
      <c r="D1232" s="1793"/>
    </row>
    <row r="1233" spans="3:4" ht="20.100000000000001" customHeight="1">
      <c r="C1233" s="1793"/>
      <c r="D1233" s="1793"/>
    </row>
    <row r="1234" spans="3:4" ht="20.100000000000001" customHeight="1">
      <c r="C1234" s="1793"/>
      <c r="D1234" s="1793"/>
    </row>
    <row r="1235" spans="3:4" ht="20.100000000000001" customHeight="1">
      <c r="C1235" s="1793"/>
      <c r="D1235" s="1793"/>
    </row>
    <row r="1236" spans="3:4" ht="20.100000000000001" customHeight="1">
      <c r="C1236" s="1793"/>
      <c r="D1236" s="1793"/>
    </row>
    <row r="1237" spans="3:4" ht="20.100000000000001" customHeight="1">
      <c r="C1237" s="1793"/>
      <c r="D1237" s="1793"/>
    </row>
    <row r="1238" spans="3:4" ht="20.100000000000001" customHeight="1">
      <c r="C1238" s="1793"/>
      <c r="D1238" s="1793"/>
    </row>
    <row r="1239" spans="3:4" ht="20.100000000000001" customHeight="1">
      <c r="C1239" s="1793"/>
      <c r="D1239" s="1793"/>
    </row>
    <row r="1240" spans="3:4" ht="20.100000000000001" customHeight="1">
      <c r="C1240" s="1793"/>
      <c r="D1240" s="1793"/>
    </row>
    <row r="1241" spans="3:4" ht="20.100000000000001" customHeight="1">
      <c r="C1241" s="1793"/>
      <c r="D1241" s="1793"/>
    </row>
    <row r="1242" spans="3:4" ht="20.100000000000001" customHeight="1">
      <c r="C1242" s="1793"/>
      <c r="D1242" s="1793"/>
    </row>
    <row r="1243" spans="3:4" ht="20.100000000000001" customHeight="1">
      <c r="C1243" s="1793"/>
      <c r="D1243" s="1793"/>
    </row>
    <row r="1244" spans="3:4" ht="20.100000000000001" customHeight="1">
      <c r="C1244" s="1793"/>
      <c r="D1244" s="1793"/>
    </row>
    <row r="1245" spans="3:4" ht="20.100000000000001" customHeight="1">
      <c r="C1245" s="1793"/>
      <c r="D1245" s="1793"/>
    </row>
    <row r="1246" spans="3:4" ht="20.100000000000001" customHeight="1">
      <c r="C1246" s="1793"/>
      <c r="D1246" s="1793"/>
    </row>
    <row r="1247" spans="3:4" ht="20.100000000000001" customHeight="1">
      <c r="C1247" s="1793"/>
      <c r="D1247" s="1793"/>
    </row>
    <row r="1248" spans="3:4" ht="20.100000000000001" customHeight="1">
      <c r="C1248" s="1793"/>
      <c r="D1248" s="1793"/>
    </row>
    <row r="1249" spans="3:4" ht="20.100000000000001" customHeight="1">
      <c r="C1249" s="1793"/>
      <c r="D1249" s="1793"/>
    </row>
    <row r="1250" spans="3:4" ht="20.100000000000001" customHeight="1">
      <c r="C1250" s="1793"/>
      <c r="D1250" s="1793"/>
    </row>
    <row r="1251" spans="3:4" ht="20.100000000000001" customHeight="1">
      <c r="C1251" s="1793"/>
      <c r="D1251" s="1793"/>
    </row>
    <row r="1252" spans="3:4" ht="20.100000000000001" customHeight="1">
      <c r="C1252" s="1793"/>
      <c r="D1252" s="1793"/>
    </row>
    <row r="1253" spans="3:4" ht="20.100000000000001" customHeight="1">
      <c r="C1253" s="1793"/>
      <c r="D1253" s="1793"/>
    </row>
    <row r="1254" spans="3:4" ht="20.100000000000001" customHeight="1">
      <c r="C1254" s="1793"/>
      <c r="D1254" s="1793"/>
    </row>
    <row r="1255" spans="3:4" ht="20.100000000000001" customHeight="1">
      <c r="C1255" s="1793"/>
      <c r="D1255" s="1793"/>
    </row>
    <row r="1256" spans="3:4" ht="20.100000000000001" customHeight="1">
      <c r="C1256" s="1793"/>
      <c r="D1256" s="1793"/>
    </row>
    <row r="1257" spans="3:4" ht="20.100000000000001" customHeight="1">
      <c r="C1257" s="1793"/>
      <c r="D1257" s="1793"/>
    </row>
    <row r="1258" spans="3:4" ht="20.100000000000001" customHeight="1">
      <c r="C1258" s="1793"/>
      <c r="D1258" s="1793"/>
    </row>
    <row r="1259" spans="3:4" ht="20.100000000000001" customHeight="1">
      <c r="C1259" s="1793"/>
      <c r="D1259" s="1793"/>
    </row>
    <row r="1260" spans="3:4" ht="20.100000000000001" customHeight="1">
      <c r="C1260" s="1793"/>
      <c r="D1260" s="1793"/>
    </row>
    <row r="1261" spans="3:4" ht="20.100000000000001" customHeight="1">
      <c r="C1261" s="1793"/>
      <c r="D1261" s="1793"/>
    </row>
    <row r="1262" spans="3:4" ht="20.100000000000001" customHeight="1">
      <c r="C1262" s="1793"/>
      <c r="D1262" s="1793"/>
    </row>
    <row r="1263" spans="3:4" ht="20.100000000000001" customHeight="1">
      <c r="C1263" s="1793"/>
      <c r="D1263" s="1793"/>
    </row>
    <row r="1264" spans="3:4" ht="20.100000000000001" customHeight="1">
      <c r="C1264" s="1793"/>
      <c r="D1264" s="1793"/>
    </row>
    <row r="1265" spans="3:4" ht="20.100000000000001" customHeight="1">
      <c r="C1265" s="1793"/>
      <c r="D1265" s="1793"/>
    </row>
    <row r="1266" spans="3:4" ht="20.100000000000001" customHeight="1">
      <c r="C1266" s="1793"/>
      <c r="D1266" s="1793"/>
    </row>
    <row r="1267" spans="3:4" ht="20.100000000000001" customHeight="1">
      <c r="C1267" s="1793"/>
      <c r="D1267" s="1793"/>
    </row>
    <row r="1268" spans="3:4" ht="20.100000000000001" customHeight="1">
      <c r="C1268" s="1793"/>
      <c r="D1268" s="1793"/>
    </row>
    <row r="1269" spans="3:4" ht="20.100000000000001" customHeight="1">
      <c r="C1269" s="1793"/>
      <c r="D1269" s="1793"/>
    </row>
    <row r="1270" spans="3:4" ht="20.100000000000001" customHeight="1">
      <c r="C1270" s="1793"/>
      <c r="D1270" s="1793"/>
    </row>
    <row r="1271" spans="3:4" ht="20.100000000000001" customHeight="1">
      <c r="C1271" s="1793"/>
      <c r="D1271" s="1793"/>
    </row>
    <row r="1272" spans="3:4" ht="20.100000000000001" customHeight="1">
      <c r="C1272" s="1793"/>
      <c r="D1272" s="1793"/>
    </row>
    <row r="1273" spans="3:4" ht="20.100000000000001" customHeight="1">
      <c r="C1273" s="1793"/>
      <c r="D1273" s="1793"/>
    </row>
    <row r="1274" spans="3:4" ht="20.100000000000001" customHeight="1">
      <c r="C1274" s="1793"/>
      <c r="D1274" s="1793"/>
    </row>
    <row r="1275" spans="3:4" ht="20.100000000000001" customHeight="1">
      <c r="C1275" s="1793"/>
      <c r="D1275" s="1793"/>
    </row>
    <row r="1276" spans="3:4" ht="20.100000000000001" customHeight="1">
      <c r="C1276" s="1793"/>
      <c r="D1276" s="1793"/>
    </row>
    <row r="1277" spans="3:4" ht="20.100000000000001" customHeight="1">
      <c r="C1277" s="1793"/>
      <c r="D1277" s="1793"/>
    </row>
    <row r="1278" spans="3:4" ht="20.100000000000001" customHeight="1">
      <c r="C1278" s="1793"/>
      <c r="D1278" s="1793"/>
    </row>
    <row r="1279" spans="3:4" ht="20.100000000000001" customHeight="1">
      <c r="C1279" s="1793"/>
      <c r="D1279" s="1793"/>
    </row>
    <row r="1280" spans="3:4" ht="20.100000000000001" customHeight="1">
      <c r="C1280" s="1793"/>
      <c r="D1280" s="1793"/>
    </row>
    <row r="1281" spans="3:4" ht="20.100000000000001" customHeight="1">
      <c r="C1281" s="1793"/>
      <c r="D1281" s="1793"/>
    </row>
    <row r="1282" spans="3:4" ht="20.100000000000001" customHeight="1">
      <c r="C1282" s="1793"/>
      <c r="D1282" s="1793"/>
    </row>
    <row r="1283" spans="3:4" ht="20.100000000000001" customHeight="1">
      <c r="C1283" s="1793"/>
      <c r="D1283" s="1793"/>
    </row>
    <row r="1284" spans="3:4" ht="20.100000000000001" customHeight="1">
      <c r="C1284" s="1793"/>
      <c r="D1284" s="1793"/>
    </row>
    <row r="1285" spans="3:4" ht="20.100000000000001" customHeight="1">
      <c r="C1285" s="1793"/>
      <c r="D1285" s="1793"/>
    </row>
    <row r="1286" spans="3:4" ht="20.100000000000001" customHeight="1">
      <c r="C1286" s="1793"/>
      <c r="D1286" s="1793"/>
    </row>
    <row r="1287" spans="3:4" ht="20.100000000000001" customHeight="1">
      <c r="C1287" s="1793"/>
      <c r="D1287" s="1793"/>
    </row>
    <row r="1288" spans="3:4" ht="20.100000000000001" customHeight="1">
      <c r="C1288" s="1793"/>
      <c r="D1288" s="1793"/>
    </row>
    <row r="1289" spans="3:4" ht="20.100000000000001" customHeight="1">
      <c r="C1289" s="1793"/>
      <c r="D1289" s="1793"/>
    </row>
    <row r="1290" spans="3:4" ht="20.100000000000001" customHeight="1">
      <c r="C1290" s="1793"/>
      <c r="D1290" s="1793"/>
    </row>
    <row r="1291" spans="3:4" ht="20.100000000000001" customHeight="1">
      <c r="C1291" s="1793"/>
      <c r="D1291" s="1793"/>
    </row>
    <row r="1292" spans="3:4" ht="20.100000000000001" customHeight="1">
      <c r="C1292" s="1793"/>
      <c r="D1292" s="1793"/>
    </row>
    <row r="1293" spans="3:4" ht="20.100000000000001" customHeight="1">
      <c r="C1293" s="1793"/>
      <c r="D1293" s="1793"/>
    </row>
    <row r="1294" spans="3:4" ht="20.100000000000001" customHeight="1">
      <c r="C1294" s="1793"/>
      <c r="D1294" s="1793"/>
    </row>
    <row r="1295" spans="3:4" ht="20.100000000000001" customHeight="1">
      <c r="C1295" s="1793"/>
      <c r="D1295" s="1793"/>
    </row>
    <row r="1296" spans="3:4" ht="20.100000000000001" customHeight="1">
      <c r="C1296" s="1793"/>
      <c r="D1296" s="1793"/>
    </row>
    <row r="1297" spans="3:4" ht="20.100000000000001" customHeight="1">
      <c r="C1297" s="1793"/>
      <c r="D1297" s="1793"/>
    </row>
    <row r="1298" spans="3:4" ht="20.100000000000001" customHeight="1">
      <c r="C1298" s="1793"/>
      <c r="D1298" s="1793"/>
    </row>
    <row r="1299" spans="3:4" ht="20.100000000000001" customHeight="1">
      <c r="C1299" s="1793"/>
      <c r="D1299" s="1793"/>
    </row>
    <row r="1300" spans="3:4" ht="20.100000000000001" customHeight="1">
      <c r="C1300" s="1793"/>
      <c r="D1300" s="1793"/>
    </row>
    <row r="1301" spans="3:4" ht="20.100000000000001" customHeight="1">
      <c r="C1301" s="1793"/>
      <c r="D1301" s="1793"/>
    </row>
    <row r="1302" spans="3:4" ht="20.100000000000001" customHeight="1">
      <c r="C1302" s="1793"/>
      <c r="D1302" s="1793"/>
    </row>
    <row r="1303" spans="3:4" ht="20.100000000000001" customHeight="1">
      <c r="C1303" s="1793"/>
      <c r="D1303" s="1793"/>
    </row>
    <row r="1304" spans="3:4" ht="20.100000000000001" customHeight="1">
      <c r="C1304" s="1793"/>
      <c r="D1304" s="1793"/>
    </row>
    <row r="1305" spans="3:4" ht="20.100000000000001" customHeight="1">
      <c r="C1305" s="1793"/>
      <c r="D1305" s="1793"/>
    </row>
    <row r="1306" spans="3:4" ht="20.100000000000001" customHeight="1">
      <c r="C1306" s="1793"/>
      <c r="D1306" s="1793"/>
    </row>
    <row r="1307" spans="3:4" ht="20.100000000000001" customHeight="1">
      <c r="C1307" s="1793"/>
      <c r="D1307" s="1793"/>
    </row>
    <row r="1308" spans="3:4" ht="20.100000000000001" customHeight="1">
      <c r="C1308" s="1793"/>
      <c r="D1308" s="1793"/>
    </row>
    <row r="1309" spans="3:4" ht="20.100000000000001" customHeight="1">
      <c r="C1309" s="1793"/>
      <c r="D1309" s="1793"/>
    </row>
    <row r="1310" spans="3:4" ht="20.100000000000001" customHeight="1">
      <c r="C1310" s="1793"/>
      <c r="D1310" s="1793"/>
    </row>
    <row r="1311" spans="3:4" ht="20.100000000000001" customHeight="1">
      <c r="C1311" s="1793"/>
      <c r="D1311" s="1793"/>
    </row>
    <row r="1312" spans="3:4" ht="20.100000000000001" customHeight="1">
      <c r="C1312" s="1793"/>
      <c r="D1312" s="1793"/>
    </row>
    <row r="1313" spans="3:4" ht="20.100000000000001" customHeight="1">
      <c r="C1313" s="1793"/>
      <c r="D1313" s="1793"/>
    </row>
    <row r="1314" spans="3:4" ht="20.100000000000001" customHeight="1">
      <c r="C1314" s="1793"/>
      <c r="D1314" s="1793"/>
    </row>
    <row r="1315" spans="3:4" ht="20.100000000000001" customHeight="1">
      <c r="C1315" s="1793"/>
      <c r="D1315" s="1793"/>
    </row>
    <row r="1316" spans="3:4" ht="20.100000000000001" customHeight="1">
      <c r="C1316" s="1793"/>
      <c r="D1316" s="1793"/>
    </row>
    <row r="1317" spans="3:4" ht="20.100000000000001" customHeight="1">
      <c r="C1317" s="1793"/>
      <c r="D1317" s="1793"/>
    </row>
    <row r="1318" spans="3:4" ht="20.100000000000001" customHeight="1">
      <c r="C1318" s="1793"/>
      <c r="D1318" s="1793"/>
    </row>
    <row r="1319" spans="3:4" ht="20.100000000000001" customHeight="1">
      <c r="C1319" s="1793"/>
      <c r="D1319" s="1793"/>
    </row>
    <row r="1320" spans="3:4" ht="20.100000000000001" customHeight="1">
      <c r="C1320" s="1793"/>
      <c r="D1320" s="1793"/>
    </row>
    <row r="1321" spans="3:4" ht="20.100000000000001" customHeight="1">
      <c r="C1321" s="1793"/>
      <c r="D1321" s="1793"/>
    </row>
    <row r="1322" spans="3:4" ht="20.100000000000001" customHeight="1">
      <c r="C1322" s="1793"/>
      <c r="D1322" s="1793"/>
    </row>
    <row r="1323" spans="3:4" ht="20.100000000000001" customHeight="1">
      <c r="C1323" s="1793"/>
      <c r="D1323" s="1793"/>
    </row>
    <row r="1324" spans="3:4" ht="20.100000000000001" customHeight="1">
      <c r="C1324" s="1793"/>
      <c r="D1324" s="1793"/>
    </row>
    <row r="1325" spans="3:4" ht="20.100000000000001" customHeight="1">
      <c r="C1325" s="1793"/>
      <c r="D1325" s="1793"/>
    </row>
    <row r="1326" spans="3:4" ht="20.100000000000001" customHeight="1">
      <c r="C1326" s="1793"/>
      <c r="D1326" s="1793"/>
    </row>
    <row r="1327" spans="3:4" ht="20.100000000000001" customHeight="1">
      <c r="C1327" s="1793"/>
      <c r="D1327" s="1793"/>
    </row>
    <row r="1328" spans="3:4" ht="20.100000000000001" customHeight="1">
      <c r="C1328" s="1793"/>
      <c r="D1328" s="1793"/>
    </row>
    <row r="1329" spans="3:4" ht="20.100000000000001" customHeight="1">
      <c r="C1329" s="1793"/>
      <c r="D1329" s="1793"/>
    </row>
    <row r="1330" spans="3:4" ht="20.100000000000001" customHeight="1">
      <c r="C1330" s="1793"/>
      <c r="D1330" s="1793"/>
    </row>
    <row r="1331" spans="3:4" ht="20.100000000000001" customHeight="1">
      <c r="C1331" s="1793"/>
      <c r="D1331" s="1793"/>
    </row>
    <row r="1332" spans="3:4" ht="20.100000000000001" customHeight="1">
      <c r="C1332" s="1793"/>
      <c r="D1332" s="1793"/>
    </row>
    <row r="1333" spans="3:4" ht="20.100000000000001" customHeight="1">
      <c r="C1333" s="1793"/>
      <c r="D1333" s="1793"/>
    </row>
    <row r="1334" spans="3:4" ht="20.100000000000001" customHeight="1">
      <c r="C1334" s="1793"/>
      <c r="D1334" s="1793"/>
    </row>
    <row r="1335" spans="3:4" ht="20.100000000000001" customHeight="1">
      <c r="C1335" s="1793"/>
      <c r="D1335" s="1793"/>
    </row>
    <row r="1336" spans="3:4" ht="20.100000000000001" customHeight="1">
      <c r="C1336" s="1793"/>
      <c r="D1336" s="1793"/>
    </row>
    <row r="1337" spans="3:4" ht="20.100000000000001" customHeight="1">
      <c r="C1337" s="1793"/>
      <c r="D1337" s="1793"/>
    </row>
    <row r="1338" spans="3:4" ht="20.100000000000001" customHeight="1">
      <c r="C1338" s="1793"/>
      <c r="D1338" s="1793"/>
    </row>
    <row r="1339" spans="3:4" ht="20.100000000000001" customHeight="1">
      <c r="C1339" s="1793"/>
      <c r="D1339" s="1793"/>
    </row>
    <row r="1340" spans="3:4" ht="20.100000000000001" customHeight="1">
      <c r="C1340" s="1793"/>
      <c r="D1340" s="1793"/>
    </row>
    <row r="1341" spans="3:4" ht="20.100000000000001" customHeight="1">
      <c r="C1341" s="1793"/>
      <c r="D1341" s="1793"/>
    </row>
    <row r="1342" spans="3:4" ht="20.100000000000001" customHeight="1">
      <c r="C1342" s="1793"/>
      <c r="D1342" s="1793"/>
    </row>
    <row r="1343" spans="3:4" ht="20.100000000000001" customHeight="1">
      <c r="C1343" s="1793"/>
      <c r="D1343" s="1793"/>
    </row>
    <row r="1344" spans="3:4" ht="20.100000000000001" customHeight="1">
      <c r="C1344" s="1793"/>
      <c r="D1344" s="1793"/>
    </row>
    <row r="1345" spans="3:4" ht="20.100000000000001" customHeight="1">
      <c r="C1345" s="1793"/>
      <c r="D1345" s="1793"/>
    </row>
    <row r="1346" spans="3:4" ht="20.100000000000001" customHeight="1">
      <c r="C1346" s="1793"/>
      <c r="D1346" s="1793"/>
    </row>
    <row r="1347" spans="3:4" ht="20.100000000000001" customHeight="1">
      <c r="C1347" s="1793"/>
      <c r="D1347" s="1793"/>
    </row>
    <row r="1348" spans="3:4" ht="20.100000000000001" customHeight="1">
      <c r="C1348" s="1793"/>
      <c r="D1348" s="1793"/>
    </row>
    <row r="1349" spans="3:4" ht="20.100000000000001" customHeight="1">
      <c r="C1349" s="1793"/>
      <c r="D1349" s="1793"/>
    </row>
    <row r="1350" spans="3:4" ht="20.100000000000001" customHeight="1">
      <c r="C1350" s="1793"/>
      <c r="D1350" s="1793"/>
    </row>
    <row r="1351" spans="3:4" ht="20.100000000000001" customHeight="1">
      <c r="C1351" s="1793"/>
      <c r="D1351" s="1793"/>
    </row>
    <row r="1352" spans="3:4" ht="20.100000000000001" customHeight="1">
      <c r="C1352" s="1793"/>
      <c r="D1352" s="1793"/>
    </row>
    <row r="1353" spans="3:4" ht="20.100000000000001" customHeight="1">
      <c r="C1353" s="1793"/>
      <c r="D1353" s="1793"/>
    </row>
    <row r="1354" spans="3:4" ht="20.100000000000001" customHeight="1">
      <c r="C1354" s="1793"/>
      <c r="D1354" s="1793"/>
    </row>
    <row r="1355" spans="3:4" ht="20.100000000000001" customHeight="1">
      <c r="C1355" s="1793"/>
      <c r="D1355" s="1793"/>
    </row>
    <row r="1356" spans="3:4" ht="20.100000000000001" customHeight="1">
      <c r="C1356" s="1793"/>
      <c r="D1356" s="1793"/>
    </row>
    <row r="1357" spans="3:4" ht="20.100000000000001" customHeight="1">
      <c r="C1357" s="1793"/>
      <c r="D1357" s="1793"/>
    </row>
    <row r="1358" spans="3:4" ht="20.100000000000001" customHeight="1">
      <c r="C1358" s="1793"/>
      <c r="D1358" s="1793"/>
    </row>
    <row r="1359" spans="3:4" ht="20.100000000000001" customHeight="1">
      <c r="C1359" s="1793"/>
      <c r="D1359" s="1793"/>
    </row>
    <row r="1360" spans="3:4" ht="20.100000000000001" customHeight="1">
      <c r="C1360" s="1793"/>
      <c r="D1360" s="1793"/>
    </row>
    <row r="1361" spans="3:4" ht="20.100000000000001" customHeight="1">
      <c r="C1361" s="1793"/>
      <c r="D1361" s="1793"/>
    </row>
    <row r="1362" spans="3:4" ht="20.100000000000001" customHeight="1">
      <c r="C1362" s="1793"/>
      <c r="D1362" s="1793"/>
    </row>
    <row r="1363" spans="3:4" ht="20.100000000000001" customHeight="1">
      <c r="C1363" s="1793"/>
      <c r="D1363" s="1793"/>
    </row>
    <row r="1364" spans="3:4" ht="20.100000000000001" customHeight="1">
      <c r="C1364" s="1793"/>
      <c r="D1364" s="1793"/>
    </row>
    <row r="1365" spans="3:4" ht="20.100000000000001" customHeight="1">
      <c r="C1365" s="1793"/>
      <c r="D1365" s="1793"/>
    </row>
    <row r="1366" spans="3:4" ht="20.100000000000001" customHeight="1">
      <c r="C1366" s="1793"/>
      <c r="D1366" s="1793"/>
    </row>
    <row r="1367" spans="3:4" ht="20.100000000000001" customHeight="1">
      <c r="C1367" s="1793"/>
      <c r="D1367" s="1793"/>
    </row>
    <row r="1368" spans="3:4" ht="20.100000000000001" customHeight="1">
      <c r="C1368" s="1793"/>
      <c r="D1368" s="1793"/>
    </row>
    <row r="1369" spans="3:4" ht="20.100000000000001" customHeight="1">
      <c r="C1369" s="1793"/>
      <c r="D1369" s="1793"/>
    </row>
    <row r="1370" spans="3:4" ht="20.100000000000001" customHeight="1">
      <c r="C1370" s="1793"/>
      <c r="D1370" s="1793"/>
    </row>
    <row r="1371" spans="3:4" ht="20.100000000000001" customHeight="1">
      <c r="C1371" s="1793"/>
      <c r="D1371" s="1793"/>
    </row>
    <row r="1372" spans="3:4" ht="20.100000000000001" customHeight="1">
      <c r="C1372" s="1793"/>
      <c r="D1372" s="1793"/>
    </row>
    <row r="1373" spans="3:4" ht="20.100000000000001" customHeight="1">
      <c r="C1373" s="1793"/>
      <c r="D1373" s="1793"/>
    </row>
    <row r="1374" spans="3:4" ht="20.100000000000001" customHeight="1">
      <c r="C1374" s="1793"/>
      <c r="D1374" s="1793"/>
    </row>
    <row r="1375" spans="3:4" ht="20.100000000000001" customHeight="1">
      <c r="C1375" s="1793"/>
      <c r="D1375" s="1793"/>
    </row>
    <row r="1376" spans="3:4" ht="20.100000000000001" customHeight="1">
      <c r="C1376" s="1793"/>
      <c r="D1376" s="1793"/>
    </row>
    <row r="1377" spans="3:4" ht="20.100000000000001" customHeight="1">
      <c r="C1377" s="1793"/>
      <c r="D1377" s="1793"/>
    </row>
    <row r="1378" spans="3:4" ht="20.100000000000001" customHeight="1">
      <c r="C1378" s="1793"/>
      <c r="D1378" s="1793"/>
    </row>
    <row r="1379" spans="3:4" ht="20.100000000000001" customHeight="1">
      <c r="C1379" s="1793"/>
      <c r="D1379" s="1793"/>
    </row>
    <row r="1380" spans="3:4" ht="20.100000000000001" customHeight="1">
      <c r="C1380" s="1793"/>
      <c r="D1380" s="1793"/>
    </row>
    <row r="1381" spans="3:4" ht="20.100000000000001" customHeight="1">
      <c r="C1381" s="1793"/>
      <c r="D1381" s="1793"/>
    </row>
    <row r="1382" spans="3:4" ht="20.100000000000001" customHeight="1">
      <c r="C1382" s="1793"/>
      <c r="D1382" s="1793"/>
    </row>
    <row r="1383" spans="3:4" ht="20.100000000000001" customHeight="1">
      <c r="C1383" s="1793"/>
      <c r="D1383" s="1793"/>
    </row>
    <row r="1384" spans="3:4" ht="20.100000000000001" customHeight="1">
      <c r="C1384" s="1793"/>
      <c r="D1384" s="1793"/>
    </row>
    <row r="1385" spans="3:4" ht="20.100000000000001" customHeight="1">
      <c r="C1385" s="1793"/>
      <c r="D1385" s="1793"/>
    </row>
    <row r="1386" spans="3:4" ht="20.100000000000001" customHeight="1">
      <c r="C1386" s="1793"/>
      <c r="D1386" s="1793"/>
    </row>
    <row r="1387" spans="3:4" ht="20.100000000000001" customHeight="1">
      <c r="C1387" s="1793"/>
      <c r="D1387" s="1793"/>
    </row>
    <row r="1388" spans="3:4" ht="20.100000000000001" customHeight="1">
      <c r="C1388" s="1793"/>
      <c r="D1388" s="1793"/>
    </row>
    <row r="1389" spans="3:4" ht="20.100000000000001" customHeight="1">
      <c r="C1389" s="1793"/>
      <c r="D1389" s="1793"/>
    </row>
    <row r="1390" spans="3:4" ht="20.100000000000001" customHeight="1">
      <c r="C1390" s="1793"/>
      <c r="D1390" s="1793"/>
    </row>
    <row r="1391" spans="3:4" ht="20.100000000000001" customHeight="1">
      <c r="C1391" s="1793"/>
      <c r="D1391" s="1793"/>
    </row>
    <row r="1392" spans="3:4" ht="20.100000000000001" customHeight="1">
      <c r="C1392" s="1793"/>
      <c r="D1392" s="1793"/>
    </row>
    <row r="1393" spans="3:4" ht="20.100000000000001" customHeight="1">
      <c r="C1393" s="1793"/>
      <c r="D1393" s="1793"/>
    </row>
    <row r="1394" spans="3:4" ht="20.100000000000001" customHeight="1">
      <c r="C1394" s="1793"/>
      <c r="D1394" s="1793"/>
    </row>
    <row r="1395" spans="3:4" ht="20.100000000000001" customHeight="1">
      <c r="C1395" s="1793"/>
      <c r="D1395" s="1793"/>
    </row>
    <row r="1396" spans="3:4" ht="20.100000000000001" customHeight="1">
      <c r="C1396" s="1793"/>
      <c r="D1396" s="1793"/>
    </row>
    <row r="1397" spans="3:4" ht="20.100000000000001" customHeight="1">
      <c r="C1397" s="1793"/>
      <c r="D1397" s="1793"/>
    </row>
    <row r="1398" spans="3:4" ht="20.100000000000001" customHeight="1">
      <c r="C1398" s="1793"/>
      <c r="D1398" s="1793"/>
    </row>
    <row r="1399" spans="3:4" ht="20.100000000000001" customHeight="1">
      <c r="C1399" s="1793"/>
      <c r="D1399" s="1793"/>
    </row>
    <row r="1400" spans="3:4" ht="20.100000000000001" customHeight="1">
      <c r="C1400" s="1793"/>
      <c r="D1400" s="1793"/>
    </row>
    <row r="1401" spans="3:4" ht="20.100000000000001" customHeight="1">
      <c r="C1401" s="1793"/>
      <c r="D1401" s="1793"/>
    </row>
    <row r="1402" spans="3:4" ht="20.100000000000001" customHeight="1">
      <c r="C1402" s="1793"/>
      <c r="D1402" s="1793"/>
    </row>
    <row r="1403" spans="3:4" ht="20.100000000000001" customHeight="1">
      <c r="C1403" s="1793"/>
      <c r="D1403" s="1793"/>
    </row>
    <row r="1404" spans="3:4" ht="20.100000000000001" customHeight="1">
      <c r="C1404" s="1793"/>
      <c r="D1404" s="1793"/>
    </row>
    <row r="1405" spans="3:4" ht="20.100000000000001" customHeight="1">
      <c r="C1405" s="1793"/>
      <c r="D1405" s="1793"/>
    </row>
    <row r="1406" spans="3:4" ht="20.100000000000001" customHeight="1">
      <c r="C1406" s="1793"/>
      <c r="D1406" s="1793"/>
    </row>
    <row r="1407" spans="3:4" ht="20.100000000000001" customHeight="1">
      <c r="C1407" s="1793"/>
      <c r="D1407" s="1793"/>
    </row>
    <row r="1408" spans="3:4" ht="20.100000000000001" customHeight="1">
      <c r="C1408" s="1793"/>
      <c r="D1408" s="1793"/>
    </row>
    <row r="1409" spans="3:4" ht="20.100000000000001" customHeight="1">
      <c r="C1409" s="1793"/>
      <c r="D1409" s="1793"/>
    </row>
    <row r="1410" spans="3:4" ht="20.100000000000001" customHeight="1">
      <c r="C1410" s="1793"/>
      <c r="D1410" s="1793"/>
    </row>
    <row r="1411" spans="3:4" ht="20.100000000000001" customHeight="1">
      <c r="C1411" s="1793"/>
      <c r="D1411" s="1793"/>
    </row>
    <row r="1412" spans="3:4" ht="20.100000000000001" customHeight="1">
      <c r="C1412" s="1793"/>
      <c r="D1412" s="1793"/>
    </row>
    <row r="1413" spans="3:4" ht="20.100000000000001" customHeight="1">
      <c r="C1413" s="1793"/>
      <c r="D1413" s="1793"/>
    </row>
    <row r="1414" spans="3:4" ht="20.100000000000001" customHeight="1">
      <c r="C1414" s="1793"/>
      <c r="D1414" s="1793"/>
    </row>
    <row r="1415" spans="3:4" ht="20.100000000000001" customHeight="1">
      <c r="C1415" s="1793"/>
      <c r="D1415" s="1793"/>
    </row>
    <row r="1416" spans="3:4" ht="20.100000000000001" customHeight="1">
      <c r="C1416" s="1793"/>
      <c r="D1416" s="1793"/>
    </row>
    <row r="1417" spans="3:4" ht="20.100000000000001" customHeight="1">
      <c r="C1417" s="1793"/>
      <c r="D1417" s="1793"/>
    </row>
    <row r="1418" spans="3:4" ht="20.100000000000001" customHeight="1">
      <c r="C1418" s="1793"/>
      <c r="D1418" s="1793"/>
    </row>
    <row r="1419" spans="3:4" ht="20.100000000000001" customHeight="1">
      <c r="C1419" s="1793"/>
      <c r="D1419" s="1793"/>
    </row>
    <row r="1420" spans="3:4" ht="20.100000000000001" customHeight="1">
      <c r="C1420" s="1793"/>
      <c r="D1420" s="1793"/>
    </row>
    <row r="1421" spans="3:4" ht="20.100000000000001" customHeight="1">
      <c r="C1421" s="1793"/>
      <c r="D1421" s="1793"/>
    </row>
    <row r="1422" spans="3:4" ht="20.100000000000001" customHeight="1">
      <c r="C1422" s="1793"/>
      <c r="D1422" s="1793"/>
    </row>
    <row r="1423" spans="3:4" ht="20.100000000000001" customHeight="1">
      <c r="C1423" s="1793"/>
      <c r="D1423" s="1793"/>
    </row>
    <row r="1424" spans="3:4" ht="20.100000000000001" customHeight="1">
      <c r="C1424" s="1793"/>
      <c r="D1424" s="1793"/>
    </row>
    <row r="1425" spans="3:4" ht="20.100000000000001" customHeight="1">
      <c r="C1425" s="1793"/>
      <c r="D1425" s="1793"/>
    </row>
    <row r="1426" spans="3:4" ht="20.100000000000001" customHeight="1">
      <c r="C1426" s="1793"/>
      <c r="D1426" s="1793"/>
    </row>
    <row r="1427" spans="3:4" ht="20.100000000000001" customHeight="1">
      <c r="C1427" s="1793"/>
      <c r="D1427" s="1793"/>
    </row>
    <row r="1428" spans="3:4" ht="20.100000000000001" customHeight="1">
      <c r="C1428" s="1793"/>
      <c r="D1428" s="1793"/>
    </row>
    <row r="1429" spans="3:4" ht="20.100000000000001" customHeight="1">
      <c r="C1429" s="1793"/>
      <c r="D1429" s="1793"/>
    </row>
    <row r="1430" spans="3:4" ht="20.100000000000001" customHeight="1">
      <c r="C1430" s="1793"/>
      <c r="D1430" s="1793"/>
    </row>
    <row r="1431" spans="3:4" ht="20.100000000000001" customHeight="1">
      <c r="C1431" s="1793"/>
      <c r="D1431" s="1793"/>
    </row>
    <row r="1432" spans="3:4" ht="20.100000000000001" customHeight="1">
      <c r="C1432" s="1793"/>
      <c r="D1432" s="1793"/>
    </row>
    <row r="1433" spans="3:4" ht="20.100000000000001" customHeight="1">
      <c r="C1433" s="1793"/>
      <c r="D1433" s="1793"/>
    </row>
    <row r="1434" spans="3:4" ht="20.100000000000001" customHeight="1">
      <c r="C1434" s="1793"/>
      <c r="D1434" s="1793"/>
    </row>
    <row r="1435" spans="3:4" ht="20.100000000000001" customHeight="1">
      <c r="C1435" s="1793"/>
      <c r="D1435" s="1793"/>
    </row>
    <row r="1436" spans="3:4" ht="20.100000000000001" customHeight="1">
      <c r="C1436" s="1793"/>
      <c r="D1436" s="1793"/>
    </row>
    <row r="1437" spans="3:4" ht="20.100000000000001" customHeight="1">
      <c r="C1437" s="1793"/>
      <c r="D1437" s="1793"/>
    </row>
    <row r="1438" spans="3:4" ht="20.100000000000001" customHeight="1">
      <c r="C1438" s="1793"/>
      <c r="D1438" s="1793"/>
    </row>
    <row r="1439" spans="3:4" ht="20.100000000000001" customHeight="1">
      <c r="C1439" s="1793"/>
      <c r="D1439" s="1793"/>
    </row>
    <row r="1440" spans="3:4" ht="20.100000000000001" customHeight="1">
      <c r="C1440" s="1793"/>
      <c r="D1440" s="1793"/>
    </row>
    <row r="1441" spans="3:4" ht="20.100000000000001" customHeight="1">
      <c r="C1441" s="1793"/>
      <c r="D1441" s="1793"/>
    </row>
    <row r="1442" spans="3:4" ht="20.100000000000001" customHeight="1">
      <c r="C1442" s="1793"/>
      <c r="D1442" s="1793"/>
    </row>
    <row r="1443" spans="3:4" ht="20.100000000000001" customHeight="1">
      <c r="C1443" s="1793"/>
      <c r="D1443" s="1793"/>
    </row>
    <row r="1444" spans="3:4" ht="20.100000000000001" customHeight="1">
      <c r="C1444" s="1793"/>
      <c r="D1444" s="1793"/>
    </row>
    <row r="1445" spans="3:4" ht="20.100000000000001" customHeight="1">
      <c r="C1445" s="1793"/>
      <c r="D1445" s="1793"/>
    </row>
    <row r="1446" spans="3:4" ht="20.100000000000001" customHeight="1">
      <c r="C1446" s="1793"/>
      <c r="D1446" s="1793"/>
    </row>
    <row r="1447" spans="3:4" ht="20.100000000000001" customHeight="1">
      <c r="C1447" s="1793"/>
      <c r="D1447" s="1793"/>
    </row>
    <row r="1448" spans="3:4" ht="20.100000000000001" customHeight="1">
      <c r="C1448" s="1793"/>
      <c r="D1448" s="1793"/>
    </row>
    <row r="1449" spans="3:4" ht="20.100000000000001" customHeight="1">
      <c r="C1449" s="1793"/>
      <c r="D1449" s="1793"/>
    </row>
    <row r="1450" spans="3:4" ht="20.100000000000001" customHeight="1">
      <c r="C1450" s="1793"/>
      <c r="D1450" s="1793"/>
    </row>
    <row r="1451" spans="3:4" ht="20.100000000000001" customHeight="1">
      <c r="C1451" s="1793"/>
      <c r="D1451" s="1793"/>
    </row>
    <row r="1452" spans="3:4" ht="20.100000000000001" customHeight="1">
      <c r="C1452" s="1793"/>
      <c r="D1452" s="1793"/>
    </row>
    <row r="1453" spans="3:4" ht="20.100000000000001" customHeight="1">
      <c r="C1453" s="1793"/>
      <c r="D1453" s="1793"/>
    </row>
    <row r="1454" spans="3:4" ht="20.100000000000001" customHeight="1">
      <c r="C1454" s="1793"/>
      <c r="D1454" s="1793"/>
    </row>
    <row r="1455" spans="3:4" ht="20.100000000000001" customHeight="1">
      <c r="C1455" s="1793"/>
      <c r="D1455" s="1793"/>
    </row>
    <row r="1456" spans="3:4" ht="20.100000000000001" customHeight="1">
      <c r="C1456" s="1793"/>
      <c r="D1456" s="1793"/>
    </row>
    <row r="1457" spans="3:4" ht="20.100000000000001" customHeight="1">
      <c r="C1457" s="1793"/>
      <c r="D1457" s="1793"/>
    </row>
    <row r="1458" spans="3:4" ht="20.100000000000001" customHeight="1">
      <c r="C1458" s="1793"/>
      <c r="D1458" s="1793"/>
    </row>
    <row r="1459" spans="3:4" ht="20.100000000000001" customHeight="1">
      <c r="C1459" s="1793"/>
      <c r="D1459" s="1793"/>
    </row>
    <row r="1460" spans="3:4" ht="20.100000000000001" customHeight="1">
      <c r="C1460" s="1793"/>
      <c r="D1460" s="1793"/>
    </row>
    <row r="1461" spans="3:4" ht="20.100000000000001" customHeight="1">
      <c r="C1461" s="1793"/>
      <c r="D1461" s="1793"/>
    </row>
    <row r="1462" spans="3:4" ht="20.100000000000001" customHeight="1">
      <c r="C1462" s="1793"/>
      <c r="D1462" s="1793"/>
    </row>
    <row r="1463" spans="3:4" ht="20.100000000000001" customHeight="1">
      <c r="C1463" s="1793"/>
      <c r="D1463" s="1793"/>
    </row>
    <row r="1464" spans="3:4" ht="20.100000000000001" customHeight="1">
      <c r="C1464" s="1793"/>
      <c r="D1464" s="1793"/>
    </row>
    <row r="1465" spans="3:4" ht="20.100000000000001" customHeight="1">
      <c r="C1465" s="1793"/>
      <c r="D1465" s="1793"/>
    </row>
    <row r="1466" spans="3:4" ht="20.100000000000001" customHeight="1">
      <c r="C1466" s="1793"/>
      <c r="D1466" s="1793"/>
    </row>
    <row r="1467" spans="3:4" ht="20.100000000000001" customHeight="1">
      <c r="C1467" s="1793"/>
      <c r="D1467" s="1793"/>
    </row>
    <row r="1468" spans="3:4" ht="20.100000000000001" customHeight="1">
      <c r="C1468" s="1793"/>
      <c r="D1468" s="1793"/>
    </row>
    <row r="1469" spans="3:4" ht="20.100000000000001" customHeight="1">
      <c r="C1469" s="1793"/>
      <c r="D1469" s="1793"/>
    </row>
    <row r="1470" spans="3:4" ht="20.100000000000001" customHeight="1">
      <c r="C1470" s="1793"/>
      <c r="D1470" s="1793"/>
    </row>
    <row r="1471" spans="3:4" ht="20.100000000000001" customHeight="1">
      <c r="C1471" s="1793"/>
      <c r="D1471" s="1793"/>
    </row>
    <row r="1472" spans="3:4" ht="20.100000000000001" customHeight="1">
      <c r="C1472" s="1793"/>
      <c r="D1472" s="1793"/>
    </row>
    <row r="1473" spans="3:4" ht="20.100000000000001" customHeight="1">
      <c r="C1473" s="1793"/>
      <c r="D1473" s="1793"/>
    </row>
    <row r="1474" spans="3:4" ht="20.100000000000001" customHeight="1">
      <c r="C1474" s="1793"/>
      <c r="D1474" s="1793"/>
    </row>
    <row r="1475" spans="3:4" ht="20.100000000000001" customHeight="1">
      <c r="C1475" s="1793"/>
      <c r="D1475" s="1793"/>
    </row>
    <row r="1476" spans="3:4" ht="20.100000000000001" customHeight="1">
      <c r="C1476" s="1793"/>
      <c r="D1476" s="1793"/>
    </row>
    <row r="1477" spans="3:4" ht="20.100000000000001" customHeight="1">
      <c r="C1477" s="1793"/>
      <c r="D1477" s="1793"/>
    </row>
    <row r="1478" spans="3:4" ht="20.100000000000001" customHeight="1">
      <c r="C1478" s="1793"/>
      <c r="D1478" s="1793"/>
    </row>
    <row r="1479" spans="3:4" ht="20.100000000000001" customHeight="1">
      <c r="C1479" s="1793"/>
      <c r="D1479" s="1793"/>
    </row>
    <row r="1480" spans="3:4" ht="20.100000000000001" customHeight="1">
      <c r="C1480" s="1793"/>
      <c r="D1480" s="1793"/>
    </row>
    <row r="1481" spans="3:4" ht="20.100000000000001" customHeight="1">
      <c r="C1481" s="1793"/>
      <c r="D1481" s="1793"/>
    </row>
    <row r="1482" spans="3:4" ht="20.100000000000001" customHeight="1">
      <c r="C1482" s="1793"/>
      <c r="D1482" s="1793"/>
    </row>
    <row r="1483" spans="3:4" ht="20.100000000000001" customHeight="1">
      <c r="C1483" s="1793"/>
      <c r="D1483" s="1793"/>
    </row>
    <row r="1484" spans="3:4" ht="20.100000000000001" customHeight="1">
      <c r="C1484" s="1793"/>
      <c r="D1484" s="1793"/>
    </row>
    <row r="1485" spans="3:4" ht="20.100000000000001" customHeight="1">
      <c r="C1485" s="1793"/>
      <c r="D1485" s="1793"/>
    </row>
    <row r="1486" spans="3:4" ht="20.100000000000001" customHeight="1">
      <c r="C1486" s="1793"/>
      <c r="D1486" s="1793"/>
    </row>
    <row r="1487" spans="3:4" ht="20.100000000000001" customHeight="1">
      <c r="C1487" s="1793"/>
      <c r="D1487" s="1793"/>
    </row>
    <row r="1488" spans="3:4" ht="20.100000000000001" customHeight="1">
      <c r="C1488" s="1793"/>
      <c r="D1488" s="1793"/>
    </row>
    <row r="1489" spans="3:4" ht="20.100000000000001" customHeight="1">
      <c r="C1489" s="1793"/>
      <c r="D1489" s="1793"/>
    </row>
    <row r="1490" spans="3:4" ht="20.100000000000001" customHeight="1">
      <c r="C1490" s="1793"/>
      <c r="D1490" s="1793"/>
    </row>
    <row r="1491" spans="3:4" ht="20.100000000000001" customHeight="1">
      <c r="C1491" s="1793"/>
      <c r="D1491" s="1793"/>
    </row>
    <row r="1492" spans="3:4" ht="20.100000000000001" customHeight="1">
      <c r="C1492" s="1793"/>
      <c r="D1492" s="1793"/>
    </row>
    <row r="1493" spans="3:4" ht="20.100000000000001" customHeight="1">
      <c r="C1493" s="1793"/>
      <c r="D1493" s="1793"/>
    </row>
    <row r="1494" spans="3:4" ht="20.100000000000001" customHeight="1">
      <c r="C1494" s="1793"/>
      <c r="D1494" s="1793"/>
    </row>
    <row r="1495" spans="3:4" ht="20.100000000000001" customHeight="1">
      <c r="C1495" s="1793"/>
      <c r="D1495" s="1793"/>
    </row>
    <row r="1496" spans="3:4" ht="20.100000000000001" customHeight="1">
      <c r="C1496" s="1793"/>
      <c r="D1496" s="1793"/>
    </row>
    <row r="1497" spans="3:4" ht="20.100000000000001" customHeight="1">
      <c r="C1497" s="1793"/>
      <c r="D1497" s="1793"/>
    </row>
    <row r="1498" spans="3:4" ht="20.100000000000001" customHeight="1">
      <c r="C1498" s="1793"/>
      <c r="D1498" s="1793"/>
    </row>
    <row r="1499" spans="3:4" ht="20.100000000000001" customHeight="1">
      <c r="C1499" s="1793"/>
      <c r="D1499" s="1793"/>
    </row>
    <row r="1500" spans="3:4" ht="20.100000000000001" customHeight="1">
      <c r="C1500" s="1793"/>
      <c r="D1500" s="1793"/>
    </row>
    <row r="1501" spans="3:4" ht="20.100000000000001" customHeight="1">
      <c r="C1501" s="1793"/>
      <c r="D1501" s="1793"/>
    </row>
    <row r="1502" spans="3:4" ht="20.100000000000001" customHeight="1">
      <c r="C1502" s="1793"/>
      <c r="D1502" s="1793"/>
    </row>
    <row r="1503" spans="3:4" ht="20.100000000000001" customHeight="1">
      <c r="C1503" s="1793"/>
      <c r="D1503" s="1793"/>
    </row>
    <row r="1504" spans="3:4" ht="20.100000000000001" customHeight="1">
      <c r="C1504" s="1793"/>
      <c r="D1504" s="1793"/>
    </row>
    <row r="1505" spans="3:4" ht="20.100000000000001" customHeight="1">
      <c r="C1505" s="1793"/>
      <c r="D1505" s="1793"/>
    </row>
    <row r="1506" spans="3:4" ht="20.100000000000001" customHeight="1">
      <c r="C1506" s="1793"/>
      <c r="D1506" s="1793"/>
    </row>
    <row r="1507" spans="3:4" ht="20.100000000000001" customHeight="1">
      <c r="C1507" s="1793"/>
      <c r="D1507" s="1793"/>
    </row>
    <row r="1508" spans="3:4" ht="20.100000000000001" customHeight="1">
      <c r="C1508" s="1793"/>
      <c r="D1508" s="1793"/>
    </row>
    <row r="1509" spans="3:4" ht="20.100000000000001" customHeight="1">
      <c r="C1509" s="1793"/>
      <c r="D1509" s="1793"/>
    </row>
    <row r="1510" spans="3:4" ht="20.100000000000001" customHeight="1">
      <c r="C1510" s="1793"/>
      <c r="D1510" s="1793"/>
    </row>
    <row r="1511" spans="3:4" ht="20.100000000000001" customHeight="1">
      <c r="C1511" s="1793"/>
      <c r="D1511" s="1793"/>
    </row>
    <row r="1512" spans="3:4" ht="20.100000000000001" customHeight="1">
      <c r="C1512" s="1793"/>
      <c r="D1512" s="1793"/>
    </row>
    <row r="1513" spans="3:4" ht="20.100000000000001" customHeight="1">
      <c r="C1513" s="1793"/>
      <c r="D1513" s="1793"/>
    </row>
    <row r="1514" spans="3:4" ht="20.100000000000001" customHeight="1">
      <c r="C1514" s="1793"/>
      <c r="D1514" s="1793"/>
    </row>
    <row r="1515" spans="3:4" ht="20.100000000000001" customHeight="1">
      <c r="C1515" s="1793"/>
      <c r="D1515" s="1793"/>
    </row>
    <row r="1516" spans="3:4" ht="20.100000000000001" customHeight="1">
      <c r="C1516" s="1793"/>
      <c r="D1516" s="1793"/>
    </row>
    <row r="1517" spans="3:4" ht="20.100000000000001" customHeight="1">
      <c r="C1517" s="1793"/>
      <c r="D1517" s="1793"/>
    </row>
    <row r="1518" spans="3:4" ht="20.100000000000001" customHeight="1">
      <c r="C1518" s="1793"/>
      <c r="D1518" s="1793"/>
    </row>
    <row r="1519" spans="3:4" ht="20.100000000000001" customHeight="1">
      <c r="C1519" s="1793"/>
      <c r="D1519" s="1793"/>
    </row>
    <row r="1520" spans="3:4" ht="20.100000000000001" customHeight="1">
      <c r="C1520" s="1793"/>
      <c r="D1520" s="1793"/>
    </row>
    <row r="1521" spans="3:4" ht="20.100000000000001" customHeight="1">
      <c r="C1521" s="1793"/>
      <c r="D1521" s="1793"/>
    </row>
    <row r="1522" spans="3:4" ht="20.100000000000001" customHeight="1">
      <c r="C1522" s="1793"/>
      <c r="D1522" s="1793"/>
    </row>
    <row r="1523" spans="3:4" ht="20.100000000000001" customHeight="1">
      <c r="C1523" s="1793"/>
      <c r="D1523" s="1793"/>
    </row>
    <row r="1524" spans="3:4" ht="20.100000000000001" customHeight="1">
      <c r="C1524" s="1793"/>
      <c r="D1524" s="1793"/>
    </row>
    <row r="1525" spans="3:4" ht="20.100000000000001" customHeight="1">
      <c r="C1525" s="1793"/>
      <c r="D1525" s="1793"/>
    </row>
    <row r="1526" spans="3:4" ht="20.100000000000001" customHeight="1">
      <c r="C1526" s="1793"/>
      <c r="D1526" s="1793"/>
    </row>
    <row r="1527" spans="3:4" ht="20.100000000000001" customHeight="1">
      <c r="C1527" s="1793"/>
      <c r="D1527" s="1793"/>
    </row>
    <row r="1528" spans="3:4" ht="20.100000000000001" customHeight="1">
      <c r="C1528" s="1793"/>
      <c r="D1528" s="1793"/>
    </row>
    <row r="1529" spans="3:4" ht="20.100000000000001" customHeight="1">
      <c r="C1529" s="1793"/>
      <c r="D1529" s="1793"/>
    </row>
    <row r="1530" spans="3:4" ht="20.100000000000001" customHeight="1">
      <c r="C1530" s="1793"/>
      <c r="D1530" s="1793"/>
    </row>
    <row r="1531" spans="3:4" ht="20.100000000000001" customHeight="1">
      <c r="C1531" s="1793"/>
      <c r="D1531" s="1793"/>
    </row>
    <row r="1532" spans="3:4" ht="20.100000000000001" customHeight="1">
      <c r="C1532" s="1793"/>
      <c r="D1532" s="1793"/>
    </row>
    <row r="1533" spans="3:4" ht="20.100000000000001" customHeight="1">
      <c r="C1533" s="1793"/>
      <c r="D1533" s="1793"/>
    </row>
    <row r="1534" spans="3:4" ht="20.100000000000001" customHeight="1">
      <c r="C1534" s="1793"/>
      <c r="D1534" s="1793"/>
    </row>
    <row r="1535" spans="3:4" ht="20.100000000000001" customHeight="1">
      <c r="C1535" s="1793"/>
      <c r="D1535" s="1793"/>
    </row>
    <row r="1536" spans="3:4" ht="20.100000000000001" customHeight="1">
      <c r="C1536" s="1793"/>
      <c r="D1536" s="1793"/>
    </row>
    <row r="1537" spans="3:4" ht="20.100000000000001" customHeight="1">
      <c r="C1537" s="1793"/>
      <c r="D1537" s="1793"/>
    </row>
    <row r="1538" spans="3:4" ht="20.100000000000001" customHeight="1">
      <c r="C1538" s="1793"/>
      <c r="D1538" s="1793"/>
    </row>
    <row r="1539" spans="3:4" ht="20.100000000000001" customHeight="1">
      <c r="C1539" s="1793"/>
      <c r="D1539" s="1793"/>
    </row>
    <row r="1540" spans="3:4" ht="20.100000000000001" customHeight="1">
      <c r="C1540" s="1793"/>
      <c r="D1540" s="1793"/>
    </row>
    <row r="1541" spans="3:4" ht="20.100000000000001" customHeight="1">
      <c r="C1541" s="1793"/>
      <c r="D1541" s="1793"/>
    </row>
    <row r="1542" spans="3:4" ht="20.100000000000001" customHeight="1">
      <c r="C1542" s="1793"/>
      <c r="D1542" s="1793"/>
    </row>
    <row r="1543" spans="3:4" ht="20.100000000000001" customHeight="1">
      <c r="C1543" s="1793"/>
      <c r="D1543" s="1793"/>
    </row>
    <row r="1544" spans="3:4" ht="20.100000000000001" customHeight="1">
      <c r="C1544" s="1793"/>
      <c r="D1544" s="1793"/>
    </row>
    <row r="1545" spans="3:4" ht="20.100000000000001" customHeight="1">
      <c r="C1545" s="1793"/>
      <c r="D1545" s="1793"/>
    </row>
    <row r="1546" spans="3:4" ht="20.100000000000001" customHeight="1">
      <c r="C1546" s="1793"/>
      <c r="D1546" s="1793"/>
    </row>
    <row r="1547" spans="3:4" ht="20.100000000000001" customHeight="1">
      <c r="C1547" s="1793"/>
      <c r="D1547" s="1793"/>
    </row>
    <row r="1548" spans="3:4" ht="20.100000000000001" customHeight="1">
      <c r="C1548" s="1793"/>
      <c r="D1548" s="1793"/>
    </row>
    <row r="1549" spans="3:4" ht="20.100000000000001" customHeight="1">
      <c r="C1549" s="1793"/>
      <c r="D1549" s="1793"/>
    </row>
    <row r="1550" spans="3:4" ht="20.100000000000001" customHeight="1">
      <c r="C1550" s="1793"/>
      <c r="D1550" s="1793"/>
    </row>
    <row r="1551" spans="3:4" ht="20.100000000000001" customHeight="1">
      <c r="C1551" s="1793"/>
      <c r="D1551" s="1793"/>
    </row>
    <row r="1552" spans="3:4" ht="20.100000000000001" customHeight="1">
      <c r="C1552" s="1793"/>
      <c r="D1552" s="1793"/>
    </row>
    <row r="1553" spans="3:4" ht="20.100000000000001" customHeight="1">
      <c r="C1553" s="1793"/>
      <c r="D1553" s="1793"/>
    </row>
    <row r="1554" spans="3:4" ht="20.100000000000001" customHeight="1">
      <c r="C1554" s="1793"/>
      <c r="D1554" s="1793"/>
    </row>
    <row r="1555" spans="3:4" ht="20.100000000000001" customHeight="1">
      <c r="C1555" s="1793"/>
      <c r="D1555" s="1793"/>
    </row>
    <row r="1556" spans="3:4" ht="20.100000000000001" customHeight="1">
      <c r="C1556" s="1793"/>
      <c r="D1556" s="1793"/>
    </row>
    <row r="1557" spans="3:4" ht="20.100000000000001" customHeight="1">
      <c r="C1557" s="1793"/>
      <c r="D1557" s="1793"/>
    </row>
    <row r="1558" spans="3:4" ht="20.100000000000001" customHeight="1">
      <c r="C1558" s="1793"/>
      <c r="D1558" s="1793"/>
    </row>
    <row r="1559" spans="3:4" ht="20.100000000000001" customHeight="1">
      <c r="C1559" s="1793"/>
      <c r="D1559" s="1793"/>
    </row>
    <row r="1560" spans="3:4" ht="20.100000000000001" customHeight="1">
      <c r="C1560" s="1793"/>
      <c r="D1560" s="1793"/>
    </row>
    <row r="1561" spans="3:4" ht="20.100000000000001" customHeight="1">
      <c r="C1561" s="1793"/>
      <c r="D1561" s="1793"/>
    </row>
    <row r="1562" spans="3:4" ht="20.100000000000001" customHeight="1">
      <c r="C1562" s="1793"/>
      <c r="D1562" s="1793"/>
    </row>
    <row r="1563" spans="3:4" ht="20.100000000000001" customHeight="1">
      <c r="C1563" s="1793"/>
      <c r="D1563" s="1793"/>
    </row>
    <row r="1564" spans="3:4" ht="20.100000000000001" customHeight="1">
      <c r="C1564" s="1793"/>
      <c r="D1564" s="1793"/>
    </row>
    <row r="1565" spans="3:4" ht="20.100000000000001" customHeight="1">
      <c r="C1565" s="1793"/>
      <c r="D1565" s="1793"/>
    </row>
    <row r="1566" spans="3:4" ht="20.100000000000001" customHeight="1">
      <c r="C1566" s="1793"/>
      <c r="D1566" s="1793"/>
    </row>
    <row r="1567" spans="3:4" ht="20.100000000000001" customHeight="1">
      <c r="C1567" s="1793"/>
      <c r="D1567" s="1793"/>
    </row>
    <row r="1568" spans="3:4" ht="20.100000000000001" customHeight="1">
      <c r="C1568" s="1793"/>
      <c r="D1568" s="1793"/>
    </row>
    <row r="1569" spans="3:4" ht="20.100000000000001" customHeight="1">
      <c r="C1569" s="1793"/>
      <c r="D1569" s="1793"/>
    </row>
    <row r="1570" spans="3:4" ht="20.100000000000001" customHeight="1">
      <c r="C1570" s="1793"/>
      <c r="D1570" s="1793"/>
    </row>
    <row r="1571" spans="3:4" ht="20.100000000000001" customHeight="1">
      <c r="C1571" s="1793"/>
      <c r="D1571" s="1793"/>
    </row>
    <row r="1572" spans="3:4" ht="20.100000000000001" customHeight="1">
      <c r="C1572" s="1793"/>
      <c r="D1572" s="1793"/>
    </row>
    <row r="1573" spans="3:4" ht="20.100000000000001" customHeight="1">
      <c r="C1573" s="1793"/>
      <c r="D1573" s="1793"/>
    </row>
    <row r="1574" spans="3:4" ht="20.100000000000001" customHeight="1">
      <c r="C1574" s="1793"/>
      <c r="D1574" s="1793"/>
    </row>
    <row r="1575" spans="3:4" ht="20.100000000000001" customHeight="1">
      <c r="C1575" s="1793"/>
      <c r="D1575" s="1793"/>
    </row>
    <row r="1576" spans="3:4" ht="20.100000000000001" customHeight="1">
      <c r="C1576" s="1793"/>
      <c r="D1576" s="1793"/>
    </row>
    <row r="1577" spans="3:4" ht="20.100000000000001" customHeight="1">
      <c r="C1577" s="1793"/>
      <c r="D1577" s="1793"/>
    </row>
    <row r="1578" spans="3:4" ht="20.100000000000001" customHeight="1">
      <c r="C1578" s="1793"/>
      <c r="D1578" s="1793"/>
    </row>
    <row r="1579" spans="3:4" ht="20.100000000000001" customHeight="1">
      <c r="C1579" s="1793"/>
      <c r="D1579" s="1793"/>
    </row>
    <row r="1580" spans="3:4" ht="20.100000000000001" customHeight="1">
      <c r="C1580" s="1793"/>
      <c r="D1580" s="1793"/>
    </row>
    <row r="1581" spans="3:4" ht="20.100000000000001" customHeight="1">
      <c r="C1581" s="1793"/>
      <c r="D1581" s="1793"/>
    </row>
    <row r="1582" spans="3:4" ht="20.100000000000001" customHeight="1">
      <c r="C1582" s="1793"/>
      <c r="D1582" s="1793"/>
    </row>
    <row r="1583" spans="3:4" ht="20.100000000000001" customHeight="1">
      <c r="C1583" s="1793"/>
      <c r="D1583" s="1793"/>
    </row>
    <row r="1584" spans="3:4" ht="20.100000000000001" customHeight="1">
      <c r="C1584" s="1793"/>
      <c r="D1584" s="1793"/>
    </row>
    <row r="1585" spans="3:4" ht="20.100000000000001" customHeight="1">
      <c r="C1585" s="1793"/>
      <c r="D1585" s="1793"/>
    </row>
    <row r="1586" spans="3:4" ht="20.100000000000001" customHeight="1">
      <c r="C1586" s="1793"/>
      <c r="D1586" s="1793"/>
    </row>
    <row r="1587" spans="3:4" ht="20.100000000000001" customHeight="1">
      <c r="C1587" s="1793"/>
      <c r="D1587" s="1793"/>
    </row>
    <row r="1588" spans="3:4" ht="20.100000000000001" customHeight="1">
      <c r="C1588" s="1793"/>
      <c r="D1588" s="1793"/>
    </row>
    <row r="1589" spans="3:4" ht="20.100000000000001" customHeight="1">
      <c r="C1589" s="1793"/>
      <c r="D1589" s="1793"/>
    </row>
    <row r="1590" spans="3:4" ht="20.100000000000001" customHeight="1">
      <c r="C1590" s="1793"/>
      <c r="D1590" s="1793"/>
    </row>
    <row r="1591" spans="3:4" ht="20.100000000000001" customHeight="1">
      <c r="C1591" s="1793"/>
      <c r="D1591" s="1793"/>
    </row>
    <row r="1592" spans="3:4" ht="20.100000000000001" customHeight="1">
      <c r="C1592" s="1793"/>
      <c r="D1592" s="1793"/>
    </row>
    <row r="1593" spans="3:4" ht="20.100000000000001" customHeight="1">
      <c r="C1593" s="1793"/>
      <c r="D1593" s="1793"/>
    </row>
    <row r="1594" spans="3:4" ht="20.100000000000001" customHeight="1">
      <c r="C1594" s="1793"/>
      <c r="D1594" s="1793"/>
    </row>
    <row r="1595" spans="3:4" ht="20.100000000000001" customHeight="1">
      <c r="C1595" s="1793"/>
      <c r="D1595" s="1793"/>
    </row>
    <row r="1596" spans="3:4" ht="20.100000000000001" customHeight="1">
      <c r="C1596" s="1793"/>
      <c r="D1596" s="1793"/>
    </row>
    <row r="1597" spans="3:4" ht="20.100000000000001" customHeight="1">
      <c r="C1597" s="1793"/>
      <c r="D1597" s="1793"/>
    </row>
    <row r="1598" spans="3:4" ht="20.100000000000001" customHeight="1">
      <c r="C1598" s="1793"/>
      <c r="D1598" s="1793"/>
    </row>
    <row r="1599" spans="3:4" ht="20.100000000000001" customHeight="1">
      <c r="C1599" s="1793"/>
      <c r="D1599" s="1793"/>
    </row>
    <row r="1600" spans="3:4" ht="20.100000000000001" customHeight="1">
      <c r="C1600" s="1793"/>
      <c r="D1600" s="1793"/>
    </row>
    <row r="1601" spans="3:4" ht="20.100000000000001" customHeight="1">
      <c r="C1601" s="1793"/>
      <c r="D1601" s="1793"/>
    </row>
    <row r="1602" spans="3:4" ht="20.100000000000001" customHeight="1">
      <c r="C1602" s="1793"/>
      <c r="D1602" s="1793"/>
    </row>
    <row r="1603" spans="3:4" ht="20.100000000000001" customHeight="1">
      <c r="C1603" s="1793"/>
      <c r="D1603" s="1793"/>
    </row>
    <row r="1604" spans="3:4" ht="20.100000000000001" customHeight="1">
      <c r="C1604" s="1793"/>
      <c r="D1604" s="1793"/>
    </row>
    <row r="1605" spans="3:4" ht="20.100000000000001" customHeight="1">
      <c r="C1605" s="1793"/>
      <c r="D1605" s="1793"/>
    </row>
    <row r="1606" spans="3:4" ht="20.100000000000001" customHeight="1">
      <c r="C1606" s="1793"/>
      <c r="D1606" s="1793"/>
    </row>
    <row r="1607" spans="3:4" ht="20.100000000000001" customHeight="1">
      <c r="C1607" s="1793"/>
      <c r="D1607" s="1793"/>
    </row>
    <row r="1608" spans="3:4" ht="20.100000000000001" customHeight="1">
      <c r="C1608" s="1793"/>
      <c r="D1608" s="1793"/>
    </row>
    <row r="1609" spans="3:4" ht="20.100000000000001" customHeight="1">
      <c r="C1609" s="1793"/>
      <c r="D1609" s="1793"/>
    </row>
    <row r="1610" spans="3:4" ht="20.100000000000001" customHeight="1">
      <c r="C1610" s="1793"/>
      <c r="D1610" s="1793"/>
    </row>
    <row r="1611" spans="3:4" ht="20.100000000000001" customHeight="1">
      <c r="C1611" s="1793"/>
      <c r="D1611" s="1793"/>
    </row>
    <row r="1612" spans="3:4" ht="20.100000000000001" customHeight="1">
      <c r="C1612" s="1793"/>
      <c r="D1612" s="1793"/>
    </row>
    <row r="1613" spans="3:4" ht="20.100000000000001" customHeight="1">
      <c r="C1613" s="1793"/>
      <c r="D1613" s="1793"/>
    </row>
    <row r="1614" spans="3:4" ht="20.100000000000001" customHeight="1">
      <c r="C1614" s="1793"/>
      <c r="D1614" s="1793"/>
    </row>
    <row r="1615" spans="3:4" ht="20.100000000000001" customHeight="1">
      <c r="C1615" s="1793"/>
      <c r="D1615" s="1793"/>
    </row>
    <row r="1616" spans="3:4" ht="20.100000000000001" customHeight="1">
      <c r="C1616" s="1793"/>
      <c r="D1616" s="1793"/>
    </row>
    <row r="1617" spans="3:4" ht="20.100000000000001" customHeight="1">
      <c r="C1617" s="1793"/>
      <c r="D1617" s="1793"/>
    </row>
    <row r="1618" spans="3:4" ht="20.100000000000001" customHeight="1">
      <c r="C1618" s="1793"/>
      <c r="D1618" s="1793"/>
    </row>
    <row r="1619" spans="3:4" ht="20.100000000000001" customHeight="1">
      <c r="C1619" s="1793"/>
      <c r="D1619" s="1793"/>
    </row>
    <row r="1620" spans="3:4" ht="20.100000000000001" customHeight="1">
      <c r="C1620" s="1793"/>
      <c r="D1620" s="1793"/>
    </row>
    <row r="1621" spans="3:4" ht="20.100000000000001" customHeight="1">
      <c r="C1621" s="1793"/>
      <c r="D1621" s="1793"/>
    </row>
    <row r="1622" spans="3:4" ht="20.100000000000001" customHeight="1">
      <c r="C1622" s="1793"/>
      <c r="D1622" s="1793"/>
    </row>
    <row r="1623" spans="3:4" ht="20.100000000000001" customHeight="1">
      <c r="C1623" s="1793"/>
      <c r="D1623" s="1793"/>
    </row>
    <row r="1624" spans="3:4" ht="20.100000000000001" customHeight="1">
      <c r="C1624" s="1793"/>
      <c r="D1624" s="1793"/>
    </row>
    <row r="1625" spans="3:4" ht="20.100000000000001" customHeight="1">
      <c r="C1625" s="1793"/>
      <c r="D1625" s="1793"/>
    </row>
    <row r="1626" spans="3:4" ht="20.100000000000001" customHeight="1">
      <c r="C1626" s="1793"/>
      <c r="D1626" s="1793"/>
    </row>
    <row r="1627" spans="3:4" ht="20.100000000000001" customHeight="1">
      <c r="C1627" s="1793"/>
      <c r="D1627" s="1793"/>
    </row>
    <row r="1628" spans="3:4" ht="20.100000000000001" customHeight="1">
      <c r="C1628" s="1793"/>
      <c r="D1628" s="1793"/>
    </row>
    <row r="1629" spans="3:4" ht="20.100000000000001" customHeight="1">
      <c r="C1629" s="1793"/>
      <c r="D1629" s="1793"/>
    </row>
    <row r="1630" spans="3:4" ht="20.100000000000001" customHeight="1">
      <c r="C1630" s="1793"/>
      <c r="D1630" s="1793"/>
    </row>
    <row r="1631" spans="3:4" ht="20.100000000000001" customHeight="1">
      <c r="C1631" s="1793"/>
      <c r="D1631" s="1793"/>
    </row>
    <row r="1632" spans="3:4" ht="20.100000000000001" customHeight="1">
      <c r="C1632" s="1793"/>
      <c r="D1632" s="1793"/>
    </row>
    <row r="1633" spans="3:4" ht="20.100000000000001" customHeight="1">
      <c r="C1633" s="1793"/>
      <c r="D1633" s="1793"/>
    </row>
    <row r="1634" spans="3:4" ht="20.100000000000001" customHeight="1">
      <c r="C1634" s="1793"/>
      <c r="D1634" s="1793"/>
    </row>
    <row r="1635" spans="3:4" ht="20.100000000000001" customHeight="1">
      <c r="C1635" s="1793"/>
      <c r="D1635" s="1793"/>
    </row>
    <row r="1636" spans="3:4" ht="20.100000000000001" customHeight="1">
      <c r="C1636" s="1793"/>
      <c r="D1636" s="1793"/>
    </row>
    <row r="1637" spans="3:4" ht="20.100000000000001" customHeight="1">
      <c r="C1637" s="1793"/>
      <c r="D1637" s="1793"/>
    </row>
    <row r="1638" spans="3:4" ht="20.100000000000001" customHeight="1">
      <c r="C1638" s="1793"/>
      <c r="D1638" s="1793"/>
    </row>
    <row r="1639" spans="3:4" ht="20.100000000000001" customHeight="1">
      <c r="C1639" s="1793"/>
      <c r="D1639" s="1793"/>
    </row>
    <row r="1640" spans="3:4" ht="20.100000000000001" customHeight="1">
      <c r="C1640" s="1793"/>
      <c r="D1640" s="1793"/>
    </row>
    <row r="1641" spans="3:4" ht="20.100000000000001" customHeight="1">
      <c r="C1641" s="1793"/>
      <c r="D1641" s="1793"/>
    </row>
    <row r="1642" spans="3:4" ht="20.100000000000001" customHeight="1">
      <c r="C1642" s="1793"/>
      <c r="D1642" s="1793"/>
    </row>
    <row r="1643" spans="3:4" ht="20.100000000000001" customHeight="1">
      <c r="C1643" s="1793"/>
      <c r="D1643" s="1793"/>
    </row>
    <row r="1644" spans="3:4" ht="20.100000000000001" customHeight="1">
      <c r="C1644" s="1793"/>
      <c r="D1644" s="1793"/>
    </row>
    <row r="1645" spans="3:4" ht="20.100000000000001" customHeight="1">
      <c r="C1645" s="1793"/>
      <c r="D1645" s="1793"/>
    </row>
    <row r="1646" spans="3:4" ht="20.100000000000001" customHeight="1">
      <c r="C1646" s="1793"/>
      <c r="D1646" s="1793"/>
    </row>
    <row r="1647" spans="3:4" ht="20.100000000000001" customHeight="1">
      <c r="C1647" s="1793"/>
      <c r="D1647" s="1793"/>
    </row>
    <row r="1648" spans="3:4" ht="20.100000000000001" customHeight="1">
      <c r="C1648" s="1793"/>
      <c r="D1648" s="1793"/>
    </row>
    <row r="1649" spans="3:4" ht="20.100000000000001" customHeight="1">
      <c r="C1649" s="1793"/>
      <c r="D1649" s="1793"/>
    </row>
    <row r="1650" spans="3:4" ht="20.100000000000001" customHeight="1">
      <c r="C1650" s="1793"/>
      <c r="D1650" s="1793"/>
    </row>
    <row r="1651" spans="3:4" ht="20.100000000000001" customHeight="1">
      <c r="C1651" s="1793"/>
      <c r="D1651" s="1793"/>
    </row>
    <row r="1652" spans="3:4" ht="20.100000000000001" customHeight="1">
      <c r="C1652" s="1793"/>
      <c r="D1652" s="1793"/>
    </row>
    <row r="1653" spans="3:4" ht="20.100000000000001" customHeight="1">
      <c r="C1653" s="1793"/>
      <c r="D1653" s="1793"/>
    </row>
    <row r="1654" spans="3:4" ht="20.100000000000001" customHeight="1">
      <c r="C1654" s="1793"/>
      <c r="D1654" s="1793"/>
    </row>
    <row r="1655" spans="3:4" ht="20.100000000000001" customHeight="1">
      <c r="C1655" s="1793"/>
      <c r="D1655" s="1793"/>
    </row>
    <row r="1656" spans="3:4" ht="20.100000000000001" customHeight="1">
      <c r="C1656" s="1793"/>
      <c r="D1656" s="1793"/>
    </row>
    <row r="1657" spans="3:4" ht="20.100000000000001" customHeight="1">
      <c r="C1657" s="1793"/>
      <c r="D1657" s="1793"/>
    </row>
    <row r="1658" spans="3:4" ht="20.100000000000001" customHeight="1">
      <c r="C1658" s="1793"/>
      <c r="D1658" s="1793"/>
    </row>
    <row r="1659" spans="3:4" ht="20.100000000000001" customHeight="1">
      <c r="C1659" s="1793"/>
      <c r="D1659" s="1793"/>
    </row>
    <row r="1660" spans="3:4" ht="20.100000000000001" customHeight="1">
      <c r="C1660" s="1793"/>
      <c r="D1660" s="1793"/>
    </row>
    <row r="1661" spans="3:4" ht="20.100000000000001" customHeight="1">
      <c r="C1661" s="1793"/>
      <c r="D1661" s="1793"/>
    </row>
    <row r="1662" spans="3:4" ht="20.100000000000001" customHeight="1">
      <c r="C1662" s="1793"/>
      <c r="D1662" s="1793"/>
    </row>
    <row r="1663" spans="3:4" ht="20.100000000000001" customHeight="1">
      <c r="C1663" s="1793"/>
      <c r="D1663" s="1793"/>
    </row>
    <row r="1664" spans="3:4" ht="20.100000000000001" customHeight="1">
      <c r="C1664" s="1793"/>
      <c r="D1664" s="1793"/>
    </row>
    <row r="1665" spans="3:4" ht="20.100000000000001" customHeight="1">
      <c r="C1665" s="1793"/>
      <c r="D1665" s="1793"/>
    </row>
    <row r="1666" spans="3:4" ht="20.100000000000001" customHeight="1">
      <c r="C1666" s="1793"/>
      <c r="D1666" s="1793"/>
    </row>
    <row r="1667" spans="3:4" ht="20.100000000000001" customHeight="1">
      <c r="C1667" s="1793"/>
      <c r="D1667" s="1793"/>
    </row>
    <row r="1668" spans="3:4" ht="20.100000000000001" customHeight="1">
      <c r="C1668" s="1793"/>
      <c r="D1668" s="1793"/>
    </row>
    <row r="1669" spans="3:4" ht="20.100000000000001" customHeight="1">
      <c r="C1669" s="1793"/>
      <c r="D1669" s="1793"/>
    </row>
    <row r="1670" spans="3:4" ht="20.100000000000001" customHeight="1">
      <c r="C1670" s="1793"/>
      <c r="D1670" s="1793"/>
    </row>
    <row r="1671" spans="3:4" ht="20.100000000000001" customHeight="1">
      <c r="C1671" s="1793"/>
      <c r="D1671" s="1793"/>
    </row>
    <row r="1672" spans="3:4" ht="20.100000000000001" customHeight="1">
      <c r="C1672" s="1793"/>
      <c r="D1672" s="1793"/>
    </row>
    <row r="1673" spans="3:4" ht="20.100000000000001" customHeight="1">
      <c r="C1673" s="1793"/>
      <c r="D1673" s="1793"/>
    </row>
    <row r="1674" spans="3:4" ht="20.100000000000001" customHeight="1">
      <c r="C1674" s="1793"/>
      <c r="D1674" s="1793"/>
    </row>
    <row r="1675" spans="3:4" ht="20.100000000000001" customHeight="1">
      <c r="C1675" s="1793"/>
      <c r="D1675" s="1793"/>
    </row>
    <row r="1676" spans="3:4" ht="20.100000000000001" customHeight="1">
      <c r="C1676" s="1793"/>
      <c r="D1676" s="1793"/>
    </row>
    <row r="1677" spans="3:4" ht="20.100000000000001" customHeight="1">
      <c r="C1677" s="1793"/>
      <c r="D1677" s="1793"/>
    </row>
    <row r="1678" spans="3:4" ht="20.100000000000001" customHeight="1">
      <c r="C1678" s="1793"/>
      <c r="D1678" s="1793"/>
    </row>
    <row r="1679" spans="3:4" ht="20.100000000000001" customHeight="1">
      <c r="C1679" s="1793"/>
      <c r="D1679" s="1793"/>
    </row>
    <row r="1680" spans="3:4" ht="20.100000000000001" customHeight="1">
      <c r="C1680" s="1793"/>
      <c r="D1680" s="1793"/>
    </row>
    <row r="1681" spans="3:4" ht="20.100000000000001" customHeight="1">
      <c r="C1681" s="1793"/>
      <c r="D1681" s="1793"/>
    </row>
    <row r="1682" spans="3:4" ht="20.100000000000001" customHeight="1">
      <c r="C1682" s="1793"/>
      <c r="D1682" s="1793"/>
    </row>
    <row r="1683" spans="3:4" ht="20.100000000000001" customHeight="1">
      <c r="C1683" s="1793"/>
      <c r="D1683" s="1793"/>
    </row>
    <row r="1684" spans="3:4" ht="20.100000000000001" customHeight="1">
      <c r="C1684" s="1793"/>
      <c r="D1684" s="1793"/>
    </row>
    <row r="1685" spans="3:4" ht="20.100000000000001" customHeight="1">
      <c r="C1685" s="1793"/>
      <c r="D1685" s="1793"/>
    </row>
    <row r="1686" spans="3:4" ht="20.100000000000001" customHeight="1">
      <c r="C1686" s="1793"/>
      <c r="D1686" s="1793"/>
    </row>
    <row r="1687" spans="3:4" ht="20.100000000000001" customHeight="1">
      <c r="C1687" s="1793"/>
      <c r="D1687" s="1793"/>
    </row>
    <row r="1688" spans="3:4" ht="20.100000000000001" customHeight="1">
      <c r="C1688" s="1793"/>
      <c r="D1688" s="1793"/>
    </row>
    <row r="1689" spans="3:4" ht="20.100000000000001" customHeight="1">
      <c r="C1689" s="1793"/>
      <c r="D1689" s="1793"/>
    </row>
    <row r="1690" spans="3:4" ht="20.100000000000001" customHeight="1">
      <c r="C1690" s="1793"/>
      <c r="D1690" s="1793"/>
    </row>
    <row r="1691" spans="3:4" ht="20.100000000000001" customHeight="1">
      <c r="C1691" s="1793"/>
      <c r="D1691" s="1793"/>
    </row>
    <row r="1692" spans="3:4" ht="20.100000000000001" customHeight="1">
      <c r="C1692" s="1793"/>
      <c r="D1692" s="1793"/>
    </row>
    <row r="1693" spans="3:4" ht="20.100000000000001" customHeight="1">
      <c r="C1693" s="1793"/>
      <c r="D1693" s="1793"/>
    </row>
    <row r="1694" spans="3:4" ht="20.100000000000001" customHeight="1">
      <c r="C1694" s="1793"/>
      <c r="D1694" s="1793"/>
    </row>
    <row r="1695" spans="3:4" ht="20.100000000000001" customHeight="1">
      <c r="C1695" s="1793"/>
      <c r="D1695" s="1793"/>
    </row>
    <row r="1696" spans="3:4" ht="20.100000000000001" customHeight="1">
      <c r="C1696" s="1793"/>
      <c r="D1696" s="1793"/>
    </row>
    <row r="1697" spans="3:4" ht="20.100000000000001" customHeight="1">
      <c r="C1697" s="1793"/>
      <c r="D1697" s="1793"/>
    </row>
    <row r="1698" spans="3:4" ht="20.100000000000001" customHeight="1">
      <c r="C1698" s="1793"/>
      <c r="D1698" s="1793"/>
    </row>
    <row r="1699" spans="3:4" ht="20.100000000000001" customHeight="1">
      <c r="C1699" s="1793"/>
      <c r="D1699" s="1793"/>
    </row>
    <row r="1700" spans="3:4" ht="20.100000000000001" customHeight="1">
      <c r="C1700" s="1793"/>
      <c r="D1700" s="1793"/>
    </row>
    <row r="1701" spans="3:4" ht="20.100000000000001" customHeight="1">
      <c r="C1701" s="1793"/>
      <c r="D1701" s="1793"/>
    </row>
    <row r="1702" spans="3:4" ht="20.100000000000001" customHeight="1">
      <c r="C1702" s="1793"/>
      <c r="D1702" s="1793"/>
    </row>
    <row r="1703" spans="3:4" ht="20.100000000000001" customHeight="1">
      <c r="C1703" s="1793"/>
      <c r="D1703" s="1793"/>
    </row>
    <row r="1704" spans="3:4" ht="20.100000000000001" customHeight="1">
      <c r="C1704" s="1793"/>
      <c r="D1704" s="1793"/>
    </row>
    <row r="1705" spans="3:4" ht="20.100000000000001" customHeight="1">
      <c r="C1705" s="1793"/>
      <c r="D1705" s="1793"/>
    </row>
    <row r="1706" spans="3:4" ht="20.100000000000001" customHeight="1">
      <c r="C1706" s="1793"/>
      <c r="D1706" s="1793"/>
    </row>
    <row r="1707" spans="3:4" ht="20.100000000000001" customHeight="1">
      <c r="C1707" s="1793"/>
      <c r="D1707" s="1793"/>
    </row>
    <row r="1708" spans="3:4" ht="20.100000000000001" customHeight="1">
      <c r="C1708" s="1793"/>
      <c r="D1708" s="1793"/>
    </row>
    <row r="1709" spans="3:4" ht="20.100000000000001" customHeight="1">
      <c r="C1709" s="1793"/>
      <c r="D1709" s="1793"/>
    </row>
    <row r="1710" spans="3:4" ht="20.100000000000001" customHeight="1">
      <c r="C1710" s="1793"/>
      <c r="D1710" s="1793"/>
    </row>
    <row r="1711" spans="3:4" ht="20.100000000000001" customHeight="1">
      <c r="C1711" s="1793"/>
      <c r="D1711" s="1793"/>
    </row>
    <row r="1712" spans="3:4" ht="20.100000000000001" customHeight="1">
      <c r="C1712" s="1793"/>
      <c r="D1712" s="1793"/>
    </row>
    <row r="1713" spans="3:4" ht="20.100000000000001" customHeight="1">
      <c r="C1713" s="1793"/>
      <c r="D1713" s="1793"/>
    </row>
    <row r="1714" spans="3:4" ht="20.100000000000001" customHeight="1">
      <c r="C1714" s="1793"/>
      <c r="D1714" s="1793"/>
    </row>
    <row r="1715" spans="3:4" ht="20.100000000000001" customHeight="1">
      <c r="C1715" s="1793"/>
      <c r="D1715" s="1793"/>
    </row>
    <row r="1716" spans="3:4" ht="20.100000000000001" customHeight="1">
      <c r="C1716" s="1793"/>
      <c r="D1716" s="1793"/>
    </row>
    <row r="1717" spans="3:4" ht="20.100000000000001" customHeight="1">
      <c r="C1717" s="1793"/>
      <c r="D1717" s="1793"/>
    </row>
    <row r="1718" spans="3:4" ht="20.100000000000001" customHeight="1">
      <c r="C1718" s="1793"/>
      <c r="D1718" s="1793"/>
    </row>
    <row r="1719" spans="3:4" ht="20.100000000000001" customHeight="1">
      <c r="C1719" s="1793"/>
      <c r="D1719" s="1793"/>
    </row>
    <row r="1720" spans="3:4" ht="20.100000000000001" customHeight="1">
      <c r="C1720" s="1793"/>
      <c r="D1720" s="1793"/>
    </row>
    <row r="1721" spans="3:4" ht="20.100000000000001" customHeight="1">
      <c r="C1721" s="1793"/>
      <c r="D1721" s="1793"/>
    </row>
    <row r="1722" spans="3:4" ht="20.100000000000001" customHeight="1">
      <c r="C1722" s="1793"/>
      <c r="D1722" s="1793"/>
    </row>
    <row r="1723" spans="3:4" ht="20.100000000000001" customHeight="1">
      <c r="C1723" s="1793"/>
      <c r="D1723" s="1793"/>
    </row>
    <row r="1724" spans="3:4" ht="20.100000000000001" customHeight="1">
      <c r="C1724" s="1793"/>
      <c r="D1724" s="1793"/>
    </row>
    <row r="1725" spans="3:4" ht="20.100000000000001" customHeight="1">
      <c r="C1725" s="1793"/>
      <c r="D1725" s="1793"/>
    </row>
    <row r="1726" spans="3:4" ht="20.100000000000001" customHeight="1">
      <c r="C1726" s="1793"/>
      <c r="D1726" s="1793"/>
    </row>
    <row r="1727" spans="3:4" ht="20.100000000000001" customHeight="1">
      <c r="C1727" s="1793"/>
      <c r="D1727" s="1793"/>
    </row>
    <row r="1728" spans="3:4" ht="20.100000000000001" customHeight="1">
      <c r="C1728" s="1793"/>
      <c r="D1728" s="1793"/>
    </row>
    <row r="1729" spans="3:4" ht="20.100000000000001" customHeight="1">
      <c r="C1729" s="1793"/>
      <c r="D1729" s="1793"/>
    </row>
    <row r="1730" spans="3:4" ht="20.100000000000001" customHeight="1">
      <c r="C1730" s="1793"/>
      <c r="D1730" s="1793"/>
    </row>
    <row r="1731" spans="3:4" ht="20.100000000000001" customHeight="1">
      <c r="C1731" s="1793"/>
      <c r="D1731" s="1793"/>
    </row>
    <row r="1732" spans="3:4" ht="20.100000000000001" customHeight="1">
      <c r="C1732" s="1793"/>
      <c r="D1732" s="1793"/>
    </row>
    <row r="1733" spans="3:4" ht="20.100000000000001" customHeight="1">
      <c r="C1733" s="1793"/>
      <c r="D1733" s="1793"/>
    </row>
    <row r="1734" spans="3:4" ht="20.100000000000001" customHeight="1">
      <c r="C1734" s="1793"/>
      <c r="D1734" s="1793"/>
    </row>
    <row r="1735" spans="3:4" ht="20.100000000000001" customHeight="1">
      <c r="C1735" s="1793"/>
      <c r="D1735" s="1793"/>
    </row>
    <row r="1736" spans="3:4" ht="20.100000000000001" customHeight="1">
      <c r="C1736" s="1793"/>
      <c r="D1736" s="1793"/>
    </row>
    <row r="1737" spans="3:4" ht="20.100000000000001" customHeight="1">
      <c r="C1737" s="1793"/>
      <c r="D1737" s="1793"/>
    </row>
    <row r="1738" spans="3:4" ht="20.100000000000001" customHeight="1">
      <c r="C1738" s="1793"/>
      <c r="D1738" s="1793"/>
    </row>
    <row r="1739" spans="3:4" ht="20.100000000000001" customHeight="1">
      <c r="C1739" s="1793"/>
      <c r="D1739" s="1793"/>
    </row>
    <row r="1740" spans="3:4" ht="20.100000000000001" customHeight="1">
      <c r="C1740" s="1793"/>
      <c r="D1740" s="1793"/>
    </row>
    <row r="1741" spans="3:4" ht="20.100000000000001" customHeight="1">
      <c r="C1741" s="1793"/>
      <c r="D1741" s="1793"/>
    </row>
    <row r="1742" spans="3:4" ht="20.100000000000001" customHeight="1">
      <c r="C1742" s="1793"/>
      <c r="D1742" s="1793"/>
    </row>
    <row r="1743" spans="3:4" ht="20.100000000000001" customHeight="1">
      <c r="C1743" s="1793"/>
      <c r="D1743" s="1793"/>
    </row>
    <row r="1744" spans="3:4" ht="20.100000000000001" customHeight="1">
      <c r="C1744" s="1793"/>
      <c r="D1744" s="1793"/>
    </row>
    <row r="1745" spans="3:4" ht="20.100000000000001" customHeight="1">
      <c r="C1745" s="1793"/>
      <c r="D1745" s="1793"/>
    </row>
    <row r="1746" spans="3:4" ht="20.100000000000001" customHeight="1">
      <c r="C1746" s="1793"/>
      <c r="D1746" s="1793"/>
    </row>
    <row r="1747" spans="3:4" ht="20.100000000000001" customHeight="1">
      <c r="C1747" s="1793"/>
      <c r="D1747" s="1793"/>
    </row>
    <row r="1748" spans="3:4" ht="20.100000000000001" customHeight="1">
      <c r="C1748" s="1793"/>
      <c r="D1748" s="1793"/>
    </row>
    <row r="1749" spans="3:4" ht="20.100000000000001" customHeight="1">
      <c r="C1749" s="1793"/>
      <c r="D1749" s="1793"/>
    </row>
    <row r="1750" spans="3:4" ht="20.100000000000001" customHeight="1">
      <c r="C1750" s="1793"/>
      <c r="D1750" s="1793"/>
    </row>
    <row r="1751" spans="3:4" ht="20.100000000000001" customHeight="1">
      <c r="C1751" s="1793"/>
      <c r="D1751" s="1793"/>
    </row>
    <row r="1752" spans="3:4" ht="20.100000000000001" customHeight="1">
      <c r="C1752" s="1793"/>
      <c r="D1752" s="1793"/>
    </row>
    <row r="1753" spans="3:4" ht="20.100000000000001" customHeight="1">
      <c r="C1753" s="1793"/>
      <c r="D1753" s="1793"/>
    </row>
    <row r="1754" spans="3:4" ht="20.100000000000001" customHeight="1">
      <c r="C1754" s="1793"/>
      <c r="D1754" s="1793"/>
    </row>
    <row r="1755" spans="3:4" ht="20.100000000000001" customHeight="1">
      <c r="C1755" s="1793"/>
      <c r="D1755" s="1793"/>
    </row>
    <row r="1756" spans="3:4" ht="20.100000000000001" customHeight="1">
      <c r="C1756" s="1793"/>
      <c r="D1756" s="1793"/>
    </row>
    <row r="1757" spans="3:4" ht="20.100000000000001" customHeight="1">
      <c r="C1757" s="1793"/>
      <c r="D1757" s="1793"/>
    </row>
    <row r="1758" spans="3:4" ht="20.100000000000001" customHeight="1">
      <c r="C1758" s="1793"/>
      <c r="D1758" s="1793"/>
    </row>
    <row r="1759" spans="3:4" ht="20.100000000000001" customHeight="1">
      <c r="C1759" s="1793"/>
      <c r="D1759" s="1793"/>
    </row>
    <row r="1760" spans="3:4" ht="20.100000000000001" customHeight="1">
      <c r="C1760" s="1793"/>
      <c r="D1760" s="1793"/>
    </row>
    <row r="1761" spans="3:4" ht="20.100000000000001" customHeight="1">
      <c r="C1761" s="1793"/>
      <c r="D1761" s="1793"/>
    </row>
    <row r="1762" spans="3:4" ht="20.100000000000001" customHeight="1">
      <c r="C1762" s="1793"/>
      <c r="D1762" s="1793"/>
    </row>
    <row r="1763" spans="3:4" ht="20.100000000000001" customHeight="1">
      <c r="C1763" s="1793"/>
      <c r="D1763" s="1793"/>
    </row>
    <row r="1764" spans="3:4" ht="20.100000000000001" customHeight="1">
      <c r="C1764" s="1793"/>
      <c r="D1764" s="1793"/>
    </row>
    <row r="1765" spans="3:4" ht="20.100000000000001" customHeight="1">
      <c r="C1765" s="1793"/>
      <c r="D1765" s="1793"/>
    </row>
    <row r="1766" spans="3:4" ht="20.100000000000001" customHeight="1">
      <c r="C1766" s="1793"/>
      <c r="D1766" s="1793"/>
    </row>
    <row r="1767" spans="3:4" ht="20.100000000000001" customHeight="1">
      <c r="C1767" s="1793"/>
      <c r="D1767" s="1793"/>
    </row>
    <row r="1768" spans="3:4" ht="20.100000000000001" customHeight="1">
      <c r="C1768" s="1793"/>
      <c r="D1768" s="1793"/>
    </row>
    <row r="1769" spans="3:4" ht="20.100000000000001" customHeight="1">
      <c r="C1769" s="1793"/>
      <c r="D1769" s="1793"/>
    </row>
    <row r="1770" spans="3:4" ht="20.100000000000001" customHeight="1">
      <c r="C1770" s="1793"/>
      <c r="D1770" s="1793"/>
    </row>
    <row r="1771" spans="3:4" ht="20.100000000000001" customHeight="1">
      <c r="C1771" s="1793"/>
      <c r="D1771" s="1793"/>
    </row>
    <row r="1772" spans="3:4" ht="20.100000000000001" customHeight="1">
      <c r="C1772" s="1793"/>
      <c r="D1772" s="1793"/>
    </row>
    <row r="1773" spans="3:4" ht="20.100000000000001" customHeight="1">
      <c r="C1773" s="1793"/>
      <c r="D1773" s="1793"/>
    </row>
    <row r="1774" spans="3:4" ht="20.100000000000001" customHeight="1">
      <c r="C1774" s="1793"/>
      <c r="D1774" s="1793"/>
    </row>
    <row r="1775" spans="3:4" ht="20.100000000000001" customHeight="1">
      <c r="C1775" s="1793"/>
      <c r="D1775" s="1793"/>
    </row>
    <row r="1776" spans="3:4" ht="20.100000000000001" customHeight="1">
      <c r="C1776" s="1793"/>
      <c r="D1776" s="1793"/>
    </row>
    <row r="1777" spans="3:4" ht="20.100000000000001" customHeight="1">
      <c r="C1777" s="1793"/>
      <c r="D1777" s="1793"/>
    </row>
    <row r="1778" spans="3:4" ht="20.100000000000001" customHeight="1">
      <c r="C1778" s="1793"/>
      <c r="D1778" s="1793"/>
    </row>
    <row r="1779" spans="3:4" ht="20.100000000000001" customHeight="1">
      <c r="C1779" s="1793"/>
      <c r="D1779" s="1793"/>
    </row>
    <row r="1780" spans="3:4" ht="20.100000000000001" customHeight="1">
      <c r="C1780" s="1793"/>
      <c r="D1780" s="1793"/>
    </row>
    <row r="1781" spans="3:4" ht="20.100000000000001" customHeight="1">
      <c r="C1781" s="1793"/>
      <c r="D1781" s="1793"/>
    </row>
    <row r="1782" spans="3:4" ht="20.100000000000001" customHeight="1">
      <c r="C1782" s="1793"/>
      <c r="D1782" s="1793"/>
    </row>
    <row r="1783" spans="3:4" ht="20.100000000000001" customHeight="1">
      <c r="C1783" s="1793"/>
      <c r="D1783" s="1793"/>
    </row>
    <row r="1784" spans="3:4" ht="20.100000000000001" customHeight="1">
      <c r="C1784" s="1793"/>
      <c r="D1784" s="1793"/>
    </row>
    <row r="1785" spans="3:4" ht="20.100000000000001" customHeight="1">
      <c r="C1785" s="1793"/>
      <c r="D1785" s="1793"/>
    </row>
    <row r="1786" spans="3:4" ht="20.100000000000001" customHeight="1">
      <c r="C1786" s="1793"/>
      <c r="D1786" s="1793"/>
    </row>
    <row r="1787" spans="3:4" ht="20.100000000000001" customHeight="1">
      <c r="C1787" s="1793"/>
      <c r="D1787" s="1793"/>
    </row>
    <row r="1788" spans="3:4" ht="20.100000000000001" customHeight="1">
      <c r="C1788" s="1793"/>
      <c r="D1788" s="1793"/>
    </row>
    <row r="1789" spans="3:4" ht="20.100000000000001" customHeight="1">
      <c r="C1789" s="1793"/>
      <c r="D1789" s="1793"/>
    </row>
    <row r="1790" spans="3:4" ht="20.100000000000001" customHeight="1">
      <c r="C1790" s="1793"/>
      <c r="D1790" s="1793"/>
    </row>
    <row r="1791" spans="3:4" ht="20.100000000000001" customHeight="1">
      <c r="C1791" s="1793"/>
      <c r="D1791" s="1793"/>
    </row>
    <row r="1792" spans="3:4" ht="20.100000000000001" customHeight="1">
      <c r="C1792" s="1793"/>
      <c r="D1792" s="1793"/>
    </row>
    <row r="1793" spans="3:4" ht="20.100000000000001" customHeight="1">
      <c r="C1793" s="1793"/>
      <c r="D1793" s="1793"/>
    </row>
    <row r="1794" spans="3:4" ht="20.100000000000001" customHeight="1">
      <c r="C1794" s="1793"/>
      <c r="D1794" s="1793"/>
    </row>
    <row r="1795" spans="3:4" ht="20.100000000000001" customHeight="1">
      <c r="C1795" s="1793"/>
      <c r="D1795" s="1793"/>
    </row>
    <row r="1796" spans="3:4" ht="20.100000000000001" customHeight="1">
      <c r="C1796" s="1793"/>
      <c r="D1796" s="1793"/>
    </row>
    <row r="1797" spans="3:4" ht="20.100000000000001" customHeight="1">
      <c r="C1797" s="1793"/>
      <c r="D1797" s="1793"/>
    </row>
    <row r="1798" spans="3:4" ht="20.100000000000001" customHeight="1">
      <c r="C1798" s="1793"/>
      <c r="D1798" s="1793"/>
    </row>
    <row r="1799" spans="3:4" ht="20.100000000000001" customHeight="1">
      <c r="C1799" s="1793"/>
      <c r="D1799" s="1793"/>
    </row>
    <row r="1800" spans="3:4" ht="20.100000000000001" customHeight="1">
      <c r="C1800" s="1793"/>
      <c r="D1800" s="1793"/>
    </row>
    <row r="1801" spans="3:4" ht="20.100000000000001" customHeight="1">
      <c r="C1801" s="1793"/>
      <c r="D1801" s="1793"/>
    </row>
    <row r="1802" spans="3:4" ht="20.100000000000001" customHeight="1">
      <c r="C1802" s="1793"/>
      <c r="D1802" s="1793"/>
    </row>
    <row r="1803" spans="3:4" ht="20.100000000000001" customHeight="1">
      <c r="C1803" s="1793"/>
      <c r="D1803" s="1793"/>
    </row>
    <row r="1804" spans="3:4" ht="20.100000000000001" customHeight="1">
      <c r="C1804" s="1793"/>
      <c r="D1804" s="1793"/>
    </row>
    <row r="1805" spans="3:4" ht="20.100000000000001" customHeight="1">
      <c r="C1805" s="1793"/>
      <c r="D1805" s="1793"/>
    </row>
    <row r="1806" spans="3:4" ht="20.100000000000001" customHeight="1">
      <c r="C1806" s="1793"/>
      <c r="D1806" s="1793"/>
    </row>
    <row r="1807" spans="3:4" ht="20.100000000000001" customHeight="1">
      <c r="C1807" s="1793"/>
      <c r="D1807" s="1793"/>
    </row>
    <row r="1808" spans="3:4" ht="20.100000000000001" customHeight="1">
      <c r="C1808" s="1793"/>
      <c r="D1808" s="1793"/>
    </row>
    <row r="1809" spans="3:4" ht="20.100000000000001" customHeight="1">
      <c r="C1809" s="1793"/>
      <c r="D1809" s="1793"/>
    </row>
    <row r="1810" spans="3:4" ht="20.100000000000001" customHeight="1">
      <c r="C1810" s="1793"/>
      <c r="D1810" s="1793"/>
    </row>
    <row r="1811" spans="3:4" ht="20.100000000000001" customHeight="1">
      <c r="C1811" s="1793"/>
      <c r="D1811" s="1793"/>
    </row>
    <row r="1812" spans="3:4" ht="20.100000000000001" customHeight="1">
      <c r="C1812" s="1793"/>
      <c r="D1812" s="1793"/>
    </row>
    <row r="1813" spans="3:4" ht="20.100000000000001" customHeight="1">
      <c r="C1813" s="1793"/>
      <c r="D1813" s="1793"/>
    </row>
    <row r="1814" spans="3:4" ht="20.100000000000001" customHeight="1">
      <c r="C1814" s="1793"/>
      <c r="D1814" s="1793"/>
    </row>
    <row r="1815" spans="3:4" ht="20.100000000000001" customHeight="1">
      <c r="C1815" s="1793"/>
      <c r="D1815" s="1793"/>
    </row>
    <row r="1816" spans="3:4" ht="20.100000000000001" customHeight="1">
      <c r="C1816" s="1793"/>
      <c r="D1816" s="1793"/>
    </row>
    <row r="1817" spans="3:4" ht="20.100000000000001" customHeight="1">
      <c r="C1817" s="1793"/>
      <c r="D1817" s="1793"/>
    </row>
    <row r="1818" spans="3:4" ht="20.100000000000001" customHeight="1">
      <c r="C1818" s="1793"/>
      <c r="D1818" s="1793"/>
    </row>
    <row r="1819" spans="3:4" ht="20.100000000000001" customHeight="1">
      <c r="C1819" s="1793"/>
      <c r="D1819" s="1793"/>
    </row>
    <row r="1820" spans="3:4" ht="20.100000000000001" customHeight="1">
      <c r="C1820" s="1793"/>
      <c r="D1820" s="1793"/>
    </row>
    <row r="1821" spans="3:4" ht="20.100000000000001" customHeight="1">
      <c r="C1821" s="1793"/>
      <c r="D1821" s="1793"/>
    </row>
    <row r="1822" spans="3:4" ht="20.100000000000001" customHeight="1">
      <c r="C1822" s="1793"/>
      <c r="D1822" s="1793"/>
    </row>
    <row r="1823" spans="3:4" ht="20.100000000000001" customHeight="1">
      <c r="C1823" s="1793"/>
      <c r="D1823" s="1793"/>
    </row>
    <row r="1824" spans="3:4" ht="20.100000000000001" customHeight="1">
      <c r="C1824" s="1793"/>
      <c r="D1824" s="1793"/>
    </row>
    <row r="1825" spans="3:4" ht="20.100000000000001" customHeight="1">
      <c r="C1825" s="1793"/>
      <c r="D1825" s="1793"/>
    </row>
    <row r="1826" spans="3:4" ht="20.100000000000001" customHeight="1">
      <c r="C1826" s="1793"/>
      <c r="D1826" s="1793"/>
    </row>
    <row r="1827" spans="3:4" ht="20.100000000000001" customHeight="1">
      <c r="C1827" s="1793"/>
      <c r="D1827" s="1793"/>
    </row>
    <row r="1828" spans="3:4" ht="20.100000000000001" customHeight="1">
      <c r="C1828" s="1793"/>
      <c r="D1828" s="1793"/>
    </row>
    <row r="1829" spans="3:4" ht="20.100000000000001" customHeight="1">
      <c r="C1829" s="1793"/>
      <c r="D1829" s="1793"/>
    </row>
    <row r="1830" spans="3:4" ht="20.100000000000001" customHeight="1">
      <c r="C1830" s="1793"/>
      <c r="D1830" s="1793"/>
    </row>
    <row r="1831" spans="3:4" ht="20.100000000000001" customHeight="1">
      <c r="C1831" s="1793"/>
      <c r="D1831" s="1793"/>
    </row>
    <row r="1832" spans="3:4" ht="20.100000000000001" customHeight="1">
      <c r="C1832" s="1793"/>
      <c r="D1832" s="1793"/>
    </row>
    <row r="1833" spans="3:4" ht="20.100000000000001" customHeight="1">
      <c r="C1833" s="1793"/>
      <c r="D1833" s="1793"/>
    </row>
    <row r="1834" spans="3:4" ht="20.100000000000001" customHeight="1">
      <c r="C1834" s="1793"/>
      <c r="D1834" s="1793"/>
    </row>
    <row r="1835" spans="3:4" ht="20.100000000000001" customHeight="1">
      <c r="C1835" s="1793"/>
      <c r="D1835" s="1793"/>
    </row>
    <row r="1836" spans="3:4" ht="20.100000000000001" customHeight="1">
      <c r="C1836" s="1793"/>
      <c r="D1836" s="1793"/>
    </row>
    <row r="1837" spans="3:4" ht="20.100000000000001" customHeight="1">
      <c r="C1837" s="1793"/>
      <c r="D1837" s="1793"/>
    </row>
    <row r="1838" spans="3:4" ht="20.100000000000001" customHeight="1">
      <c r="C1838" s="1793"/>
      <c r="D1838" s="1793"/>
    </row>
    <row r="1839" spans="3:4" ht="20.100000000000001" customHeight="1">
      <c r="C1839" s="1793"/>
      <c r="D1839" s="1793"/>
    </row>
    <row r="1840" spans="3:4" ht="20.100000000000001" customHeight="1">
      <c r="C1840" s="1793"/>
      <c r="D1840" s="1793"/>
    </row>
    <row r="1841" spans="3:4" ht="20.100000000000001" customHeight="1">
      <c r="C1841" s="1793"/>
      <c r="D1841" s="1793"/>
    </row>
    <row r="1842" spans="3:4" ht="20.100000000000001" customHeight="1">
      <c r="C1842" s="1793"/>
      <c r="D1842" s="1793"/>
    </row>
    <row r="1843" spans="3:4" ht="20.100000000000001" customHeight="1">
      <c r="C1843" s="1793"/>
      <c r="D1843" s="1793"/>
    </row>
    <row r="1844" spans="3:4" ht="20.100000000000001" customHeight="1">
      <c r="C1844" s="1793"/>
      <c r="D1844" s="1793"/>
    </row>
    <row r="1845" spans="3:4" ht="20.100000000000001" customHeight="1">
      <c r="C1845" s="1793"/>
      <c r="D1845" s="1793"/>
    </row>
    <row r="1846" spans="3:4" ht="20.100000000000001" customHeight="1">
      <c r="C1846" s="1793"/>
      <c r="D1846" s="1793"/>
    </row>
    <row r="1847" spans="3:4" ht="20.100000000000001" customHeight="1">
      <c r="C1847" s="1793"/>
      <c r="D1847" s="1793"/>
    </row>
    <row r="1848" spans="3:4" ht="20.100000000000001" customHeight="1">
      <c r="C1848" s="1793"/>
      <c r="D1848" s="1793"/>
    </row>
    <row r="1849" spans="3:4" ht="20.100000000000001" customHeight="1">
      <c r="C1849" s="1793"/>
      <c r="D1849" s="1793"/>
    </row>
    <row r="1850" spans="3:4" ht="20.100000000000001" customHeight="1">
      <c r="C1850" s="1793"/>
      <c r="D1850" s="1793"/>
    </row>
    <row r="1851" spans="3:4" ht="20.100000000000001" customHeight="1">
      <c r="C1851" s="1793"/>
      <c r="D1851" s="1793"/>
    </row>
    <row r="1852" spans="3:4" ht="20.100000000000001" customHeight="1">
      <c r="C1852" s="1793"/>
      <c r="D1852" s="1793"/>
    </row>
    <row r="1853" spans="3:4" ht="20.100000000000001" customHeight="1">
      <c r="C1853" s="1793"/>
      <c r="D1853" s="1793"/>
    </row>
    <row r="1854" spans="3:4" ht="20.100000000000001" customHeight="1">
      <c r="C1854" s="1793"/>
      <c r="D1854" s="1793"/>
    </row>
    <row r="1855" spans="3:4" ht="20.100000000000001" customHeight="1">
      <c r="C1855" s="1793"/>
      <c r="D1855" s="1793"/>
    </row>
    <row r="1856" spans="3:4" ht="20.100000000000001" customHeight="1">
      <c r="C1856" s="1793"/>
      <c r="D1856" s="1793"/>
    </row>
    <row r="1857" spans="3:4" ht="20.100000000000001" customHeight="1">
      <c r="C1857" s="1793"/>
      <c r="D1857" s="1793"/>
    </row>
    <row r="1858" spans="3:4" ht="20.100000000000001" customHeight="1">
      <c r="C1858" s="1793"/>
      <c r="D1858" s="1793"/>
    </row>
    <row r="1859" spans="3:4" ht="20.100000000000001" customHeight="1">
      <c r="C1859" s="1793"/>
      <c r="D1859" s="1793"/>
    </row>
    <row r="1860" spans="3:4" ht="20.100000000000001" customHeight="1">
      <c r="C1860" s="1793"/>
      <c r="D1860" s="1793"/>
    </row>
    <row r="1861" spans="3:4" ht="20.100000000000001" customHeight="1">
      <c r="C1861" s="1793"/>
      <c r="D1861" s="1793"/>
    </row>
    <row r="1862" spans="3:4" ht="20.100000000000001" customHeight="1">
      <c r="C1862" s="1793"/>
      <c r="D1862" s="1793"/>
    </row>
    <row r="1863" spans="3:4" ht="20.100000000000001" customHeight="1">
      <c r="C1863" s="1793"/>
      <c r="D1863" s="1793"/>
    </row>
    <row r="1864" spans="3:4" ht="20.100000000000001" customHeight="1">
      <c r="C1864" s="1793"/>
      <c r="D1864" s="1793"/>
    </row>
    <row r="1865" spans="3:4" ht="20.100000000000001" customHeight="1">
      <c r="C1865" s="1793"/>
      <c r="D1865" s="1793"/>
    </row>
    <row r="1866" spans="3:4" ht="20.100000000000001" customHeight="1">
      <c r="C1866" s="1793"/>
      <c r="D1866" s="1793"/>
    </row>
    <row r="1867" spans="3:4" ht="20.100000000000001" customHeight="1">
      <c r="C1867" s="1793"/>
      <c r="D1867" s="1793"/>
    </row>
    <row r="1868" spans="3:4" ht="20.100000000000001" customHeight="1">
      <c r="C1868" s="1793"/>
      <c r="D1868" s="1793"/>
    </row>
    <row r="1869" spans="3:4" ht="20.100000000000001" customHeight="1">
      <c r="C1869" s="1793"/>
      <c r="D1869" s="1793"/>
    </row>
    <row r="1870" spans="3:4" ht="20.100000000000001" customHeight="1">
      <c r="C1870" s="1793"/>
      <c r="D1870" s="1793"/>
    </row>
    <row r="1871" spans="3:4" ht="20.100000000000001" customHeight="1">
      <c r="C1871" s="1793"/>
      <c r="D1871" s="1793"/>
    </row>
    <row r="1872" spans="3:4" ht="20.100000000000001" customHeight="1">
      <c r="C1872" s="1793"/>
      <c r="D1872" s="1793"/>
    </row>
    <row r="1873" spans="3:4" ht="20.100000000000001" customHeight="1">
      <c r="C1873" s="1793"/>
      <c r="D1873" s="1793"/>
    </row>
    <row r="1874" spans="3:4" ht="20.100000000000001" customHeight="1">
      <c r="C1874" s="1793"/>
      <c r="D1874" s="1793"/>
    </row>
    <row r="1875" spans="3:4" ht="20.100000000000001" customHeight="1">
      <c r="C1875" s="1793"/>
      <c r="D1875" s="1793"/>
    </row>
    <row r="1876" spans="3:4" ht="20.100000000000001" customHeight="1">
      <c r="C1876" s="1793"/>
      <c r="D1876" s="1793"/>
    </row>
    <row r="1877" spans="3:4" ht="20.100000000000001" customHeight="1">
      <c r="C1877" s="1793"/>
      <c r="D1877" s="1793"/>
    </row>
    <row r="1878" spans="3:4" ht="20.100000000000001" customHeight="1">
      <c r="C1878" s="1793"/>
      <c r="D1878" s="1793"/>
    </row>
    <row r="1879" spans="3:4" ht="20.100000000000001" customHeight="1">
      <c r="C1879" s="1793"/>
      <c r="D1879" s="1793"/>
    </row>
    <row r="1880" spans="3:4" ht="20.100000000000001" customHeight="1">
      <c r="C1880" s="1793"/>
      <c r="D1880" s="1793"/>
    </row>
    <row r="1881" spans="3:4" ht="20.100000000000001" customHeight="1">
      <c r="C1881" s="1793"/>
      <c r="D1881" s="1793"/>
    </row>
    <row r="1882" spans="3:4" ht="20.100000000000001" customHeight="1">
      <c r="C1882" s="1793"/>
      <c r="D1882" s="1793"/>
    </row>
    <row r="1883" spans="3:4" ht="20.100000000000001" customHeight="1">
      <c r="C1883" s="1793"/>
      <c r="D1883" s="1793"/>
    </row>
    <row r="1884" spans="3:4" ht="20.100000000000001" customHeight="1">
      <c r="C1884" s="1793"/>
      <c r="D1884" s="1793"/>
    </row>
    <row r="1885" spans="3:4" ht="20.100000000000001" customHeight="1">
      <c r="C1885" s="1793"/>
      <c r="D1885" s="1793"/>
    </row>
    <row r="1886" spans="3:4" ht="20.100000000000001" customHeight="1">
      <c r="C1886" s="1793"/>
      <c r="D1886" s="1793"/>
    </row>
    <row r="1887" spans="3:4" ht="20.100000000000001" customHeight="1">
      <c r="C1887" s="1793"/>
      <c r="D1887" s="1793"/>
    </row>
    <row r="1888" spans="3:4" ht="20.100000000000001" customHeight="1">
      <c r="C1888" s="1793"/>
      <c r="D1888" s="1793"/>
    </row>
    <row r="1889" spans="3:4" ht="20.100000000000001" customHeight="1">
      <c r="C1889" s="1793"/>
      <c r="D1889" s="1793"/>
    </row>
    <row r="1890" spans="3:4" ht="20.100000000000001" customHeight="1">
      <c r="C1890" s="1793"/>
      <c r="D1890" s="1793"/>
    </row>
    <row r="1891" spans="3:4" ht="20.100000000000001" customHeight="1">
      <c r="C1891" s="1793"/>
      <c r="D1891" s="1793"/>
    </row>
    <row r="1892" spans="3:4" ht="20.100000000000001" customHeight="1">
      <c r="C1892" s="1793"/>
      <c r="D1892" s="1793"/>
    </row>
    <row r="1893" spans="3:4" ht="20.100000000000001" customHeight="1">
      <c r="C1893" s="1793"/>
      <c r="D1893" s="1793"/>
    </row>
    <row r="1894" spans="3:4" ht="20.100000000000001" customHeight="1">
      <c r="C1894" s="1793"/>
      <c r="D1894" s="1793"/>
    </row>
    <row r="1895" spans="3:4" ht="20.100000000000001" customHeight="1">
      <c r="C1895" s="1793"/>
      <c r="D1895" s="1793"/>
    </row>
    <row r="1896" spans="3:4" ht="20.100000000000001" customHeight="1">
      <c r="C1896" s="1793"/>
      <c r="D1896" s="1793"/>
    </row>
    <row r="1897" spans="3:4" ht="20.100000000000001" customHeight="1">
      <c r="C1897" s="1793"/>
      <c r="D1897" s="1793"/>
    </row>
    <row r="1898" spans="3:4" ht="20.100000000000001" customHeight="1">
      <c r="C1898" s="1793"/>
      <c r="D1898" s="1793"/>
    </row>
    <row r="1899" spans="3:4" ht="20.100000000000001" customHeight="1">
      <c r="C1899" s="1793"/>
      <c r="D1899" s="1793"/>
    </row>
    <row r="1900" spans="3:4" ht="20.100000000000001" customHeight="1">
      <c r="C1900" s="1793"/>
      <c r="D1900" s="1793"/>
    </row>
    <row r="1901" spans="3:4" ht="20.100000000000001" customHeight="1">
      <c r="C1901" s="1793"/>
      <c r="D1901" s="1793"/>
    </row>
    <row r="1902" spans="3:4" ht="20.100000000000001" customHeight="1">
      <c r="C1902" s="1793"/>
      <c r="D1902" s="1793"/>
    </row>
    <row r="1903" spans="3:4" ht="20.100000000000001" customHeight="1">
      <c r="C1903" s="1793"/>
      <c r="D1903" s="1793"/>
    </row>
    <row r="1904" spans="3:4" ht="20.100000000000001" customHeight="1">
      <c r="C1904" s="1793"/>
      <c r="D1904" s="1793"/>
    </row>
    <row r="1905" spans="3:4" ht="20.100000000000001" customHeight="1">
      <c r="C1905" s="1793"/>
      <c r="D1905" s="1793"/>
    </row>
    <row r="1906" spans="3:4" ht="20.100000000000001" customHeight="1">
      <c r="C1906" s="1793"/>
      <c r="D1906" s="1793"/>
    </row>
    <row r="1907" spans="3:4" ht="20.100000000000001" customHeight="1">
      <c r="C1907" s="1793"/>
      <c r="D1907" s="1793"/>
    </row>
    <row r="1908" spans="3:4" ht="20.100000000000001" customHeight="1">
      <c r="C1908" s="1793"/>
      <c r="D1908" s="1793"/>
    </row>
    <row r="1909" spans="3:4" ht="20.100000000000001" customHeight="1">
      <c r="C1909" s="1793"/>
      <c r="D1909" s="1793"/>
    </row>
    <row r="1910" spans="3:4" ht="20.100000000000001" customHeight="1">
      <c r="C1910" s="1793"/>
      <c r="D1910" s="1793"/>
    </row>
    <row r="1911" spans="3:4" ht="20.100000000000001" customHeight="1">
      <c r="C1911" s="1793"/>
      <c r="D1911" s="1793"/>
    </row>
    <row r="1912" spans="3:4" ht="20.100000000000001" customHeight="1">
      <c r="C1912" s="1793"/>
      <c r="D1912" s="1793"/>
    </row>
    <row r="1913" spans="3:4" ht="20.100000000000001" customHeight="1">
      <c r="C1913" s="1793"/>
      <c r="D1913" s="1793"/>
    </row>
    <row r="1914" spans="3:4" ht="20.100000000000001" customHeight="1">
      <c r="C1914" s="1793"/>
      <c r="D1914" s="1793"/>
    </row>
    <row r="1915" spans="3:4" ht="20.100000000000001" customHeight="1">
      <c r="C1915" s="1793"/>
      <c r="D1915" s="1793"/>
    </row>
    <row r="1916" spans="3:4" ht="20.100000000000001" customHeight="1">
      <c r="C1916" s="1793"/>
      <c r="D1916" s="1793"/>
    </row>
    <row r="1917" spans="3:4" ht="20.100000000000001" customHeight="1">
      <c r="C1917" s="1793"/>
      <c r="D1917" s="1793"/>
    </row>
    <row r="1918" spans="3:4" ht="20.100000000000001" customHeight="1">
      <c r="C1918" s="1793"/>
      <c r="D1918" s="1793"/>
    </row>
    <row r="1919" spans="3:4" ht="20.100000000000001" customHeight="1">
      <c r="C1919" s="1793"/>
      <c r="D1919" s="1793"/>
    </row>
    <row r="1920" spans="3:4" ht="20.100000000000001" customHeight="1">
      <c r="C1920" s="1793"/>
      <c r="D1920" s="1793"/>
    </row>
    <row r="1921" spans="3:4" ht="20.100000000000001" customHeight="1">
      <c r="C1921" s="1793"/>
      <c r="D1921" s="1793"/>
    </row>
    <row r="1922" spans="3:4" ht="20.100000000000001" customHeight="1">
      <c r="C1922" s="1793"/>
      <c r="D1922" s="1793"/>
    </row>
    <row r="1923" spans="3:4" ht="20.100000000000001" customHeight="1">
      <c r="C1923" s="1793"/>
      <c r="D1923" s="1793"/>
    </row>
    <row r="1924" spans="3:4" ht="20.100000000000001" customHeight="1">
      <c r="C1924" s="1793"/>
      <c r="D1924" s="1793"/>
    </row>
    <row r="1925" spans="3:4" ht="20.100000000000001" customHeight="1">
      <c r="C1925" s="1793"/>
      <c r="D1925" s="1793"/>
    </row>
    <row r="1926" spans="3:4" ht="20.100000000000001" customHeight="1">
      <c r="C1926" s="1793"/>
      <c r="D1926" s="1793"/>
    </row>
    <row r="1927" spans="3:4" ht="20.100000000000001" customHeight="1">
      <c r="C1927" s="1793"/>
      <c r="D1927" s="1793"/>
    </row>
    <row r="1928" spans="3:4" ht="20.100000000000001" customHeight="1">
      <c r="C1928" s="1793"/>
      <c r="D1928" s="1793"/>
    </row>
    <row r="1929" spans="3:4" ht="20.100000000000001" customHeight="1">
      <c r="C1929" s="1793"/>
      <c r="D1929" s="1793"/>
    </row>
    <row r="1930" spans="3:4" ht="20.100000000000001" customHeight="1">
      <c r="C1930" s="1793"/>
      <c r="D1930" s="1793"/>
    </row>
    <row r="1931" spans="3:4" ht="20.100000000000001" customHeight="1">
      <c r="C1931" s="1793"/>
      <c r="D1931" s="1793"/>
    </row>
    <row r="1932" spans="3:4" ht="20.100000000000001" customHeight="1">
      <c r="C1932" s="1793"/>
      <c r="D1932" s="1793"/>
    </row>
    <row r="1933" spans="3:4" ht="20.100000000000001" customHeight="1">
      <c r="C1933" s="1793"/>
      <c r="D1933" s="1793"/>
    </row>
    <row r="1934" spans="3:4" ht="20.100000000000001" customHeight="1">
      <c r="C1934" s="1793"/>
      <c r="D1934" s="1793"/>
    </row>
    <row r="1935" spans="3:4" ht="20.100000000000001" customHeight="1">
      <c r="C1935" s="1793"/>
      <c r="D1935" s="1793"/>
    </row>
    <row r="1936" spans="3:4" ht="20.100000000000001" customHeight="1">
      <c r="C1936" s="1793"/>
      <c r="D1936" s="1793"/>
    </row>
    <row r="1937" spans="3:4" ht="20.100000000000001" customHeight="1">
      <c r="C1937" s="1793"/>
      <c r="D1937" s="1793"/>
    </row>
    <row r="1938" spans="3:4" ht="20.100000000000001" customHeight="1">
      <c r="C1938" s="1793"/>
      <c r="D1938" s="1793"/>
    </row>
    <row r="1939" spans="3:4" ht="20.100000000000001" customHeight="1">
      <c r="C1939" s="1793"/>
      <c r="D1939" s="1793"/>
    </row>
    <row r="1940" spans="3:4" ht="20.100000000000001" customHeight="1">
      <c r="C1940" s="1793"/>
      <c r="D1940" s="1793"/>
    </row>
    <row r="1941" spans="3:4" ht="20.100000000000001" customHeight="1">
      <c r="C1941" s="1793"/>
      <c r="D1941" s="1793"/>
    </row>
    <row r="1942" spans="3:4" ht="20.100000000000001" customHeight="1">
      <c r="C1942" s="1793"/>
      <c r="D1942" s="1793"/>
    </row>
    <row r="1943" spans="3:4" ht="20.100000000000001" customHeight="1">
      <c r="C1943" s="1793"/>
      <c r="D1943" s="1793"/>
    </row>
    <row r="1944" spans="3:4" ht="20.100000000000001" customHeight="1">
      <c r="C1944" s="1793"/>
      <c r="D1944" s="1793"/>
    </row>
    <row r="1945" spans="3:4" ht="20.100000000000001" customHeight="1">
      <c r="C1945" s="1793"/>
      <c r="D1945" s="1793"/>
    </row>
    <row r="1946" spans="3:4" ht="20.100000000000001" customHeight="1">
      <c r="C1946" s="1793"/>
      <c r="D1946" s="1793"/>
    </row>
    <row r="1947" spans="3:4" ht="20.100000000000001" customHeight="1">
      <c r="C1947" s="1793"/>
      <c r="D1947" s="1793"/>
    </row>
    <row r="1948" spans="3:4" ht="20.100000000000001" customHeight="1">
      <c r="C1948" s="1793"/>
      <c r="D1948" s="1793"/>
    </row>
    <row r="1949" spans="3:4" ht="20.100000000000001" customHeight="1">
      <c r="C1949" s="1793"/>
      <c r="D1949" s="1793"/>
    </row>
    <row r="1950" spans="3:4" ht="20.100000000000001" customHeight="1">
      <c r="C1950" s="1793"/>
      <c r="D1950" s="1793"/>
    </row>
    <row r="1951" spans="3:4" ht="20.100000000000001" customHeight="1">
      <c r="C1951" s="1793"/>
      <c r="D1951" s="1793"/>
    </row>
    <row r="1952" spans="3:4" ht="20.100000000000001" customHeight="1">
      <c r="C1952" s="1793"/>
      <c r="D1952" s="1793"/>
    </row>
    <row r="1953" spans="3:4" ht="20.100000000000001" customHeight="1">
      <c r="C1953" s="1793"/>
      <c r="D1953" s="1793"/>
    </row>
    <row r="1954" spans="3:4" ht="20.100000000000001" customHeight="1">
      <c r="C1954" s="1793"/>
      <c r="D1954" s="1793"/>
    </row>
    <row r="1955" spans="3:4" ht="20.100000000000001" customHeight="1">
      <c r="C1955" s="1793"/>
      <c r="D1955" s="1793"/>
    </row>
    <row r="1956" spans="3:4" ht="20.100000000000001" customHeight="1">
      <c r="C1956" s="1793"/>
      <c r="D1956" s="1793"/>
    </row>
    <row r="1957" spans="3:4" ht="20.100000000000001" customHeight="1">
      <c r="C1957" s="1793"/>
      <c r="D1957" s="1793"/>
    </row>
    <row r="1958" spans="3:4" ht="20.100000000000001" customHeight="1">
      <c r="C1958" s="1793"/>
      <c r="D1958" s="1793"/>
    </row>
    <row r="1959" spans="3:4" ht="20.100000000000001" customHeight="1">
      <c r="C1959" s="1793"/>
      <c r="D1959" s="1793"/>
    </row>
    <row r="1960" spans="3:4" ht="20.100000000000001" customHeight="1">
      <c r="C1960" s="1793"/>
      <c r="D1960" s="1793"/>
    </row>
    <row r="1961" spans="3:4" ht="20.100000000000001" customHeight="1">
      <c r="C1961" s="1793"/>
      <c r="D1961" s="1793"/>
    </row>
    <row r="1962" spans="3:4" ht="20.100000000000001" customHeight="1">
      <c r="C1962" s="1793"/>
      <c r="D1962" s="1793"/>
    </row>
    <row r="1963" spans="3:4" ht="20.100000000000001" customHeight="1">
      <c r="C1963" s="1793"/>
      <c r="D1963" s="1793"/>
    </row>
    <row r="1964" spans="3:4" ht="20.100000000000001" customHeight="1">
      <c r="C1964" s="1793"/>
      <c r="D1964" s="1793"/>
    </row>
    <row r="1965" spans="3:4" ht="20.100000000000001" customHeight="1">
      <c r="C1965" s="1793"/>
      <c r="D1965" s="1793"/>
    </row>
    <row r="1966" spans="3:4" ht="20.100000000000001" customHeight="1">
      <c r="C1966" s="1793"/>
      <c r="D1966" s="1793"/>
    </row>
    <row r="1967" spans="3:4" ht="20.100000000000001" customHeight="1">
      <c r="C1967" s="1793"/>
      <c r="D1967" s="1793"/>
    </row>
    <row r="1968" spans="3:4" ht="20.100000000000001" customHeight="1">
      <c r="C1968" s="1793"/>
      <c r="D1968" s="1793"/>
    </row>
    <row r="1969" spans="3:4" ht="20.100000000000001" customHeight="1">
      <c r="C1969" s="1793"/>
      <c r="D1969" s="1793"/>
    </row>
    <row r="1970" spans="3:4" ht="20.100000000000001" customHeight="1">
      <c r="C1970" s="1793"/>
      <c r="D1970" s="1793"/>
    </row>
    <row r="1971" spans="3:4" ht="20.100000000000001" customHeight="1">
      <c r="C1971" s="1793"/>
      <c r="D1971" s="1793"/>
    </row>
    <row r="1972" spans="3:4" ht="20.100000000000001" customHeight="1">
      <c r="C1972" s="1793"/>
      <c r="D1972" s="1793"/>
    </row>
    <row r="1973" spans="3:4" ht="20.100000000000001" customHeight="1">
      <c r="C1973" s="1793"/>
      <c r="D1973" s="1793"/>
    </row>
    <row r="1974" spans="3:4" ht="20.100000000000001" customHeight="1">
      <c r="C1974" s="1793"/>
      <c r="D1974" s="1793"/>
    </row>
    <row r="1975" spans="3:4" ht="20.100000000000001" customHeight="1">
      <c r="C1975" s="1793"/>
      <c r="D1975" s="1793"/>
    </row>
    <row r="1976" spans="3:4" ht="20.100000000000001" customHeight="1">
      <c r="C1976" s="1793"/>
      <c r="D1976" s="1793"/>
    </row>
    <row r="1977" spans="3:4" ht="20.100000000000001" customHeight="1">
      <c r="C1977" s="1793"/>
      <c r="D1977" s="1793"/>
    </row>
    <row r="1978" spans="3:4" ht="20.100000000000001" customHeight="1">
      <c r="C1978" s="1793"/>
      <c r="D1978" s="1793"/>
    </row>
    <row r="1979" spans="3:4" ht="20.100000000000001" customHeight="1">
      <c r="C1979" s="1793"/>
      <c r="D1979" s="1793"/>
    </row>
    <row r="1980" spans="3:4" ht="20.100000000000001" customHeight="1">
      <c r="C1980" s="1793"/>
      <c r="D1980" s="1793"/>
    </row>
    <row r="1981" spans="3:4" ht="20.100000000000001" customHeight="1">
      <c r="C1981" s="1793"/>
      <c r="D1981" s="1793"/>
    </row>
    <row r="1982" spans="3:4" ht="20.100000000000001" customHeight="1">
      <c r="C1982" s="1793"/>
      <c r="D1982" s="1793"/>
    </row>
    <row r="1983" spans="3:4" ht="20.100000000000001" customHeight="1">
      <c r="C1983" s="1793"/>
      <c r="D1983" s="1793"/>
    </row>
    <row r="1984" spans="3:4" ht="20.100000000000001" customHeight="1">
      <c r="C1984" s="1793"/>
      <c r="D1984" s="1793"/>
    </row>
    <row r="1985" spans="3:4" ht="20.100000000000001" customHeight="1">
      <c r="C1985" s="1793"/>
      <c r="D1985" s="1793"/>
    </row>
    <row r="1986" spans="3:4" ht="20.100000000000001" customHeight="1">
      <c r="C1986" s="1793"/>
      <c r="D1986" s="1793"/>
    </row>
    <row r="1987" spans="3:4" ht="20.100000000000001" customHeight="1">
      <c r="C1987" s="1793"/>
      <c r="D1987" s="1793"/>
    </row>
    <row r="1988" spans="3:4" ht="20.100000000000001" customHeight="1">
      <c r="C1988" s="1793"/>
      <c r="D1988" s="1793"/>
    </row>
    <row r="1989" spans="3:4" ht="20.100000000000001" customHeight="1">
      <c r="C1989" s="1793"/>
      <c r="D1989" s="1793"/>
    </row>
    <row r="1990" spans="3:4" ht="20.100000000000001" customHeight="1">
      <c r="C1990" s="1793"/>
      <c r="D1990" s="1793"/>
    </row>
    <row r="1991" spans="3:4" ht="20.100000000000001" customHeight="1">
      <c r="C1991" s="1793"/>
      <c r="D1991" s="1793"/>
    </row>
    <row r="1992" spans="3:4" ht="20.100000000000001" customHeight="1">
      <c r="C1992" s="1793"/>
      <c r="D1992" s="1793"/>
    </row>
    <row r="1993" spans="3:4" ht="20.100000000000001" customHeight="1">
      <c r="C1993" s="1793"/>
      <c r="D1993" s="1793"/>
    </row>
    <row r="1994" spans="3:4" ht="20.100000000000001" customHeight="1">
      <c r="C1994" s="1793"/>
      <c r="D1994" s="1793"/>
    </row>
    <row r="1995" spans="3:4" ht="20.100000000000001" customHeight="1">
      <c r="C1995" s="1793"/>
      <c r="D1995" s="1793"/>
    </row>
    <row r="1996" spans="3:4" ht="20.100000000000001" customHeight="1">
      <c r="C1996" s="1793"/>
      <c r="D1996" s="1793"/>
    </row>
    <row r="1997" spans="3:4" ht="20.100000000000001" customHeight="1">
      <c r="C1997" s="1793"/>
      <c r="D1997" s="1793"/>
    </row>
    <row r="1998" spans="3:4" ht="20.100000000000001" customHeight="1">
      <c r="C1998" s="1793"/>
      <c r="D1998" s="1793"/>
    </row>
    <row r="1999" spans="3:4" ht="20.100000000000001" customHeight="1">
      <c r="C1999" s="1793"/>
      <c r="D1999" s="1793"/>
    </row>
    <row r="2000" spans="3:4" ht="20.100000000000001" customHeight="1">
      <c r="C2000" s="1793"/>
      <c r="D2000" s="1793"/>
    </row>
    <row r="2001" spans="3:4" ht="20.100000000000001" customHeight="1">
      <c r="C2001" s="1793"/>
      <c r="D2001" s="1793"/>
    </row>
    <row r="2002" spans="3:4" ht="20.100000000000001" customHeight="1">
      <c r="C2002" s="1793"/>
      <c r="D2002" s="1793"/>
    </row>
    <row r="2003" spans="3:4" ht="20.100000000000001" customHeight="1">
      <c r="C2003" s="1793"/>
      <c r="D2003" s="1793"/>
    </row>
    <row r="2004" spans="3:4" ht="20.100000000000001" customHeight="1">
      <c r="C2004" s="1793"/>
      <c r="D2004" s="1793"/>
    </row>
    <row r="2005" spans="3:4" ht="20.100000000000001" customHeight="1">
      <c r="C2005" s="1793"/>
      <c r="D2005" s="1793"/>
    </row>
    <row r="2006" spans="3:4" ht="20.100000000000001" customHeight="1">
      <c r="C2006" s="1793"/>
      <c r="D2006" s="1793"/>
    </row>
    <row r="2007" spans="3:4" ht="20.100000000000001" customHeight="1">
      <c r="C2007" s="1793"/>
      <c r="D2007" s="1793"/>
    </row>
    <row r="2008" spans="3:4" ht="20.100000000000001" customHeight="1">
      <c r="C2008" s="1793"/>
      <c r="D2008" s="1793"/>
    </row>
    <row r="2009" spans="3:4" ht="20.100000000000001" customHeight="1">
      <c r="C2009" s="1793"/>
      <c r="D2009" s="1793"/>
    </row>
    <row r="2010" spans="3:4" ht="20.100000000000001" customHeight="1">
      <c r="C2010" s="1793"/>
      <c r="D2010" s="1793"/>
    </row>
    <row r="2011" spans="3:4" ht="20.100000000000001" customHeight="1">
      <c r="C2011" s="1793"/>
      <c r="D2011" s="1793"/>
    </row>
    <row r="2012" spans="3:4" ht="20.100000000000001" customHeight="1">
      <c r="C2012" s="1793"/>
      <c r="D2012" s="1793"/>
    </row>
    <row r="2013" spans="3:4" ht="20.100000000000001" customHeight="1">
      <c r="C2013" s="1793"/>
      <c r="D2013" s="1793"/>
    </row>
    <row r="2014" spans="3:4" ht="20.100000000000001" customHeight="1">
      <c r="C2014" s="1793"/>
      <c r="D2014" s="1793"/>
    </row>
    <row r="2015" spans="3:4" ht="20.100000000000001" customHeight="1">
      <c r="C2015" s="1793"/>
      <c r="D2015" s="1793"/>
    </row>
    <row r="2016" spans="3:4" ht="20.100000000000001" customHeight="1">
      <c r="C2016" s="1793"/>
      <c r="D2016" s="1793"/>
    </row>
    <row r="2017" spans="3:4" ht="20.100000000000001" customHeight="1">
      <c r="C2017" s="1793"/>
      <c r="D2017" s="1793"/>
    </row>
    <row r="2018" spans="3:4" ht="20.100000000000001" customHeight="1">
      <c r="C2018" s="1793"/>
      <c r="D2018" s="1793"/>
    </row>
    <row r="2019" spans="3:4" ht="20.100000000000001" customHeight="1">
      <c r="C2019" s="1793"/>
      <c r="D2019" s="1793"/>
    </row>
    <row r="2020" spans="3:4" ht="20.100000000000001" customHeight="1">
      <c r="C2020" s="1793"/>
      <c r="D2020" s="1793"/>
    </row>
    <row r="2021" spans="3:4" ht="20.100000000000001" customHeight="1">
      <c r="C2021" s="1793"/>
      <c r="D2021" s="1793"/>
    </row>
    <row r="2022" spans="3:4" ht="20.100000000000001" customHeight="1">
      <c r="C2022" s="1793"/>
      <c r="D2022" s="1793"/>
    </row>
    <row r="2023" spans="3:4" ht="20.100000000000001" customHeight="1">
      <c r="C2023" s="1793"/>
      <c r="D2023" s="1793"/>
    </row>
    <row r="2024" spans="3:4" ht="20.100000000000001" customHeight="1">
      <c r="C2024" s="1793"/>
      <c r="D2024" s="1793"/>
    </row>
    <row r="2025" spans="3:4" ht="20.100000000000001" customHeight="1">
      <c r="C2025" s="1793"/>
      <c r="D2025" s="1793"/>
    </row>
    <row r="2026" spans="3:4" ht="20.100000000000001" customHeight="1">
      <c r="C2026" s="1793"/>
      <c r="D2026" s="1793"/>
    </row>
    <row r="2027" spans="3:4" ht="20.100000000000001" customHeight="1">
      <c r="C2027" s="1793"/>
      <c r="D2027" s="1793"/>
    </row>
    <row r="2028" spans="3:4" ht="20.100000000000001" customHeight="1">
      <c r="C2028" s="1793"/>
      <c r="D2028" s="1793"/>
    </row>
    <row r="2029" spans="3:4" ht="20.100000000000001" customHeight="1">
      <c r="C2029" s="1793"/>
      <c r="D2029" s="1793"/>
    </row>
    <row r="2030" spans="3:4" ht="20.100000000000001" customHeight="1">
      <c r="C2030" s="1793"/>
      <c r="D2030" s="1793"/>
    </row>
    <row r="2031" spans="3:4" ht="20.100000000000001" customHeight="1">
      <c r="C2031" s="1793"/>
      <c r="D2031" s="1793"/>
    </row>
    <row r="2032" spans="3:4" ht="20.100000000000001" customHeight="1">
      <c r="C2032" s="1793"/>
      <c r="D2032" s="1793"/>
    </row>
    <row r="2033" spans="3:4" ht="20.100000000000001" customHeight="1">
      <c r="C2033" s="1793"/>
      <c r="D2033" s="1793"/>
    </row>
    <row r="2034" spans="3:4" ht="20.100000000000001" customHeight="1">
      <c r="C2034" s="1793"/>
      <c r="D2034" s="1793"/>
    </row>
    <row r="2035" spans="3:4" ht="20.100000000000001" customHeight="1">
      <c r="C2035" s="1793"/>
      <c r="D2035" s="1793"/>
    </row>
    <row r="2036" spans="3:4" ht="20.100000000000001" customHeight="1">
      <c r="C2036" s="1793"/>
      <c r="D2036" s="1793"/>
    </row>
    <row r="2037" spans="3:4" ht="20.100000000000001" customHeight="1">
      <c r="C2037" s="1793"/>
      <c r="D2037" s="1793"/>
    </row>
    <row r="2038" spans="3:4" ht="20.100000000000001" customHeight="1">
      <c r="C2038" s="1793"/>
      <c r="D2038" s="1793"/>
    </row>
    <row r="2039" spans="3:4" ht="20.100000000000001" customHeight="1">
      <c r="C2039" s="1793"/>
      <c r="D2039" s="1793"/>
    </row>
    <row r="2040" spans="3:4" ht="20.100000000000001" customHeight="1">
      <c r="C2040" s="1793"/>
      <c r="D2040" s="1793"/>
    </row>
    <row r="2041" spans="3:4" ht="20.100000000000001" customHeight="1">
      <c r="C2041" s="1793"/>
      <c r="D2041" s="1793"/>
    </row>
    <row r="2042" spans="3:4" ht="20.100000000000001" customHeight="1">
      <c r="C2042" s="1793"/>
      <c r="D2042" s="1793"/>
    </row>
    <row r="2043" spans="3:4" ht="20.100000000000001" customHeight="1">
      <c r="C2043" s="1793"/>
      <c r="D2043" s="1793"/>
    </row>
    <row r="2044" spans="3:4" ht="20.100000000000001" customHeight="1">
      <c r="C2044" s="1793"/>
      <c r="D2044" s="1793"/>
    </row>
    <row r="2045" spans="3:4" ht="20.100000000000001" customHeight="1">
      <c r="C2045" s="1793"/>
      <c r="D2045" s="1793"/>
    </row>
    <row r="2046" spans="3:4" ht="20.100000000000001" customHeight="1">
      <c r="C2046" s="1793"/>
      <c r="D2046" s="1793"/>
    </row>
    <row r="2047" spans="3:4" ht="20.100000000000001" customHeight="1">
      <c r="C2047" s="1793"/>
      <c r="D2047" s="1793"/>
    </row>
    <row r="2048" spans="3:4" ht="20.100000000000001" customHeight="1">
      <c r="C2048" s="1793"/>
      <c r="D2048" s="1793"/>
    </row>
    <row r="2049" spans="3:4" ht="20.100000000000001" customHeight="1">
      <c r="C2049" s="1793"/>
      <c r="D2049" s="1793"/>
    </row>
    <row r="2050" spans="3:4" ht="20.100000000000001" customHeight="1">
      <c r="C2050" s="1793"/>
      <c r="D2050" s="1793"/>
    </row>
    <row r="2051" spans="3:4" ht="20.100000000000001" customHeight="1">
      <c r="C2051" s="1793"/>
      <c r="D2051" s="1793"/>
    </row>
    <row r="2052" spans="3:4" ht="20.100000000000001" customHeight="1">
      <c r="C2052" s="1793"/>
      <c r="D2052" s="1793"/>
    </row>
    <row r="2053" spans="3:4" ht="20.100000000000001" customHeight="1">
      <c r="C2053" s="1793"/>
      <c r="D2053" s="1793"/>
    </row>
    <row r="2054" spans="3:4" ht="20.100000000000001" customHeight="1">
      <c r="C2054" s="1793"/>
      <c r="D2054" s="1793"/>
    </row>
    <row r="2055" spans="3:4" ht="20.100000000000001" customHeight="1">
      <c r="C2055" s="1793"/>
      <c r="D2055" s="1793"/>
    </row>
    <row r="2056" spans="3:4" ht="20.100000000000001" customHeight="1">
      <c r="C2056" s="1793"/>
      <c r="D2056" s="1793"/>
    </row>
    <row r="2057" spans="3:4" ht="20.100000000000001" customHeight="1">
      <c r="C2057" s="1793"/>
      <c r="D2057" s="1793"/>
    </row>
    <row r="2058" spans="3:4" ht="20.100000000000001" customHeight="1">
      <c r="C2058" s="1793"/>
      <c r="D2058" s="1793"/>
    </row>
    <row r="2059" spans="3:4" ht="20.100000000000001" customHeight="1">
      <c r="C2059" s="1793"/>
      <c r="D2059" s="1793"/>
    </row>
    <row r="2060" spans="3:4" ht="20.100000000000001" customHeight="1">
      <c r="C2060" s="1793"/>
      <c r="D2060" s="1793"/>
    </row>
    <row r="2061" spans="3:4" ht="20.100000000000001" customHeight="1">
      <c r="C2061" s="1793"/>
      <c r="D2061" s="1793"/>
    </row>
    <row r="2062" spans="3:4" ht="20.100000000000001" customHeight="1">
      <c r="C2062" s="1793"/>
      <c r="D2062" s="1793"/>
    </row>
    <row r="2063" spans="3:4" ht="20.100000000000001" customHeight="1">
      <c r="C2063" s="1793"/>
      <c r="D2063" s="1793"/>
    </row>
    <row r="2064" spans="3:4" ht="20.100000000000001" customHeight="1">
      <c r="C2064" s="1793"/>
      <c r="D2064" s="1793"/>
    </row>
    <row r="2065" spans="3:4" ht="20.100000000000001" customHeight="1">
      <c r="C2065" s="1793"/>
      <c r="D2065" s="1793"/>
    </row>
    <row r="2066" spans="3:4" ht="20.100000000000001" customHeight="1">
      <c r="C2066" s="1793"/>
      <c r="D2066" s="1793"/>
    </row>
    <row r="2067" spans="3:4" ht="20.100000000000001" customHeight="1">
      <c r="C2067" s="1793"/>
      <c r="D2067" s="1793"/>
    </row>
    <row r="2068" spans="3:4" ht="20.100000000000001" customHeight="1">
      <c r="C2068" s="1793"/>
      <c r="D2068" s="1793"/>
    </row>
    <row r="2069" spans="3:4" ht="20.100000000000001" customHeight="1">
      <c r="C2069" s="1793"/>
      <c r="D2069" s="1793"/>
    </row>
    <row r="2070" spans="3:4" ht="20.100000000000001" customHeight="1">
      <c r="C2070" s="1793"/>
      <c r="D2070" s="1793"/>
    </row>
    <row r="2071" spans="3:4" ht="20.100000000000001" customHeight="1">
      <c r="C2071" s="1793"/>
      <c r="D2071" s="1793"/>
    </row>
    <row r="2072" spans="3:4" ht="20.100000000000001" customHeight="1">
      <c r="C2072" s="1793"/>
      <c r="D2072" s="1793"/>
    </row>
    <row r="2073" spans="3:4" ht="20.100000000000001" customHeight="1">
      <c r="C2073" s="1793"/>
      <c r="D2073" s="1793"/>
    </row>
    <row r="2074" spans="3:4" ht="20.100000000000001" customHeight="1">
      <c r="C2074" s="1793"/>
      <c r="D2074" s="1793"/>
    </row>
    <row r="2075" spans="3:4" ht="20.100000000000001" customHeight="1">
      <c r="C2075" s="1793"/>
      <c r="D2075" s="1793"/>
    </row>
    <row r="2076" spans="3:4" ht="20.100000000000001" customHeight="1">
      <c r="C2076" s="1793"/>
      <c r="D2076" s="1793"/>
    </row>
    <row r="2077" spans="3:4" ht="20.100000000000001" customHeight="1">
      <c r="C2077" s="1793"/>
      <c r="D2077" s="1793"/>
    </row>
    <row r="2078" spans="3:4" ht="20.100000000000001" customHeight="1">
      <c r="C2078" s="1793"/>
      <c r="D2078" s="1793"/>
    </row>
    <row r="2079" spans="3:4" ht="20.100000000000001" customHeight="1">
      <c r="C2079" s="1793"/>
      <c r="D2079" s="1793"/>
    </row>
    <row r="2080" spans="3:4" ht="20.100000000000001" customHeight="1">
      <c r="C2080" s="1793"/>
      <c r="D2080" s="1793"/>
    </row>
    <row r="2081" spans="3:4" ht="20.100000000000001" customHeight="1">
      <c r="C2081" s="1793"/>
      <c r="D2081" s="1793"/>
    </row>
    <row r="2082" spans="3:4" ht="20.100000000000001" customHeight="1">
      <c r="C2082" s="1793"/>
      <c r="D2082" s="1793"/>
    </row>
    <row r="2083" spans="3:4" ht="20.100000000000001" customHeight="1">
      <c r="C2083" s="1793"/>
      <c r="D2083" s="1793"/>
    </row>
    <row r="2084" spans="3:4" ht="20.100000000000001" customHeight="1">
      <c r="C2084" s="1793"/>
      <c r="D2084" s="1793"/>
    </row>
    <row r="2085" spans="3:4" ht="20.100000000000001" customHeight="1">
      <c r="C2085" s="1793"/>
      <c r="D2085" s="1793"/>
    </row>
    <row r="2086" spans="3:4" ht="20.100000000000001" customHeight="1">
      <c r="C2086" s="1793"/>
      <c r="D2086" s="1793"/>
    </row>
    <row r="2087" spans="3:4" ht="20.100000000000001" customHeight="1">
      <c r="C2087" s="1793"/>
      <c r="D2087" s="1793"/>
    </row>
    <row r="2088" spans="3:4" ht="20.100000000000001" customHeight="1">
      <c r="C2088" s="1793"/>
      <c r="D2088" s="1793"/>
    </row>
    <row r="2089" spans="3:4" ht="20.100000000000001" customHeight="1">
      <c r="C2089" s="1793"/>
      <c r="D2089" s="1793"/>
    </row>
    <row r="2090" spans="3:4" ht="20.100000000000001" customHeight="1">
      <c r="C2090" s="1793"/>
      <c r="D2090" s="1793"/>
    </row>
    <row r="2091" spans="3:4" ht="20.100000000000001" customHeight="1">
      <c r="C2091" s="1793"/>
      <c r="D2091" s="1793"/>
    </row>
    <row r="2092" spans="3:4" ht="20.100000000000001" customHeight="1">
      <c r="C2092" s="1793"/>
      <c r="D2092" s="1793"/>
    </row>
    <row r="2093" spans="3:4" ht="20.100000000000001" customHeight="1">
      <c r="C2093" s="1793"/>
      <c r="D2093" s="1793"/>
    </row>
    <row r="2094" spans="3:4" ht="20.100000000000001" customHeight="1">
      <c r="C2094" s="1793"/>
      <c r="D2094" s="1793"/>
    </row>
    <row r="2095" spans="3:4" ht="20.100000000000001" customHeight="1">
      <c r="C2095" s="1793"/>
      <c r="D2095" s="1793"/>
    </row>
    <row r="2096" spans="3:4" ht="20.100000000000001" customHeight="1">
      <c r="C2096" s="1793"/>
      <c r="D2096" s="1793"/>
    </row>
    <row r="2097" spans="3:4" ht="20.100000000000001" customHeight="1">
      <c r="C2097" s="1793"/>
      <c r="D2097" s="1793"/>
    </row>
    <row r="2098" spans="3:4" ht="20.100000000000001" customHeight="1">
      <c r="C2098" s="1793"/>
      <c r="D2098" s="1793"/>
    </row>
    <row r="2099" spans="3:4" ht="20.100000000000001" customHeight="1">
      <c r="C2099" s="1793"/>
      <c r="D2099" s="1793"/>
    </row>
    <row r="2100" spans="3:4" ht="20.100000000000001" customHeight="1">
      <c r="C2100" s="1793"/>
      <c r="D2100" s="1793"/>
    </row>
    <row r="2101" spans="3:4" ht="20.100000000000001" customHeight="1">
      <c r="C2101" s="1793"/>
      <c r="D2101" s="1793"/>
    </row>
    <row r="2102" spans="3:4" ht="20.100000000000001" customHeight="1">
      <c r="C2102" s="1793"/>
      <c r="D2102" s="1793"/>
    </row>
    <row r="2103" spans="3:4" ht="20.100000000000001" customHeight="1">
      <c r="C2103" s="1793"/>
      <c r="D2103" s="1793"/>
    </row>
    <row r="2104" spans="3:4" ht="20.100000000000001" customHeight="1">
      <c r="C2104" s="1793"/>
      <c r="D2104" s="1793"/>
    </row>
    <row r="2105" spans="3:4" ht="20.100000000000001" customHeight="1">
      <c r="C2105" s="1793"/>
      <c r="D2105" s="1793"/>
    </row>
    <row r="2106" spans="3:4" ht="20.100000000000001" customHeight="1">
      <c r="C2106" s="1793"/>
      <c r="D2106" s="1793"/>
    </row>
    <row r="2107" spans="3:4" ht="20.100000000000001" customHeight="1">
      <c r="C2107" s="1793"/>
      <c r="D2107" s="1793"/>
    </row>
    <row r="2108" spans="3:4" ht="20.100000000000001" customHeight="1">
      <c r="C2108" s="1793"/>
      <c r="D2108" s="1793"/>
    </row>
    <row r="2109" spans="3:4" ht="20.100000000000001" customHeight="1">
      <c r="C2109" s="1793"/>
      <c r="D2109" s="1793"/>
    </row>
    <row r="2110" spans="3:4" ht="20.100000000000001" customHeight="1">
      <c r="C2110" s="1793"/>
      <c r="D2110" s="1793"/>
    </row>
    <row r="2111" spans="3:4" ht="20.100000000000001" customHeight="1">
      <c r="C2111" s="1793"/>
      <c r="D2111" s="1793"/>
    </row>
    <row r="2112" spans="3:4" ht="20.100000000000001" customHeight="1">
      <c r="C2112" s="1793"/>
      <c r="D2112" s="1793"/>
    </row>
    <row r="2113" spans="3:4" ht="20.100000000000001" customHeight="1">
      <c r="C2113" s="1793"/>
      <c r="D2113" s="1793"/>
    </row>
    <row r="2114" spans="3:4" ht="20.100000000000001" customHeight="1">
      <c r="C2114" s="1793"/>
      <c r="D2114" s="1793"/>
    </row>
    <row r="2115" spans="3:4" ht="20.100000000000001" customHeight="1">
      <c r="C2115" s="1793"/>
      <c r="D2115" s="1793"/>
    </row>
    <row r="2116" spans="3:4" ht="20.100000000000001" customHeight="1">
      <c r="C2116" s="1793"/>
      <c r="D2116" s="1793"/>
    </row>
    <row r="2117" spans="3:4" ht="20.100000000000001" customHeight="1">
      <c r="C2117" s="1793"/>
      <c r="D2117" s="1793"/>
    </row>
    <row r="2118" spans="3:4" ht="20.100000000000001" customHeight="1">
      <c r="C2118" s="1793"/>
      <c r="D2118" s="1793"/>
    </row>
    <row r="2119" spans="3:4" ht="20.100000000000001" customHeight="1">
      <c r="C2119" s="1793"/>
      <c r="D2119" s="1793"/>
    </row>
    <row r="2120" spans="3:4" ht="20.100000000000001" customHeight="1">
      <c r="C2120" s="1793"/>
      <c r="D2120" s="1793"/>
    </row>
    <row r="2121" spans="3:4" ht="20.100000000000001" customHeight="1">
      <c r="C2121" s="1793"/>
      <c r="D2121" s="1793"/>
    </row>
    <row r="2122" spans="3:4" ht="20.100000000000001" customHeight="1">
      <c r="C2122" s="1793"/>
      <c r="D2122" s="1793"/>
    </row>
    <row r="2123" spans="3:4" ht="20.100000000000001" customHeight="1">
      <c r="C2123" s="1793"/>
      <c r="D2123" s="1793"/>
    </row>
    <row r="2124" spans="3:4" ht="20.100000000000001" customHeight="1">
      <c r="C2124" s="1793"/>
      <c r="D2124" s="1793"/>
    </row>
    <row r="2125" spans="3:4" ht="20.100000000000001" customHeight="1">
      <c r="C2125" s="1793"/>
      <c r="D2125" s="1793"/>
    </row>
    <row r="2126" spans="3:4" ht="20.100000000000001" customHeight="1">
      <c r="C2126" s="1793"/>
      <c r="D2126" s="1793"/>
    </row>
    <row r="2127" spans="3:4" ht="20.100000000000001" customHeight="1">
      <c r="C2127" s="1793"/>
      <c r="D2127" s="1793"/>
    </row>
    <row r="2128" spans="3:4" ht="20.100000000000001" customHeight="1">
      <c r="C2128" s="1793"/>
      <c r="D2128" s="1793"/>
    </row>
    <row r="2129" spans="3:4" ht="20.100000000000001" customHeight="1">
      <c r="C2129" s="1793"/>
      <c r="D2129" s="1793"/>
    </row>
    <row r="2130" spans="3:4" ht="20.100000000000001" customHeight="1">
      <c r="C2130" s="1793"/>
      <c r="D2130" s="1793"/>
    </row>
    <row r="2131" spans="3:4" ht="20.100000000000001" customHeight="1">
      <c r="C2131" s="1793"/>
      <c r="D2131" s="1793"/>
    </row>
    <row r="2132" spans="3:4" ht="20.100000000000001" customHeight="1">
      <c r="C2132" s="1793"/>
      <c r="D2132" s="1793"/>
    </row>
    <row r="2133" spans="3:4" ht="20.100000000000001" customHeight="1">
      <c r="C2133" s="1793"/>
      <c r="D2133" s="1793"/>
    </row>
    <row r="2134" spans="3:4" ht="20.100000000000001" customHeight="1">
      <c r="C2134" s="1793"/>
      <c r="D2134" s="1793"/>
    </row>
    <row r="2135" spans="3:4" ht="20.100000000000001" customHeight="1">
      <c r="C2135" s="1793"/>
      <c r="D2135" s="1793"/>
    </row>
    <row r="2136" spans="3:4" ht="20.100000000000001" customHeight="1">
      <c r="C2136" s="1793"/>
      <c r="D2136" s="1793"/>
    </row>
    <row r="2137" spans="3:4" ht="20.100000000000001" customHeight="1">
      <c r="C2137" s="1793"/>
      <c r="D2137" s="1793"/>
    </row>
    <row r="2138" spans="3:4" ht="20.100000000000001" customHeight="1">
      <c r="C2138" s="1793"/>
      <c r="D2138" s="1793"/>
    </row>
    <row r="2139" spans="3:4" ht="20.100000000000001" customHeight="1">
      <c r="C2139" s="1793"/>
      <c r="D2139" s="1793"/>
    </row>
    <row r="2140" spans="3:4" ht="20.100000000000001" customHeight="1">
      <c r="C2140" s="1793"/>
      <c r="D2140" s="1793"/>
    </row>
    <row r="2141" spans="3:4" ht="20.100000000000001" customHeight="1">
      <c r="C2141" s="1793"/>
      <c r="D2141" s="1793"/>
    </row>
    <row r="2142" spans="3:4" ht="20.100000000000001" customHeight="1">
      <c r="C2142" s="1793"/>
      <c r="D2142" s="1793"/>
    </row>
    <row r="2143" spans="3:4" ht="20.100000000000001" customHeight="1">
      <c r="C2143" s="1793"/>
      <c r="D2143" s="1793"/>
    </row>
    <row r="2144" spans="3:4" ht="20.100000000000001" customHeight="1">
      <c r="C2144" s="1793"/>
      <c r="D2144" s="1793"/>
    </row>
    <row r="2145" spans="3:4" ht="20.100000000000001" customHeight="1">
      <c r="C2145" s="1793"/>
      <c r="D2145" s="1793"/>
    </row>
    <row r="2146" spans="3:4" ht="20.100000000000001" customHeight="1">
      <c r="C2146" s="1793"/>
      <c r="D2146" s="1793"/>
    </row>
    <row r="2147" spans="3:4" ht="20.100000000000001" customHeight="1">
      <c r="C2147" s="1793"/>
      <c r="D2147" s="1793"/>
    </row>
    <row r="2148" spans="3:4" ht="20.100000000000001" customHeight="1">
      <c r="C2148" s="1793"/>
      <c r="D2148" s="1793"/>
    </row>
    <row r="2149" spans="3:4" ht="20.100000000000001" customHeight="1">
      <c r="C2149" s="1793"/>
      <c r="D2149" s="1793"/>
    </row>
    <row r="2150" spans="3:4" ht="20.100000000000001" customHeight="1">
      <c r="C2150" s="1793"/>
      <c r="D2150" s="1793"/>
    </row>
    <row r="2151" spans="3:4" ht="20.100000000000001" customHeight="1">
      <c r="C2151" s="1793"/>
      <c r="D2151" s="1793"/>
    </row>
    <row r="2152" spans="3:4" ht="20.100000000000001" customHeight="1">
      <c r="C2152" s="1793"/>
      <c r="D2152" s="1793"/>
    </row>
    <row r="2153" spans="3:4" ht="20.100000000000001" customHeight="1">
      <c r="C2153" s="1793"/>
      <c r="D2153" s="1793"/>
    </row>
    <row r="2154" spans="3:4" ht="20.100000000000001" customHeight="1">
      <c r="C2154" s="1793"/>
      <c r="D2154" s="1793"/>
    </row>
    <row r="2155" spans="3:4" ht="20.100000000000001" customHeight="1">
      <c r="C2155" s="1793"/>
      <c r="D2155" s="1793"/>
    </row>
    <row r="2156" spans="3:4" ht="20.100000000000001" customHeight="1">
      <c r="C2156" s="1793"/>
      <c r="D2156" s="1793"/>
    </row>
    <row r="2157" spans="3:4" ht="20.100000000000001" customHeight="1">
      <c r="C2157" s="1793"/>
      <c r="D2157" s="1793"/>
    </row>
    <row r="2158" spans="3:4" ht="20.100000000000001" customHeight="1">
      <c r="C2158" s="1793"/>
      <c r="D2158" s="1793"/>
    </row>
    <row r="2159" spans="3:4" ht="20.100000000000001" customHeight="1">
      <c r="C2159" s="1793"/>
      <c r="D2159" s="1793"/>
    </row>
    <row r="2160" spans="3:4" ht="20.100000000000001" customHeight="1">
      <c r="C2160" s="1793"/>
      <c r="D2160" s="1793"/>
    </row>
    <row r="2161" spans="3:4" ht="20.100000000000001" customHeight="1">
      <c r="C2161" s="1793"/>
      <c r="D2161" s="1793"/>
    </row>
    <row r="2162" spans="3:4" ht="20.100000000000001" customHeight="1">
      <c r="C2162" s="1793"/>
      <c r="D2162" s="1793"/>
    </row>
    <row r="2163" spans="3:4" ht="20.100000000000001" customHeight="1">
      <c r="C2163" s="1793"/>
      <c r="D2163" s="1793"/>
    </row>
    <row r="2164" spans="3:4" ht="20.100000000000001" customHeight="1">
      <c r="C2164" s="1793"/>
      <c r="D2164" s="1793"/>
    </row>
    <row r="2165" spans="3:4" ht="20.100000000000001" customHeight="1">
      <c r="C2165" s="1793"/>
      <c r="D2165" s="1793"/>
    </row>
    <row r="2166" spans="3:4" ht="20.100000000000001" customHeight="1">
      <c r="C2166" s="1793"/>
      <c r="D2166" s="1793"/>
    </row>
    <row r="2167" spans="3:4" ht="20.100000000000001" customHeight="1">
      <c r="C2167" s="1793"/>
      <c r="D2167" s="1793"/>
    </row>
    <row r="2168" spans="3:4" ht="20.100000000000001" customHeight="1">
      <c r="C2168" s="1793"/>
      <c r="D2168" s="1793"/>
    </row>
    <row r="2169" spans="3:4" ht="20.100000000000001" customHeight="1">
      <c r="C2169" s="1793"/>
      <c r="D2169" s="1793"/>
    </row>
    <row r="2170" spans="3:4" ht="20.100000000000001" customHeight="1">
      <c r="C2170" s="1793"/>
      <c r="D2170" s="1793"/>
    </row>
    <row r="2171" spans="3:4" ht="20.100000000000001" customHeight="1">
      <c r="C2171" s="1793"/>
      <c r="D2171" s="1793"/>
    </row>
    <row r="2172" spans="3:4" ht="20.100000000000001" customHeight="1">
      <c r="C2172" s="1793"/>
      <c r="D2172" s="1793"/>
    </row>
    <row r="2173" spans="3:4" ht="20.100000000000001" customHeight="1">
      <c r="C2173" s="1793"/>
      <c r="D2173" s="1793"/>
    </row>
    <row r="2174" spans="3:4" ht="20.100000000000001" customHeight="1">
      <c r="C2174" s="1793"/>
      <c r="D2174" s="1793"/>
    </row>
    <row r="2175" spans="3:4" ht="20.100000000000001" customHeight="1">
      <c r="C2175" s="1793"/>
      <c r="D2175" s="1793"/>
    </row>
    <row r="2176" spans="3:4" ht="20.100000000000001" customHeight="1">
      <c r="C2176" s="1793"/>
      <c r="D2176" s="1793"/>
    </row>
    <row r="2177" spans="3:4" ht="20.100000000000001" customHeight="1">
      <c r="C2177" s="1793"/>
      <c r="D2177" s="1793"/>
    </row>
    <row r="2178" spans="3:4" ht="20.100000000000001" customHeight="1">
      <c r="C2178" s="1793"/>
      <c r="D2178" s="1793"/>
    </row>
    <row r="2179" spans="3:4" ht="20.100000000000001" customHeight="1">
      <c r="C2179" s="1793"/>
      <c r="D2179" s="1793"/>
    </row>
    <row r="2180" spans="3:4" ht="20.100000000000001" customHeight="1">
      <c r="C2180" s="1793"/>
      <c r="D2180" s="1793"/>
    </row>
    <row r="2181" spans="3:4" ht="20.100000000000001" customHeight="1">
      <c r="C2181" s="1793"/>
      <c r="D2181" s="1793"/>
    </row>
    <row r="2182" spans="3:4" ht="20.100000000000001" customHeight="1">
      <c r="C2182" s="1793"/>
      <c r="D2182" s="1793"/>
    </row>
    <row r="2183" spans="3:4" ht="20.100000000000001" customHeight="1">
      <c r="C2183" s="1793"/>
      <c r="D2183" s="1793"/>
    </row>
    <row r="2184" spans="3:4" ht="20.100000000000001" customHeight="1">
      <c r="C2184" s="1793"/>
      <c r="D2184" s="1793"/>
    </row>
    <row r="2185" spans="3:4" ht="20.100000000000001" customHeight="1">
      <c r="C2185" s="1793"/>
      <c r="D2185" s="1793"/>
    </row>
    <row r="2186" spans="3:4" ht="20.100000000000001" customHeight="1">
      <c r="C2186" s="1793"/>
      <c r="D2186" s="1793"/>
    </row>
    <row r="2187" spans="3:4" ht="20.100000000000001" customHeight="1">
      <c r="C2187" s="1793"/>
      <c r="D2187" s="1793"/>
    </row>
    <row r="2188" spans="3:4" ht="20.100000000000001" customHeight="1">
      <c r="C2188" s="1793"/>
      <c r="D2188" s="1793"/>
    </row>
    <row r="2189" spans="3:4" ht="20.100000000000001" customHeight="1">
      <c r="C2189" s="1793"/>
      <c r="D2189" s="1793"/>
    </row>
    <row r="2190" spans="3:4" ht="20.100000000000001" customHeight="1">
      <c r="C2190" s="1793"/>
      <c r="D2190" s="1793"/>
    </row>
    <row r="2191" spans="3:4" ht="20.100000000000001" customHeight="1">
      <c r="C2191" s="1793"/>
      <c r="D2191" s="1793"/>
    </row>
    <row r="2192" spans="3:4" ht="20.100000000000001" customHeight="1">
      <c r="C2192" s="1793"/>
      <c r="D2192" s="1793"/>
    </row>
    <row r="2193" spans="3:4" ht="20.100000000000001" customHeight="1">
      <c r="C2193" s="1793"/>
      <c r="D2193" s="1793"/>
    </row>
    <row r="2194" spans="3:4" ht="20.100000000000001" customHeight="1">
      <c r="C2194" s="1793"/>
      <c r="D2194" s="1793"/>
    </row>
    <row r="2195" spans="3:4" ht="20.100000000000001" customHeight="1">
      <c r="C2195" s="1793"/>
      <c r="D2195" s="1793"/>
    </row>
    <row r="2196" spans="3:4" ht="20.100000000000001" customHeight="1">
      <c r="C2196" s="1793"/>
      <c r="D2196" s="1793"/>
    </row>
    <row r="2197" spans="3:4" ht="20.100000000000001" customHeight="1">
      <c r="C2197" s="1793"/>
      <c r="D2197" s="1793"/>
    </row>
    <row r="2198" spans="3:4" ht="20.100000000000001" customHeight="1">
      <c r="C2198" s="1793"/>
      <c r="D2198" s="1793"/>
    </row>
    <row r="2199" spans="3:4" ht="20.100000000000001" customHeight="1">
      <c r="C2199" s="1793"/>
      <c r="D2199" s="1793"/>
    </row>
    <row r="2200" spans="3:4" ht="20.100000000000001" customHeight="1">
      <c r="C2200" s="1793"/>
      <c r="D2200" s="1793"/>
    </row>
    <row r="2201" spans="3:4" ht="20.100000000000001" customHeight="1">
      <c r="C2201" s="1793"/>
      <c r="D2201" s="1793"/>
    </row>
    <row r="2202" spans="3:4" ht="20.100000000000001" customHeight="1">
      <c r="C2202" s="1793"/>
      <c r="D2202" s="1793"/>
    </row>
    <row r="2203" spans="3:4" ht="20.100000000000001" customHeight="1">
      <c r="C2203" s="1793"/>
      <c r="D2203" s="1793"/>
    </row>
    <row r="2204" spans="3:4" ht="20.100000000000001" customHeight="1">
      <c r="C2204" s="1793"/>
      <c r="D2204" s="1793"/>
    </row>
    <row r="2205" spans="3:4" ht="20.100000000000001" customHeight="1">
      <c r="C2205" s="1793"/>
      <c r="D2205" s="1793"/>
    </row>
    <row r="2206" spans="3:4" ht="20.100000000000001" customHeight="1">
      <c r="C2206" s="1793"/>
      <c r="D2206" s="1793"/>
    </row>
    <row r="2207" spans="3:4" ht="20.100000000000001" customHeight="1">
      <c r="C2207" s="1793"/>
      <c r="D2207" s="1793"/>
    </row>
    <row r="2208" spans="3:4" ht="20.100000000000001" customHeight="1">
      <c r="C2208" s="1793"/>
      <c r="D2208" s="1793"/>
    </row>
    <row r="2209" spans="3:4" ht="20.100000000000001" customHeight="1">
      <c r="C2209" s="1793"/>
      <c r="D2209" s="1793"/>
    </row>
    <row r="2210" spans="3:4" ht="20.100000000000001" customHeight="1">
      <c r="C2210" s="1793"/>
      <c r="D2210" s="1793"/>
    </row>
    <row r="2211" spans="3:4" ht="20.100000000000001" customHeight="1">
      <c r="C2211" s="1793"/>
      <c r="D2211" s="1793"/>
    </row>
    <row r="2212" spans="3:4" ht="20.100000000000001" customHeight="1">
      <c r="C2212" s="1793"/>
      <c r="D2212" s="1793"/>
    </row>
    <row r="2213" spans="3:4" ht="20.100000000000001" customHeight="1">
      <c r="C2213" s="1793"/>
      <c r="D2213" s="1793"/>
    </row>
    <row r="2214" spans="3:4" ht="20.100000000000001" customHeight="1">
      <c r="C2214" s="1793"/>
      <c r="D2214" s="1793"/>
    </row>
    <row r="2215" spans="3:4" ht="20.100000000000001" customHeight="1">
      <c r="C2215" s="1793"/>
      <c r="D2215" s="1793"/>
    </row>
    <row r="2216" spans="3:4" ht="20.100000000000001" customHeight="1">
      <c r="C2216" s="1793"/>
      <c r="D2216" s="1793"/>
    </row>
    <row r="2217" spans="3:4" ht="20.100000000000001" customHeight="1">
      <c r="C2217" s="1793"/>
      <c r="D2217" s="1793"/>
    </row>
    <row r="2218" spans="3:4" ht="20.100000000000001" customHeight="1">
      <c r="C2218" s="1793"/>
      <c r="D2218" s="1793"/>
    </row>
    <row r="2219" spans="3:4" ht="20.100000000000001" customHeight="1">
      <c r="C2219" s="1793"/>
      <c r="D2219" s="1793"/>
    </row>
    <row r="2220" spans="3:4" ht="20.100000000000001" customHeight="1">
      <c r="C2220" s="1793"/>
      <c r="D2220" s="1793"/>
    </row>
    <row r="2221" spans="3:4" ht="20.100000000000001" customHeight="1">
      <c r="C2221" s="1793"/>
      <c r="D2221" s="1793"/>
    </row>
    <row r="2222" spans="3:4" ht="20.100000000000001" customHeight="1">
      <c r="C2222" s="1793"/>
      <c r="D2222" s="1793"/>
    </row>
    <row r="2223" spans="3:4" ht="20.100000000000001" customHeight="1">
      <c r="C2223" s="1793"/>
      <c r="D2223" s="1793"/>
    </row>
    <row r="2224" spans="3:4" ht="20.100000000000001" customHeight="1">
      <c r="C2224" s="1793"/>
      <c r="D2224" s="1793"/>
    </row>
    <row r="2225" spans="3:4" ht="20.100000000000001" customHeight="1">
      <c r="C2225" s="1793"/>
      <c r="D2225" s="1793"/>
    </row>
    <row r="2226" spans="3:4" ht="20.100000000000001" customHeight="1">
      <c r="C2226" s="1793"/>
      <c r="D2226" s="1793"/>
    </row>
    <row r="2227" spans="3:4" ht="20.100000000000001" customHeight="1">
      <c r="C2227" s="1793"/>
      <c r="D2227" s="1793"/>
    </row>
    <row r="2228" spans="3:4" ht="20.100000000000001" customHeight="1">
      <c r="C2228" s="1793"/>
      <c r="D2228" s="1793"/>
    </row>
    <row r="2229" spans="3:4" ht="20.100000000000001" customHeight="1">
      <c r="C2229" s="1793"/>
      <c r="D2229" s="1793"/>
    </row>
    <row r="2230" spans="3:4" ht="20.100000000000001" customHeight="1">
      <c r="C2230" s="1793"/>
      <c r="D2230" s="1793"/>
    </row>
    <row r="2231" spans="3:4" ht="20.100000000000001" customHeight="1">
      <c r="C2231" s="1793"/>
      <c r="D2231" s="1793"/>
    </row>
    <row r="2232" spans="3:4" ht="20.100000000000001" customHeight="1">
      <c r="C2232" s="1793"/>
      <c r="D2232" s="1793"/>
    </row>
    <row r="2233" spans="3:4" ht="20.100000000000001" customHeight="1">
      <c r="C2233" s="1793"/>
      <c r="D2233" s="1793"/>
    </row>
    <row r="2234" spans="3:4" ht="20.100000000000001" customHeight="1">
      <c r="C2234" s="1793"/>
      <c r="D2234" s="1793"/>
    </row>
    <row r="2235" spans="3:4" ht="20.100000000000001" customHeight="1">
      <c r="C2235" s="1793"/>
      <c r="D2235" s="1793"/>
    </row>
    <row r="2236" spans="3:4" ht="20.100000000000001" customHeight="1">
      <c r="C2236" s="1793"/>
      <c r="D2236" s="1793"/>
    </row>
    <row r="2237" spans="3:4" ht="20.100000000000001" customHeight="1">
      <c r="C2237" s="1793"/>
      <c r="D2237" s="1793"/>
    </row>
    <row r="2238" spans="3:4" ht="20.100000000000001" customHeight="1">
      <c r="C2238" s="1793"/>
      <c r="D2238" s="1793"/>
    </row>
    <row r="2239" spans="3:4" ht="20.100000000000001" customHeight="1">
      <c r="C2239" s="1793"/>
      <c r="D2239" s="1793"/>
    </row>
    <row r="2240" spans="3:4" ht="20.100000000000001" customHeight="1">
      <c r="C2240" s="1793"/>
      <c r="D2240" s="1793"/>
    </row>
    <row r="2241" spans="3:4" ht="20.100000000000001" customHeight="1">
      <c r="C2241" s="1793"/>
      <c r="D2241" s="1793"/>
    </row>
    <row r="2242" spans="3:4" ht="20.100000000000001" customHeight="1">
      <c r="C2242" s="1793"/>
      <c r="D2242" s="1793"/>
    </row>
    <row r="2243" spans="3:4" ht="20.100000000000001" customHeight="1">
      <c r="C2243" s="1793"/>
      <c r="D2243" s="1793"/>
    </row>
    <row r="2244" spans="3:4" ht="20.100000000000001" customHeight="1">
      <c r="C2244" s="1793"/>
      <c r="D2244" s="1793"/>
    </row>
    <row r="2245" spans="3:4" ht="20.100000000000001" customHeight="1">
      <c r="C2245" s="1793"/>
      <c r="D2245" s="1793"/>
    </row>
    <row r="2246" spans="3:4" ht="20.100000000000001" customHeight="1">
      <c r="C2246" s="1793"/>
      <c r="D2246" s="1793"/>
    </row>
    <row r="2247" spans="3:4" ht="20.100000000000001" customHeight="1">
      <c r="C2247" s="1793"/>
      <c r="D2247" s="1793"/>
    </row>
    <row r="2248" spans="3:4" ht="20.100000000000001" customHeight="1">
      <c r="C2248" s="1793"/>
      <c r="D2248" s="1793"/>
    </row>
    <row r="2249" spans="3:4" ht="20.100000000000001" customHeight="1">
      <c r="C2249" s="1793"/>
      <c r="D2249" s="1793"/>
    </row>
    <row r="2250" spans="3:4" ht="20.100000000000001" customHeight="1">
      <c r="C2250" s="1793"/>
      <c r="D2250" s="1793"/>
    </row>
    <row r="2251" spans="3:4" ht="20.100000000000001" customHeight="1">
      <c r="C2251" s="1793"/>
      <c r="D2251" s="1793"/>
    </row>
    <row r="2252" spans="3:4" ht="20.100000000000001" customHeight="1">
      <c r="C2252" s="1793"/>
      <c r="D2252" s="1793"/>
    </row>
    <row r="2253" spans="3:4" ht="20.100000000000001" customHeight="1">
      <c r="C2253" s="1793"/>
      <c r="D2253" s="1793"/>
    </row>
    <row r="2254" spans="3:4" ht="20.100000000000001" customHeight="1">
      <c r="C2254" s="1793"/>
      <c r="D2254" s="1793"/>
    </row>
    <row r="2255" spans="3:4" ht="20.100000000000001" customHeight="1">
      <c r="C2255" s="1793"/>
      <c r="D2255" s="1793"/>
    </row>
    <row r="2256" spans="3:4" ht="20.100000000000001" customHeight="1">
      <c r="C2256" s="1793"/>
      <c r="D2256" s="1793"/>
    </row>
    <row r="2257" spans="3:4" ht="20.100000000000001" customHeight="1">
      <c r="C2257" s="1793"/>
      <c r="D2257" s="1793"/>
    </row>
    <row r="2258" spans="3:4" ht="20.100000000000001" customHeight="1">
      <c r="C2258" s="1793"/>
      <c r="D2258" s="1793"/>
    </row>
    <row r="2259" spans="3:4" ht="20.100000000000001" customHeight="1">
      <c r="C2259" s="1793"/>
      <c r="D2259" s="1793"/>
    </row>
    <row r="2260" spans="3:4" ht="20.100000000000001" customHeight="1">
      <c r="C2260" s="1793"/>
      <c r="D2260" s="1793"/>
    </row>
    <row r="2261" spans="3:4" ht="20.100000000000001" customHeight="1">
      <c r="C2261" s="1793"/>
      <c r="D2261" s="1793"/>
    </row>
    <row r="2262" spans="3:4" ht="20.100000000000001" customHeight="1">
      <c r="C2262" s="1793"/>
      <c r="D2262" s="1793"/>
    </row>
    <row r="2263" spans="3:4" ht="20.100000000000001" customHeight="1">
      <c r="C2263" s="1793"/>
      <c r="D2263" s="1793"/>
    </row>
    <row r="2264" spans="3:4" ht="20.100000000000001" customHeight="1">
      <c r="C2264" s="1793"/>
      <c r="D2264" s="1793"/>
    </row>
    <row r="2265" spans="3:4" ht="20.100000000000001" customHeight="1">
      <c r="C2265" s="1793"/>
      <c r="D2265" s="1793"/>
    </row>
    <row r="2266" spans="3:4" ht="20.100000000000001" customHeight="1">
      <c r="C2266" s="1793"/>
      <c r="D2266" s="1793"/>
    </row>
    <row r="2267" spans="3:4" ht="20.100000000000001" customHeight="1">
      <c r="C2267" s="1793"/>
      <c r="D2267" s="1793"/>
    </row>
    <row r="2268" spans="3:4" ht="20.100000000000001" customHeight="1">
      <c r="C2268" s="1793"/>
      <c r="D2268" s="1793"/>
    </row>
    <row r="2269" spans="3:4" ht="20.100000000000001" customHeight="1">
      <c r="C2269" s="1793"/>
      <c r="D2269" s="1793"/>
    </row>
    <row r="2270" spans="3:4" ht="20.100000000000001" customHeight="1">
      <c r="C2270" s="1793"/>
      <c r="D2270" s="1793"/>
    </row>
    <row r="2271" spans="3:4" ht="20.100000000000001" customHeight="1">
      <c r="C2271" s="1793"/>
      <c r="D2271" s="1793"/>
    </row>
    <row r="2272" spans="3:4" ht="20.100000000000001" customHeight="1">
      <c r="C2272" s="1793"/>
      <c r="D2272" s="1793"/>
    </row>
    <row r="2273" spans="3:4" ht="20.100000000000001" customHeight="1">
      <c r="C2273" s="1793"/>
      <c r="D2273" s="1793"/>
    </row>
    <row r="2274" spans="3:4" ht="20.100000000000001" customHeight="1">
      <c r="C2274" s="1793"/>
      <c r="D2274" s="1793"/>
    </row>
    <row r="2275" spans="3:4" ht="20.100000000000001" customHeight="1">
      <c r="C2275" s="1793"/>
      <c r="D2275" s="1793"/>
    </row>
    <row r="2276" spans="3:4" ht="20.100000000000001" customHeight="1">
      <c r="C2276" s="1793"/>
      <c r="D2276" s="1793"/>
    </row>
    <row r="2277" spans="3:4" ht="20.100000000000001" customHeight="1">
      <c r="C2277" s="1793"/>
      <c r="D2277" s="1793"/>
    </row>
    <row r="2278" spans="3:4" ht="20.100000000000001" customHeight="1">
      <c r="C2278" s="1793"/>
      <c r="D2278" s="1793"/>
    </row>
    <row r="2279" spans="3:4" ht="20.100000000000001" customHeight="1">
      <c r="C2279" s="1793"/>
      <c r="D2279" s="1793"/>
    </row>
    <row r="2280" spans="3:4" ht="20.100000000000001" customHeight="1">
      <c r="C2280" s="1793"/>
      <c r="D2280" s="1793"/>
    </row>
    <row r="2281" spans="3:4" ht="20.100000000000001" customHeight="1">
      <c r="C2281" s="1793"/>
      <c r="D2281" s="1793"/>
    </row>
    <row r="2282" spans="3:4" ht="20.100000000000001" customHeight="1">
      <c r="C2282" s="1793"/>
      <c r="D2282" s="1793"/>
    </row>
    <row r="2283" spans="3:4" ht="20.100000000000001" customHeight="1">
      <c r="C2283" s="1793"/>
      <c r="D2283" s="1793"/>
    </row>
    <row r="2284" spans="3:4" ht="20.100000000000001" customHeight="1">
      <c r="C2284" s="1793"/>
      <c r="D2284" s="1793"/>
    </row>
    <row r="2285" spans="3:4" ht="20.100000000000001" customHeight="1">
      <c r="C2285" s="1793"/>
      <c r="D2285" s="1793"/>
    </row>
    <row r="2286" spans="3:4" ht="20.100000000000001" customHeight="1">
      <c r="C2286" s="1793"/>
      <c r="D2286" s="1793"/>
    </row>
    <row r="2287" spans="3:4" ht="20.100000000000001" customHeight="1">
      <c r="C2287" s="1793"/>
      <c r="D2287" s="1793"/>
    </row>
    <row r="2288" spans="3:4" ht="20.100000000000001" customHeight="1">
      <c r="C2288" s="1793"/>
      <c r="D2288" s="1793"/>
    </row>
    <row r="2289" spans="3:4" ht="20.100000000000001" customHeight="1">
      <c r="C2289" s="1793"/>
      <c r="D2289" s="1793"/>
    </row>
    <row r="2290" spans="3:4" ht="20.100000000000001" customHeight="1">
      <c r="C2290" s="1793"/>
      <c r="D2290" s="1793"/>
    </row>
    <row r="2291" spans="3:4" ht="20.100000000000001" customHeight="1">
      <c r="C2291" s="1793"/>
      <c r="D2291" s="1793"/>
    </row>
    <row r="2292" spans="3:4" ht="20.100000000000001" customHeight="1">
      <c r="C2292" s="1793"/>
      <c r="D2292" s="1793"/>
    </row>
    <row r="2293" spans="3:4" ht="20.100000000000001" customHeight="1">
      <c r="C2293" s="1793"/>
      <c r="D2293" s="1793"/>
    </row>
    <row r="2294" spans="3:4" ht="20.100000000000001" customHeight="1">
      <c r="C2294" s="1793"/>
      <c r="D2294" s="1793"/>
    </row>
    <row r="2295" spans="3:4" ht="20.100000000000001" customHeight="1">
      <c r="C2295" s="1793"/>
      <c r="D2295" s="1793"/>
    </row>
    <row r="2296" spans="3:4" ht="20.100000000000001" customHeight="1">
      <c r="C2296" s="1793"/>
      <c r="D2296" s="1793"/>
    </row>
    <row r="2297" spans="3:4" ht="20.100000000000001" customHeight="1">
      <c r="C2297" s="1793"/>
      <c r="D2297" s="1793"/>
    </row>
    <row r="2298" spans="3:4" ht="20.100000000000001" customHeight="1">
      <c r="C2298" s="1793"/>
      <c r="D2298" s="1793"/>
    </row>
    <row r="2299" spans="3:4" ht="20.100000000000001" customHeight="1">
      <c r="C2299" s="1793"/>
      <c r="D2299" s="1793"/>
    </row>
    <row r="2300" spans="3:4" ht="20.100000000000001" customHeight="1">
      <c r="C2300" s="1793"/>
      <c r="D2300" s="1793"/>
    </row>
    <row r="2301" spans="3:4" ht="20.100000000000001" customHeight="1">
      <c r="C2301" s="1793"/>
      <c r="D2301" s="1793"/>
    </row>
    <row r="2302" spans="3:4" ht="20.100000000000001" customHeight="1">
      <c r="C2302" s="1793"/>
      <c r="D2302" s="1793"/>
    </row>
    <row r="2303" spans="3:4" ht="20.100000000000001" customHeight="1">
      <c r="C2303" s="1793"/>
      <c r="D2303" s="1793"/>
    </row>
    <row r="2304" spans="3:4" ht="20.100000000000001" customHeight="1">
      <c r="C2304" s="1793"/>
      <c r="D2304" s="1793"/>
    </row>
    <row r="2305" spans="3:4" ht="20.100000000000001" customHeight="1">
      <c r="C2305" s="1793"/>
      <c r="D2305" s="1793"/>
    </row>
    <row r="2306" spans="3:4" ht="20.100000000000001" customHeight="1">
      <c r="C2306" s="1793"/>
      <c r="D2306" s="1793"/>
    </row>
    <row r="2307" spans="3:4" ht="20.100000000000001" customHeight="1">
      <c r="C2307" s="1793"/>
      <c r="D2307" s="1793"/>
    </row>
    <row r="2308" spans="3:4" ht="20.100000000000001" customHeight="1">
      <c r="C2308" s="1793"/>
      <c r="D2308" s="1793"/>
    </row>
    <row r="2309" spans="3:4" ht="20.100000000000001" customHeight="1">
      <c r="C2309" s="1793"/>
      <c r="D2309" s="1793"/>
    </row>
    <row r="2310" spans="3:4" ht="20.100000000000001" customHeight="1">
      <c r="C2310" s="1793"/>
      <c r="D2310" s="1793"/>
    </row>
    <row r="2311" spans="3:4" ht="20.100000000000001" customHeight="1">
      <c r="C2311" s="1793"/>
      <c r="D2311" s="1793"/>
    </row>
    <row r="2312" spans="3:4" ht="20.100000000000001" customHeight="1">
      <c r="C2312" s="1793"/>
      <c r="D2312" s="1793"/>
    </row>
    <row r="2313" spans="3:4" ht="20.100000000000001" customHeight="1">
      <c r="C2313" s="1793"/>
      <c r="D2313" s="1793"/>
    </row>
    <row r="2314" spans="3:4" ht="20.100000000000001" customHeight="1">
      <c r="C2314" s="1793"/>
      <c r="D2314" s="1793"/>
    </row>
    <row r="2315" spans="3:4" ht="20.100000000000001" customHeight="1">
      <c r="C2315" s="1793"/>
      <c r="D2315" s="1793"/>
    </row>
    <row r="2316" spans="3:4" ht="20.100000000000001" customHeight="1">
      <c r="C2316" s="1793"/>
      <c r="D2316" s="1793"/>
    </row>
    <row r="2317" spans="3:4" ht="20.100000000000001" customHeight="1">
      <c r="C2317" s="1793"/>
      <c r="D2317" s="1793"/>
    </row>
    <row r="2318" spans="3:4" ht="20.100000000000001" customHeight="1">
      <c r="C2318" s="1793"/>
      <c r="D2318" s="1793"/>
    </row>
    <row r="2319" spans="3:4" ht="20.100000000000001" customHeight="1">
      <c r="C2319" s="1793"/>
      <c r="D2319" s="1793"/>
    </row>
    <row r="2320" spans="3:4" ht="20.100000000000001" customHeight="1">
      <c r="C2320" s="1793"/>
      <c r="D2320" s="1793"/>
    </row>
    <row r="2321" spans="3:4" ht="20.100000000000001" customHeight="1">
      <c r="C2321" s="1793"/>
      <c r="D2321" s="1793"/>
    </row>
    <row r="2322" spans="3:4" ht="20.100000000000001" customHeight="1">
      <c r="C2322" s="1793"/>
      <c r="D2322" s="1793"/>
    </row>
    <row r="2323" spans="3:4" ht="20.100000000000001" customHeight="1">
      <c r="C2323" s="1793"/>
      <c r="D2323" s="1793"/>
    </row>
    <row r="2324" spans="3:4" ht="20.100000000000001" customHeight="1">
      <c r="C2324" s="1793"/>
      <c r="D2324" s="1793"/>
    </row>
    <row r="2325" spans="3:4" ht="20.100000000000001" customHeight="1">
      <c r="C2325" s="1793"/>
      <c r="D2325" s="1793"/>
    </row>
    <row r="2326" spans="3:4" ht="20.100000000000001" customHeight="1">
      <c r="C2326" s="1793"/>
      <c r="D2326" s="1793"/>
    </row>
    <row r="2327" spans="3:4" ht="20.100000000000001" customHeight="1">
      <c r="C2327" s="1793"/>
      <c r="D2327" s="1793"/>
    </row>
    <row r="2328" spans="3:4" ht="20.100000000000001" customHeight="1">
      <c r="C2328" s="1793"/>
      <c r="D2328" s="1793"/>
    </row>
    <row r="2329" spans="3:4" ht="20.100000000000001" customHeight="1">
      <c r="C2329" s="1793"/>
      <c r="D2329" s="1793"/>
    </row>
    <row r="2330" spans="3:4" ht="20.100000000000001" customHeight="1">
      <c r="C2330" s="1793"/>
      <c r="D2330" s="1793"/>
    </row>
    <row r="2331" spans="3:4" ht="20.100000000000001" customHeight="1">
      <c r="C2331" s="1793"/>
      <c r="D2331" s="1793"/>
    </row>
    <row r="2332" spans="3:4" ht="20.100000000000001" customHeight="1">
      <c r="C2332" s="1793"/>
      <c r="D2332" s="1793"/>
    </row>
    <row r="2333" spans="3:4" ht="20.100000000000001" customHeight="1">
      <c r="C2333" s="1793"/>
      <c r="D2333" s="1793"/>
    </row>
    <row r="2334" spans="3:4" ht="20.100000000000001" customHeight="1">
      <c r="C2334" s="1793"/>
      <c r="D2334" s="1793"/>
    </row>
    <row r="2335" spans="3:4" ht="20.100000000000001" customHeight="1">
      <c r="C2335" s="1793"/>
      <c r="D2335" s="1793"/>
    </row>
    <row r="2336" spans="3:4" ht="20.100000000000001" customHeight="1">
      <c r="C2336" s="1793"/>
      <c r="D2336" s="1793"/>
    </row>
    <row r="2337" spans="3:4" ht="20.100000000000001" customHeight="1">
      <c r="C2337" s="1793"/>
      <c r="D2337" s="1793"/>
    </row>
    <row r="2338" spans="3:4" ht="20.100000000000001" customHeight="1">
      <c r="C2338" s="1793"/>
      <c r="D2338" s="1793"/>
    </row>
    <row r="2339" spans="3:4" ht="20.100000000000001" customHeight="1">
      <c r="C2339" s="1793"/>
      <c r="D2339" s="1793"/>
    </row>
    <row r="2340" spans="3:4" ht="20.100000000000001" customHeight="1">
      <c r="C2340" s="1793"/>
      <c r="D2340" s="1793"/>
    </row>
    <row r="2341" spans="3:4" ht="20.100000000000001" customHeight="1">
      <c r="C2341" s="1793"/>
      <c r="D2341" s="1793"/>
    </row>
    <row r="2342" spans="3:4" ht="20.100000000000001" customHeight="1">
      <c r="C2342" s="1793"/>
      <c r="D2342" s="1793"/>
    </row>
    <row r="2343" spans="3:4" ht="20.100000000000001" customHeight="1">
      <c r="C2343" s="1793"/>
      <c r="D2343" s="1793"/>
    </row>
    <row r="2344" spans="3:4" ht="20.100000000000001" customHeight="1">
      <c r="C2344" s="1793"/>
      <c r="D2344" s="1793"/>
    </row>
    <row r="2345" spans="3:4" ht="20.100000000000001" customHeight="1">
      <c r="C2345" s="1793"/>
      <c r="D2345" s="1793"/>
    </row>
    <row r="2346" spans="3:4" ht="20.100000000000001" customHeight="1">
      <c r="C2346" s="1793"/>
      <c r="D2346" s="1793"/>
    </row>
    <row r="2347" spans="3:4" ht="20.100000000000001" customHeight="1">
      <c r="C2347" s="1793"/>
      <c r="D2347" s="1793"/>
    </row>
    <row r="2348" spans="3:4" ht="20.100000000000001" customHeight="1">
      <c r="C2348" s="1793"/>
      <c r="D2348" s="1793"/>
    </row>
    <row r="2349" spans="3:4" ht="20.100000000000001" customHeight="1">
      <c r="C2349" s="1793"/>
      <c r="D2349" s="1793"/>
    </row>
    <row r="2350" spans="3:4" ht="20.100000000000001" customHeight="1">
      <c r="C2350" s="1793"/>
      <c r="D2350" s="1793"/>
    </row>
    <row r="2351" spans="3:4" ht="20.100000000000001" customHeight="1">
      <c r="C2351" s="1793"/>
      <c r="D2351" s="1793"/>
    </row>
    <row r="2352" spans="3:4" ht="20.100000000000001" customHeight="1">
      <c r="C2352" s="1793"/>
      <c r="D2352" s="1793"/>
    </row>
    <row r="2353" spans="3:4" ht="20.100000000000001" customHeight="1">
      <c r="C2353" s="1793"/>
      <c r="D2353" s="1793"/>
    </row>
    <row r="2354" spans="3:4" ht="20.100000000000001" customHeight="1">
      <c r="C2354" s="1793"/>
      <c r="D2354" s="1793"/>
    </row>
    <row r="2355" spans="3:4" ht="20.100000000000001" customHeight="1">
      <c r="C2355" s="1793"/>
      <c r="D2355" s="1793"/>
    </row>
    <row r="2356" spans="3:4" ht="20.100000000000001" customHeight="1">
      <c r="C2356" s="1793"/>
      <c r="D2356" s="1793"/>
    </row>
    <row r="2357" spans="3:4" ht="20.100000000000001" customHeight="1">
      <c r="C2357" s="1793"/>
      <c r="D2357" s="1793"/>
    </row>
    <row r="2358" spans="3:4" ht="20.100000000000001" customHeight="1">
      <c r="C2358" s="1793"/>
      <c r="D2358" s="1793"/>
    </row>
    <row r="2359" spans="3:4" ht="20.100000000000001" customHeight="1">
      <c r="C2359" s="1793"/>
      <c r="D2359" s="1793"/>
    </row>
    <row r="2360" spans="3:4" ht="20.100000000000001" customHeight="1">
      <c r="C2360" s="1793"/>
      <c r="D2360" s="1793"/>
    </row>
    <row r="2361" spans="3:4" ht="20.100000000000001" customHeight="1">
      <c r="C2361" s="1793"/>
      <c r="D2361" s="1793"/>
    </row>
    <row r="2362" spans="3:4" ht="20.100000000000001" customHeight="1">
      <c r="C2362" s="1793"/>
      <c r="D2362" s="1793"/>
    </row>
    <row r="2363" spans="3:4" ht="20.100000000000001" customHeight="1">
      <c r="C2363" s="1793"/>
      <c r="D2363" s="1793"/>
    </row>
    <row r="2364" spans="3:4" ht="20.100000000000001" customHeight="1">
      <c r="C2364" s="1793"/>
      <c r="D2364" s="1793"/>
    </row>
    <row r="2365" spans="3:4" ht="20.100000000000001" customHeight="1">
      <c r="C2365" s="1793"/>
      <c r="D2365" s="1793"/>
    </row>
    <row r="2366" spans="3:4" ht="20.100000000000001" customHeight="1">
      <c r="C2366" s="1793"/>
      <c r="D2366" s="1793"/>
    </row>
    <row r="2367" spans="3:4" ht="20.100000000000001" customHeight="1">
      <c r="C2367" s="1793"/>
      <c r="D2367" s="1793"/>
    </row>
    <row r="2368" spans="3:4" ht="20.100000000000001" customHeight="1">
      <c r="C2368" s="1793"/>
      <c r="D2368" s="1793"/>
    </row>
    <row r="2369" spans="3:4" ht="20.100000000000001" customHeight="1">
      <c r="C2369" s="1793"/>
      <c r="D2369" s="1793"/>
    </row>
    <row r="2370" spans="3:4" ht="20.100000000000001" customHeight="1">
      <c r="C2370" s="1793"/>
      <c r="D2370" s="1793"/>
    </row>
    <row r="2371" spans="3:4" ht="20.100000000000001" customHeight="1">
      <c r="C2371" s="1793"/>
      <c r="D2371" s="1793"/>
    </row>
    <row r="2372" spans="3:4" ht="20.100000000000001" customHeight="1">
      <c r="C2372" s="1793"/>
      <c r="D2372" s="1793"/>
    </row>
    <row r="2373" spans="3:4" ht="20.100000000000001" customHeight="1">
      <c r="C2373" s="1793"/>
      <c r="D2373" s="1793"/>
    </row>
    <row r="2374" spans="3:4" ht="20.100000000000001" customHeight="1">
      <c r="C2374" s="1793"/>
      <c r="D2374" s="1793"/>
    </row>
    <row r="2375" spans="3:4" ht="20.100000000000001" customHeight="1">
      <c r="C2375" s="1793"/>
      <c r="D2375" s="1793"/>
    </row>
    <row r="2376" spans="3:4" ht="20.100000000000001" customHeight="1">
      <c r="C2376" s="1793"/>
      <c r="D2376" s="1793"/>
    </row>
    <row r="2377" spans="3:4" ht="20.100000000000001" customHeight="1">
      <c r="C2377" s="1793"/>
      <c r="D2377" s="1793"/>
    </row>
    <row r="2378" spans="3:4" ht="20.100000000000001" customHeight="1">
      <c r="C2378" s="1793"/>
      <c r="D2378" s="1793"/>
    </row>
    <row r="2379" spans="3:4" ht="20.100000000000001" customHeight="1">
      <c r="C2379" s="1793"/>
      <c r="D2379" s="1793"/>
    </row>
    <row r="2380" spans="3:4" ht="20.100000000000001" customHeight="1">
      <c r="C2380" s="1793"/>
      <c r="D2380" s="1793"/>
    </row>
    <row r="2381" spans="3:4" ht="20.100000000000001" customHeight="1">
      <c r="C2381" s="1793"/>
      <c r="D2381" s="1793"/>
    </row>
    <row r="2382" spans="3:4" ht="20.100000000000001" customHeight="1">
      <c r="C2382" s="1793"/>
      <c r="D2382" s="1793"/>
    </row>
    <row r="2383" spans="3:4" ht="20.100000000000001" customHeight="1">
      <c r="C2383" s="1793"/>
      <c r="D2383" s="1793"/>
    </row>
    <row r="2384" spans="3:4" ht="20.100000000000001" customHeight="1">
      <c r="C2384" s="1793"/>
      <c r="D2384" s="1793"/>
    </row>
    <row r="2385" spans="3:4" ht="20.100000000000001" customHeight="1">
      <c r="C2385" s="1793"/>
      <c r="D2385" s="1793"/>
    </row>
    <row r="2386" spans="3:4" ht="20.100000000000001" customHeight="1">
      <c r="C2386" s="1793"/>
      <c r="D2386" s="1793"/>
    </row>
    <row r="2387" spans="3:4" ht="20.100000000000001" customHeight="1">
      <c r="C2387" s="1793"/>
      <c r="D2387" s="1793"/>
    </row>
    <row r="2388" spans="3:4" ht="20.100000000000001" customHeight="1">
      <c r="C2388" s="1793"/>
      <c r="D2388" s="1793"/>
    </row>
    <row r="2389" spans="3:4" ht="20.100000000000001" customHeight="1">
      <c r="C2389" s="1793"/>
      <c r="D2389" s="1793"/>
    </row>
    <row r="2390" spans="3:4" ht="20.100000000000001" customHeight="1">
      <c r="C2390" s="1793"/>
      <c r="D2390" s="1793"/>
    </row>
    <row r="2391" spans="3:4" ht="20.100000000000001" customHeight="1">
      <c r="C2391" s="1793"/>
      <c r="D2391" s="1793"/>
    </row>
    <row r="2392" spans="3:4" ht="20.100000000000001" customHeight="1">
      <c r="C2392" s="1793"/>
      <c r="D2392" s="1793"/>
    </row>
    <row r="2393" spans="3:4" ht="20.100000000000001" customHeight="1">
      <c r="C2393" s="1793"/>
      <c r="D2393" s="1793"/>
    </row>
    <row r="2394" spans="3:4" ht="20.100000000000001" customHeight="1">
      <c r="C2394" s="1793"/>
      <c r="D2394" s="1793"/>
    </row>
    <row r="2395" spans="3:4" ht="20.100000000000001" customHeight="1">
      <c r="C2395" s="1793"/>
      <c r="D2395" s="1793"/>
    </row>
    <row r="2396" spans="3:4" ht="20.100000000000001" customHeight="1">
      <c r="C2396" s="1793"/>
      <c r="D2396" s="1793"/>
    </row>
    <row r="2397" spans="3:4" ht="20.100000000000001" customHeight="1">
      <c r="C2397" s="1793"/>
      <c r="D2397" s="1793"/>
    </row>
    <row r="2398" spans="3:4" ht="20.100000000000001" customHeight="1">
      <c r="C2398" s="1793"/>
      <c r="D2398" s="1793"/>
    </row>
    <row r="2399" spans="3:4" ht="20.100000000000001" customHeight="1">
      <c r="C2399" s="1793"/>
      <c r="D2399" s="1793"/>
    </row>
    <row r="2400" spans="3:4" ht="20.100000000000001" customHeight="1">
      <c r="C2400" s="1793"/>
      <c r="D2400" s="1793"/>
    </row>
    <row r="2401" spans="3:4" ht="20.100000000000001" customHeight="1">
      <c r="C2401" s="1793"/>
      <c r="D2401" s="1793"/>
    </row>
    <row r="2402" spans="3:4" ht="20.100000000000001" customHeight="1">
      <c r="C2402" s="1793"/>
      <c r="D2402" s="1793"/>
    </row>
    <row r="2403" spans="3:4" ht="20.100000000000001" customHeight="1">
      <c r="C2403" s="1793"/>
      <c r="D2403" s="1793"/>
    </row>
    <row r="2404" spans="3:4" ht="20.100000000000001" customHeight="1">
      <c r="C2404" s="1793"/>
      <c r="D2404" s="1793"/>
    </row>
    <row r="2405" spans="3:4" ht="20.100000000000001" customHeight="1">
      <c r="C2405" s="1793"/>
      <c r="D2405" s="1793"/>
    </row>
    <row r="2406" spans="3:4" ht="20.100000000000001" customHeight="1">
      <c r="C2406" s="1793"/>
      <c r="D2406" s="1793"/>
    </row>
    <row r="2407" spans="3:4" ht="20.100000000000001" customHeight="1">
      <c r="C2407" s="1793"/>
      <c r="D2407" s="1793"/>
    </row>
    <row r="2408" spans="3:4" ht="20.100000000000001" customHeight="1">
      <c r="C2408" s="1793"/>
      <c r="D2408" s="1793"/>
    </row>
    <row r="2409" spans="3:4" ht="20.100000000000001" customHeight="1">
      <c r="C2409" s="1793"/>
      <c r="D2409" s="1793"/>
    </row>
    <row r="2410" spans="3:4" ht="20.100000000000001" customHeight="1">
      <c r="C2410" s="1793"/>
      <c r="D2410" s="1793"/>
    </row>
    <row r="2411" spans="3:4" ht="20.100000000000001" customHeight="1">
      <c r="C2411" s="1793"/>
      <c r="D2411" s="1793"/>
    </row>
    <row r="2412" spans="3:4" ht="20.100000000000001" customHeight="1">
      <c r="C2412" s="1793"/>
      <c r="D2412" s="1793"/>
    </row>
    <row r="2413" spans="3:4" ht="20.100000000000001" customHeight="1">
      <c r="C2413" s="1793"/>
      <c r="D2413" s="1793"/>
    </row>
    <row r="2414" spans="3:4" ht="20.100000000000001" customHeight="1">
      <c r="C2414" s="1793"/>
      <c r="D2414" s="1793"/>
    </row>
    <row r="2415" spans="3:4" ht="20.100000000000001" customHeight="1">
      <c r="C2415" s="1793"/>
      <c r="D2415" s="1793"/>
    </row>
    <row r="2416" spans="3:4" ht="20.100000000000001" customHeight="1">
      <c r="C2416" s="1793"/>
      <c r="D2416" s="1793"/>
    </row>
    <row r="2417" spans="3:4" ht="20.100000000000001" customHeight="1">
      <c r="C2417" s="1793"/>
      <c r="D2417" s="1793"/>
    </row>
    <row r="2418" spans="3:4" ht="20.100000000000001" customHeight="1">
      <c r="C2418" s="1793"/>
      <c r="D2418" s="1793"/>
    </row>
    <row r="2419" spans="3:4" ht="20.100000000000001" customHeight="1">
      <c r="C2419" s="1793"/>
      <c r="D2419" s="1793"/>
    </row>
    <row r="2420" spans="3:4" ht="20.100000000000001" customHeight="1">
      <c r="C2420" s="1793"/>
      <c r="D2420" s="1793"/>
    </row>
    <row r="2421" spans="3:4" ht="20.100000000000001" customHeight="1">
      <c r="C2421" s="1793"/>
      <c r="D2421" s="1793"/>
    </row>
    <row r="2422" spans="3:4" ht="20.100000000000001" customHeight="1">
      <c r="C2422" s="1793"/>
      <c r="D2422" s="1793"/>
    </row>
    <row r="2423" spans="3:4" ht="20.100000000000001" customHeight="1">
      <c r="C2423" s="1793"/>
      <c r="D2423" s="1793"/>
    </row>
    <row r="2424" spans="3:4" ht="20.100000000000001" customHeight="1">
      <c r="C2424" s="1793"/>
      <c r="D2424" s="1793"/>
    </row>
    <row r="2425" spans="3:4" ht="20.100000000000001" customHeight="1">
      <c r="C2425" s="1793"/>
      <c r="D2425" s="1793"/>
    </row>
    <row r="2426" spans="3:4" ht="20.100000000000001" customHeight="1">
      <c r="C2426" s="1793"/>
      <c r="D2426" s="1793"/>
    </row>
    <row r="2427" spans="3:4" ht="20.100000000000001" customHeight="1">
      <c r="C2427" s="1793"/>
      <c r="D2427" s="1793"/>
    </row>
    <row r="2428" spans="3:4" ht="20.100000000000001" customHeight="1">
      <c r="C2428" s="1793"/>
      <c r="D2428" s="1793"/>
    </row>
    <row r="2429" spans="3:4" ht="20.100000000000001" customHeight="1">
      <c r="C2429" s="1793"/>
      <c r="D2429" s="1793"/>
    </row>
    <row r="2430" spans="3:4" ht="20.100000000000001" customHeight="1">
      <c r="C2430" s="1793"/>
      <c r="D2430" s="1793"/>
    </row>
    <row r="2431" spans="3:4" ht="20.100000000000001" customHeight="1">
      <c r="C2431" s="1793"/>
      <c r="D2431" s="1793"/>
    </row>
    <row r="2432" spans="3:4" ht="20.100000000000001" customHeight="1">
      <c r="C2432" s="1793"/>
      <c r="D2432" s="1793"/>
    </row>
    <row r="2433" spans="3:4" ht="20.100000000000001" customHeight="1">
      <c r="C2433" s="1793"/>
      <c r="D2433" s="1793"/>
    </row>
    <row r="2434" spans="3:4" ht="20.100000000000001" customHeight="1">
      <c r="C2434" s="1793"/>
      <c r="D2434" s="1793"/>
    </row>
    <row r="2435" spans="3:4" ht="20.100000000000001" customHeight="1">
      <c r="C2435" s="1793"/>
      <c r="D2435" s="1793"/>
    </row>
    <row r="2436" spans="3:4" ht="20.100000000000001" customHeight="1">
      <c r="C2436" s="1793"/>
      <c r="D2436" s="1793"/>
    </row>
    <row r="2437" spans="3:4" ht="20.100000000000001" customHeight="1">
      <c r="C2437" s="1793"/>
      <c r="D2437" s="1793"/>
    </row>
    <row r="2438" spans="3:4" ht="20.100000000000001" customHeight="1">
      <c r="C2438" s="1793"/>
      <c r="D2438" s="1793"/>
    </row>
    <row r="2439" spans="3:4" ht="20.100000000000001" customHeight="1">
      <c r="C2439" s="1793"/>
      <c r="D2439" s="1793"/>
    </row>
    <row r="2440" spans="3:4" ht="20.100000000000001" customHeight="1">
      <c r="C2440" s="1793"/>
      <c r="D2440" s="1793"/>
    </row>
    <row r="2441" spans="3:4" ht="20.100000000000001" customHeight="1">
      <c r="C2441" s="1793"/>
      <c r="D2441" s="1793"/>
    </row>
    <row r="2442" spans="3:4" ht="20.100000000000001" customHeight="1">
      <c r="C2442" s="1793"/>
      <c r="D2442" s="1793"/>
    </row>
    <row r="2443" spans="3:4" ht="20.100000000000001" customHeight="1">
      <c r="C2443" s="1793"/>
      <c r="D2443" s="1793"/>
    </row>
    <row r="2444" spans="3:4" ht="20.100000000000001" customHeight="1">
      <c r="C2444" s="1793"/>
      <c r="D2444" s="1793"/>
    </row>
    <row r="2445" spans="3:4" ht="20.100000000000001" customHeight="1">
      <c r="C2445" s="1793"/>
      <c r="D2445" s="1793"/>
    </row>
    <row r="2446" spans="3:4" ht="20.100000000000001" customHeight="1">
      <c r="C2446" s="1793"/>
      <c r="D2446" s="1793"/>
    </row>
    <row r="2447" spans="3:4" ht="20.100000000000001" customHeight="1">
      <c r="C2447" s="1793"/>
      <c r="D2447" s="1793"/>
    </row>
    <row r="2448" spans="3:4" ht="20.100000000000001" customHeight="1">
      <c r="C2448" s="1793"/>
      <c r="D2448" s="1793"/>
    </row>
    <row r="2449" spans="3:4" ht="20.100000000000001" customHeight="1">
      <c r="C2449" s="1793"/>
      <c r="D2449" s="1793"/>
    </row>
    <row r="2450" spans="3:4" ht="20.100000000000001" customHeight="1">
      <c r="C2450" s="1793"/>
      <c r="D2450" s="1793"/>
    </row>
    <row r="2451" spans="3:4" ht="20.100000000000001" customHeight="1">
      <c r="C2451" s="1793"/>
      <c r="D2451" s="1793"/>
    </row>
    <row r="2452" spans="3:4" ht="20.100000000000001" customHeight="1">
      <c r="C2452" s="1793"/>
      <c r="D2452" s="1793"/>
    </row>
    <row r="2453" spans="3:4" ht="20.100000000000001" customHeight="1">
      <c r="C2453" s="1793"/>
      <c r="D2453" s="1793"/>
    </row>
    <row r="2454" spans="3:4" ht="20.100000000000001" customHeight="1">
      <c r="C2454" s="1793"/>
      <c r="D2454" s="1793"/>
    </row>
    <row r="2455" spans="3:4" ht="20.100000000000001" customHeight="1">
      <c r="C2455" s="1793"/>
      <c r="D2455" s="1793"/>
    </row>
    <row r="2456" spans="3:4" ht="20.100000000000001" customHeight="1">
      <c r="C2456" s="1793"/>
      <c r="D2456" s="1793"/>
    </row>
    <row r="2457" spans="3:4" ht="20.100000000000001" customHeight="1">
      <c r="C2457" s="1793"/>
      <c r="D2457" s="1793"/>
    </row>
    <row r="2458" spans="3:4" ht="20.100000000000001" customHeight="1">
      <c r="C2458" s="1793"/>
      <c r="D2458" s="1793"/>
    </row>
    <row r="2459" spans="3:4" ht="20.100000000000001" customHeight="1">
      <c r="C2459" s="1793"/>
      <c r="D2459" s="1793"/>
    </row>
    <row r="2460" spans="3:4" ht="20.100000000000001" customHeight="1">
      <c r="C2460" s="1793"/>
      <c r="D2460" s="1793"/>
    </row>
    <row r="2461" spans="3:4" ht="20.100000000000001" customHeight="1">
      <c r="C2461" s="1793"/>
      <c r="D2461" s="1793"/>
    </row>
    <row r="2462" spans="3:4" ht="20.100000000000001" customHeight="1">
      <c r="C2462" s="1793"/>
      <c r="D2462" s="1793"/>
    </row>
    <row r="2463" spans="3:4" ht="20.100000000000001" customHeight="1">
      <c r="C2463" s="1793"/>
      <c r="D2463" s="1793"/>
    </row>
    <row r="2464" spans="3:4" ht="20.100000000000001" customHeight="1">
      <c r="C2464" s="1793"/>
      <c r="D2464" s="1793"/>
    </row>
    <row r="2465" spans="3:4" ht="20.100000000000001" customHeight="1">
      <c r="C2465" s="1793"/>
      <c r="D2465" s="1793"/>
    </row>
    <row r="2466" spans="3:4" ht="20.100000000000001" customHeight="1">
      <c r="C2466" s="1793"/>
      <c r="D2466" s="1793"/>
    </row>
    <row r="2467" spans="3:4" ht="20.100000000000001" customHeight="1">
      <c r="C2467" s="1793"/>
      <c r="D2467" s="1793"/>
    </row>
    <row r="2468" spans="3:4" ht="20.100000000000001" customHeight="1">
      <c r="C2468" s="1793"/>
      <c r="D2468" s="1793"/>
    </row>
    <row r="2469" spans="3:4" ht="20.100000000000001" customHeight="1">
      <c r="C2469" s="1793"/>
      <c r="D2469" s="1793"/>
    </row>
    <row r="2470" spans="3:4" ht="20.100000000000001" customHeight="1">
      <c r="C2470" s="1793"/>
      <c r="D2470" s="1793"/>
    </row>
    <row r="2471" spans="3:4" ht="20.100000000000001" customHeight="1">
      <c r="C2471" s="1793"/>
      <c r="D2471" s="1793"/>
    </row>
    <row r="2472" spans="3:4" ht="20.100000000000001" customHeight="1">
      <c r="C2472" s="1793"/>
      <c r="D2472" s="1793"/>
    </row>
    <row r="2473" spans="3:4" ht="20.100000000000001" customHeight="1">
      <c r="C2473" s="1793"/>
      <c r="D2473" s="1793"/>
    </row>
    <row r="2474" spans="3:4" ht="20.100000000000001" customHeight="1">
      <c r="C2474" s="1793"/>
      <c r="D2474" s="1793"/>
    </row>
    <row r="2475" spans="3:4" ht="20.100000000000001" customHeight="1">
      <c r="C2475" s="1793"/>
      <c r="D2475" s="1793"/>
    </row>
    <row r="2476" spans="3:4" ht="20.100000000000001" customHeight="1">
      <c r="C2476" s="1793"/>
      <c r="D2476" s="1793"/>
    </row>
    <row r="2477" spans="3:4" ht="20.100000000000001" customHeight="1">
      <c r="C2477" s="1793"/>
      <c r="D2477" s="1793"/>
    </row>
    <row r="2478" spans="3:4" ht="20.100000000000001" customHeight="1">
      <c r="C2478" s="1793"/>
      <c r="D2478" s="1793"/>
    </row>
    <row r="2479" spans="3:4" ht="20.100000000000001" customHeight="1">
      <c r="C2479" s="1793"/>
      <c r="D2479" s="1793"/>
    </row>
    <row r="2480" spans="3:4" ht="20.100000000000001" customHeight="1">
      <c r="C2480" s="1793"/>
      <c r="D2480" s="1793"/>
    </row>
    <row r="2481" spans="3:4" ht="20.100000000000001" customHeight="1">
      <c r="C2481" s="1793"/>
      <c r="D2481" s="1793"/>
    </row>
    <row r="2482" spans="3:4" ht="20.100000000000001" customHeight="1">
      <c r="C2482" s="1793"/>
      <c r="D2482" s="1793"/>
    </row>
    <row r="2483" spans="3:4" ht="20.100000000000001" customHeight="1">
      <c r="C2483" s="1793"/>
      <c r="D2483" s="1793"/>
    </row>
    <row r="2484" spans="3:4" ht="20.100000000000001" customHeight="1">
      <c r="C2484" s="1793"/>
      <c r="D2484" s="1793"/>
    </row>
    <row r="2485" spans="3:4" ht="20.100000000000001" customHeight="1">
      <c r="C2485" s="1793"/>
      <c r="D2485" s="1793"/>
    </row>
    <row r="2486" spans="3:4" ht="20.100000000000001" customHeight="1">
      <c r="C2486" s="1793"/>
      <c r="D2486" s="1793"/>
    </row>
    <row r="2487" spans="3:4" ht="20.100000000000001" customHeight="1">
      <c r="C2487" s="1793"/>
      <c r="D2487" s="1793"/>
    </row>
    <row r="2488" spans="3:4" ht="20.100000000000001" customHeight="1">
      <c r="C2488" s="1793"/>
      <c r="D2488" s="1793"/>
    </row>
    <row r="2489" spans="3:4" ht="20.100000000000001" customHeight="1">
      <c r="C2489" s="1793"/>
      <c r="D2489" s="1793"/>
    </row>
    <row r="2490" spans="3:4" ht="20.100000000000001" customHeight="1">
      <c r="C2490" s="1793"/>
      <c r="D2490" s="1793"/>
    </row>
    <row r="2491" spans="3:4" ht="20.100000000000001" customHeight="1">
      <c r="C2491" s="1793"/>
      <c r="D2491" s="1793"/>
    </row>
    <row r="2492" spans="3:4" ht="20.100000000000001" customHeight="1">
      <c r="C2492" s="1793"/>
      <c r="D2492" s="1793"/>
    </row>
    <row r="2493" spans="3:4" ht="20.100000000000001" customHeight="1">
      <c r="C2493" s="1793"/>
      <c r="D2493" s="1793"/>
    </row>
    <row r="2494" spans="3:4" ht="20.100000000000001" customHeight="1">
      <c r="C2494" s="1793"/>
      <c r="D2494" s="1793"/>
    </row>
    <row r="2495" spans="3:4" ht="20.100000000000001" customHeight="1">
      <c r="C2495" s="1793"/>
      <c r="D2495" s="1793"/>
    </row>
    <row r="2496" spans="3:4" ht="20.100000000000001" customHeight="1">
      <c r="C2496" s="1793"/>
      <c r="D2496" s="1793"/>
    </row>
    <row r="2497" spans="3:4" ht="20.100000000000001" customHeight="1">
      <c r="C2497" s="1793"/>
      <c r="D2497" s="1793"/>
    </row>
    <row r="2498" spans="3:4" ht="20.100000000000001" customHeight="1">
      <c r="C2498" s="1793"/>
      <c r="D2498" s="1793"/>
    </row>
    <row r="2499" spans="3:4" ht="20.100000000000001" customHeight="1">
      <c r="C2499" s="1793"/>
      <c r="D2499" s="1793"/>
    </row>
    <row r="2500" spans="3:4" ht="20.100000000000001" customHeight="1">
      <c r="C2500" s="1793"/>
      <c r="D2500" s="1793"/>
    </row>
    <row r="2501" spans="3:4" ht="20.100000000000001" customHeight="1">
      <c r="C2501" s="1793"/>
      <c r="D2501" s="1793"/>
    </row>
    <row r="2502" spans="3:4" ht="20.100000000000001" customHeight="1">
      <c r="C2502" s="1793"/>
      <c r="D2502" s="1793"/>
    </row>
    <row r="2503" spans="3:4" ht="20.100000000000001" customHeight="1">
      <c r="C2503" s="1793"/>
      <c r="D2503" s="1793"/>
    </row>
    <row r="2504" spans="3:4" ht="20.100000000000001" customHeight="1">
      <c r="C2504" s="1793"/>
      <c r="D2504" s="1793"/>
    </row>
    <row r="2505" spans="3:4" ht="20.100000000000001" customHeight="1">
      <c r="C2505" s="1793"/>
      <c r="D2505" s="1793"/>
    </row>
    <row r="2506" spans="3:4" ht="20.100000000000001" customHeight="1">
      <c r="C2506" s="1793"/>
      <c r="D2506" s="1793"/>
    </row>
    <row r="2507" spans="3:4" ht="20.100000000000001" customHeight="1">
      <c r="C2507" s="1793"/>
      <c r="D2507" s="1793"/>
    </row>
    <row r="2508" spans="3:4" ht="20.100000000000001" customHeight="1">
      <c r="C2508" s="1793"/>
      <c r="D2508" s="1793"/>
    </row>
    <row r="2509" spans="3:4" ht="20.100000000000001" customHeight="1">
      <c r="C2509" s="1793"/>
      <c r="D2509" s="1793"/>
    </row>
    <row r="2510" spans="3:4" ht="20.100000000000001" customHeight="1">
      <c r="C2510" s="1793"/>
      <c r="D2510" s="1793"/>
    </row>
    <row r="2511" spans="3:4" ht="20.100000000000001" customHeight="1">
      <c r="C2511" s="1793"/>
      <c r="D2511" s="1793"/>
    </row>
    <row r="2512" spans="3:4" ht="20.100000000000001" customHeight="1">
      <c r="C2512" s="1793"/>
      <c r="D2512" s="1793"/>
    </row>
    <row r="2513" spans="3:4" ht="20.100000000000001" customHeight="1">
      <c r="C2513" s="1793"/>
      <c r="D2513" s="1793"/>
    </row>
    <row r="2514" spans="3:4" ht="20.100000000000001" customHeight="1">
      <c r="C2514" s="1793"/>
      <c r="D2514" s="1793"/>
    </row>
    <row r="2515" spans="3:4" ht="20.100000000000001" customHeight="1">
      <c r="C2515" s="1793"/>
      <c r="D2515" s="1793"/>
    </row>
    <row r="2516" spans="3:4" ht="20.100000000000001" customHeight="1">
      <c r="C2516" s="1793"/>
      <c r="D2516" s="1793"/>
    </row>
    <row r="2517" spans="3:4" ht="20.100000000000001" customHeight="1">
      <c r="C2517" s="1793"/>
      <c r="D2517" s="1793"/>
    </row>
    <row r="2518" spans="3:4" ht="20.100000000000001" customHeight="1">
      <c r="C2518" s="1793"/>
      <c r="D2518" s="1793"/>
    </row>
    <row r="2519" spans="3:4" ht="20.100000000000001" customHeight="1">
      <c r="C2519" s="1793"/>
      <c r="D2519" s="1793"/>
    </row>
    <row r="2520" spans="3:4" ht="20.100000000000001" customHeight="1">
      <c r="C2520" s="1793"/>
      <c r="D2520" s="1793"/>
    </row>
    <row r="2521" spans="3:4" ht="20.100000000000001" customHeight="1">
      <c r="C2521" s="1793"/>
      <c r="D2521" s="1793"/>
    </row>
    <row r="2522" spans="3:4" ht="20.100000000000001" customHeight="1">
      <c r="C2522" s="1793"/>
      <c r="D2522" s="1793"/>
    </row>
    <row r="2523" spans="3:4" ht="20.100000000000001" customHeight="1">
      <c r="C2523" s="1793"/>
      <c r="D2523" s="1793"/>
    </row>
    <row r="2524" spans="3:4" ht="20.100000000000001" customHeight="1">
      <c r="C2524" s="1793"/>
      <c r="D2524" s="1793"/>
    </row>
    <row r="2525" spans="3:4" ht="20.100000000000001" customHeight="1">
      <c r="C2525" s="1793"/>
      <c r="D2525" s="1793"/>
    </row>
    <row r="2526" spans="3:4" ht="20.100000000000001" customHeight="1">
      <c r="C2526" s="1793"/>
      <c r="D2526" s="1793"/>
    </row>
    <row r="2527" spans="3:4" ht="20.100000000000001" customHeight="1">
      <c r="C2527" s="1793"/>
      <c r="D2527" s="1793"/>
    </row>
    <row r="2528" spans="3:4" ht="20.100000000000001" customHeight="1">
      <c r="C2528" s="1793"/>
      <c r="D2528" s="1793"/>
    </row>
    <row r="2529" spans="3:4" ht="20.100000000000001" customHeight="1">
      <c r="C2529" s="1793"/>
      <c r="D2529" s="1793"/>
    </row>
    <row r="2530" spans="3:4" ht="20.100000000000001" customHeight="1">
      <c r="C2530" s="1793"/>
      <c r="D2530" s="1793"/>
    </row>
    <row r="2531" spans="3:4" ht="20.100000000000001" customHeight="1">
      <c r="C2531" s="1793"/>
      <c r="D2531" s="1793"/>
    </row>
    <row r="2532" spans="3:4" ht="20.100000000000001" customHeight="1">
      <c r="C2532" s="1793"/>
      <c r="D2532" s="1793"/>
    </row>
    <row r="2533" spans="3:4" ht="20.100000000000001" customHeight="1">
      <c r="C2533" s="1793"/>
      <c r="D2533" s="1793"/>
    </row>
    <row r="2534" spans="3:4" ht="20.100000000000001" customHeight="1">
      <c r="C2534" s="1793"/>
      <c r="D2534" s="1793"/>
    </row>
    <row r="2535" spans="3:4" ht="20.100000000000001" customHeight="1">
      <c r="C2535" s="1793"/>
      <c r="D2535" s="1793"/>
    </row>
    <row r="2536" spans="3:4" ht="20.100000000000001" customHeight="1">
      <c r="C2536" s="1793"/>
      <c r="D2536" s="1793"/>
    </row>
    <row r="2537" spans="3:4" ht="20.100000000000001" customHeight="1">
      <c r="C2537" s="1793"/>
      <c r="D2537" s="1793"/>
    </row>
    <row r="2538" spans="3:4" ht="20.100000000000001" customHeight="1">
      <c r="C2538" s="1793"/>
      <c r="D2538" s="1793"/>
    </row>
    <row r="2539" spans="3:4" ht="20.100000000000001" customHeight="1">
      <c r="C2539" s="1793"/>
      <c r="D2539" s="1793"/>
    </row>
    <row r="2540" spans="3:4" ht="20.100000000000001" customHeight="1">
      <c r="C2540" s="1793"/>
      <c r="D2540" s="1793"/>
    </row>
    <row r="2541" spans="3:4" ht="20.100000000000001" customHeight="1">
      <c r="C2541" s="1793"/>
      <c r="D2541" s="1793"/>
    </row>
    <row r="2542" spans="3:4" ht="20.100000000000001" customHeight="1">
      <c r="C2542" s="1793"/>
      <c r="D2542" s="1793"/>
    </row>
    <row r="2543" spans="3:4" ht="20.100000000000001" customHeight="1">
      <c r="C2543" s="1793"/>
      <c r="D2543" s="1793"/>
    </row>
    <row r="2544" spans="3:4" ht="20.100000000000001" customHeight="1">
      <c r="C2544" s="1793"/>
      <c r="D2544" s="1793"/>
    </row>
    <row r="2545" spans="3:4" ht="20.100000000000001" customHeight="1">
      <c r="C2545" s="1793"/>
      <c r="D2545" s="1793"/>
    </row>
    <row r="2546" spans="3:4" ht="20.100000000000001" customHeight="1">
      <c r="C2546" s="1793"/>
      <c r="D2546" s="1793"/>
    </row>
    <row r="2547" spans="3:4" ht="20.100000000000001" customHeight="1">
      <c r="C2547" s="1793"/>
      <c r="D2547" s="1793"/>
    </row>
    <row r="2548" spans="3:4" ht="20.100000000000001" customHeight="1">
      <c r="C2548" s="1793"/>
      <c r="D2548" s="1793"/>
    </row>
    <row r="2549" spans="3:4" ht="20.100000000000001" customHeight="1">
      <c r="C2549" s="1793"/>
      <c r="D2549" s="1793"/>
    </row>
    <row r="2550" spans="3:4" ht="20.100000000000001" customHeight="1">
      <c r="C2550" s="1793"/>
      <c r="D2550" s="1793"/>
    </row>
    <row r="2551" spans="3:4" ht="20.100000000000001" customHeight="1">
      <c r="C2551" s="1793"/>
      <c r="D2551" s="1793"/>
    </row>
    <row r="2552" spans="3:4" ht="20.100000000000001" customHeight="1">
      <c r="C2552" s="1793"/>
      <c r="D2552" s="1793"/>
    </row>
    <row r="2553" spans="3:4" ht="20.100000000000001" customHeight="1">
      <c r="C2553" s="1793"/>
      <c r="D2553" s="1793"/>
    </row>
    <row r="2554" spans="3:4" ht="20.100000000000001" customHeight="1">
      <c r="C2554" s="1793"/>
      <c r="D2554" s="1793"/>
    </row>
    <row r="2555" spans="3:4" ht="20.100000000000001" customHeight="1">
      <c r="C2555" s="1793"/>
      <c r="D2555" s="1793"/>
    </row>
    <row r="2556" spans="3:4" ht="20.100000000000001" customHeight="1">
      <c r="C2556" s="1793"/>
      <c r="D2556" s="1793"/>
    </row>
    <row r="2557" spans="3:4" ht="20.100000000000001" customHeight="1">
      <c r="C2557" s="1793"/>
      <c r="D2557" s="1793"/>
    </row>
    <row r="2558" spans="3:4" ht="20.100000000000001" customHeight="1">
      <c r="C2558" s="1793"/>
      <c r="D2558" s="1793"/>
    </row>
    <row r="2559" spans="3:4" ht="20.100000000000001" customHeight="1">
      <c r="C2559" s="1793"/>
      <c r="D2559" s="1793"/>
    </row>
    <row r="2560" spans="3:4" ht="20.100000000000001" customHeight="1">
      <c r="C2560" s="1793"/>
      <c r="D2560" s="1793"/>
    </row>
    <row r="2561" spans="3:4" ht="20.100000000000001" customHeight="1">
      <c r="C2561" s="1793"/>
      <c r="D2561" s="1793"/>
    </row>
    <row r="2562" spans="3:4" ht="20.100000000000001" customHeight="1">
      <c r="C2562" s="1793"/>
      <c r="D2562" s="1793"/>
    </row>
    <row r="2563" spans="3:4" ht="20.100000000000001" customHeight="1">
      <c r="C2563" s="1793"/>
      <c r="D2563" s="1793"/>
    </row>
    <row r="2564" spans="3:4" ht="20.100000000000001" customHeight="1">
      <c r="C2564" s="1793"/>
      <c r="D2564" s="1793"/>
    </row>
    <row r="2565" spans="3:4" ht="20.100000000000001" customHeight="1">
      <c r="C2565" s="1793"/>
      <c r="D2565" s="1793"/>
    </row>
    <row r="2566" spans="3:4" ht="20.100000000000001" customHeight="1">
      <c r="C2566" s="1793"/>
      <c r="D2566" s="1793"/>
    </row>
    <row r="2567" spans="3:4" ht="20.100000000000001" customHeight="1">
      <c r="C2567" s="1793"/>
      <c r="D2567" s="1793"/>
    </row>
    <row r="2568" spans="3:4" ht="20.100000000000001" customHeight="1">
      <c r="C2568" s="1793"/>
      <c r="D2568" s="1793"/>
    </row>
    <row r="2569" spans="3:4" ht="20.100000000000001" customHeight="1">
      <c r="C2569" s="1793"/>
      <c r="D2569" s="1793"/>
    </row>
    <row r="2570" spans="3:4" ht="20.100000000000001" customHeight="1">
      <c r="C2570" s="1793"/>
      <c r="D2570" s="1793"/>
    </row>
    <row r="2571" spans="3:4" ht="20.100000000000001" customHeight="1">
      <c r="C2571" s="1793"/>
      <c r="D2571" s="1793"/>
    </row>
    <row r="2572" spans="3:4" ht="20.100000000000001" customHeight="1">
      <c r="C2572" s="1793"/>
      <c r="D2572" s="1793"/>
    </row>
    <row r="2573" spans="3:4" ht="20.100000000000001" customHeight="1">
      <c r="C2573" s="1793"/>
      <c r="D2573" s="1793"/>
    </row>
    <row r="2574" spans="3:4" ht="20.100000000000001" customHeight="1">
      <c r="C2574" s="1793"/>
      <c r="D2574" s="1793"/>
    </row>
    <row r="2575" spans="3:4" ht="20.100000000000001" customHeight="1">
      <c r="C2575" s="1793"/>
      <c r="D2575" s="1793"/>
    </row>
    <row r="2576" spans="3:4" ht="20.100000000000001" customHeight="1">
      <c r="C2576" s="1793"/>
      <c r="D2576" s="1793"/>
    </row>
    <row r="2577" spans="3:4" ht="20.100000000000001" customHeight="1">
      <c r="C2577" s="1793"/>
      <c r="D2577" s="1793"/>
    </row>
    <row r="2578" spans="3:4" ht="20.100000000000001" customHeight="1">
      <c r="C2578" s="1793"/>
      <c r="D2578" s="1793"/>
    </row>
    <row r="2579" spans="3:4" ht="20.100000000000001" customHeight="1">
      <c r="C2579" s="1793"/>
      <c r="D2579" s="1793"/>
    </row>
    <row r="2580" spans="3:4" ht="20.100000000000001" customHeight="1">
      <c r="C2580" s="1793"/>
      <c r="D2580" s="1793"/>
    </row>
    <row r="2581" spans="3:4" ht="20.100000000000001" customHeight="1">
      <c r="C2581" s="1793"/>
      <c r="D2581" s="1793"/>
    </row>
    <row r="2582" spans="3:4" ht="20.100000000000001" customHeight="1">
      <c r="C2582" s="1793"/>
      <c r="D2582" s="1793"/>
    </row>
    <row r="2583" spans="3:4" ht="20.100000000000001" customHeight="1">
      <c r="C2583" s="1793"/>
      <c r="D2583" s="1793"/>
    </row>
    <row r="2584" spans="3:4" ht="20.100000000000001" customHeight="1">
      <c r="C2584" s="1793"/>
      <c r="D2584" s="1793"/>
    </row>
    <row r="2585" spans="3:4" ht="20.100000000000001" customHeight="1">
      <c r="C2585" s="1793"/>
      <c r="D2585" s="1793"/>
    </row>
    <row r="2586" spans="3:4" ht="20.100000000000001" customHeight="1">
      <c r="C2586" s="1793"/>
      <c r="D2586" s="1793"/>
    </row>
    <row r="2587" spans="3:4" ht="20.100000000000001" customHeight="1">
      <c r="C2587" s="1793"/>
      <c r="D2587" s="1793"/>
    </row>
    <row r="2588" spans="3:4" ht="20.100000000000001" customHeight="1">
      <c r="C2588" s="1793"/>
      <c r="D2588" s="1793"/>
    </row>
    <row r="2589" spans="3:4" ht="20.100000000000001" customHeight="1">
      <c r="C2589" s="1793"/>
      <c r="D2589" s="1793"/>
    </row>
    <row r="2590" spans="3:4" ht="20.100000000000001" customHeight="1">
      <c r="C2590" s="1793"/>
      <c r="D2590" s="1793"/>
    </row>
    <row r="2591" spans="3:4" ht="20.100000000000001" customHeight="1">
      <c r="C2591" s="1793"/>
      <c r="D2591" s="1793"/>
    </row>
    <row r="2592" spans="3:4" ht="20.100000000000001" customHeight="1">
      <c r="C2592" s="1793"/>
      <c r="D2592" s="1793"/>
    </row>
    <row r="2593" spans="3:4" ht="20.100000000000001" customHeight="1">
      <c r="C2593" s="1793"/>
      <c r="D2593" s="1793"/>
    </row>
    <row r="2594" spans="3:4" ht="20.100000000000001" customHeight="1">
      <c r="C2594" s="1793"/>
      <c r="D2594" s="1793"/>
    </row>
    <row r="2595" spans="3:4" ht="20.100000000000001" customHeight="1">
      <c r="C2595" s="1793"/>
      <c r="D2595" s="1793"/>
    </row>
    <row r="2596" spans="3:4" ht="20.100000000000001" customHeight="1">
      <c r="C2596" s="1793"/>
      <c r="D2596" s="1793"/>
    </row>
    <row r="2597" spans="3:4" ht="20.100000000000001" customHeight="1">
      <c r="C2597" s="1793"/>
      <c r="D2597" s="1793"/>
    </row>
    <row r="2598" spans="3:4" ht="20.100000000000001" customHeight="1">
      <c r="C2598" s="1793"/>
      <c r="D2598" s="1793"/>
    </row>
    <row r="2599" spans="3:4" ht="20.100000000000001" customHeight="1">
      <c r="C2599" s="1793"/>
      <c r="D2599" s="1793"/>
    </row>
    <row r="2600" spans="3:4" ht="20.100000000000001" customHeight="1">
      <c r="C2600" s="1793"/>
      <c r="D2600" s="1793"/>
    </row>
    <row r="2601" spans="3:4" ht="20.100000000000001" customHeight="1">
      <c r="C2601" s="1793"/>
      <c r="D2601" s="1793"/>
    </row>
    <row r="2602" spans="3:4" ht="20.100000000000001" customHeight="1">
      <c r="C2602" s="1793"/>
      <c r="D2602" s="1793"/>
    </row>
    <row r="2603" spans="3:4" ht="20.100000000000001" customHeight="1">
      <c r="C2603" s="1793"/>
      <c r="D2603" s="1793"/>
    </row>
    <row r="2604" spans="3:4" ht="20.100000000000001" customHeight="1">
      <c r="C2604" s="1793"/>
      <c r="D2604" s="1793"/>
    </row>
    <row r="2605" spans="3:4" ht="20.100000000000001" customHeight="1">
      <c r="C2605" s="1793"/>
      <c r="D2605" s="1793"/>
    </row>
    <row r="2606" spans="3:4" ht="20.100000000000001" customHeight="1">
      <c r="C2606" s="1793"/>
      <c r="D2606" s="1793"/>
    </row>
    <row r="2607" spans="3:4" ht="20.100000000000001" customHeight="1">
      <c r="C2607" s="1793"/>
      <c r="D2607" s="1793"/>
    </row>
    <row r="2608" spans="3:4" ht="20.100000000000001" customHeight="1">
      <c r="C2608" s="1793"/>
      <c r="D2608" s="1793"/>
    </row>
    <row r="2609" spans="3:4" ht="20.100000000000001" customHeight="1">
      <c r="C2609" s="1793"/>
      <c r="D2609" s="1793"/>
    </row>
    <row r="2610" spans="3:4" ht="20.100000000000001" customHeight="1">
      <c r="C2610" s="1793"/>
      <c r="D2610" s="1793"/>
    </row>
    <row r="2611" spans="3:4" ht="20.100000000000001" customHeight="1">
      <c r="C2611" s="1793"/>
      <c r="D2611" s="1793"/>
    </row>
    <row r="2612" spans="3:4" ht="20.100000000000001" customHeight="1">
      <c r="C2612" s="1793"/>
      <c r="D2612" s="1793"/>
    </row>
    <row r="2613" spans="3:4" ht="20.100000000000001" customHeight="1">
      <c r="C2613" s="1793"/>
      <c r="D2613" s="1793"/>
    </row>
    <row r="2614" spans="3:4" ht="20.100000000000001" customHeight="1">
      <c r="C2614" s="1793"/>
      <c r="D2614" s="1793"/>
    </row>
    <row r="2615" spans="3:4" ht="20.100000000000001" customHeight="1">
      <c r="C2615" s="1793"/>
      <c r="D2615" s="1793"/>
    </row>
    <row r="2616" spans="3:4" ht="20.100000000000001" customHeight="1">
      <c r="C2616" s="1793"/>
      <c r="D2616" s="1793"/>
    </row>
    <row r="2617" spans="3:4" ht="20.100000000000001" customHeight="1">
      <c r="C2617" s="1793"/>
      <c r="D2617" s="1793"/>
    </row>
    <row r="2618" spans="3:4" ht="20.100000000000001" customHeight="1">
      <c r="C2618" s="1793"/>
      <c r="D2618" s="1793"/>
    </row>
    <row r="2619" spans="3:4" ht="20.100000000000001" customHeight="1">
      <c r="C2619" s="1793"/>
      <c r="D2619" s="1793"/>
    </row>
    <row r="2620" spans="3:4" ht="20.100000000000001" customHeight="1">
      <c r="C2620" s="1793"/>
      <c r="D2620" s="1793"/>
    </row>
    <row r="2621" spans="3:4" ht="20.100000000000001" customHeight="1">
      <c r="C2621" s="1793"/>
      <c r="D2621" s="1793"/>
    </row>
    <row r="2622" spans="3:4" ht="20.100000000000001" customHeight="1">
      <c r="C2622" s="1793"/>
      <c r="D2622" s="1793"/>
    </row>
    <row r="2623" spans="3:4" ht="20.100000000000001" customHeight="1">
      <c r="C2623" s="1793"/>
      <c r="D2623" s="1793"/>
    </row>
    <row r="2624" spans="3:4" ht="20.100000000000001" customHeight="1">
      <c r="C2624" s="1793"/>
      <c r="D2624" s="1793"/>
    </row>
    <row r="2625" spans="3:4" ht="20.100000000000001" customHeight="1">
      <c r="C2625" s="1793"/>
      <c r="D2625" s="1793"/>
    </row>
    <row r="2626" spans="3:4" ht="20.100000000000001" customHeight="1">
      <c r="C2626" s="1793"/>
      <c r="D2626" s="1793"/>
    </row>
    <row r="2627" spans="3:4" ht="20.100000000000001" customHeight="1">
      <c r="C2627" s="1793"/>
      <c r="D2627" s="1793"/>
    </row>
    <row r="2628" spans="3:4" ht="20.100000000000001" customHeight="1">
      <c r="C2628" s="1793"/>
      <c r="D2628" s="1793"/>
    </row>
    <row r="2629" spans="3:4" ht="20.100000000000001" customHeight="1">
      <c r="C2629" s="1793"/>
      <c r="D2629" s="1793"/>
    </row>
    <row r="2630" spans="3:4" ht="20.100000000000001" customHeight="1">
      <c r="C2630" s="1793"/>
      <c r="D2630" s="1793"/>
    </row>
    <row r="2631" spans="3:4" ht="20.100000000000001" customHeight="1">
      <c r="C2631" s="1793"/>
      <c r="D2631" s="1793"/>
    </row>
    <row r="2632" spans="3:4" ht="20.100000000000001" customHeight="1">
      <c r="C2632" s="1793"/>
      <c r="D2632" s="1793"/>
    </row>
    <row r="2633" spans="3:4" ht="20.100000000000001" customHeight="1">
      <c r="C2633" s="1793"/>
      <c r="D2633" s="1793"/>
    </row>
    <row r="2634" spans="3:4" ht="20.100000000000001" customHeight="1">
      <c r="C2634" s="1793"/>
      <c r="D2634" s="1793"/>
    </row>
    <row r="2635" spans="3:4" ht="20.100000000000001" customHeight="1">
      <c r="C2635" s="1793"/>
      <c r="D2635" s="1793"/>
    </row>
    <row r="2636" spans="3:4" ht="20.100000000000001" customHeight="1">
      <c r="C2636" s="1793"/>
      <c r="D2636" s="1793"/>
    </row>
    <row r="2637" spans="3:4" ht="20.100000000000001" customHeight="1">
      <c r="C2637" s="1793"/>
      <c r="D2637" s="1793"/>
    </row>
    <row r="2638" spans="3:4" ht="20.100000000000001" customHeight="1">
      <c r="C2638" s="1793"/>
      <c r="D2638" s="1793"/>
    </row>
    <row r="2639" spans="3:4" ht="20.100000000000001" customHeight="1">
      <c r="C2639" s="1793"/>
      <c r="D2639" s="1793"/>
    </row>
    <row r="2640" spans="3:4" ht="20.100000000000001" customHeight="1">
      <c r="C2640" s="1793"/>
      <c r="D2640" s="1793"/>
    </row>
    <row r="2641" spans="3:4" ht="20.100000000000001" customHeight="1">
      <c r="C2641" s="1793"/>
      <c r="D2641" s="1793"/>
    </row>
    <row r="2642" spans="3:4" ht="20.100000000000001" customHeight="1">
      <c r="C2642" s="1793"/>
      <c r="D2642" s="1793"/>
    </row>
    <row r="2643" spans="3:4" ht="20.100000000000001" customHeight="1">
      <c r="C2643" s="1793"/>
      <c r="D2643" s="1793"/>
    </row>
    <row r="2644" spans="3:4" ht="20.100000000000001" customHeight="1">
      <c r="C2644" s="1793"/>
      <c r="D2644" s="1793"/>
    </row>
    <row r="2645" spans="3:4" ht="20.100000000000001" customHeight="1">
      <c r="C2645" s="1793"/>
      <c r="D2645" s="1793"/>
    </row>
    <row r="2646" spans="3:4" ht="20.100000000000001" customHeight="1">
      <c r="C2646" s="1793"/>
      <c r="D2646" s="1793"/>
    </row>
    <row r="2647" spans="3:4" ht="20.100000000000001" customHeight="1">
      <c r="C2647" s="1793"/>
      <c r="D2647" s="1793"/>
    </row>
    <row r="2648" spans="3:4" ht="20.100000000000001" customHeight="1">
      <c r="C2648" s="1793"/>
      <c r="D2648" s="1793"/>
    </row>
    <row r="2649" spans="3:4" ht="20.100000000000001" customHeight="1">
      <c r="C2649" s="1793"/>
      <c r="D2649" s="1793"/>
    </row>
    <row r="2650" spans="3:4" ht="20.100000000000001" customHeight="1">
      <c r="C2650" s="1793"/>
      <c r="D2650" s="1793"/>
    </row>
    <row r="2651" spans="3:4" ht="20.100000000000001" customHeight="1">
      <c r="C2651" s="1793"/>
      <c r="D2651" s="1793"/>
    </row>
    <row r="2652" spans="3:4" ht="20.100000000000001" customHeight="1">
      <c r="C2652" s="1793"/>
      <c r="D2652" s="1793"/>
    </row>
    <row r="2653" spans="3:4" ht="20.100000000000001" customHeight="1">
      <c r="C2653" s="1793"/>
      <c r="D2653" s="1793"/>
    </row>
    <row r="2654" spans="3:4" ht="20.100000000000001" customHeight="1">
      <c r="C2654" s="1793"/>
      <c r="D2654" s="1793"/>
    </row>
    <row r="2655" spans="3:4" ht="20.100000000000001" customHeight="1">
      <c r="C2655" s="1793"/>
      <c r="D2655" s="1793"/>
    </row>
    <row r="2656" spans="3:4" ht="20.100000000000001" customHeight="1">
      <c r="C2656" s="1793"/>
      <c r="D2656" s="1793"/>
    </row>
    <row r="2657" spans="3:4" ht="20.100000000000001" customHeight="1">
      <c r="C2657" s="1793"/>
      <c r="D2657" s="1793"/>
    </row>
    <row r="2658" spans="3:4" ht="20.100000000000001" customHeight="1">
      <c r="C2658" s="1793"/>
      <c r="D2658" s="1793"/>
    </row>
    <row r="2659" spans="3:4" ht="20.100000000000001" customHeight="1">
      <c r="C2659" s="1793"/>
      <c r="D2659" s="1793"/>
    </row>
    <row r="2660" spans="3:4" ht="20.100000000000001" customHeight="1">
      <c r="C2660" s="1793"/>
      <c r="D2660" s="1793"/>
    </row>
    <row r="2661" spans="3:4" ht="20.100000000000001" customHeight="1">
      <c r="C2661" s="1793"/>
      <c r="D2661" s="1793"/>
    </row>
    <row r="2662" spans="3:4" ht="20.100000000000001" customHeight="1">
      <c r="C2662" s="1793"/>
      <c r="D2662" s="1793"/>
    </row>
    <row r="2663" spans="3:4" ht="20.100000000000001" customHeight="1">
      <c r="C2663" s="1793"/>
      <c r="D2663" s="1793"/>
    </row>
    <row r="2664" spans="3:4" ht="20.100000000000001" customHeight="1">
      <c r="C2664" s="1793"/>
      <c r="D2664" s="1793"/>
    </row>
    <row r="2665" spans="3:4" ht="20.100000000000001" customHeight="1">
      <c r="C2665" s="1793"/>
      <c r="D2665" s="1793"/>
    </row>
    <row r="2666" spans="3:4" ht="20.100000000000001" customHeight="1">
      <c r="C2666" s="1793"/>
      <c r="D2666" s="1793"/>
    </row>
    <row r="2667" spans="3:4" ht="20.100000000000001" customHeight="1">
      <c r="C2667" s="1793"/>
      <c r="D2667" s="1793"/>
    </row>
    <row r="2668" spans="3:4" ht="20.100000000000001" customHeight="1">
      <c r="C2668" s="1793"/>
      <c r="D2668" s="1793"/>
    </row>
    <row r="2669" spans="3:4" ht="20.100000000000001" customHeight="1">
      <c r="C2669" s="1793"/>
      <c r="D2669" s="1793"/>
    </row>
    <row r="2670" spans="3:4" ht="20.100000000000001" customHeight="1">
      <c r="C2670" s="1793"/>
      <c r="D2670" s="1793"/>
    </row>
    <row r="2671" spans="3:4" ht="20.100000000000001" customHeight="1">
      <c r="C2671" s="1793"/>
      <c r="D2671" s="1793"/>
    </row>
    <row r="2672" spans="3:4" ht="20.100000000000001" customHeight="1">
      <c r="C2672" s="1793"/>
      <c r="D2672" s="1793"/>
    </row>
    <row r="2673" spans="3:4" ht="20.100000000000001" customHeight="1">
      <c r="C2673" s="1793"/>
      <c r="D2673" s="1793"/>
    </row>
    <row r="2674" spans="3:4" ht="20.100000000000001" customHeight="1">
      <c r="C2674" s="1793"/>
      <c r="D2674" s="1793"/>
    </row>
    <row r="2675" spans="3:4" ht="20.100000000000001" customHeight="1">
      <c r="C2675" s="1793"/>
      <c r="D2675" s="1793"/>
    </row>
    <row r="2676" spans="3:4" ht="20.100000000000001" customHeight="1">
      <c r="C2676" s="1793"/>
      <c r="D2676" s="1793"/>
    </row>
    <row r="2677" spans="3:4" ht="20.100000000000001" customHeight="1">
      <c r="C2677" s="1793"/>
      <c r="D2677" s="1793"/>
    </row>
    <row r="2678" spans="3:4" ht="20.100000000000001" customHeight="1">
      <c r="C2678" s="1793"/>
      <c r="D2678" s="1793"/>
    </row>
    <row r="2679" spans="3:4" ht="20.100000000000001" customHeight="1">
      <c r="C2679" s="1793"/>
      <c r="D2679" s="1793"/>
    </row>
    <row r="2680" spans="3:4" ht="20.100000000000001" customHeight="1">
      <c r="C2680" s="1793"/>
      <c r="D2680" s="1793"/>
    </row>
    <row r="2681" spans="3:4" ht="20.100000000000001" customHeight="1">
      <c r="C2681" s="1793"/>
      <c r="D2681" s="1793"/>
    </row>
    <row r="2682" spans="3:4" ht="20.100000000000001" customHeight="1">
      <c r="C2682" s="1793"/>
      <c r="D2682" s="1793"/>
    </row>
    <row r="2683" spans="3:4" ht="20.100000000000001" customHeight="1">
      <c r="C2683" s="1793"/>
      <c r="D2683" s="1793"/>
    </row>
    <row r="2684" spans="3:4" ht="20.100000000000001" customHeight="1">
      <c r="C2684" s="1793"/>
      <c r="D2684" s="1793"/>
    </row>
    <row r="2685" spans="3:4" ht="20.100000000000001" customHeight="1">
      <c r="C2685" s="1793"/>
      <c r="D2685" s="1793"/>
    </row>
    <row r="2686" spans="3:4" ht="20.100000000000001" customHeight="1">
      <c r="C2686" s="1793"/>
      <c r="D2686" s="1793"/>
    </row>
    <row r="2687" spans="3:4" ht="20.100000000000001" customHeight="1">
      <c r="C2687" s="1793"/>
      <c r="D2687" s="1793"/>
    </row>
    <row r="2688" spans="3:4" ht="20.100000000000001" customHeight="1">
      <c r="C2688" s="1793"/>
      <c r="D2688" s="1793"/>
    </row>
    <row r="2689" spans="3:4" ht="20.100000000000001" customHeight="1">
      <c r="C2689" s="1793"/>
      <c r="D2689" s="1793"/>
    </row>
    <row r="2690" spans="3:4" ht="20.100000000000001" customHeight="1">
      <c r="C2690" s="1793"/>
      <c r="D2690" s="1793"/>
    </row>
    <row r="2691" spans="3:4" ht="20.100000000000001" customHeight="1">
      <c r="C2691" s="1793"/>
      <c r="D2691" s="1793"/>
    </row>
    <row r="2692" spans="3:4" ht="20.100000000000001" customHeight="1">
      <c r="C2692" s="1793"/>
      <c r="D2692" s="1793"/>
    </row>
    <row r="2693" spans="3:4" ht="20.100000000000001" customHeight="1">
      <c r="C2693" s="1793"/>
      <c r="D2693" s="1793"/>
    </row>
    <row r="2694" spans="3:4" ht="20.100000000000001" customHeight="1">
      <c r="C2694" s="1793"/>
      <c r="D2694" s="1793"/>
    </row>
    <row r="2695" spans="3:4" ht="20.100000000000001" customHeight="1">
      <c r="C2695" s="1793"/>
      <c r="D2695" s="1793"/>
    </row>
    <row r="2696" spans="3:4" ht="20.100000000000001" customHeight="1">
      <c r="C2696" s="1793"/>
      <c r="D2696" s="1793"/>
    </row>
    <row r="2697" spans="3:4" ht="20.100000000000001" customHeight="1">
      <c r="C2697" s="1793"/>
      <c r="D2697" s="1793"/>
    </row>
    <row r="2698" spans="3:4" ht="20.100000000000001" customHeight="1">
      <c r="C2698" s="1793"/>
      <c r="D2698" s="1793"/>
    </row>
    <row r="2699" spans="3:4" ht="20.100000000000001" customHeight="1">
      <c r="C2699" s="1793"/>
      <c r="D2699" s="1793"/>
    </row>
    <row r="2700" spans="3:4" ht="20.100000000000001" customHeight="1">
      <c r="C2700" s="1793"/>
      <c r="D2700" s="1793"/>
    </row>
    <row r="2701" spans="3:4" ht="20.100000000000001" customHeight="1">
      <c r="C2701" s="1793"/>
      <c r="D2701" s="1793"/>
    </row>
    <row r="2702" spans="3:4" ht="20.100000000000001" customHeight="1">
      <c r="C2702" s="1793"/>
      <c r="D2702" s="1793"/>
    </row>
    <row r="2703" spans="3:4" ht="20.100000000000001" customHeight="1">
      <c r="C2703" s="1793"/>
      <c r="D2703" s="1793"/>
    </row>
    <row r="2704" spans="3:4" ht="20.100000000000001" customHeight="1">
      <c r="C2704" s="1793"/>
      <c r="D2704" s="1793"/>
    </row>
    <row r="2705" spans="3:4" ht="20.100000000000001" customHeight="1">
      <c r="C2705" s="1793"/>
      <c r="D2705" s="1793"/>
    </row>
    <row r="2706" spans="3:4" ht="20.100000000000001" customHeight="1">
      <c r="C2706" s="1793"/>
      <c r="D2706" s="1793"/>
    </row>
    <row r="2707" spans="3:4" ht="20.100000000000001" customHeight="1">
      <c r="C2707" s="1793"/>
      <c r="D2707" s="1793"/>
    </row>
    <row r="2708" spans="3:4" ht="20.100000000000001" customHeight="1">
      <c r="C2708" s="1793"/>
      <c r="D2708" s="1793"/>
    </row>
    <row r="2709" spans="3:4" ht="20.100000000000001" customHeight="1">
      <c r="C2709" s="1793"/>
      <c r="D2709" s="1793"/>
    </row>
    <row r="2710" spans="3:4" ht="20.100000000000001" customHeight="1">
      <c r="C2710" s="1793"/>
      <c r="D2710" s="1793"/>
    </row>
    <row r="2711" spans="3:4" ht="20.100000000000001" customHeight="1">
      <c r="C2711" s="1793"/>
      <c r="D2711" s="1793"/>
    </row>
    <row r="2712" spans="3:4" ht="20.100000000000001" customHeight="1">
      <c r="C2712" s="1793"/>
      <c r="D2712" s="1793"/>
    </row>
    <row r="2713" spans="3:4" ht="20.100000000000001" customHeight="1">
      <c r="C2713" s="1793"/>
      <c r="D2713" s="1793"/>
    </row>
    <row r="2714" spans="3:4" ht="20.100000000000001" customHeight="1">
      <c r="C2714" s="1793"/>
      <c r="D2714" s="1793"/>
    </row>
    <row r="2715" spans="3:4" ht="20.100000000000001" customHeight="1">
      <c r="C2715" s="1793"/>
      <c r="D2715" s="1793"/>
    </row>
    <row r="2716" spans="3:4" ht="20.100000000000001" customHeight="1">
      <c r="C2716" s="1793"/>
      <c r="D2716" s="1793"/>
    </row>
    <row r="2717" spans="3:4" ht="20.100000000000001" customHeight="1">
      <c r="C2717" s="1793"/>
      <c r="D2717" s="1793"/>
    </row>
    <row r="2718" spans="3:4" ht="20.100000000000001" customHeight="1">
      <c r="C2718" s="1793"/>
      <c r="D2718" s="1793"/>
    </row>
    <row r="2719" spans="3:4" ht="20.100000000000001" customHeight="1">
      <c r="C2719" s="1793"/>
      <c r="D2719" s="1793"/>
    </row>
    <row r="2720" spans="3:4" ht="20.100000000000001" customHeight="1">
      <c r="C2720" s="1793"/>
      <c r="D2720" s="1793"/>
    </row>
    <row r="2721" spans="3:4" ht="20.100000000000001" customHeight="1">
      <c r="C2721" s="1793"/>
      <c r="D2721" s="1793"/>
    </row>
    <row r="2722" spans="3:4" ht="20.100000000000001" customHeight="1">
      <c r="C2722" s="1793"/>
      <c r="D2722" s="1793"/>
    </row>
    <row r="2723" spans="3:4" ht="20.100000000000001" customHeight="1">
      <c r="C2723" s="1793"/>
      <c r="D2723" s="1793"/>
    </row>
    <row r="2724" spans="3:4" ht="20.100000000000001" customHeight="1">
      <c r="C2724" s="1793"/>
      <c r="D2724" s="1793"/>
    </row>
    <row r="2725" spans="3:4" ht="20.100000000000001" customHeight="1">
      <c r="C2725" s="1793"/>
      <c r="D2725" s="1793"/>
    </row>
    <row r="2726" spans="3:4" ht="20.100000000000001" customHeight="1">
      <c r="C2726" s="1793"/>
      <c r="D2726" s="1793"/>
    </row>
    <row r="2727" spans="3:4" ht="20.100000000000001" customHeight="1">
      <c r="C2727" s="1793"/>
      <c r="D2727" s="1793"/>
    </row>
    <row r="2728" spans="3:4" ht="20.100000000000001" customHeight="1">
      <c r="C2728" s="1793"/>
      <c r="D2728" s="1793"/>
    </row>
    <row r="2729" spans="3:4" ht="20.100000000000001" customHeight="1">
      <c r="C2729" s="1793"/>
      <c r="D2729" s="1793"/>
    </row>
    <row r="2730" spans="3:4" ht="20.100000000000001" customHeight="1">
      <c r="C2730" s="1793"/>
      <c r="D2730" s="1793"/>
    </row>
    <row r="2731" spans="3:4" ht="20.100000000000001" customHeight="1">
      <c r="C2731" s="1793"/>
      <c r="D2731" s="1793"/>
    </row>
    <row r="2732" spans="3:4" ht="20.100000000000001" customHeight="1">
      <c r="C2732" s="1793"/>
      <c r="D2732" s="1793"/>
    </row>
    <row r="2733" spans="3:4" ht="20.100000000000001" customHeight="1">
      <c r="C2733" s="1793"/>
      <c r="D2733" s="1793"/>
    </row>
    <row r="2734" spans="3:4" ht="20.100000000000001" customHeight="1">
      <c r="C2734" s="1793"/>
      <c r="D2734" s="1793"/>
    </row>
    <row r="2735" spans="3:4" ht="20.100000000000001" customHeight="1">
      <c r="C2735" s="1793"/>
      <c r="D2735" s="1793"/>
    </row>
    <row r="2736" spans="3:4" ht="20.100000000000001" customHeight="1">
      <c r="C2736" s="1793"/>
      <c r="D2736" s="1793"/>
    </row>
    <row r="2737" spans="3:4" ht="20.100000000000001" customHeight="1">
      <c r="C2737" s="1793"/>
      <c r="D2737" s="1793"/>
    </row>
    <row r="2738" spans="3:4" ht="20.100000000000001" customHeight="1">
      <c r="C2738" s="1793"/>
      <c r="D2738" s="1793"/>
    </row>
    <row r="2739" spans="3:4" ht="20.100000000000001" customHeight="1">
      <c r="C2739" s="1793"/>
      <c r="D2739" s="1793"/>
    </row>
    <row r="2740" spans="3:4" ht="20.100000000000001" customHeight="1">
      <c r="C2740" s="1793"/>
      <c r="D2740" s="1793"/>
    </row>
    <row r="2741" spans="3:4" ht="20.100000000000001" customHeight="1">
      <c r="C2741" s="1793"/>
      <c r="D2741" s="1793"/>
    </row>
    <row r="2742" spans="3:4" ht="20.100000000000001" customHeight="1">
      <c r="C2742" s="1793"/>
      <c r="D2742" s="1793"/>
    </row>
    <row r="2743" spans="3:4" ht="20.100000000000001" customHeight="1">
      <c r="C2743" s="1793"/>
      <c r="D2743" s="1793"/>
    </row>
    <row r="2744" spans="3:4" ht="20.100000000000001" customHeight="1">
      <c r="C2744" s="1793"/>
      <c r="D2744" s="1793"/>
    </row>
    <row r="2745" spans="3:4" ht="20.100000000000001" customHeight="1">
      <c r="C2745" s="1793"/>
      <c r="D2745" s="1793"/>
    </row>
    <row r="2746" spans="3:4" ht="20.100000000000001" customHeight="1">
      <c r="C2746" s="1793"/>
      <c r="D2746" s="1793"/>
    </row>
    <row r="2747" spans="3:4" ht="20.100000000000001" customHeight="1">
      <c r="C2747" s="1793"/>
      <c r="D2747" s="1793"/>
    </row>
    <row r="2748" spans="3:4" ht="20.100000000000001" customHeight="1">
      <c r="C2748" s="1793"/>
      <c r="D2748" s="1793"/>
    </row>
    <row r="2749" spans="3:4" ht="20.100000000000001" customHeight="1">
      <c r="C2749" s="1793"/>
      <c r="D2749" s="1793"/>
    </row>
    <row r="2750" spans="3:4" ht="20.100000000000001" customHeight="1">
      <c r="C2750" s="1793"/>
      <c r="D2750" s="1793"/>
    </row>
    <row r="2751" spans="3:4" ht="20.100000000000001" customHeight="1">
      <c r="C2751" s="1793"/>
      <c r="D2751" s="1793"/>
    </row>
    <row r="2752" spans="3:4" ht="20.100000000000001" customHeight="1">
      <c r="C2752" s="1793"/>
      <c r="D2752" s="1793"/>
    </row>
    <row r="2753" spans="3:4" ht="20.100000000000001" customHeight="1">
      <c r="C2753" s="1793"/>
      <c r="D2753" s="1793"/>
    </row>
    <row r="2754" spans="3:4" ht="20.100000000000001" customHeight="1">
      <c r="C2754" s="1793"/>
      <c r="D2754" s="1793"/>
    </row>
    <row r="2755" spans="3:4" ht="20.100000000000001" customHeight="1">
      <c r="C2755" s="1793"/>
      <c r="D2755" s="1793"/>
    </row>
    <row r="2756" spans="3:4" ht="20.100000000000001" customHeight="1">
      <c r="C2756" s="1793"/>
      <c r="D2756" s="1793"/>
    </row>
    <row r="2757" spans="3:4" ht="20.100000000000001" customHeight="1">
      <c r="C2757" s="1793"/>
      <c r="D2757" s="1793"/>
    </row>
    <row r="2758" spans="3:4" ht="20.100000000000001" customHeight="1">
      <c r="C2758" s="1793"/>
      <c r="D2758" s="1793"/>
    </row>
    <row r="2759" spans="3:4" ht="20.100000000000001" customHeight="1">
      <c r="C2759" s="1793"/>
      <c r="D2759" s="1793"/>
    </row>
    <row r="2760" spans="3:4" ht="20.100000000000001" customHeight="1">
      <c r="C2760" s="1793"/>
      <c r="D2760" s="1793"/>
    </row>
    <row r="2761" spans="3:4" ht="20.100000000000001" customHeight="1">
      <c r="C2761" s="1793"/>
      <c r="D2761" s="1793"/>
    </row>
    <row r="2762" spans="3:4" ht="20.100000000000001" customHeight="1">
      <c r="C2762" s="1793"/>
      <c r="D2762" s="1793"/>
    </row>
    <row r="2763" spans="3:4" ht="20.100000000000001" customHeight="1">
      <c r="C2763" s="1793"/>
      <c r="D2763" s="1793"/>
    </row>
    <row r="2764" spans="3:4" ht="20.100000000000001" customHeight="1">
      <c r="C2764" s="1793"/>
      <c r="D2764" s="1793"/>
    </row>
    <row r="2765" spans="3:4" ht="20.100000000000001" customHeight="1">
      <c r="C2765" s="1793"/>
      <c r="D2765" s="1793"/>
    </row>
    <row r="2766" spans="3:4" ht="20.100000000000001" customHeight="1">
      <c r="C2766" s="1793"/>
      <c r="D2766" s="1793"/>
    </row>
    <row r="2767" spans="3:4" ht="20.100000000000001" customHeight="1">
      <c r="C2767" s="1793"/>
      <c r="D2767" s="1793"/>
    </row>
    <row r="2768" spans="3:4" ht="20.100000000000001" customHeight="1">
      <c r="C2768" s="1793"/>
      <c r="D2768" s="1793"/>
    </row>
    <row r="2769" spans="3:4" ht="20.100000000000001" customHeight="1">
      <c r="C2769" s="1793"/>
      <c r="D2769" s="1793"/>
    </row>
    <row r="2770" spans="3:4" ht="20.100000000000001" customHeight="1">
      <c r="C2770" s="1793"/>
      <c r="D2770" s="1793"/>
    </row>
    <row r="2771" spans="3:4" ht="20.100000000000001" customHeight="1">
      <c r="C2771" s="1793"/>
      <c r="D2771" s="1793"/>
    </row>
    <row r="2772" spans="3:4" ht="20.100000000000001" customHeight="1">
      <c r="C2772" s="1793"/>
      <c r="D2772" s="1793"/>
    </row>
    <row r="2773" spans="3:4" ht="20.100000000000001" customHeight="1">
      <c r="C2773" s="1793"/>
      <c r="D2773" s="1793"/>
    </row>
    <row r="2774" spans="3:4" ht="20.100000000000001" customHeight="1">
      <c r="C2774" s="1793"/>
      <c r="D2774" s="1793"/>
    </row>
    <row r="2775" spans="3:4" ht="20.100000000000001" customHeight="1">
      <c r="C2775" s="1793"/>
      <c r="D2775" s="1793"/>
    </row>
    <row r="2776" spans="3:4" ht="20.100000000000001" customHeight="1">
      <c r="C2776" s="1793"/>
      <c r="D2776" s="1793"/>
    </row>
    <row r="2777" spans="3:4" ht="20.100000000000001" customHeight="1">
      <c r="C2777" s="1793"/>
      <c r="D2777" s="1793"/>
    </row>
    <row r="2778" spans="3:4" ht="20.100000000000001" customHeight="1">
      <c r="C2778" s="1793"/>
      <c r="D2778" s="1793"/>
    </row>
    <row r="2779" spans="3:4" ht="20.100000000000001" customHeight="1">
      <c r="C2779" s="1793"/>
      <c r="D2779" s="1793"/>
    </row>
    <row r="2780" spans="3:4" ht="20.100000000000001" customHeight="1">
      <c r="C2780" s="1793"/>
      <c r="D2780" s="1793"/>
    </row>
    <row r="2781" spans="3:4" ht="20.100000000000001" customHeight="1">
      <c r="C2781" s="1793"/>
      <c r="D2781" s="1793"/>
    </row>
    <row r="2782" spans="3:4" ht="20.100000000000001" customHeight="1">
      <c r="C2782" s="1793"/>
      <c r="D2782" s="1793"/>
    </row>
    <row r="2783" spans="3:4" ht="20.100000000000001" customHeight="1">
      <c r="C2783" s="1793"/>
      <c r="D2783" s="1793"/>
    </row>
    <row r="2784" spans="3:4" ht="20.100000000000001" customHeight="1">
      <c r="C2784" s="1793"/>
      <c r="D2784" s="1793"/>
    </row>
    <row r="2785" spans="3:4" ht="20.100000000000001" customHeight="1">
      <c r="C2785" s="1793"/>
      <c r="D2785" s="1793"/>
    </row>
    <row r="2786" spans="3:4" ht="20.100000000000001" customHeight="1">
      <c r="C2786" s="1793"/>
      <c r="D2786" s="1793"/>
    </row>
    <row r="2787" spans="3:4" ht="20.100000000000001" customHeight="1">
      <c r="C2787" s="1793"/>
      <c r="D2787" s="1793"/>
    </row>
    <row r="2788" spans="3:4" ht="20.100000000000001" customHeight="1">
      <c r="C2788" s="1793"/>
      <c r="D2788" s="1793"/>
    </row>
    <row r="2789" spans="3:4" ht="20.100000000000001" customHeight="1">
      <c r="C2789" s="1793"/>
      <c r="D2789" s="1793"/>
    </row>
    <row r="2790" spans="3:4" ht="20.100000000000001" customHeight="1">
      <c r="C2790" s="1793"/>
      <c r="D2790" s="1793"/>
    </row>
    <row r="2791" spans="3:4" ht="20.100000000000001" customHeight="1">
      <c r="C2791" s="1793"/>
      <c r="D2791" s="1793"/>
    </row>
    <row r="2792" spans="3:4" ht="20.100000000000001" customHeight="1">
      <c r="C2792" s="1793"/>
      <c r="D2792" s="1793"/>
    </row>
    <row r="2793" spans="3:4" ht="20.100000000000001" customHeight="1">
      <c r="C2793" s="1793"/>
      <c r="D2793" s="1793"/>
    </row>
    <row r="2794" spans="3:4" ht="20.100000000000001" customHeight="1">
      <c r="C2794" s="1793"/>
      <c r="D2794" s="1793"/>
    </row>
    <row r="2795" spans="3:4" ht="20.100000000000001" customHeight="1">
      <c r="C2795" s="1793"/>
      <c r="D2795" s="1793"/>
    </row>
    <row r="2796" spans="3:4" ht="20.100000000000001" customHeight="1">
      <c r="C2796" s="1793"/>
      <c r="D2796" s="1793"/>
    </row>
    <row r="2797" spans="3:4" ht="20.100000000000001" customHeight="1">
      <c r="C2797" s="1793"/>
      <c r="D2797" s="1793"/>
    </row>
    <row r="2798" spans="3:4" ht="20.100000000000001" customHeight="1">
      <c r="C2798" s="1793"/>
      <c r="D2798" s="1793"/>
    </row>
    <row r="2799" spans="3:4" ht="20.100000000000001" customHeight="1">
      <c r="C2799" s="1793"/>
      <c r="D2799" s="1793"/>
    </row>
    <row r="2800" spans="3:4" ht="20.100000000000001" customHeight="1">
      <c r="C2800" s="1793"/>
      <c r="D2800" s="1793"/>
    </row>
    <row r="2801" spans="3:4" ht="20.100000000000001" customHeight="1">
      <c r="C2801" s="1793"/>
      <c r="D2801" s="1793"/>
    </row>
    <row r="2802" spans="3:4" ht="20.100000000000001" customHeight="1">
      <c r="C2802" s="1793"/>
      <c r="D2802" s="1793"/>
    </row>
    <row r="2803" spans="3:4" ht="20.100000000000001" customHeight="1">
      <c r="C2803" s="1793"/>
      <c r="D2803" s="1793"/>
    </row>
    <row r="2804" spans="3:4" ht="20.100000000000001" customHeight="1">
      <c r="C2804" s="1793"/>
      <c r="D2804" s="1793"/>
    </row>
    <row r="2805" spans="3:4" ht="20.100000000000001" customHeight="1">
      <c r="C2805" s="1793"/>
      <c r="D2805" s="1793"/>
    </row>
    <row r="2806" spans="3:4" ht="20.100000000000001" customHeight="1">
      <c r="C2806" s="1793"/>
      <c r="D2806" s="1793"/>
    </row>
    <row r="2807" spans="3:4" ht="20.100000000000001" customHeight="1">
      <c r="C2807" s="1793"/>
      <c r="D2807" s="1793"/>
    </row>
    <row r="2808" spans="3:4" ht="20.100000000000001" customHeight="1">
      <c r="C2808" s="1793"/>
      <c r="D2808" s="1793"/>
    </row>
    <row r="2809" spans="3:4" ht="20.100000000000001" customHeight="1">
      <c r="C2809" s="1793"/>
      <c r="D2809" s="1793"/>
    </row>
    <row r="2810" spans="3:4" ht="20.100000000000001" customHeight="1">
      <c r="C2810" s="1793"/>
      <c r="D2810" s="1793"/>
    </row>
    <row r="2811" spans="3:4" ht="20.100000000000001" customHeight="1">
      <c r="C2811" s="1793"/>
      <c r="D2811" s="1793"/>
    </row>
    <row r="2812" spans="3:4" ht="20.100000000000001" customHeight="1">
      <c r="C2812" s="1793"/>
      <c r="D2812" s="1793"/>
    </row>
    <row r="2813" spans="3:4" ht="20.100000000000001" customHeight="1">
      <c r="C2813" s="1793"/>
      <c r="D2813" s="1793"/>
    </row>
    <row r="2814" spans="3:4" ht="20.100000000000001" customHeight="1">
      <c r="C2814" s="1793"/>
      <c r="D2814" s="1793"/>
    </row>
    <row r="2815" spans="3:4" ht="20.100000000000001" customHeight="1">
      <c r="C2815" s="1793"/>
      <c r="D2815" s="1793"/>
    </row>
    <row r="2816" spans="3:4" ht="20.100000000000001" customHeight="1">
      <c r="C2816" s="1793"/>
      <c r="D2816" s="1793"/>
    </row>
    <row r="2817" spans="3:4" ht="20.100000000000001" customHeight="1">
      <c r="C2817" s="1793"/>
      <c r="D2817" s="1793"/>
    </row>
    <row r="2818" spans="3:4" ht="20.100000000000001" customHeight="1">
      <c r="C2818" s="1793"/>
      <c r="D2818" s="1793"/>
    </row>
    <row r="2819" spans="3:4" ht="20.100000000000001" customHeight="1">
      <c r="C2819" s="1793"/>
      <c r="D2819" s="1793"/>
    </row>
    <row r="2820" spans="3:4" ht="20.100000000000001" customHeight="1">
      <c r="C2820" s="1793"/>
      <c r="D2820" s="1793"/>
    </row>
    <row r="2821" spans="3:4" ht="20.100000000000001" customHeight="1">
      <c r="C2821" s="1793"/>
      <c r="D2821" s="1793"/>
    </row>
    <row r="2822" spans="3:4" ht="20.100000000000001" customHeight="1">
      <c r="C2822" s="1793"/>
      <c r="D2822" s="1793"/>
    </row>
    <row r="2823" spans="3:4" ht="20.100000000000001" customHeight="1">
      <c r="C2823" s="1793"/>
      <c r="D2823" s="1793"/>
    </row>
    <row r="2824" spans="3:4" ht="20.100000000000001" customHeight="1">
      <c r="C2824" s="1793"/>
      <c r="D2824" s="1793"/>
    </row>
    <row r="2825" spans="3:4" ht="20.100000000000001" customHeight="1">
      <c r="C2825" s="1793"/>
      <c r="D2825" s="1793"/>
    </row>
    <row r="2826" spans="3:4" ht="20.100000000000001" customHeight="1">
      <c r="C2826" s="1793"/>
      <c r="D2826" s="1793"/>
    </row>
    <row r="2827" spans="3:4" ht="20.100000000000001" customHeight="1">
      <c r="C2827" s="1793"/>
      <c r="D2827" s="1793"/>
    </row>
    <row r="2828" spans="3:4" ht="20.100000000000001" customHeight="1">
      <c r="C2828" s="1793"/>
      <c r="D2828" s="1793"/>
    </row>
    <row r="2829" spans="3:4" ht="20.100000000000001" customHeight="1">
      <c r="C2829" s="1793"/>
      <c r="D2829" s="1793"/>
    </row>
    <row r="2830" spans="3:4" ht="20.100000000000001" customHeight="1">
      <c r="C2830" s="1793"/>
      <c r="D2830" s="1793"/>
    </row>
    <row r="2831" spans="3:4" ht="20.100000000000001" customHeight="1">
      <c r="C2831" s="1793"/>
      <c r="D2831" s="1793"/>
    </row>
    <row r="2832" spans="3:4" ht="20.100000000000001" customHeight="1">
      <c r="C2832" s="1793"/>
      <c r="D2832" s="1793"/>
    </row>
    <row r="2833" spans="3:4" ht="20.100000000000001" customHeight="1">
      <c r="C2833" s="1793"/>
      <c r="D2833" s="1793"/>
    </row>
    <row r="2834" spans="3:4" ht="20.100000000000001" customHeight="1">
      <c r="C2834" s="1793"/>
      <c r="D2834" s="1793"/>
    </row>
    <row r="2835" spans="3:4" ht="20.100000000000001" customHeight="1">
      <c r="C2835" s="1793"/>
      <c r="D2835" s="1793"/>
    </row>
    <row r="2836" spans="3:4" ht="20.100000000000001" customHeight="1">
      <c r="C2836" s="1793"/>
      <c r="D2836" s="1793"/>
    </row>
    <row r="2837" spans="3:4" ht="20.100000000000001" customHeight="1">
      <c r="C2837" s="1793"/>
      <c r="D2837" s="1793"/>
    </row>
    <row r="2838" spans="3:4" ht="20.100000000000001" customHeight="1">
      <c r="C2838" s="1793"/>
      <c r="D2838" s="1793"/>
    </row>
    <row r="2839" spans="3:4" ht="20.100000000000001" customHeight="1">
      <c r="C2839" s="1793"/>
      <c r="D2839" s="1793"/>
    </row>
    <row r="2840" spans="3:4" ht="20.100000000000001" customHeight="1">
      <c r="C2840" s="1793"/>
      <c r="D2840" s="1793"/>
    </row>
    <row r="2841" spans="3:4" ht="20.100000000000001" customHeight="1">
      <c r="C2841" s="1793"/>
      <c r="D2841" s="1793"/>
    </row>
    <row r="2842" spans="3:4" ht="20.100000000000001" customHeight="1">
      <c r="C2842" s="1793"/>
      <c r="D2842" s="1793"/>
    </row>
    <row r="2843" spans="3:4" ht="20.100000000000001" customHeight="1">
      <c r="C2843" s="1793"/>
      <c r="D2843" s="1793"/>
    </row>
    <row r="2844" spans="3:4" ht="20.100000000000001" customHeight="1">
      <c r="C2844" s="1793"/>
      <c r="D2844" s="1793"/>
    </row>
    <row r="2845" spans="3:4" ht="20.100000000000001" customHeight="1">
      <c r="C2845" s="1793"/>
      <c r="D2845" s="1793"/>
    </row>
    <row r="2846" spans="3:4" ht="20.100000000000001" customHeight="1">
      <c r="C2846" s="1793"/>
      <c r="D2846" s="1793"/>
    </row>
    <row r="2847" spans="3:4" ht="20.100000000000001" customHeight="1">
      <c r="C2847" s="1793"/>
      <c r="D2847" s="1793"/>
    </row>
    <row r="2848" spans="3:4" ht="20.100000000000001" customHeight="1">
      <c r="C2848" s="1793"/>
      <c r="D2848" s="1793"/>
    </row>
    <row r="2849" spans="3:4" ht="20.100000000000001" customHeight="1">
      <c r="C2849" s="1793"/>
      <c r="D2849" s="1793"/>
    </row>
    <row r="2850" spans="3:4" ht="20.100000000000001" customHeight="1">
      <c r="C2850" s="1793"/>
      <c r="D2850" s="1793"/>
    </row>
    <row r="2851" spans="3:4" ht="20.100000000000001" customHeight="1">
      <c r="C2851" s="1793"/>
      <c r="D2851" s="1793"/>
    </row>
    <row r="2852" spans="3:4" ht="20.100000000000001" customHeight="1">
      <c r="C2852" s="1793"/>
      <c r="D2852" s="1793"/>
    </row>
    <row r="2853" spans="3:4" ht="20.100000000000001" customHeight="1">
      <c r="C2853" s="1793"/>
      <c r="D2853" s="1793"/>
    </row>
    <row r="2854" spans="3:4" ht="20.100000000000001" customHeight="1">
      <c r="C2854" s="1793"/>
      <c r="D2854" s="1793"/>
    </row>
    <row r="2855" spans="3:4" ht="20.100000000000001" customHeight="1">
      <c r="C2855" s="1793"/>
      <c r="D2855" s="1793"/>
    </row>
    <row r="2856" spans="3:4" ht="20.100000000000001" customHeight="1">
      <c r="C2856" s="1793"/>
      <c r="D2856" s="1793"/>
    </row>
    <row r="2857" spans="3:4" ht="20.100000000000001" customHeight="1">
      <c r="C2857" s="1793"/>
      <c r="D2857" s="1793"/>
    </row>
    <row r="2858" spans="3:4" ht="20.100000000000001" customHeight="1">
      <c r="C2858" s="1793"/>
      <c r="D2858" s="1793"/>
    </row>
    <row r="2859" spans="3:4" ht="20.100000000000001" customHeight="1">
      <c r="C2859" s="1793"/>
      <c r="D2859" s="1793"/>
    </row>
    <row r="2860" spans="3:4" ht="20.100000000000001" customHeight="1">
      <c r="C2860" s="1793"/>
      <c r="D2860" s="1793"/>
    </row>
    <row r="2861" spans="3:4" ht="20.100000000000001" customHeight="1">
      <c r="C2861" s="1793"/>
      <c r="D2861" s="1793"/>
    </row>
    <row r="2862" spans="3:4" ht="20.100000000000001" customHeight="1">
      <c r="C2862" s="1793"/>
      <c r="D2862" s="1793"/>
    </row>
    <row r="2863" spans="3:4" ht="20.100000000000001" customHeight="1">
      <c r="C2863" s="1793"/>
      <c r="D2863" s="1793"/>
    </row>
    <row r="2864" spans="3:4" ht="20.100000000000001" customHeight="1">
      <c r="C2864" s="1793"/>
      <c r="D2864" s="1793"/>
    </row>
    <row r="2865" spans="3:4" ht="20.100000000000001" customHeight="1">
      <c r="C2865" s="1793"/>
      <c r="D2865" s="1793"/>
    </row>
    <row r="2866" spans="3:4" ht="20.100000000000001" customHeight="1">
      <c r="C2866" s="1793"/>
      <c r="D2866" s="1793"/>
    </row>
    <row r="2867" spans="3:4" ht="20.100000000000001" customHeight="1">
      <c r="C2867" s="1793"/>
      <c r="D2867" s="1793"/>
    </row>
    <row r="2868" spans="3:4" ht="20.100000000000001" customHeight="1">
      <c r="C2868" s="1793"/>
      <c r="D2868" s="1793"/>
    </row>
    <row r="2869" spans="3:4" ht="20.100000000000001" customHeight="1">
      <c r="C2869" s="1793"/>
      <c r="D2869" s="1793"/>
    </row>
    <row r="2870" spans="3:4" ht="20.100000000000001" customHeight="1">
      <c r="C2870" s="1793"/>
      <c r="D2870" s="1793"/>
    </row>
    <row r="2871" spans="3:4" ht="20.100000000000001" customHeight="1">
      <c r="C2871" s="1793"/>
      <c r="D2871" s="1793"/>
    </row>
    <row r="2872" spans="3:4" ht="20.100000000000001" customHeight="1">
      <c r="C2872" s="1793"/>
      <c r="D2872" s="1793"/>
    </row>
    <row r="2873" spans="3:4" ht="20.100000000000001" customHeight="1">
      <c r="C2873" s="1793"/>
      <c r="D2873" s="1793"/>
    </row>
    <row r="2874" spans="3:4" ht="20.100000000000001" customHeight="1">
      <c r="C2874" s="1793"/>
      <c r="D2874" s="1793"/>
    </row>
    <row r="2875" spans="3:4" ht="20.100000000000001" customHeight="1">
      <c r="C2875" s="1793"/>
      <c r="D2875" s="1793"/>
    </row>
    <row r="2876" spans="3:4" ht="20.100000000000001" customHeight="1">
      <c r="C2876" s="1793"/>
      <c r="D2876" s="1793"/>
    </row>
    <row r="2877" spans="3:4" ht="20.100000000000001" customHeight="1">
      <c r="C2877" s="1793"/>
      <c r="D2877" s="1793"/>
    </row>
    <row r="2878" spans="3:4" ht="20.100000000000001" customHeight="1">
      <c r="C2878" s="1793"/>
      <c r="D2878" s="1793"/>
    </row>
    <row r="2879" spans="3:4" ht="20.100000000000001" customHeight="1">
      <c r="C2879" s="1793"/>
      <c r="D2879" s="1793"/>
    </row>
    <row r="2880" spans="3:4" ht="20.100000000000001" customHeight="1">
      <c r="C2880" s="1793"/>
      <c r="D2880" s="1793"/>
    </row>
    <row r="2881" spans="3:4" ht="20.100000000000001" customHeight="1">
      <c r="C2881" s="1793"/>
      <c r="D2881" s="1793"/>
    </row>
    <row r="2882" spans="3:4" ht="20.100000000000001" customHeight="1">
      <c r="C2882" s="1793"/>
      <c r="D2882" s="1793"/>
    </row>
    <row r="2883" spans="3:4" ht="20.100000000000001" customHeight="1">
      <c r="C2883" s="1793"/>
      <c r="D2883" s="1793"/>
    </row>
    <row r="2884" spans="3:4" ht="20.100000000000001" customHeight="1">
      <c r="C2884" s="1793"/>
      <c r="D2884" s="1793"/>
    </row>
    <row r="2885" spans="3:4" ht="20.100000000000001" customHeight="1">
      <c r="C2885" s="1793"/>
      <c r="D2885" s="1793"/>
    </row>
    <row r="2886" spans="3:4" ht="20.100000000000001" customHeight="1">
      <c r="C2886" s="1793"/>
      <c r="D2886" s="1793"/>
    </row>
    <row r="2887" spans="3:4" ht="20.100000000000001" customHeight="1">
      <c r="C2887" s="1793"/>
      <c r="D2887" s="1793"/>
    </row>
    <row r="2888" spans="3:4" ht="20.100000000000001" customHeight="1">
      <c r="C2888" s="1793"/>
      <c r="D2888" s="1793"/>
    </row>
    <row r="2889" spans="3:4" ht="20.100000000000001" customHeight="1">
      <c r="C2889" s="1793"/>
      <c r="D2889" s="1793"/>
    </row>
    <row r="2890" spans="3:4" ht="20.100000000000001" customHeight="1">
      <c r="C2890" s="1793"/>
      <c r="D2890" s="1793"/>
    </row>
    <row r="2891" spans="3:4" ht="20.100000000000001" customHeight="1">
      <c r="C2891" s="1793"/>
      <c r="D2891" s="1793"/>
    </row>
    <row r="2892" spans="3:4" ht="20.100000000000001" customHeight="1">
      <c r="C2892" s="1793"/>
      <c r="D2892" s="1793"/>
    </row>
    <row r="2893" spans="3:4" ht="20.100000000000001" customHeight="1">
      <c r="C2893" s="1793"/>
      <c r="D2893" s="1793"/>
    </row>
    <row r="2894" spans="3:4" ht="20.100000000000001" customHeight="1">
      <c r="C2894" s="1793"/>
      <c r="D2894" s="1793"/>
    </row>
    <row r="2895" spans="3:4" ht="20.100000000000001" customHeight="1">
      <c r="C2895" s="1793"/>
      <c r="D2895" s="1793"/>
    </row>
    <row r="2896" spans="3:4" ht="20.100000000000001" customHeight="1">
      <c r="C2896" s="1793"/>
      <c r="D2896" s="1793"/>
    </row>
    <row r="2897" spans="3:4" ht="20.100000000000001" customHeight="1">
      <c r="C2897" s="1793"/>
      <c r="D2897" s="1793"/>
    </row>
    <row r="2898" spans="3:4" ht="20.100000000000001" customHeight="1">
      <c r="C2898" s="1793"/>
      <c r="D2898" s="1793"/>
    </row>
    <row r="2899" spans="3:4" ht="20.100000000000001" customHeight="1">
      <c r="C2899" s="1793"/>
      <c r="D2899" s="1793"/>
    </row>
    <row r="2900" spans="3:4" ht="20.100000000000001" customHeight="1">
      <c r="C2900" s="1793"/>
      <c r="D2900" s="1793"/>
    </row>
    <row r="2901" spans="3:4" ht="20.100000000000001" customHeight="1">
      <c r="C2901" s="1793"/>
      <c r="D2901" s="1793"/>
    </row>
    <row r="2902" spans="3:4" ht="20.100000000000001" customHeight="1">
      <c r="C2902" s="1793"/>
      <c r="D2902" s="1793"/>
    </row>
    <row r="2903" spans="3:4" ht="20.100000000000001" customHeight="1">
      <c r="C2903" s="1793"/>
      <c r="D2903" s="1793"/>
    </row>
    <row r="2904" spans="3:4" ht="20.100000000000001" customHeight="1">
      <c r="C2904" s="1793"/>
      <c r="D2904" s="1793"/>
    </row>
    <row r="2905" spans="3:4" ht="20.100000000000001" customHeight="1">
      <c r="C2905" s="1793"/>
      <c r="D2905" s="1793"/>
    </row>
    <row r="2906" spans="3:4" ht="20.100000000000001" customHeight="1">
      <c r="C2906" s="1793"/>
      <c r="D2906" s="1793"/>
    </row>
    <row r="2907" spans="3:4" ht="20.100000000000001" customHeight="1">
      <c r="C2907" s="1793"/>
      <c r="D2907" s="1793"/>
    </row>
    <row r="2908" spans="3:4" ht="20.100000000000001" customHeight="1">
      <c r="C2908" s="1793"/>
      <c r="D2908" s="1793"/>
    </row>
    <row r="2909" spans="3:4" ht="20.100000000000001" customHeight="1">
      <c r="C2909" s="1793"/>
      <c r="D2909" s="1793"/>
    </row>
    <row r="2910" spans="3:4" ht="20.100000000000001" customHeight="1">
      <c r="C2910" s="1793"/>
      <c r="D2910" s="1793"/>
    </row>
    <row r="2911" spans="3:4" ht="20.100000000000001" customHeight="1">
      <c r="C2911" s="1793"/>
      <c r="D2911" s="1793"/>
    </row>
    <row r="2912" spans="3:4" ht="20.100000000000001" customHeight="1">
      <c r="C2912" s="1793"/>
      <c r="D2912" s="1793"/>
    </row>
    <row r="2913" spans="3:4" ht="20.100000000000001" customHeight="1">
      <c r="C2913" s="1793"/>
      <c r="D2913" s="1793"/>
    </row>
    <row r="2914" spans="3:4" ht="20.100000000000001" customHeight="1">
      <c r="C2914" s="1793"/>
      <c r="D2914" s="1793"/>
    </row>
    <row r="2915" spans="3:4" ht="20.100000000000001" customHeight="1">
      <c r="C2915" s="1793"/>
      <c r="D2915" s="1793"/>
    </row>
    <row r="2916" spans="3:4" ht="20.100000000000001" customHeight="1">
      <c r="C2916" s="1793"/>
      <c r="D2916" s="1793"/>
    </row>
    <row r="2917" spans="3:4" ht="20.100000000000001" customHeight="1">
      <c r="C2917" s="1793"/>
      <c r="D2917" s="1793"/>
    </row>
    <row r="2918" spans="3:4" ht="20.100000000000001" customHeight="1">
      <c r="C2918" s="1793"/>
      <c r="D2918" s="1793"/>
    </row>
    <row r="2919" spans="3:4" ht="20.100000000000001" customHeight="1">
      <c r="C2919" s="1793"/>
      <c r="D2919" s="1793"/>
    </row>
    <row r="2920" spans="3:4" ht="20.100000000000001" customHeight="1">
      <c r="C2920" s="1793"/>
      <c r="D2920" s="1793"/>
    </row>
    <row r="2921" spans="3:4" ht="20.100000000000001" customHeight="1">
      <c r="C2921" s="1793"/>
      <c r="D2921" s="1793"/>
    </row>
    <row r="2922" spans="3:4" ht="20.100000000000001" customHeight="1">
      <c r="C2922" s="1793"/>
      <c r="D2922" s="1793"/>
    </row>
    <row r="2923" spans="3:4" ht="20.100000000000001" customHeight="1">
      <c r="C2923" s="1793"/>
      <c r="D2923" s="1793"/>
    </row>
    <row r="2924" spans="3:4" ht="20.100000000000001" customHeight="1">
      <c r="C2924" s="1793"/>
      <c r="D2924" s="1793"/>
    </row>
    <row r="2925" spans="3:4" ht="20.100000000000001" customHeight="1">
      <c r="C2925" s="1793"/>
      <c r="D2925" s="1793"/>
    </row>
    <row r="2926" spans="3:4" ht="20.100000000000001" customHeight="1">
      <c r="C2926" s="1793"/>
      <c r="D2926" s="1793"/>
    </row>
    <row r="2927" spans="3:4" ht="20.100000000000001" customHeight="1">
      <c r="C2927" s="1793"/>
      <c r="D2927" s="1793"/>
    </row>
    <row r="2928" spans="3:4" ht="20.100000000000001" customHeight="1">
      <c r="C2928" s="1793"/>
      <c r="D2928" s="1793"/>
    </row>
    <row r="2929" spans="3:4" ht="20.100000000000001" customHeight="1">
      <c r="C2929" s="1793"/>
      <c r="D2929" s="1793"/>
    </row>
    <row r="2930" spans="3:4" ht="20.100000000000001" customHeight="1">
      <c r="C2930" s="1793"/>
      <c r="D2930" s="1793"/>
    </row>
    <row r="2931" spans="3:4" ht="20.100000000000001" customHeight="1">
      <c r="C2931" s="1793"/>
      <c r="D2931" s="1793"/>
    </row>
    <row r="2932" spans="3:4" ht="20.100000000000001" customHeight="1">
      <c r="C2932" s="1793"/>
      <c r="D2932" s="1793"/>
    </row>
    <row r="2933" spans="3:4" ht="20.100000000000001" customHeight="1">
      <c r="C2933" s="1793"/>
      <c r="D2933" s="1793"/>
    </row>
    <row r="2934" spans="3:4" ht="20.100000000000001" customHeight="1">
      <c r="C2934" s="1793"/>
      <c r="D2934" s="1793"/>
    </row>
    <row r="2935" spans="3:4" ht="20.100000000000001" customHeight="1">
      <c r="C2935" s="1793"/>
      <c r="D2935" s="1793"/>
    </row>
    <row r="2936" spans="3:4" ht="20.100000000000001" customHeight="1">
      <c r="C2936" s="1793"/>
      <c r="D2936" s="1793"/>
    </row>
    <row r="2937" spans="3:4" ht="20.100000000000001" customHeight="1">
      <c r="C2937" s="1793"/>
      <c r="D2937" s="1793"/>
    </row>
    <row r="2938" spans="3:4" ht="20.100000000000001" customHeight="1">
      <c r="C2938" s="1793"/>
      <c r="D2938" s="1793"/>
    </row>
    <row r="2939" spans="3:4" ht="20.100000000000001" customHeight="1">
      <c r="C2939" s="1793"/>
      <c r="D2939" s="1793"/>
    </row>
    <row r="2940" spans="3:4" ht="20.100000000000001" customHeight="1">
      <c r="C2940" s="1793"/>
      <c r="D2940" s="1793"/>
    </row>
    <row r="2941" spans="3:4" ht="20.100000000000001" customHeight="1">
      <c r="C2941" s="1793"/>
      <c r="D2941" s="1793"/>
    </row>
    <row r="2942" spans="3:4" ht="20.100000000000001" customHeight="1">
      <c r="C2942" s="1793"/>
      <c r="D2942" s="1793"/>
    </row>
    <row r="2943" spans="3:4" ht="20.100000000000001" customHeight="1">
      <c r="C2943" s="1793"/>
      <c r="D2943" s="1793"/>
    </row>
    <row r="2944" spans="3:4" ht="20.100000000000001" customHeight="1">
      <c r="C2944" s="1793"/>
      <c r="D2944" s="1793"/>
    </row>
    <row r="2945" spans="3:4" ht="20.100000000000001" customHeight="1">
      <c r="C2945" s="1793"/>
      <c r="D2945" s="1793"/>
    </row>
    <row r="2946" spans="3:4" ht="20.100000000000001" customHeight="1">
      <c r="C2946" s="1793"/>
      <c r="D2946" s="1793"/>
    </row>
    <row r="2947" spans="3:4" ht="20.100000000000001" customHeight="1">
      <c r="C2947" s="1793"/>
      <c r="D2947" s="1793"/>
    </row>
    <row r="2948" spans="3:4" ht="20.100000000000001" customHeight="1">
      <c r="C2948" s="1793"/>
      <c r="D2948" s="1793"/>
    </row>
    <row r="2949" spans="3:4" ht="20.100000000000001" customHeight="1">
      <c r="C2949" s="1793"/>
      <c r="D2949" s="1793"/>
    </row>
    <row r="2950" spans="3:4" ht="20.100000000000001" customHeight="1">
      <c r="C2950" s="1793"/>
      <c r="D2950" s="1793"/>
    </row>
    <row r="2951" spans="3:4" ht="20.100000000000001" customHeight="1">
      <c r="C2951" s="1793"/>
      <c r="D2951" s="1793"/>
    </row>
    <row r="2952" spans="3:4" ht="20.100000000000001" customHeight="1">
      <c r="C2952" s="1793"/>
      <c r="D2952" s="1793"/>
    </row>
    <row r="2953" spans="3:4" ht="20.100000000000001" customHeight="1">
      <c r="C2953" s="1793"/>
      <c r="D2953" s="1793"/>
    </row>
    <row r="2954" spans="3:4" ht="20.100000000000001" customHeight="1">
      <c r="C2954" s="1793"/>
      <c r="D2954" s="1793"/>
    </row>
    <row r="2955" spans="3:4" ht="20.100000000000001" customHeight="1">
      <c r="C2955" s="1793"/>
      <c r="D2955" s="1793"/>
    </row>
    <row r="2956" spans="3:4" ht="20.100000000000001" customHeight="1">
      <c r="C2956" s="1793"/>
      <c r="D2956" s="1793"/>
    </row>
    <row r="2957" spans="3:4" ht="20.100000000000001" customHeight="1">
      <c r="C2957" s="1793"/>
      <c r="D2957" s="1793"/>
    </row>
    <row r="2958" spans="3:4" ht="20.100000000000001" customHeight="1">
      <c r="C2958" s="1793"/>
      <c r="D2958" s="1793"/>
    </row>
    <row r="2959" spans="3:4" ht="20.100000000000001" customHeight="1">
      <c r="C2959" s="1793"/>
      <c r="D2959" s="1793"/>
    </row>
    <row r="2960" spans="3:4" ht="20.100000000000001" customHeight="1">
      <c r="C2960" s="1793"/>
      <c r="D2960" s="1793"/>
    </row>
    <row r="2961" spans="3:4" ht="20.100000000000001" customHeight="1">
      <c r="C2961" s="1793"/>
      <c r="D2961" s="1793"/>
    </row>
    <row r="2962" spans="3:4" ht="20.100000000000001" customHeight="1">
      <c r="C2962" s="1793"/>
      <c r="D2962" s="1793"/>
    </row>
    <row r="2963" spans="3:4" ht="20.100000000000001" customHeight="1">
      <c r="C2963" s="1793"/>
      <c r="D2963" s="1793"/>
    </row>
    <row r="2964" spans="3:4" ht="20.100000000000001" customHeight="1">
      <c r="C2964" s="1793"/>
      <c r="D2964" s="1793"/>
    </row>
    <row r="2965" spans="3:4" ht="20.100000000000001" customHeight="1">
      <c r="C2965" s="1793"/>
      <c r="D2965" s="1793"/>
    </row>
    <row r="2966" spans="3:4" ht="20.100000000000001" customHeight="1">
      <c r="C2966" s="1793"/>
      <c r="D2966" s="1793"/>
    </row>
    <row r="2967" spans="3:4" ht="20.100000000000001" customHeight="1">
      <c r="C2967" s="1793"/>
      <c r="D2967" s="1793"/>
    </row>
    <row r="2968" spans="3:4" ht="20.100000000000001" customHeight="1">
      <c r="C2968" s="1793"/>
      <c r="D2968" s="1793"/>
    </row>
    <row r="2969" spans="3:4" ht="20.100000000000001" customHeight="1">
      <c r="C2969" s="1793"/>
      <c r="D2969" s="1793"/>
    </row>
    <row r="2970" spans="3:4" ht="20.100000000000001" customHeight="1">
      <c r="C2970" s="1793"/>
      <c r="D2970" s="1793"/>
    </row>
    <row r="2971" spans="3:4" ht="20.100000000000001" customHeight="1">
      <c r="C2971" s="1793"/>
      <c r="D2971" s="1793"/>
    </row>
    <row r="2972" spans="3:4" ht="20.100000000000001" customHeight="1">
      <c r="C2972" s="1793"/>
      <c r="D2972" s="1793"/>
    </row>
    <row r="2973" spans="3:4" ht="20.100000000000001" customHeight="1">
      <c r="C2973" s="1793"/>
      <c r="D2973" s="1793"/>
    </row>
    <row r="2974" spans="3:4" ht="20.100000000000001" customHeight="1">
      <c r="C2974" s="1793"/>
      <c r="D2974" s="1793"/>
    </row>
    <row r="2975" spans="3:4" ht="20.100000000000001" customHeight="1">
      <c r="C2975" s="1793"/>
      <c r="D2975" s="1793"/>
    </row>
    <row r="2976" spans="3:4" ht="20.100000000000001" customHeight="1">
      <c r="C2976" s="1793"/>
      <c r="D2976" s="1793"/>
    </row>
    <row r="2977" spans="3:4" ht="20.100000000000001" customHeight="1">
      <c r="C2977" s="1793"/>
      <c r="D2977" s="1793"/>
    </row>
    <row r="2978" spans="3:4" ht="20.100000000000001" customHeight="1">
      <c r="C2978" s="1793"/>
      <c r="D2978" s="1793"/>
    </row>
    <row r="2979" spans="3:4" ht="20.100000000000001" customHeight="1">
      <c r="C2979" s="1793"/>
      <c r="D2979" s="1793"/>
    </row>
    <row r="2980" spans="3:4" ht="20.100000000000001" customHeight="1">
      <c r="C2980" s="1793"/>
      <c r="D2980" s="1793"/>
    </row>
    <row r="2981" spans="3:4" ht="20.100000000000001" customHeight="1">
      <c r="C2981" s="1793"/>
      <c r="D2981" s="1793"/>
    </row>
    <row r="2982" spans="3:4" ht="20.100000000000001" customHeight="1">
      <c r="C2982" s="1793"/>
      <c r="D2982" s="1793"/>
    </row>
    <row r="2983" spans="3:4" ht="20.100000000000001" customHeight="1">
      <c r="C2983" s="1793"/>
      <c r="D2983" s="1793"/>
    </row>
    <row r="2984" spans="3:4" ht="20.100000000000001" customHeight="1">
      <c r="C2984" s="1793"/>
      <c r="D2984" s="1793"/>
    </row>
    <row r="2985" spans="3:4" ht="20.100000000000001" customHeight="1">
      <c r="C2985" s="1793"/>
      <c r="D2985" s="1793"/>
    </row>
    <row r="2986" spans="3:4" ht="20.100000000000001" customHeight="1">
      <c r="C2986" s="1793"/>
      <c r="D2986" s="1793"/>
    </row>
    <row r="2987" spans="3:4" ht="20.100000000000001" customHeight="1">
      <c r="C2987" s="1793"/>
      <c r="D2987" s="1793"/>
    </row>
    <row r="2988" spans="3:4" ht="20.100000000000001" customHeight="1">
      <c r="C2988" s="1793"/>
      <c r="D2988" s="1793"/>
    </row>
    <row r="2989" spans="3:4" ht="20.100000000000001" customHeight="1">
      <c r="C2989" s="1793"/>
      <c r="D2989" s="1793"/>
    </row>
    <row r="2990" spans="3:4" ht="20.100000000000001" customHeight="1">
      <c r="C2990" s="1793"/>
      <c r="D2990" s="1793"/>
    </row>
    <row r="2991" spans="3:4" ht="20.100000000000001" customHeight="1">
      <c r="C2991" s="1793"/>
      <c r="D2991" s="1793"/>
    </row>
    <row r="2992" spans="3:4" ht="20.100000000000001" customHeight="1">
      <c r="C2992" s="1793"/>
      <c r="D2992" s="1793"/>
    </row>
    <row r="2993" spans="3:4" ht="20.100000000000001" customHeight="1">
      <c r="C2993" s="1793"/>
      <c r="D2993" s="1793"/>
    </row>
    <row r="2994" spans="3:4" ht="20.100000000000001" customHeight="1">
      <c r="C2994" s="1793"/>
      <c r="D2994" s="1793"/>
    </row>
    <row r="2995" spans="3:4" ht="20.100000000000001" customHeight="1">
      <c r="C2995" s="1793"/>
      <c r="D2995" s="1793"/>
    </row>
    <row r="2996" spans="3:4" ht="20.100000000000001" customHeight="1">
      <c r="C2996" s="1793"/>
      <c r="D2996" s="1793"/>
    </row>
    <row r="2997" spans="3:4" ht="20.100000000000001" customHeight="1">
      <c r="C2997" s="1793"/>
      <c r="D2997" s="1793"/>
    </row>
    <row r="2998" spans="3:4" ht="20.100000000000001" customHeight="1">
      <c r="C2998" s="1793"/>
      <c r="D2998" s="1793"/>
    </row>
    <row r="2999" spans="3:4" ht="20.100000000000001" customHeight="1">
      <c r="C2999" s="1793"/>
      <c r="D2999" s="1793"/>
    </row>
    <row r="3000" spans="3:4" ht="20.100000000000001" customHeight="1">
      <c r="C3000" s="1793"/>
      <c r="D3000" s="1793"/>
    </row>
    <row r="3001" spans="3:4" ht="20.100000000000001" customHeight="1">
      <c r="C3001" s="1793"/>
      <c r="D3001" s="1793"/>
    </row>
    <row r="3002" spans="3:4" ht="20.100000000000001" customHeight="1">
      <c r="C3002" s="1793"/>
      <c r="D3002" s="1793"/>
    </row>
    <row r="3003" spans="3:4" ht="20.100000000000001" customHeight="1">
      <c r="C3003" s="1793"/>
      <c r="D3003" s="1793"/>
    </row>
    <row r="3004" spans="3:4" ht="20.100000000000001" customHeight="1">
      <c r="C3004" s="1793"/>
      <c r="D3004" s="1793"/>
    </row>
    <row r="3005" spans="3:4" ht="20.100000000000001" customHeight="1">
      <c r="C3005" s="1793"/>
      <c r="D3005" s="1793"/>
    </row>
    <row r="3006" spans="3:4" ht="20.100000000000001" customHeight="1">
      <c r="C3006" s="1793"/>
      <c r="D3006" s="1793"/>
    </row>
    <row r="3007" spans="3:4" ht="20.100000000000001" customHeight="1">
      <c r="C3007" s="1793"/>
      <c r="D3007" s="1793"/>
    </row>
    <row r="3008" spans="3:4" ht="20.100000000000001" customHeight="1">
      <c r="C3008" s="1793"/>
      <c r="D3008" s="1793"/>
    </row>
    <row r="3009" spans="3:4" ht="20.100000000000001" customHeight="1">
      <c r="C3009" s="1793"/>
      <c r="D3009" s="1793"/>
    </row>
    <row r="3010" spans="3:4" ht="20.100000000000001" customHeight="1">
      <c r="C3010" s="1793"/>
      <c r="D3010" s="1793"/>
    </row>
    <row r="3011" spans="3:4" ht="20.100000000000001" customHeight="1">
      <c r="C3011" s="1793"/>
      <c r="D3011" s="1793"/>
    </row>
    <row r="3012" spans="3:4" ht="20.100000000000001" customHeight="1">
      <c r="C3012" s="1793"/>
      <c r="D3012" s="1793"/>
    </row>
    <row r="3013" spans="3:4" ht="20.100000000000001" customHeight="1">
      <c r="C3013" s="1793"/>
      <c r="D3013" s="1793"/>
    </row>
    <row r="3014" spans="3:4" ht="20.100000000000001" customHeight="1">
      <c r="C3014" s="1793"/>
      <c r="D3014" s="1793"/>
    </row>
    <row r="3015" spans="3:4" ht="20.100000000000001" customHeight="1">
      <c r="C3015" s="1793"/>
      <c r="D3015" s="1793"/>
    </row>
    <row r="3016" spans="3:4" ht="20.100000000000001" customHeight="1">
      <c r="C3016" s="1793"/>
      <c r="D3016" s="1793"/>
    </row>
    <row r="3017" spans="3:4" ht="20.100000000000001" customHeight="1">
      <c r="C3017" s="1793"/>
      <c r="D3017" s="1793"/>
    </row>
    <row r="3018" spans="3:4" ht="20.100000000000001" customHeight="1">
      <c r="C3018" s="1793"/>
      <c r="D3018" s="1793"/>
    </row>
    <row r="3019" spans="3:4" ht="20.100000000000001" customHeight="1">
      <c r="C3019" s="1793"/>
      <c r="D3019" s="1793"/>
    </row>
    <row r="3020" spans="3:4" ht="20.100000000000001" customHeight="1">
      <c r="C3020" s="1793"/>
      <c r="D3020" s="1793"/>
    </row>
    <row r="3021" spans="3:4" ht="20.100000000000001" customHeight="1">
      <c r="C3021" s="1793"/>
      <c r="D3021" s="1793"/>
    </row>
    <row r="3022" spans="3:4" ht="20.100000000000001" customHeight="1">
      <c r="C3022" s="1793"/>
      <c r="D3022" s="1793"/>
    </row>
    <row r="3023" spans="3:4" ht="20.100000000000001" customHeight="1">
      <c r="C3023" s="1793"/>
      <c r="D3023" s="1793"/>
    </row>
    <row r="3024" spans="3:4" ht="20.100000000000001" customHeight="1">
      <c r="C3024" s="1793"/>
      <c r="D3024" s="1793"/>
    </row>
    <row r="3025" spans="3:4" ht="20.100000000000001" customHeight="1">
      <c r="C3025" s="1793"/>
      <c r="D3025" s="1793"/>
    </row>
    <row r="3026" spans="3:4" ht="20.100000000000001" customHeight="1">
      <c r="C3026" s="1793"/>
      <c r="D3026" s="1793"/>
    </row>
    <row r="3027" spans="3:4" ht="20.100000000000001" customHeight="1">
      <c r="C3027" s="1793"/>
      <c r="D3027" s="1793"/>
    </row>
    <row r="3028" spans="3:4" ht="20.100000000000001" customHeight="1">
      <c r="C3028" s="1793"/>
      <c r="D3028" s="1793"/>
    </row>
    <row r="3029" spans="3:4" ht="20.100000000000001" customHeight="1">
      <c r="C3029" s="1793"/>
      <c r="D3029" s="1793"/>
    </row>
    <row r="3030" spans="3:4" ht="20.100000000000001" customHeight="1">
      <c r="C3030" s="1793"/>
      <c r="D3030" s="1793"/>
    </row>
    <row r="3031" spans="3:4" ht="20.100000000000001" customHeight="1">
      <c r="C3031" s="1793"/>
      <c r="D3031" s="1793"/>
    </row>
    <row r="3032" spans="3:4" ht="20.100000000000001" customHeight="1">
      <c r="C3032" s="1793"/>
      <c r="D3032" s="1793"/>
    </row>
    <row r="3033" spans="3:4" ht="20.100000000000001" customHeight="1">
      <c r="C3033" s="1793"/>
      <c r="D3033" s="1793"/>
    </row>
    <row r="3034" spans="3:4" ht="20.100000000000001" customHeight="1">
      <c r="C3034" s="1793"/>
      <c r="D3034" s="1793"/>
    </row>
    <row r="3035" spans="3:4" ht="20.100000000000001" customHeight="1">
      <c r="C3035" s="1793"/>
      <c r="D3035" s="1793"/>
    </row>
    <row r="3036" spans="3:4" ht="20.100000000000001" customHeight="1">
      <c r="C3036" s="1793"/>
      <c r="D3036" s="1793"/>
    </row>
    <row r="3037" spans="3:4" ht="20.100000000000001" customHeight="1">
      <c r="C3037" s="1793"/>
      <c r="D3037" s="1793"/>
    </row>
    <row r="3038" spans="3:4" ht="20.100000000000001" customHeight="1">
      <c r="C3038" s="1793"/>
      <c r="D3038" s="1793"/>
    </row>
    <row r="3039" spans="3:4" ht="20.100000000000001" customHeight="1">
      <c r="C3039" s="1793"/>
      <c r="D3039" s="1793"/>
    </row>
    <row r="3040" spans="3:4" ht="20.100000000000001" customHeight="1">
      <c r="C3040" s="1793"/>
      <c r="D3040" s="1793"/>
    </row>
    <row r="3041" spans="3:4" ht="20.100000000000001" customHeight="1">
      <c r="C3041" s="1793"/>
      <c r="D3041" s="1793"/>
    </row>
    <row r="3042" spans="3:4" ht="20.100000000000001" customHeight="1">
      <c r="C3042" s="1793"/>
      <c r="D3042" s="1793"/>
    </row>
    <row r="3043" spans="3:4" ht="20.100000000000001" customHeight="1">
      <c r="C3043" s="1793"/>
      <c r="D3043" s="1793"/>
    </row>
    <row r="3044" spans="3:4" ht="20.100000000000001" customHeight="1">
      <c r="C3044" s="1793"/>
      <c r="D3044" s="1793"/>
    </row>
    <row r="3045" spans="3:4" ht="20.100000000000001" customHeight="1">
      <c r="C3045" s="1793"/>
      <c r="D3045" s="1793"/>
    </row>
    <row r="3046" spans="3:4" ht="20.100000000000001" customHeight="1">
      <c r="C3046" s="1793"/>
      <c r="D3046" s="1793"/>
    </row>
    <row r="3047" spans="3:4" ht="20.100000000000001" customHeight="1">
      <c r="C3047" s="1793"/>
      <c r="D3047" s="1793"/>
    </row>
    <row r="3048" spans="3:4" ht="20.100000000000001" customHeight="1">
      <c r="C3048" s="1793"/>
      <c r="D3048" s="1793"/>
    </row>
    <row r="3049" spans="3:4" ht="20.100000000000001" customHeight="1">
      <c r="C3049" s="1793"/>
      <c r="D3049" s="1793"/>
    </row>
    <row r="3050" spans="3:4" ht="20.100000000000001" customHeight="1">
      <c r="C3050" s="1793"/>
      <c r="D3050" s="1793"/>
    </row>
    <row r="3051" spans="3:4" ht="20.100000000000001" customHeight="1">
      <c r="C3051" s="1793"/>
      <c r="D3051" s="1793"/>
    </row>
    <row r="3052" spans="3:4" ht="20.100000000000001" customHeight="1">
      <c r="C3052" s="1793"/>
      <c r="D3052" s="1793"/>
    </row>
    <row r="3053" spans="3:4" ht="20.100000000000001" customHeight="1">
      <c r="C3053" s="1793"/>
      <c r="D3053" s="1793"/>
    </row>
    <row r="3054" spans="3:4" ht="20.100000000000001" customHeight="1">
      <c r="C3054" s="1793"/>
      <c r="D3054" s="1793"/>
    </row>
    <row r="3055" spans="3:4" ht="20.100000000000001" customHeight="1">
      <c r="C3055" s="1793"/>
      <c r="D3055" s="1793"/>
    </row>
    <row r="3056" spans="3:4" ht="20.100000000000001" customHeight="1">
      <c r="C3056" s="1793"/>
      <c r="D3056" s="1793"/>
    </row>
    <row r="3057" spans="3:4" ht="20.100000000000001" customHeight="1">
      <c r="C3057" s="1793"/>
      <c r="D3057" s="1793"/>
    </row>
    <row r="3058" spans="3:4" ht="20.100000000000001" customHeight="1">
      <c r="C3058" s="1793"/>
      <c r="D3058" s="1793"/>
    </row>
    <row r="3059" spans="3:4" ht="20.100000000000001" customHeight="1">
      <c r="C3059" s="1793"/>
      <c r="D3059" s="1793"/>
    </row>
    <row r="3060" spans="3:4" ht="20.100000000000001" customHeight="1">
      <c r="C3060" s="1793"/>
      <c r="D3060" s="1793"/>
    </row>
    <row r="3061" spans="3:4" ht="20.100000000000001" customHeight="1">
      <c r="C3061" s="1793"/>
      <c r="D3061" s="1793"/>
    </row>
    <row r="3062" spans="3:4" ht="20.100000000000001" customHeight="1">
      <c r="C3062" s="1793"/>
      <c r="D3062" s="1793"/>
    </row>
    <row r="3063" spans="3:4" ht="20.100000000000001" customHeight="1">
      <c r="C3063" s="1793"/>
      <c r="D3063" s="1793"/>
    </row>
    <row r="3064" spans="3:4" ht="20.100000000000001" customHeight="1">
      <c r="C3064" s="1793"/>
      <c r="D3064" s="1793"/>
    </row>
    <row r="3065" spans="3:4" ht="20.100000000000001" customHeight="1">
      <c r="C3065" s="1793"/>
      <c r="D3065" s="1793"/>
    </row>
    <row r="3066" spans="3:4" ht="20.100000000000001" customHeight="1">
      <c r="C3066" s="1793"/>
      <c r="D3066" s="1793"/>
    </row>
    <row r="3067" spans="3:4" ht="20.100000000000001" customHeight="1">
      <c r="C3067" s="1793"/>
      <c r="D3067" s="1793"/>
    </row>
    <row r="3068" spans="3:4" ht="20.100000000000001" customHeight="1">
      <c r="C3068" s="1793"/>
      <c r="D3068" s="1793"/>
    </row>
    <row r="3069" spans="3:4" ht="20.100000000000001" customHeight="1">
      <c r="C3069" s="1793"/>
      <c r="D3069" s="1793"/>
    </row>
    <row r="3070" spans="3:4" ht="20.100000000000001" customHeight="1">
      <c r="C3070" s="1793"/>
      <c r="D3070" s="1793"/>
    </row>
    <row r="3071" spans="3:4" ht="20.100000000000001" customHeight="1">
      <c r="C3071" s="1793"/>
      <c r="D3071" s="1793"/>
    </row>
    <row r="3072" spans="3:4" ht="20.100000000000001" customHeight="1">
      <c r="C3072" s="1793"/>
      <c r="D3072" s="1793"/>
    </row>
    <row r="3073" spans="3:4" ht="20.100000000000001" customHeight="1">
      <c r="C3073" s="1793"/>
      <c r="D3073" s="1793"/>
    </row>
    <row r="3074" spans="3:4" ht="20.100000000000001" customHeight="1">
      <c r="C3074" s="1793"/>
      <c r="D3074" s="1793"/>
    </row>
    <row r="3075" spans="3:4" ht="20.100000000000001" customHeight="1">
      <c r="C3075" s="1793"/>
      <c r="D3075" s="1793"/>
    </row>
    <row r="3076" spans="3:4" ht="20.100000000000001" customHeight="1">
      <c r="C3076" s="1793"/>
      <c r="D3076" s="1793"/>
    </row>
    <row r="3077" spans="3:4" ht="20.100000000000001" customHeight="1">
      <c r="C3077" s="1793"/>
      <c r="D3077" s="1793"/>
    </row>
    <row r="3078" spans="3:4" ht="20.100000000000001" customHeight="1">
      <c r="C3078" s="1793"/>
      <c r="D3078" s="1793"/>
    </row>
    <row r="3079" spans="3:4" ht="20.100000000000001" customHeight="1">
      <c r="C3079" s="1793"/>
      <c r="D3079" s="1793"/>
    </row>
    <row r="3080" spans="3:4" ht="20.100000000000001" customHeight="1">
      <c r="C3080" s="1793"/>
      <c r="D3080" s="1793"/>
    </row>
    <row r="3081" spans="3:4" ht="20.100000000000001" customHeight="1">
      <c r="C3081" s="1793"/>
      <c r="D3081" s="1793"/>
    </row>
    <row r="3082" spans="3:4" ht="20.100000000000001" customHeight="1">
      <c r="C3082" s="1793"/>
      <c r="D3082" s="1793"/>
    </row>
    <row r="3083" spans="3:4" ht="20.100000000000001" customHeight="1">
      <c r="C3083" s="1793"/>
      <c r="D3083" s="1793"/>
    </row>
    <row r="3084" spans="3:4" ht="20.100000000000001" customHeight="1">
      <c r="C3084" s="1793"/>
      <c r="D3084" s="1793"/>
    </row>
    <row r="3085" spans="3:4" ht="20.100000000000001" customHeight="1">
      <c r="C3085" s="1793"/>
      <c r="D3085" s="1793"/>
    </row>
    <row r="3086" spans="3:4" ht="20.100000000000001" customHeight="1">
      <c r="C3086" s="1793"/>
      <c r="D3086" s="1793"/>
    </row>
    <row r="3087" spans="3:4" ht="20.100000000000001" customHeight="1">
      <c r="C3087" s="1793"/>
      <c r="D3087" s="1793"/>
    </row>
    <row r="3088" spans="3:4" ht="20.100000000000001" customHeight="1">
      <c r="C3088" s="1793"/>
      <c r="D3088" s="1793"/>
    </row>
    <row r="3089" spans="3:4" ht="20.100000000000001" customHeight="1">
      <c r="C3089" s="1793"/>
      <c r="D3089" s="1793"/>
    </row>
    <row r="3090" spans="3:4" ht="20.100000000000001" customHeight="1">
      <c r="C3090" s="1793"/>
      <c r="D3090" s="1793"/>
    </row>
    <row r="3091" spans="3:4" ht="20.100000000000001" customHeight="1">
      <c r="C3091" s="1793"/>
      <c r="D3091" s="1793"/>
    </row>
    <row r="3092" spans="3:4" ht="20.100000000000001" customHeight="1">
      <c r="C3092" s="1793"/>
      <c r="D3092" s="1793"/>
    </row>
    <row r="3093" spans="3:4" ht="20.100000000000001" customHeight="1">
      <c r="C3093" s="1793"/>
      <c r="D3093" s="1793"/>
    </row>
    <row r="3094" spans="3:4" ht="20.100000000000001" customHeight="1">
      <c r="C3094" s="1793"/>
      <c r="D3094" s="1793"/>
    </row>
    <row r="3095" spans="3:4" ht="20.100000000000001" customHeight="1">
      <c r="C3095" s="1793"/>
      <c r="D3095" s="1793"/>
    </row>
    <row r="3096" spans="3:4" ht="20.100000000000001" customHeight="1">
      <c r="C3096" s="1793"/>
      <c r="D3096" s="1793"/>
    </row>
    <row r="3097" spans="3:4" ht="20.100000000000001" customHeight="1">
      <c r="C3097" s="1793"/>
      <c r="D3097" s="1793"/>
    </row>
    <row r="3098" spans="3:4" ht="20.100000000000001" customHeight="1">
      <c r="C3098" s="1793"/>
      <c r="D3098" s="1793"/>
    </row>
    <row r="3099" spans="3:4" ht="20.100000000000001" customHeight="1">
      <c r="C3099" s="1793"/>
      <c r="D3099" s="1793"/>
    </row>
    <row r="3100" spans="3:4" ht="20.100000000000001" customHeight="1">
      <c r="C3100" s="1793"/>
      <c r="D3100" s="1793"/>
    </row>
    <row r="3101" spans="3:4" ht="20.100000000000001" customHeight="1">
      <c r="C3101" s="1793"/>
      <c r="D3101" s="1793"/>
    </row>
    <row r="3102" spans="3:4" ht="20.100000000000001" customHeight="1">
      <c r="C3102" s="1793"/>
      <c r="D3102" s="1793"/>
    </row>
    <row r="3103" spans="3:4" ht="20.100000000000001" customHeight="1">
      <c r="C3103" s="1793"/>
      <c r="D3103" s="1793"/>
    </row>
    <row r="3104" spans="3:4" ht="20.100000000000001" customHeight="1">
      <c r="C3104" s="1793"/>
      <c r="D3104" s="1793"/>
    </row>
    <row r="3105" spans="3:4" ht="20.100000000000001" customHeight="1">
      <c r="C3105" s="1793"/>
      <c r="D3105" s="1793"/>
    </row>
    <row r="3106" spans="3:4" ht="20.100000000000001" customHeight="1">
      <c r="C3106" s="1793"/>
      <c r="D3106" s="1793"/>
    </row>
    <row r="3107" spans="3:4" ht="20.100000000000001" customHeight="1">
      <c r="C3107" s="1793"/>
      <c r="D3107" s="1793"/>
    </row>
    <row r="3108" spans="3:4" ht="20.100000000000001" customHeight="1">
      <c r="C3108" s="1793"/>
      <c r="D3108" s="1793"/>
    </row>
    <row r="3109" spans="3:4" ht="20.100000000000001" customHeight="1">
      <c r="C3109" s="1793"/>
      <c r="D3109" s="1793"/>
    </row>
    <row r="3110" spans="3:4" ht="20.100000000000001" customHeight="1">
      <c r="C3110" s="1793"/>
      <c r="D3110" s="1793"/>
    </row>
    <row r="3111" spans="3:4" ht="20.100000000000001" customHeight="1">
      <c r="C3111" s="1793"/>
      <c r="D3111" s="1793"/>
    </row>
    <row r="3112" spans="3:4" ht="20.100000000000001" customHeight="1">
      <c r="C3112" s="1793"/>
      <c r="D3112" s="1793"/>
    </row>
    <row r="3113" spans="3:4" ht="20.100000000000001" customHeight="1">
      <c r="C3113" s="1793"/>
      <c r="D3113" s="1793"/>
    </row>
    <row r="3114" spans="3:4" ht="20.100000000000001" customHeight="1">
      <c r="C3114" s="1793"/>
      <c r="D3114" s="1793"/>
    </row>
    <row r="3115" spans="3:4" ht="20.100000000000001" customHeight="1">
      <c r="C3115" s="1793"/>
      <c r="D3115" s="1793"/>
    </row>
    <row r="3116" spans="3:4" ht="20.100000000000001" customHeight="1">
      <c r="C3116" s="1793"/>
      <c r="D3116" s="1793"/>
    </row>
    <row r="3117" spans="3:4" ht="20.100000000000001" customHeight="1">
      <c r="C3117" s="1793"/>
      <c r="D3117" s="1793"/>
    </row>
    <row r="3118" spans="3:4" ht="20.100000000000001" customHeight="1">
      <c r="C3118" s="1793"/>
      <c r="D3118" s="1793"/>
    </row>
    <row r="3119" spans="3:4" ht="20.100000000000001" customHeight="1">
      <c r="C3119" s="1793"/>
      <c r="D3119" s="1793"/>
    </row>
    <row r="3120" spans="3:4" ht="20.100000000000001" customHeight="1">
      <c r="C3120" s="1793"/>
      <c r="D3120" s="1793"/>
    </row>
    <row r="3121" spans="3:4" ht="20.100000000000001" customHeight="1">
      <c r="C3121" s="1793"/>
      <c r="D3121" s="1793"/>
    </row>
    <row r="3122" spans="3:4" ht="20.100000000000001" customHeight="1">
      <c r="C3122" s="1793"/>
      <c r="D3122" s="1793"/>
    </row>
    <row r="3123" spans="3:4" ht="20.100000000000001" customHeight="1">
      <c r="C3123" s="1793"/>
      <c r="D3123" s="1793"/>
    </row>
    <row r="3124" spans="3:4" ht="20.100000000000001" customHeight="1">
      <c r="C3124" s="1793"/>
      <c r="D3124" s="1793"/>
    </row>
    <row r="3125" spans="3:4" ht="20.100000000000001" customHeight="1">
      <c r="C3125" s="1793"/>
      <c r="D3125" s="1793"/>
    </row>
    <row r="3126" spans="3:4" ht="20.100000000000001" customHeight="1">
      <c r="C3126" s="1793"/>
      <c r="D3126" s="1793"/>
    </row>
  </sheetData>
  <mergeCells count="34">
    <mergeCell ref="D36:E36"/>
    <mergeCell ref="D37:E37"/>
    <mergeCell ref="D38:E38"/>
    <mergeCell ref="D39:E39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C3:I3"/>
    <mergeCell ref="C4:I4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79" orientation="portrait" r:id="rId1"/>
  <headerFooter alignWithMargins="0">
    <oddFooter>&amp;C&amp;"+,Regular"&amp;22-27-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49"/>
  <sheetViews>
    <sheetView zoomScale="75" zoomScaleNormal="75" workbookViewId="0">
      <selection activeCell="D2" sqref="D2"/>
    </sheetView>
  </sheetViews>
  <sheetFormatPr defaultColWidth="11.42578125" defaultRowHeight="20.25"/>
  <cols>
    <col min="1" max="3" width="12.5703125" style="1192" customWidth="1"/>
    <col min="4" max="4" width="20.42578125" style="1192" customWidth="1"/>
    <col min="5" max="6" width="32.7109375" style="1192" customWidth="1"/>
    <col min="7" max="7" width="20.7109375" style="1843" customWidth="1"/>
    <col min="8" max="9" width="32.7109375" style="1843" customWidth="1"/>
    <col min="10" max="10" width="20.7109375" style="1843" customWidth="1"/>
    <col min="11" max="11" width="15.7109375" style="1843" customWidth="1"/>
    <col min="12" max="16384" width="11.42578125" style="1192"/>
  </cols>
  <sheetData>
    <row r="1" spans="5:11" ht="35.1" customHeight="1"/>
    <row r="2" spans="5:11" ht="35.1" customHeight="1"/>
    <row r="3" spans="5:11" s="1761" customFormat="1" ht="35.1" customHeight="1">
      <c r="E3" s="4639" t="s">
        <v>758</v>
      </c>
      <c r="F3" s="4639"/>
      <c r="G3" s="4639"/>
      <c r="H3" s="4639"/>
      <c r="I3" s="4639"/>
      <c r="J3" s="4639"/>
      <c r="K3" s="4639"/>
    </row>
    <row r="4" spans="5:11" s="2664" customFormat="1" ht="35.1" customHeight="1">
      <c r="E4" s="4640" t="s">
        <v>759</v>
      </c>
      <c r="F4" s="4640"/>
      <c r="G4" s="4640"/>
      <c r="H4" s="4640"/>
      <c r="I4" s="4640"/>
      <c r="J4" s="4640"/>
      <c r="K4" s="4640"/>
    </row>
    <row r="5" spans="5:11" s="2264" customFormat="1" ht="18" customHeight="1">
      <c r="E5" s="1323" t="s">
        <v>760</v>
      </c>
      <c r="F5" s="1318"/>
      <c r="G5" s="2082"/>
      <c r="H5" s="2082"/>
      <c r="I5" s="2082"/>
      <c r="J5" s="2082"/>
      <c r="K5" s="1323" t="s">
        <v>761</v>
      </c>
    </row>
    <row r="6" spans="5:11" s="2264" customFormat="1" ht="6" customHeight="1">
      <c r="E6" s="1318"/>
      <c r="F6" s="1318"/>
      <c r="G6" s="2082"/>
      <c r="H6" s="2082"/>
      <c r="I6" s="2082"/>
      <c r="J6" s="2082"/>
      <c r="K6" s="1850"/>
    </row>
    <row r="7" spans="5:11" s="1793" customFormat="1" ht="8.25" customHeight="1">
      <c r="E7" s="2665"/>
      <c r="F7" s="2666"/>
      <c r="G7" s="2666"/>
      <c r="H7" s="2666"/>
      <c r="I7" s="2110"/>
      <c r="J7" s="2667"/>
      <c r="K7" s="4218"/>
    </row>
    <row r="8" spans="5:11" s="1793" customFormat="1" ht="21.95" customHeight="1">
      <c r="E8" s="4833" t="s">
        <v>762</v>
      </c>
      <c r="F8" s="4834"/>
      <c r="G8" s="4834"/>
      <c r="H8" s="4834"/>
      <c r="I8" s="4834"/>
      <c r="J8" s="4835"/>
      <c r="K8" s="4199"/>
    </row>
    <row r="9" spans="5:11" s="1793" customFormat="1" ht="21.95" customHeight="1">
      <c r="E9" s="4833" t="s">
        <v>763</v>
      </c>
      <c r="F9" s="4834"/>
      <c r="G9" s="4834"/>
      <c r="H9" s="4834"/>
      <c r="I9" s="4834"/>
      <c r="J9" s="4835"/>
      <c r="K9" s="4199"/>
    </row>
    <row r="10" spans="5:11" s="1760" customFormat="1" ht="28.5" customHeight="1">
      <c r="E10" s="2668"/>
      <c r="F10" s="4239"/>
      <c r="G10" s="2060" t="s">
        <v>764</v>
      </c>
      <c r="H10" s="4836" t="s">
        <v>765</v>
      </c>
      <c r="I10" s="4837"/>
      <c r="J10" s="2060" t="s">
        <v>766</v>
      </c>
      <c r="K10" s="4199"/>
    </row>
    <row r="11" spans="5:11" s="1844" customFormat="1" ht="30" customHeight="1">
      <c r="E11" s="2669"/>
      <c r="F11" s="4193"/>
      <c r="G11" s="2120" t="s">
        <v>767</v>
      </c>
      <c r="H11" s="4624" t="s">
        <v>768</v>
      </c>
      <c r="I11" s="4679"/>
      <c r="J11" s="4167" t="s">
        <v>769</v>
      </c>
      <c r="K11" s="4199"/>
    </row>
    <row r="12" spans="5:11">
      <c r="E12" s="4256" t="s">
        <v>770</v>
      </c>
      <c r="F12" s="4167" t="s">
        <v>771</v>
      </c>
      <c r="G12" s="2120" t="s">
        <v>772</v>
      </c>
      <c r="H12" s="4194"/>
      <c r="I12" s="4227"/>
      <c r="J12" s="4167" t="s">
        <v>773</v>
      </c>
      <c r="K12" s="4200"/>
    </row>
    <row r="13" spans="5:11" ht="18.95" customHeight="1">
      <c r="E13" s="2669" t="s">
        <v>774</v>
      </c>
      <c r="F13" s="4193" t="s">
        <v>775</v>
      </c>
      <c r="G13" s="2120" t="s">
        <v>776</v>
      </c>
      <c r="H13" s="4193" t="s">
        <v>777</v>
      </c>
      <c r="I13" s="4170" t="s">
        <v>778</v>
      </c>
      <c r="J13" s="4215" t="s">
        <v>8</v>
      </c>
      <c r="K13" s="4199"/>
    </row>
    <row r="14" spans="5:11" s="2670" customFormat="1" ht="18.95" customHeight="1">
      <c r="E14" s="2671" t="s">
        <v>779</v>
      </c>
      <c r="F14" s="4193" t="s">
        <v>780</v>
      </c>
      <c r="G14" s="4228"/>
      <c r="H14" s="4198"/>
      <c r="I14" s="4229"/>
      <c r="J14" s="4167" t="s">
        <v>781</v>
      </c>
      <c r="K14" s="4200"/>
    </row>
    <row r="15" spans="5:11" s="2613" customFormat="1" ht="24.75" customHeight="1">
      <c r="E15" s="2672" t="s">
        <v>782</v>
      </c>
      <c r="F15" s="4180" t="s">
        <v>783</v>
      </c>
      <c r="G15" s="2122" t="s">
        <v>784</v>
      </c>
      <c r="H15" s="4149" t="s">
        <v>785</v>
      </c>
      <c r="I15" s="4207" t="s">
        <v>786</v>
      </c>
      <c r="J15" s="4168" t="s">
        <v>787</v>
      </c>
      <c r="K15" s="4201"/>
    </row>
    <row r="16" spans="5:11" s="1174" customFormat="1" ht="22.5" customHeight="1">
      <c r="E16" s="2673" t="s">
        <v>77</v>
      </c>
      <c r="F16" s="2674" t="s">
        <v>77</v>
      </c>
      <c r="G16" s="2674" t="s">
        <v>77</v>
      </c>
      <c r="H16" s="2674" t="s">
        <v>77</v>
      </c>
      <c r="I16" s="2674" t="s">
        <v>77</v>
      </c>
      <c r="J16" s="2675">
        <v>5.5</v>
      </c>
      <c r="K16" s="4176">
        <v>1965</v>
      </c>
    </row>
    <row r="17" spans="5:11" ht="22.5" customHeight="1">
      <c r="E17" s="2676" t="s">
        <v>77</v>
      </c>
      <c r="F17" s="2677" t="s">
        <v>77</v>
      </c>
      <c r="G17" s="2677" t="s">
        <v>77</v>
      </c>
      <c r="H17" s="2677" t="s">
        <v>77</v>
      </c>
      <c r="I17" s="2677" t="s">
        <v>77</v>
      </c>
      <c r="J17" s="2678">
        <v>5.5</v>
      </c>
      <c r="K17" s="4174">
        <v>1966</v>
      </c>
    </row>
    <row r="18" spans="5:11" s="1174" customFormat="1" ht="22.5" customHeight="1">
      <c r="E18" s="2673" t="s">
        <v>77</v>
      </c>
      <c r="F18" s="2674" t="s">
        <v>77</v>
      </c>
      <c r="G18" s="2674" t="s">
        <v>77</v>
      </c>
      <c r="H18" s="2674" t="s">
        <v>77</v>
      </c>
      <c r="I18" s="2674" t="s">
        <v>77</v>
      </c>
      <c r="J18" s="2675">
        <v>5.25</v>
      </c>
      <c r="K18" s="4176">
        <v>1967</v>
      </c>
    </row>
    <row r="19" spans="5:11" ht="22.5" customHeight="1">
      <c r="E19" s="2676" t="s">
        <v>77</v>
      </c>
      <c r="F19" s="2677" t="s">
        <v>77</v>
      </c>
      <c r="G19" s="2677" t="s">
        <v>77</v>
      </c>
      <c r="H19" s="2677" t="s">
        <v>77</v>
      </c>
      <c r="I19" s="2677" t="s">
        <v>77</v>
      </c>
      <c r="J19" s="2678">
        <v>5.25</v>
      </c>
      <c r="K19" s="4174">
        <v>1968</v>
      </c>
    </row>
    <row r="20" spans="5:11" s="1174" customFormat="1" ht="22.5" customHeight="1">
      <c r="E20" s="2673" t="s">
        <v>77</v>
      </c>
      <c r="F20" s="2674" t="s">
        <v>77</v>
      </c>
      <c r="G20" s="2674" t="s">
        <v>77</v>
      </c>
      <c r="H20" s="2674" t="s">
        <v>77</v>
      </c>
      <c r="I20" s="2674" t="s">
        <v>77</v>
      </c>
      <c r="J20" s="2675">
        <v>5.25</v>
      </c>
      <c r="K20" s="4176">
        <v>1969</v>
      </c>
    </row>
    <row r="21" spans="5:11" ht="22.5" customHeight="1">
      <c r="E21" s="2676" t="s">
        <v>77</v>
      </c>
      <c r="F21" s="2677" t="s">
        <v>77</v>
      </c>
      <c r="G21" s="2677" t="s">
        <v>77</v>
      </c>
      <c r="H21" s="2677" t="s">
        <v>77</v>
      </c>
      <c r="I21" s="2677" t="s">
        <v>77</v>
      </c>
      <c r="J21" s="2678">
        <v>5.25</v>
      </c>
      <c r="K21" s="4174">
        <v>1970</v>
      </c>
    </row>
    <row r="22" spans="5:11" s="1174" customFormat="1" ht="22.5" customHeight="1">
      <c r="E22" s="2673" t="s">
        <v>77</v>
      </c>
      <c r="F22" s="2674" t="s">
        <v>77</v>
      </c>
      <c r="G22" s="2674" t="s">
        <v>77</v>
      </c>
      <c r="H22" s="2674" t="s">
        <v>77</v>
      </c>
      <c r="I22" s="2674" t="s">
        <v>77</v>
      </c>
      <c r="J22" s="2675">
        <v>5.25</v>
      </c>
      <c r="K22" s="4176">
        <v>1971</v>
      </c>
    </row>
    <row r="23" spans="5:11" ht="22.5" customHeight="1">
      <c r="E23" s="2676" t="s">
        <v>77</v>
      </c>
      <c r="F23" s="2677" t="s">
        <v>77</v>
      </c>
      <c r="G23" s="2677" t="s">
        <v>77</v>
      </c>
      <c r="H23" s="2677" t="s">
        <v>77</v>
      </c>
      <c r="I23" s="2677" t="s">
        <v>77</v>
      </c>
      <c r="J23" s="2678">
        <v>5</v>
      </c>
      <c r="K23" s="4174">
        <v>1972</v>
      </c>
    </row>
    <row r="24" spans="5:11" s="1174" customFormat="1" ht="22.5" customHeight="1">
      <c r="E24" s="2673" t="s">
        <v>77</v>
      </c>
      <c r="F24" s="2674" t="s">
        <v>77</v>
      </c>
      <c r="G24" s="2674" t="s">
        <v>77</v>
      </c>
      <c r="H24" s="2674" t="s">
        <v>77</v>
      </c>
      <c r="I24" s="2674" t="s">
        <v>77</v>
      </c>
      <c r="J24" s="2675">
        <v>5</v>
      </c>
      <c r="K24" s="4176">
        <v>1973</v>
      </c>
    </row>
    <row r="25" spans="5:11" ht="22.5" customHeight="1">
      <c r="E25" s="2676" t="s">
        <v>77</v>
      </c>
      <c r="F25" s="2677" t="s">
        <v>77</v>
      </c>
      <c r="G25" s="2677" t="s">
        <v>77</v>
      </c>
      <c r="H25" s="2677" t="s">
        <v>77</v>
      </c>
      <c r="I25" s="2677" t="s">
        <v>77</v>
      </c>
      <c r="J25" s="2678">
        <v>5</v>
      </c>
      <c r="K25" s="4174">
        <v>1974</v>
      </c>
    </row>
    <row r="26" spans="5:11" s="1174" customFormat="1" ht="22.5" customHeight="1">
      <c r="E26" s="2673" t="s">
        <v>77</v>
      </c>
      <c r="F26" s="2674" t="s">
        <v>77</v>
      </c>
      <c r="G26" s="2674" t="s">
        <v>77</v>
      </c>
      <c r="H26" s="2674" t="s">
        <v>77</v>
      </c>
      <c r="I26" s="2674" t="s">
        <v>77</v>
      </c>
      <c r="J26" s="2675">
        <v>5</v>
      </c>
      <c r="K26" s="4176">
        <v>1975</v>
      </c>
    </row>
    <row r="27" spans="5:11" ht="22.5" customHeight="1">
      <c r="E27" s="2676" t="s">
        <v>77</v>
      </c>
      <c r="F27" s="2677" t="s">
        <v>77</v>
      </c>
      <c r="G27" s="2677" t="s">
        <v>77</v>
      </c>
      <c r="H27" s="2677" t="s">
        <v>77</v>
      </c>
      <c r="I27" s="2677" t="s">
        <v>77</v>
      </c>
      <c r="J27" s="2678">
        <v>5.5</v>
      </c>
      <c r="K27" s="4174">
        <v>1976</v>
      </c>
    </row>
    <row r="28" spans="5:11" s="1174" customFormat="1" ht="22.5" customHeight="1">
      <c r="E28" s="2673" t="s">
        <v>77</v>
      </c>
      <c r="F28" s="2674" t="s">
        <v>77</v>
      </c>
      <c r="G28" s="2674" t="s">
        <v>77</v>
      </c>
      <c r="H28" s="2674" t="s">
        <v>77</v>
      </c>
      <c r="I28" s="2674" t="s">
        <v>77</v>
      </c>
      <c r="J28" s="2675">
        <v>5.5</v>
      </c>
      <c r="K28" s="4176">
        <v>1977</v>
      </c>
    </row>
    <row r="29" spans="5:11" ht="22.5" customHeight="1">
      <c r="E29" s="2676" t="s">
        <v>77</v>
      </c>
      <c r="F29" s="2677" t="s">
        <v>77</v>
      </c>
      <c r="G29" s="2677" t="s">
        <v>77</v>
      </c>
      <c r="H29" s="2677" t="s">
        <v>77</v>
      </c>
      <c r="I29" s="2677" t="s">
        <v>77</v>
      </c>
      <c r="J29" s="2678">
        <v>5.5</v>
      </c>
      <c r="K29" s="4174">
        <v>1978</v>
      </c>
    </row>
    <row r="30" spans="5:11" s="1174" customFormat="1" ht="22.5" customHeight="1">
      <c r="E30" s="2673" t="s">
        <v>77</v>
      </c>
      <c r="F30" s="2674" t="s">
        <v>77</v>
      </c>
      <c r="G30" s="2674" t="s">
        <v>77</v>
      </c>
      <c r="H30" s="2674" t="s">
        <v>77</v>
      </c>
      <c r="I30" s="2674" t="s">
        <v>77</v>
      </c>
      <c r="J30" s="2675">
        <v>6</v>
      </c>
      <c r="K30" s="4176">
        <v>1979</v>
      </c>
    </row>
    <row r="31" spans="5:11" ht="22.5" customHeight="1">
      <c r="E31" s="2676" t="s">
        <v>77</v>
      </c>
      <c r="F31" s="2677" t="s">
        <v>77</v>
      </c>
      <c r="G31" s="2677" t="s">
        <v>77</v>
      </c>
      <c r="H31" s="2677" t="s">
        <v>77</v>
      </c>
      <c r="I31" s="2677" t="s">
        <v>77</v>
      </c>
      <c r="J31" s="2678">
        <v>6</v>
      </c>
      <c r="K31" s="4174">
        <v>1980</v>
      </c>
    </row>
    <row r="32" spans="5:11" s="1174" customFormat="1" ht="22.5" customHeight="1">
      <c r="E32" s="2673" t="s">
        <v>77</v>
      </c>
      <c r="F32" s="2674" t="s">
        <v>77</v>
      </c>
      <c r="G32" s="2674" t="s">
        <v>77</v>
      </c>
      <c r="H32" s="2674" t="s">
        <v>77</v>
      </c>
      <c r="I32" s="2674" t="s">
        <v>77</v>
      </c>
      <c r="J32" s="2675">
        <v>6.5</v>
      </c>
      <c r="K32" s="4176">
        <v>1981</v>
      </c>
    </row>
    <row r="33" spans="5:11" ht="22.5" customHeight="1">
      <c r="E33" s="2676" t="s">
        <v>77</v>
      </c>
      <c r="F33" s="2677" t="s">
        <v>77</v>
      </c>
      <c r="G33" s="2677" t="s">
        <v>77</v>
      </c>
      <c r="H33" s="2677" t="s">
        <v>77</v>
      </c>
      <c r="I33" s="2677" t="s">
        <v>77</v>
      </c>
      <c r="J33" s="2678">
        <v>6.5</v>
      </c>
      <c r="K33" s="4174">
        <v>1982</v>
      </c>
    </row>
    <row r="34" spans="5:11" s="1174" customFormat="1" ht="22.5" customHeight="1">
      <c r="E34" s="2673" t="s">
        <v>77</v>
      </c>
      <c r="F34" s="2674" t="s">
        <v>77</v>
      </c>
      <c r="G34" s="2674" t="s">
        <v>77</v>
      </c>
      <c r="H34" s="2674" t="s">
        <v>77</v>
      </c>
      <c r="I34" s="2674" t="s">
        <v>77</v>
      </c>
      <c r="J34" s="2675">
        <v>6.25</v>
      </c>
      <c r="K34" s="4176">
        <v>1983</v>
      </c>
    </row>
    <row r="35" spans="5:11" ht="22.5" customHeight="1">
      <c r="E35" s="2676" t="s">
        <v>77</v>
      </c>
      <c r="F35" s="2677" t="s">
        <v>77</v>
      </c>
      <c r="G35" s="2677" t="s">
        <v>77</v>
      </c>
      <c r="H35" s="2677" t="s">
        <v>77</v>
      </c>
      <c r="I35" s="2677" t="s">
        <v>77</v>
      </c>
      <c r="J35" s="2678">
        <v>6.25</v>
      </c>
      <c r="K35" s="4174">
        <v>1984</v>
      </c>
    </row>
    <row r="36" spans="5:11" s="1174" customFormat="1" ht="22.5" customHeight="1">
      <c r="E36" s="2673" t="s">
        <v>77</v>
      </c>
      <c r="F36" s="2674" t="s">
        <v>77</v>
      </c>
      <c r="G36" s="2674" t="s">
        <v>77</v>
      </c>
      <c r="H36" s="2674" t="s">
        <v>77</v>
      </c>
      <c r="I36" s="2674" t="s">
        <v>77</v>
      </c>
      <c r="J36" s="2675">
        <v>6.25</v>
      </c>
      <c r="K36" s="4176">
        <v>1985</v>
      </c>
    </row>
    <row r="37" spans="5:11" ht="22.5" customHeight="1">
      <c r="E37" s="2676" t="s">
        <v>77</v>
      </c>
      <c r="F37" s="2677" t="s">
        <v>77</v>
      </c>
      <c r="G37" s="2677" t="s">
        <v>77</v>
      </c>
      <c r="H37" s="2677" t="s">
        <v>77</v>
      </c>
      <c r="I37" s="2677" t="s">
        <v>77</v>
      </c>
      <c r="J37" s="2678">
        <v>5.75</v>
      </c>
      <c r="K37" s="4174">
        <v>1986</v>
      </c>
    </row>
    <row r="38" spans="5:11" s="1174" customFormat="1" ht="22.5" customHeight="1">
      <c r="E38" s="2673" t="s">
        <v>77</v>
      </c>
      <c r="F38" s="2674" t="s">
        <v>77</v>
      </c>
      <c r="G38" s="2674" t="s">
        <v>77</v>
      </c>
      <c r="H38" s="2674" t="s">
        <v>77</v>
      </c>
      <c r="I38" s="2674" t="s">
        <v>77</v>
      </c>
      <c r="J38" s="2675">
        <v>5.75</v>
      </c>
      <c r="K38" s="4176">
        <v>1987</v>
      </c>
    </row>
    <row r="39" spans="5:11" ht="22.5" customHeight="1">
      <c r="E39" s="2676" t="s">
        <v>77</v>
      </c>
      <c r="F39" s="2677" t="s">
        <v>77</v>
      </c>
      <c r="G39" s="2677" t="s">
        <v>77</v>
      </c>
      <c r="H39" s="2677" t="s">
        <v>77</v>
      </c>
      <c r="I39" s="2677" t="s">
        <v>77</v>
      </c>
      <c r="J39" s="2678">
        <v>7</v>
      </c>
      <c r="K39" s="4174">
        <v>1988</v>
      </c>
    </row>
    <row r="40" spans="5:11" s="1174" customFormat="1" ht="22.5" customHeight="1">
      <c r="E40" s="2673" t="s">
        <v>77</v>
      </c>
      <c r="F40" s="2674" t="s">
        <v>77</v>
      </c>
      <c r="G40" s="2674" t="s">
        <v>77</v>
      </c>
      <c r="H40" s="2674" t="s">
        <v>77</v>
      </c>
      <c r="I40" s="2674" t="s">
        <v>77</v>
      </c>
      <c r="J40" s="2675">
        <v>8.5</v>
      </c>
      <c r="K40" s="4176">
        <v>1989</v>
      </c>
    </row>
    <row r="41" spans="5:11" ht="22.5" customHeight="1">
      <c r="E41" s="2676" t="s">
        <v>77</v>
      </c>
      <c r="F41" s="2677" t="s">
        <v>77</v>
      </c>
      <c r="G41" s="2677" t="s">
        <v>77</v>
      </c>
      <c r="H41" s="2677" t="s">
        <v>77</v>
      </c>
      <c r="I41" s="2677" t="s">
        <v>77</v>
      </c>
      <c r="J41" s="2678">
        <v>8.5</v>
      </c>
      <c r="K41" s="4174">
        <v>1990</v>
      </c>
    </row>
    <row r="42" spans="5:11" s="1174" customFormat="1" ht="22.5" customHeight="1">
      <c r="E42" s="2673" t="s">
        <v>77</v>
      </c>
      <c r="F42" s="2674" t="s">
        <v>77</v>
      </c>
      <c r="G42" s="2674" t="s">
        <v>77</v>
      </c>
      <c r="H42" s="2674" t="s">
        <v>77</v>
      </c>
      <c r="I42" s="2674" t="s">
        <v>77</v>
      </c>
      <c r="J42" s="2675">
        <v>8.5</v>
      </c>
      <c r="K42" s="4176">
        <v>1991</v>
      </c>
    </row>
    <row r="43" spans="5:11" ht="22.5" customHeight="1">
      <c r="E43" s="2676" t="s">
        <v>77</v>
      </c>
      <c r="F43" s="2677" t="s">
        <v>77</v>
      </c>
      <c r="G43" s="2677" t="s">
        <v>77</v>
      </c>
      <c r="H43" s="2677" t="s">
        <v>77</v>
      </c>
      <c r="I43" s="2677" t="s">
        <v>77</v>
      </c>
      <c r="J43" s="2678">
        <v>8.5</v>
      </c>
      <c r="K43" s="4174">
        <v>1992</v>
      </c>
    </row>
    <row r="44" spans="5:11" s="1174" customFormat="1" ht="22.5" customHeight="1">
      <c r="E44" s="2673" t="s">
        <v>77</v>
      </c>
      <c r="F44" s="2674" t="s">
        <v>77</v>
      </c>
      <c r="G44" s="2674" t="s">
        <v>77</v>
      </c>
      <c r="H44" s="2674">
        <v>4.0999999999999996</v>
      </c>
      <c r="I44" s="2674">
        <v>3.25</v>
      </c>
      <c r="J44" s="2675">
        <v>8.5</v>
      </c>
      <c r="K44" s="4176">
        <v>1993</v>
      </c>
    </row>
    <row r="45" spans="5:11" ht="22.5" customHeight="1">
      <c r="E45" s="2676" t="s">
        <v>77</v>
      </c>
      <c r="F45" s="2677" t="s">
        <v>77</v>
      </c>
      <c r="G45" s="2677">
        <v>8.4380000000000006</v>
      </c>
      <c r="H45" s="2677">
        <v>7.94</v>
      </c>
      <c r="I45" s="2677">
        <v>7.75</v>
      </c>
      <c r="J45" s="2678">
        <v>8.5</v>
      </c>
      <c r="K45" s="4174">
        <v>1994</v>
      </c>
    </row>
    <row r="46" spans="5:11" s="1174" customFormat="1" ht="22.5" customHeight="1">
      <c r="E46" s="2673" t="s">
        <v>77</v>
      </c>
      <c r="F46" s="2674" t="s">
        <v>77</v>
      </c>
      <c r="G46" s="2674">
        <v>9.5</v>
      </c>
      <c r="H46" s="2674">
        <v>9</v>
      </c>
      <c r="I46" s="2674">
        <v>8.75</v>
      </c>
      <c r="J46" s="2675">
        <v>8.5</v>
      </c>
      <c r="K46" s="4176">
        <v>1995</v>
      </c>
    </row>
    <row r="47" spans="5:11" ht="22.5" customHeight="1">
      <c r="E47" s="2676" t="s">
        <v>77</v>
      </c>
      <c r="F47" s="2677" t="s">
        <v>77</v>
      </c>
      <c r="G47" s="2677">
        <v>10</v>
      </c>
      <c r="H47" s="2677">
        <v>9.5</v>
      </c>
      <c r="I47" s="2677">
        <v>9.25</v>
      </c>
      <c r="J47" s="2678">
        <v>8.5</v>
      </c>
      <c r="K47" s="4174">
        <v>1996</v>
      </c>
    </row>
    <row r="48" spans="5:11" s="1174" customFormat="1" ht="22.5" customHeight="1">
      <c r="E48" s="2673" t="s">
        <v>77</v>
      </c>
      <c r="F48" s="2674" t="s">
        <v>77</v>
      </c>
      <c r="G48" s="2674">
        <v>9</v>
      </c>
      <c r="H48" s="2674">
        <v>6.5</v>
      </c>
      <c r="I48" s="2674">
        <v>6.25</v>
      </c>
      <c r="J48" s="2675">
        <v>7.75</v>
      </c>
      <c r="K48" s="4176">
        <v>1997</v>
      </c>
    </row>
    <row r="49" spans="5:11" ht="22.5" customHeight="1">
      <c r="E49" s="2676" t="s">
        <v>77</v>
      </c>
      <c r="F49" s="2677" t="s">
        <v>77</v>
      </c>
      <c r="G49" s="2677">
        <v>11.5</v>
      </c>
      <c r="H49" s="2677">
        <v>9.5500000000000007</v>
      </c>
      <c r="I49" s="2677">
        <v>9.4499999999999993</v>
      </c>
      <c r="J49" s="2678">
        <v>9</v>
      </c>
      <c r="K49" s="4174">
        <v>1998</v>
      </c>
    </row>
    <row r="50" spans="5:11" s="1174" customFormat="1" ht="22.5" customHeight="1">
      <c r="E50" s="2673" t="s">
        <v>77</v>
      </c>
      <c r="F50" s="2674" t="s">
        <v>77</v>
      </c>
      <c r="G50" s="2674">
        <v>9.25</v>
      </c>
      <c r="H50" s="2674">
        <v>8.25</v>
      </c>
      <c r="I50" s="2674">
        <v>6</v>
      </c>
      <c r="J50" s="2675">
        <v>8</v>
      </c>
      <c r="K50" s="4176">
        <v>1999</v>
      </c>
    </row>
    <row r="51" spans="5:11" ht="22.5" customHeight="1">
      <c r="E51" s="2676" t="s">
        <v>77</v>
      </c>
      <c r="F51" s="2677">
        <v>5.625</v>
      </c>
      <c r="G51" s="2677">
        <v>7.5</v>
      </c>
      <c r="H51" s="2677">
        <v>6.05</v>
      </c>
      <c r="I51" s="2677">
        <v>6</v>
      </c>
      <c r="J51" s="2678">
        <v>6.5</v>
      </c>
      <c r="K51" s="4174">
        <v>2000</v>
      </c>
    </row>
    <row r="52" spans="5:11" s="1174" customFormat="1" ht="22.5" customHeight="1">
      <c r="E52" s="2673" t="s">
        <v>77</v>
      </c>
      <c r="F52" s="2674">
        <v>3.75</v>
      </c>
      <c r="G52" s="2674">
        <v>6</v>
      </c>
      <c r="H52" s="2674">
        <v>4</v>
      </c>
      <c r="I52" s="2674">
        <v>3.9</v>
      </c>
      <c r="J52" s="2675">
        <v>5</v>
      </c>
      <c r="K52" s="4176">
        <v>2001</v>
      </c>
    </row>
    <row r="53" spans="5:11" ht="22.5" customHeight="1">
      <c r="E53" s="2676" t="s">
        <v>77</v>
      </c>
      <c r="F53" s="2677">
        <v>2.75</v>
      </c>
      <c r="G53" s="2677">
        <v>5.5</v>
      </c>
      <c r="H53" s="2677">
        <v>3.45</v>
      </c>
      <c r="I53" s="2677">
        <v>3</v>
      </c>
      <c r="J53" s="2678">
        <v>4.5</v>
      </c>
      <c r="K53" s="4174">
        <v>2002</v>
      </c>
    </row>
    <row r="54" spans="5:11" s="1174" customFormat="1" ht="22.5" customHeight="1">
      <c r="E54" s="2673" t="s">
        <v>77</v>
      </c>
      <c r="F54" s="2674">
        <v>2</v>
      </c>
      <c r="G54" s="2674">
        <v>3.5</v>
      </c>
      <c r="H54" s="2674">
        <v>2.15</v>
      </c>
      <c r="I54" s="2674">
        <v>2.1</v>
      </c>
      <c r="J54" s="2675">
        <v>2.5</v>
      </c>
      <c r="K54" s="4176">
        <v>2003</v>
      </c>
    </row>
    <row r="55" spans="5:11" s="1174" customFormat="1" ht="22.5" customHeight="1">
      <c r="E55" s="2676" t="s">
        <v>77</v>
      </c>
      <c r="F55" s="2677">
        <v>2.25</v>
      </c>
      <c r="G55" s="2677">
        <v>4.75</v>
      </c>
      <c r="H55" s="2677">
        <v>3.2</v>
      </c>
      <c r="I55" s="2677">
        <v>2.85</v>
      </c>
      <c r="J55" s="2678">
        <v>3.75</v>
      </c>
      <c r="K55" s="4174">
        <v>2004</v>
      </c>
    </row>
    <row r="56" spans="5:11" s="1174" customFormat="1" ht="22.5" customHeight="1">
      <c r="E56" s="2673" t="s">
        <v>77</v>
      </c>
      <c r="F56" s="2674">
        <v>4.5</v>
      </c>
      <c r="G56" s="2674">
        <v>7.5</v>
      </c>
      <c r="H56" s="2674">
        <v>6.95</v>
      </c>
      <c r="I56" s="2674">
        <v>6.2</v>
      </c>
      <c r="J56" s="2675">
        <v>6.5</v>
      </c>
      <c r="K56" s="4176">
        <v>2005</v>
      </c>
    </row>
    <row r="57" spans="5:11" s="1174" customFormat="1" ht="22.5" customHeight="1">
      <c r="E57" s="2676" t="s">
        <v>77</v>
      </c>
      <c r="F57" s="2677">
        <v>5.25</v>
      </c>
      <c r="G57" s="2677">
        <v>8.5</v>
      </c>
      <c r="H57" s="2677">
        <v>6.8620000000000001</v>
      </c>
      <c r="I57" s="2677">
        <v>6.7</v>
      </c>
      <c r="J57" s="2678">
        <v>7.5</v>
      </c>
      <c r="K57" s="4174">
        <v>2006</v>
      </c>
    </row>
    <row r="58" spans="5:11" s="1174" customFormat="1" ht="22.5" customHeight="1">
      <c r="E58" s="2673" t="s">
        <v>77</v>
      </c>
      <c r="F58" s="2674">
        <v>4.75</v>
      </c>
      <c r="G58" s="2674">
        <v>6.75</v>
      </c>
      <c r="H58" s="2674">
        <v>5.867</v>
      </c>
      <c r="I58" s="2674">
        <v>5.75</v>
      </c>
      <c r="J58" s="2675">
        <v>7</v>
      </c>
      <c r="K58" s="4176">
        <v>2007</v>
      </c>
    </row>
    <row r="59" spans="5:11" ht="22.5" customHeight="1">
      <c r="E59" s="2676" t="s">
        <v>77</v>
      </c>
      <c r="F59" s="2677">
        <v>4</v>
      </c>
      <c r="G59" s="2677">
        <v>6</v>
      </c>
      <c r="H59" s="2677">
        <v>5.9359999999999999</v>
      </c>
      <c r="I59" s="2677">
        <v>5.641</v>
      </c>
      <c r="J59" s="2678">
        <v>6.25</v>
      </c>
      <c r="K59" s="4174" t="s">
        <v>788</v>
      </c>
    </row>
    <row r="60" spans="5:11" s="1174" customFormat="1" ht="22.5" customHeight="1">
      <c r="E60" s="2673" t="s">
        <v>77</v>
      </c>
      <c r="F60" s="2674">
        <v>2.5</v>
      </c>
      <c r="G60" s="2674">
        <v>4.5</v>
      </c>
      <c r="H60" s="2674" t="s">
        <v>77</v>
      </c>
      <c r="I60" s="2674" t="s">
        <v>77</v>
      </c>
      <c r="J60" s="2675">
        <v>4.75</v>
      </c>
      <c r="K60" s="4176">
        <v>2009</v>
      </c>
    </row>
    <row r="61" spans="5:11" s="1174" customFormat="1" ht="22.5" customHeight="1">
      <c r="E61" s="2676" t="s">
        <v>77</v>
      </c>
      <c r="F61" s="2677">
        <v>2</v>
      </c>
      <c r="G61" s="2677">
        <v>4</v>
      </c>
      <c r="H61" s="2677" t="s">
        <v>77</v>
      </c>
      <c r="I61" s="2677" t="s">
        <v>77</v>
      </c>
      <c r="J61" s="2678">
        <v>4.25</v>
      </c>
      <c r="K61" s="4174">
        <v>2010</v>
      </c>
    </row>
    <row r="62" spans="5:11" s="1174" customFormat="1" ht="22.5" customHeight="1">
      <c r="E62" s="2673" t="s">
        <v>77</v>
      </c>
      <c r="F62" s="2674">
        <v>2.25</v>
      </c>
      <c r="G62" s="2674">
        <v>4.25</v>
      </c>
      <c r="H62" s="2674" t="s">
        <v>77</v>
      </c>
      <c r="I62" s="2674" t="s">
        <v>77</v>
      </c>
      <c r="J62" s="2675">
        <v>4.5</v>
      </c>
      <c r="K62" s="4176">
        <v>2011</v>
      </c>
    </row>
    <row r="63" spans="5:11" s="1174" customFormat="1" ht="22.5" customHeight="1">
      <c r="E63" s="2676">
        <v>4.25</v>
      </c>
      <c r="F63" s="2677">
        <v>4</v>
      </c>
      <c r="G63" s="2677">
        <v>4.75</v>
      </c>
      <c r="H63" s="2677" t="s">
        <v>77</v>
      </c>
      <c r="I63" s="2677" t="s">
        <v>77</v>
      </c>
      <c r="J63" s="2678">
        <v>5</v>
      </c>
      <c r="K63" s="4174">
        <v>2012</v>
      </c>
    </row>
    <row r="64" spans="5:11" s="1174" customFormat="1" ht="22.5" customHeight="1">
      <c r="E64" s="2673">
        <v>3.75</v>
      </c>
      <c r="F64" s="2674">
        <v>3.5</v>
      </c>
      <c r="G64" s="2674">
        <v>4.25</v>
      </c>
      <c r="H64" s="2674" t="s">
        <v>77</v>
      </c>
      <c r="I64" s="2674" t="s">
        <v>77</v>
      </c>
      <c r="J64" s="2675">
        <v>4.5</v>
      </c>
      <c r="K64" s="4176">
        <v>2013</v>
      </c>
    </row>
    <row r="65" spans="1:13" s="1174" customFormat="1" ht="22.5" customHeight="1">
      <c r="E65" s="2676">
        <v>3</v>
      </c>
      <c r="F65" s="2677">
        <v>2.75</v>
      </c>
      <c r="G65" s="2677">
        <v>4</v>
      </c>
      <c r="H65" s="2677" t="s">
        <v>77</v>
      </c>
      <c r="I65" s="2677" t="s">
        <v>77</v>
      </c>
      <c r="J65" s="2678">
        <v>4.25</v>
      </c>
      <c r="K65" s="4174">
        <v>2014</v>
      </c>
    </row>
    <row r="66" spans="1:13" s="1174" customFormat="1" ht="22.5" customHeight="1">
      <c r="E66" s="2673">
        <v>2.5</v>
      </c>
      <c r="F66" s="2674">
        <v>1.5</v>
      </c>
      <c r="G66" s="2674">
        <v>3.5</v>
      </c>
      <c r="H66" s="2674" t="s">
        <v>77</v>
      </c>
      <c r="I66" s="2674" t="s">
        <v>77</v>
      </c>
      <c r="J66" s="2675">
        <v>3.75</v>
      </c>
      <c r="K66" s="4176">
        <v>2015</v>
      </c>
    </row>
    <row r="67" spans="1:13" s="1174" customFormat="1" ht="22.5" customHeight="1">
      <c r="E67" s="2676">
        <v>2.75</v>
      </c>
      <c r="F67" s="2677">
        <v>1.75</v>
      </c>
      <c r="G67" s="2677">
        <v>3.5</v>
      </c>
      <c r="H67" s="2677" t="s">
        <v>77</v>
      </c>
      <c r="I67" s="2677" t="s">
        <v>77</v>
      </c>
      <c r="J67" s="2678">
        <v>3.75</v>
      </c>
      <c r="K67" s="4174">
        <v>2016</v>
      </c>
    </row>
    <row r="68" spans="1:13" s="1174" customFormat="1" ht="22.5" customHeight="1">
      <c r="E68" s="2673">
        <v>4</v>
      </c>
      <c r="F68" s="2674">
        <v>3</v>
      </c>
      <c r="G68" s="2674">
        <v>4.75</v>
      </c>
      <c r="H68" s="2674" t="s">
        <v>77</v>
      </c>
      <c r="I68" s="2674" t="s">
        <v>77</v>
      </c>
      <c r="J68" s="2675">
        <v>5</v>
      </c>
      <c r="K68" s="4176">
        <v>2017</v>
      </c>
    </row>
    <row r="69" spans="1:13" s="1174" customFormat="1" ht="22.5" customHeight="1">
      <c r="E69" s="2676">
        <v>4.75</v>
      </c>
      <c r="F69" s="2677">
        <v>4</v>
      </c>
      <c r="G69" s="2677">
        <v>5.5</v>
      </c>
      <c r="H69" s="2677" t="s">
        <v>77</v>
      </c>
      <c r="I69" s="2677" t="s">
        <v>77</v>
      </c>
      <c r="J69" s="2678">
        <v>5.75</v>
      </c>
      <c r="K69" s="4174">
        <v>2018</v>
      </c>
    </row>
    <row r="70" spans="1:13" s="1174" customFormat="1" ht="22.5" customHeight="1">
      <c r="E70" s="2673">
        <v>4</v>
      </c>
      <c r="F70" s="2674">
        <v>3.25</v>
      </c>
      <c r="G70" s="2674">
        <v>4.75</v>
      </c>
      <c r="H70" s="2674" t="s">
        <v>77</v>
      </c>
      <c r="I70" s="2674" t="s">
        <v>77</v>
      </c>
      <c r="J70" s="2675">
        <v>5</v>
      </c>
      <c r="K70" s="4176">
        <v>2019</v>
      </c>
    </row>
    <row r="71" spans="1:13" s="1174" customFormat="1" ht="22.5" customHeight="1">
      <c r="E71" s="2679">
        <v>2.5</v>
      </c>
      <c r="F71" s="2680">
        <v>2</v>
      </c>
      <c r="G71" s="2680">
        <v>3.25</v>
      </c>
      <c r="H71" s="2680" t="s">
        <v>77</v>
      </c>
      <c r="I71" s="2680" t="s">
        <v>77</v>
      </c>
      <c r="J71" s="2681">
        <v>3.5</v>
      </c>
      <c r="K71" s="1747">
        <v>2020</v>
      </c>
    </row>
    <row r="72" spans="1:13" s="1174" customFormat="1" ht="6.95" customHeight="1">
      <c r="E72" s="1397"/>
      <c r="F72" s="1397"/>
      <c r="G72" s="2682"/>
      <c r="H72" s="2682"/>
      <c r="I72" s="2682"/>
      <c r="J72" s="2683"/>
      <c r="K72" s="2684"/>
    </row>
    <row r="73" spans="1:13" s="1398" customFormat="1" ht="18">
      <c r="E73" s="1318" t="s">
        <v>789</v>
      </c>
      <c r="F73" s="1318"/>
      <c r="G73" s="2158"/>
      <c r="H73" s="2158"/>
      <c r="I73" s="2158"/>
      <c r="J73" s="2262"/>
      <c r="K73" s="2685" t="s">
        <v>790</v>
      </c>
    </row>
    <row r="74" spans="1:13" s="1398" customFormat="1" ht="18">
      <c r="E74" s="1318" t="s">
        <v>791</v>
      </c>
      <c r="F74" s="1318"/>
      <c r="G74" s="2082"/>
      <c r="H74" s="2082"/>
      <c r="I74" s="2082"/>
      <c r="J74" s="1318"/>
      <c r="K74" s="2685" t="s">
        <v>792</v>
      </c>
    </row>
    <row r="75" spans="1:13" ht="23.1" customHeight="1">
      <c r="G75" s="2686"/>
      <c r="H75" s="2686"/>
      <c r="I75" s="2686"/>
      <c r="J75" s="1192"/>
      <c r="K75" s="2687"/>
    </row>
    <row r="76" spans="1:13" ht="25.5">
      <c r="D76" s="4639" t="s">
        <v>793</v>
      </c>
      <c r="E76" s="4639"/>
      <c r="F76" s="4639"/>
      <c r="G76" s="4639"/>
      <c r="H76" s="4639"/>
      <c r="I76" s="4639"/>
      <c r="J76" s="4639"/>
      <c r="K76" s="4639"/>
      <c r="L76" s="4639"/>
    </row>
    <row r="77" spans="1:13" ht="22.5">
      <c r="D77" s="4713" t="s">
        <v>794</v>
      </c>
      <c r="E77" s="4713"/>
      <c r="F77" s="4713"/>
      <c r="G77" s="4713"/>
      <c r="H77" s="4713"/>
      <c r="I77" s="4713"/>
      <c r="J77" s="4713"/>
      <c r="K77" s="4713"/>
      <c r="L77" s="4713"/>
    </row>
    <row r="78" spans="1:13" ht="15" customHeight="1">
      <c r="D78" s="1323" t="s">
        <v>760</v>
      </c>
      <c r="E78" s="1318"/>
      <c r="F78" s="1850"/>
      <c r="G78" s="1850"/>
      <c r="H78" s="1850"/>
      <c r="I78" s="1850"/>
      <c r="J78" s="1850"/>
      <c r="K78" s="1850"/>
      <c r="L78" s="1323" t="s">
        <v>761</v>
      </c>
    </row>
    <row r="79" spans="1:13" ht="3.95" customHeight="1">
      <c r="D79" s="1318"/>
      <c r="E79" s="1850"/>
      <c r="F79" s="1850"/>
      <c r="G79" s="1850"/>
      <c r="H79" s="1850"/>
      <c r="I79" s="1850"/>
      <c r="J79" s="1850"/>
      <c r="K79" s="1850"/>
      <c r="L79" s="1850"/>
      <c r="M79" s="1192" t="s">
        <v>8</v>
      </c>
    </row>
    <row r="80" spans="1:13">
      <c r="A80" s="2688"/>
      <c r="B80" s="1793"/>
      <c r="C80" s="1793"/>
      <c r="D80" s="4839" t="s">
        <v>795</v>
      </c>
      <c r="E80" s="4840"/>
      <c r="F80" s="4840"/>
      <c r="G80" s="4840"/>
      <c r="H80" s="4840"/>
      <c r="I80" s="4840"/>
      <c r="J80" s="4840"/>
      <c r="K80" s="4840"/>
      <c r="L80" s="2689"/>
    </row>
    <row r="81" spans="1:24">
      <c r="A81" s="2688"/>
      <c r="B81" s="1793"/>
      <c r="C81" s="1793"/>
      <c r="D81" s="4833"/>
      <c r="E81" s="4834"/>
      <c r="F81" s="4834"/>
      <c r="G81" s="4834"/>
      <c r="H81" s="4834"/>
      <c r="I81" s="4834"/>
      <c r="J81" s="4834"/>
      <c r="K81" s="4834"/>
      <c r="L81" s="4231"/>
      <c r="M81" s="1760"/>
      <c r="N81" s="2686"/>
      <c r="O81" s="1760"/>
      <c r="P81" s="2686"/>
      <c r="Q81" s="1760"/>
      <c r="R81" s="2686"/>
      <c r="S81" s="1760"/>
      <c r="T81" s="2686"/>
      <c r="U81" s="1760"/>
      <c r="V81" s="2686"/>
      <c r="W81" s="1760"/>
      <c r="X81" s="2686"/>
    </row>
    <row r="82" spans="1:24">
      <c r="A82" s="2688"/>
      <c r="B82" s="1793"/>
      <c r="C82" s="1793"/>
      <c r="D82" s="4833" t="s">
        <v>796</v>
      </c>
      <c r="E82" s="4834"/>
      <c r="F82" s="4834"/>
      <c r="G82" s="4834"/>
      <c r="H82" s="4834"/>
      <c r="I82" s="4834"/>
      <c r="J82" s="4834"/>
      <c r="K82" s="4834"/>
      <c r="L82" s="4231"/>
      <c r="M82" s="1760"/>
      <c r="N82" s="2686"/>
      <c r="O82" s="1760"/>
      <c r="P82" s="2686"/>
      <c r="Q82" s="1760"/>
      <c r="R82" s="2686"/>
      <c r="S82" s="1760"/>
      <c r="T82" s="2686"/>
      <c r="U82" s="1760"/>
      <c r="V82" s="2686"/>
      <c r="W82" s="1760"/>
      <c r="X82" s="2686"/>
    </row>
    <row r="83" spans="1:24">
      <c r="A83" s="2688"/>
      <c r="B83" s="1793"/>
      <c r="C83" s="1793"/>
      <c r="D83" s="2668"/>
      <c r="E83" s="2060" t="s">
        <v>797</v>
      </c>
      <c r="F83" s="4841" t="s">
        <v>798</v>
      </c>
      <c r="G83" s="4836"/>
      <c r="H83" s="4837"/>
      <c r="I83" s="4841" t="s">
        <v>799</v>
      </c>
      <c r="J83" s="4836"/>
      <c r="K83" s="4837"/>
      <c r="L83" s="4231"/>
      <c r="M83" s="1760"/>
      <c r="N83" s="2686"/>
      <c r="O83" s="1760"/>
      <c r="P83" s="2686"/>
      <c r="Q83" s="1760"/>
      <c r="R83" s="2686"/>
      <c r="S83" s="1760"/>
      <c r="T83" s="2686"/>
      <c r="U83" s="1760"/>
      <c r="V83" s="2686"/>
      <c r="W83" s="1760"/>
      <c r="X83" s="2686"/>
    </row>
    <row r="84" spans="1:24">
      <c r="A84" s="2688"/>
      <c r="B84" s="1793"/>
      <c r="C84" s="1793"/>
      <c r="D84" s="4256" t="s">
        <v>800</v>
      </c>
      <c r="E84" s="4170" t="s">
        <v>371</v>
      </c>
      <c r="F84" s="4624" t="s">
        <v>801</v>
      </c>
      <c r="G84" s="4624"/>
      <c r="H84" s="4624"/>
      <c r="I84" s="4623" t="s">
        <v>802</v>
      </c>
      <c r="J84" s="4624"/>
      <c r="K84" s="4624"/>
      <c r="L84" s="4231"/>
      <c r="M84" s="1760"/>
      <c r="N84" s="2686"/>
      <c r="O84" s="1760"/>
      <c r="P84" s="2686"/>
      <c r="Q84" s="1760"/>
      <c r="R84" s="2686"/>
      <c r="S84" s="1760"/>
      <c r="T84" s="2686"/>
      <c r="U84" s="1760"/>
      <c r="V84" s="2686"/>
      <c r="W84" s="1760"/>
      <c r="X84" s="2686"/>
    </row>
    <row r="85" spans="1:24">
      <c r="A85" s="1793"/>
      <c r="B85" s="1793"/>
      <c r="C85" s="1793"/>
      <c r="D85" s="4205" t="s">
        <v>803</v>
      </c>
      <c r="E85" s="4170" t="s">
        <v>804</v>
      </c>
      <c r="F85" s="4198" t="s">
        <v>8</v>
      </c>
      <c r="G85" s="4227" t="s">
        <v>8</v>
      </c>
      <c r="H85" s="4198" t="s">
        <v>8</v>
      </c>
      <c r="I85" s="4227" t="s">
        <v>805</v>
      </c>
      <c r="J85" s="4227" t="s">
        <v>8</v>
      </c>
      <c r="K85" s="4220" t="s">
        <v>8</v>
      </c>
      <c r="L85" s="4243"/>
      <c r="N85" s="2686"/>
      <c r="O85" s="2686"/>
      <c r="P85" s="2686"/>
      <c r="Q85" s="2686"/>
      <c r="R85" s="2686"/>
      <c r="S85" s="2686"/>
      <c r="T85" s="2686"/>
      <c r="U85" s="2686"/>
      <c r="V85" s="2686"/>
      <c r="W85" s="2686"/>
      <c r="X85" s="2686"/>
    </row>
    <row r="86" spans="1:24">
      <c r="A86" s="1793"/>
      <c r="B86" s="1793"/>
      <c r="C86" s="1793"/>
      <c r="D86" s="4214"/>
      <c r="E86" s="4170" t="s">
        <v>806</v>
      </c>
      <c r="F86" s="4166" t="s">
        <v>807</v>
      </c>
      <c r="G86" s="4170" t="s">
        <v>632</v>
      </c>
      <c r="H86" s="4166" t="s">
        <v>808</v>
      </c>
      <c r="I86" s="4170" t="s">
        <v>809</v>
      </c>
      <c r="J86" s="4170" t="s">
        <v>810</v>
      </c>
      <c r="K86" s="4171" t="s">
        <v>811</v>
      </c>
      <c r="L86" s="4231"/>
      <c r="N86" s="2686"/>
      <c r="P86" s="2686"/>
      <c r="R86" s="2686"/>
      <c r="T86" s="2686"/>
      <c r="V86" s="2686"/>
      <c r="X86" s="2686"/>
    </row>
    <row r="87" spans="1:24">
      <c r="A87" s="1793"/>
      <c r="B87" s="1793"/>
      <c r="C87" s="1793"/>
      <c r="D87" s="4205" t="s">
        <v>812</v>
      </c>
      <c r="E87" s="4170" t="s">
        <v>65</v>
      </c>
      <c r="F87" s="4194"/>
      <c r="G87" s="4229"/>
      <c r="H87" s="4198"/>
      <c r="I87" s="2120" t="s">
        <v>813</v>
      </c>
      <c r="J87" s="4170" t="s">
        <v>814</v>
      </c>
      <c r="K87" s="4197"/>
      <c r="L87" s="4243"/>
      <c r="N87" s="2686"/>
      <c r="P87" s="2686"/>
      <c r="R87" s="2686"/>
      <c r="T87" s="2686"/>
      <c r="V87" s="2686"/>
      <c r="X87" s="2686"/>
    </row>
    <row r="88" spans="1:24">
      <c r="A88" s="1793"/>
      <c r="B88" s="1793"/>
      <c r="C88" s="1793"/>
      <c r="D88" s="4206" t="s">
        <v>815</v>
      </c>
      <c r="E88" s="4207" t="s">
        <v>787</v>
      </c>
      <c r="F88" s="4181" t="s">
        <v>636</v>
      </c>
      <c r="G88" s="4207" t="s">
        <v>637</v>
      </c>
      <c r="H88" s="4207" t="s">
        <v>638</v>
      </c>
      <c r="I88" s="2691" t="s">
        <v>816</v>
      </c>
      <c r="J88" s="2691" t="s">
        <v>817</v>
      </c>
      <c r="K88" s="4148" t="s">
        <v>818</v>
      </c>
      <c r="L88" s="4244"/>
    </row>
    <row r="89" spans="1:24">
      <c r="A89" s="1793"/>
      <c r="B89" s="1793"/>
      <c r="C89" s="1793"/>
      <c r="D89" s="2692"/>
      <c r="E89" s="1176"/>
      <c r="F89" s="2693"/>
      <c r="G89" s="2693"/>
      <c r="H89" s="2693"/>
      <c r="I89" s="2694"/>
      <c r="J89" s="2694"/>
      <c r="K89" s="2694"/>
      <c r="L89" s="2695"/>
    </row>
    <row r="90" spans="1:24">
      <c r="D90" s="2673" t="s">
        <v>77</v>
      </c>
      <c r="E90" s="2674" t="s">
        <v>77</v>
      </c>
      <c r="F90" s="1541" t="s">
        <v>77</v>
      </c>
      <c r="G90" s="1541" t="s">
        <v>77</v>
      </c>
      <c r="H90" s="1541" t="s">
        <v>77</v>
      </c>
      <c r="I90" s="1541" t="s">
        <v>77</v>
      </c>
      <c r="J90" s="1541" t="s">
        <v>77</v>
      </c>
      <c r="K90" s="1542" t="s">
        <v>77</v>
      </c>
      <c r="L90" s="4176">
        <v>1965</v>
      </c>
    </row>
    <row r="91" spans="1:24">
      <c r="D91" s="2676" t="s">
        <v>77</v>
      </c>
      <c r="E91" s="2677" t="s">
        <v>77</v>
      </c>
      <c r="F91" s="1533" t="s">
        <v>77</v>
      </c>
      <c r="G91" s="1533" t="s">
        <v>77</v>
      </c>
      <c r="H91" s="1533" t="s">
        <v>77</v>
      </c>
      <c r="I91" s="1533" t="s">
        <v>77</v>
      </c>
      <c r="J91" s="1533" t="s">
        <v>77</v>
      </c>
      <c r="K91" s="1543" t="s">
        <v>77</v>
      </c>
      <c r="L91" s="4174">
        <v>1966</v>
      </c>
    </row>
    <row r="92" spans="1:24">
      <c r="D92" s="2673" t="s">
        <v>77</v>
      </c>
      <c r="E92" s="2674" t="s">
        <v>77</v>
      </c>
      <c r="F92" s="1541" t="s">
        <v>77</v>
      </c>
      <c r="G92" s="1541" t="s">
        <v>77</v>
      </c>
      <c r="H92" s="1541" t="s">
        <v>77</v>
      </c>
      <c r="I92" s="1541" t="s">
        <v>77</v>
      </c>
      <c r="J92" s="1541" t="s">
        <v>77</v>
      </c>
      <c r="K92" s="1542" t="s">
        <v>77</v>
      </c>
      <c r="L92" s="4176">
        <v>1967</v>
      </c>
    </row>
    <row r="93" spans="1:24">
      <c r="D93" s="2676" t="s">
        <v>77</v>
      </c>
      <c r="E93" s="2677" t="s">
        <v>77</v>
      </c>
      <c r="F93" s="1533" t="s">
        <v>77</v>
      </c>
      <c r="G93" s="1533" t="s">
        <v>77</v>
      </c>
      <c r="H93" s="1533" t="s">
        <v>77</v>
      </c>
      <c r="I93" s="1533" t="s">
        <v>77</v>
      </c>
      <c r="J93" s="1533" t="s">
        <v>77</v>
      </c>
      <c r="K93" s="1543" t="s">
        <v>77</v>
      </c>
      <c r="L93" s="4174">
        <v>1968</v>
      </c>
    </row>
    <row r="94" spans="1:24">
      <c r="D94" s="2673" t="s">
        <v>77</v>
      </c>
      <c r="E94" s="2674" t="s">
        <v>77</v>
      </c>
      <c r="F94" s="1541" t="s">
        <v>77</v>
      </c>
      <c r="G94" s="1541" t="s">
        <v>77</v>
      </c>
      <c r="H94" s="1541" t="s">
        <v>77</v>
      </c>
      <c r="I94" s="1541" t="s">
        <v>77</v>
      </c>
      <c r="J94" s="1541" t="s">
        <v>77</v>
      </c>
      <c r="K94" s="1542" t="s">
        <v>77</v>
      </c>
      <c r="L94" s="4176">
        <v>1969</v>
      </c>
    </row>
    <row r="95" spans="1:24">
      <c r="D95" s="2676" t="s">
        <v>77</v>
      </c>
      <c r="E95" s="2677" t="s">
        <v>77</v>
      </c>
      <c r="F95" s="1533" t="s">
        <v>77</v>
      </c>
      <c r="G95" s="1533" t="s">
        <v>77</v>
      </c>
      <c r="H95" s="1533" t="s">
        <v>77</v>
      </c>
      <c r="I95" s="1533" t="s">
        <v>77</v>
      </c>
      <c r="J95" s="1533" t="s">
        <v>77</v>
      </c>
      <c r="K95" s="1543" t="s">
        <v>77</v>
      </c>
      <c r="L95" s="4174">
        <v>1970</v>
      </c>
    </row>
    <row r="96" spans="1:24">
      <c r="D96" s="2673" t="s">
        <v>77</v>
      </c>
      <c r="E96" s="2674" t="s">
        <v>77</v>
      </c>
      <c r="F96" s="1541" t="s">
        <v>77</v>
      </c>
      <c r="G96" s="1541" t="s">
        <v>77</v>
      </c>
      <c r="H96" s="1541" t="s">
        <v>77</v>
      </c>
      <c r="I96" s="1541" t="s">
        <v>77</v>
      </c>
      <c r="J96" s="1541" t="s">
        <v>77</v>
      </c>
      <c r="K96" s="1542" t="s">
        <v>77</v>
      </c>
      <c r="L96" s="4176">
        <v>1971</v>
      </c>
    </row>
    <row r="97" spans="4:12">
      <c r="D97" s="2676" t="s">
        <v>77</v>
      </c>
      <c r="E97" s="2677" t="s">
        <v>77</v>
      </c>
      <c r="F97" s="1533" t="s">
        <v>77</v>
      </c>
      <c r="G97" s="1533" t="s">
        <v>77</v>
      </c>
      <c r="H97" s="1533" t="s">
        <v>77</v>
      </c>
      <c r="I97" s="1533" t="s">
        <v>77</v>
      </c>
      <c r="J97" s="1533" t="s">
        <v>77</v>
      </c>
      <c r="K97" s="1543" t="s">
        <v>77</v>
      </c>
      <c r="L97" s="4174">
        <v>1972</v>
      </c>
    </row>
    <row r="98" spans="4:12">
      <c r="D98" s="2673" t="s">
        <v>77</v>
      </c>
      <c r="E98" s="2674" t="s">
        <v>77</v>
      </c>
      <c r="F98" s="1541" t="s">
        <v>77</v>
      </c>
      <c r="G98" s="1541" t="s">
        <v>77</v>
      </c>
      <c r="H98" s="1541" t="s">
        <v>77</v>
      </c>
      <c r="I98" s="1541" t="s">
        <v>77</v>
      </c>
      <c r="J98" s="1541" t="s">
        <v>77</v>
      </c>
      <c r="K98" s="1542" t="s">
        <v>77</v>
      </c>
      <c r="L98" s="4176">
        <v>1973</v>
      </c>
    </row>
    <row r="99" spans="4:12">
      <c r="D99" s="2676" t="s">
        <v>77</v>
      </c>
      <c r="E99" s="2677" t="s">
        <v>77</v>
      </c>
      <c r="F99" s="1533" t="s">
        <v>77</v>
      </c>
      <c r="G99" s="1533" t="s">
        <v>77</v>
      </c>
      <c r="H99" s="1533" t="s">
        <v>77</v>
      </c>
      <c r="I99" s="1533" t="s">
        <v>77</v>
      </c>
      <c r="J99" s="1533" t="s">
        <v>77</v>
      </c>
      <c r="K99" s="1543" t="s">
        <v>77</v>
      </c>
      <c r="L99" s="4174">
        <v>1974</v>
      </c>
    </row>
    <row r="100" spans="4:12">
      <c r="D100" s="2673" t="s">
        <v>77</v>
      </c>
      <c r="E100" s="2674" t="s">
        <v>77</v>
      </c>
      <c r="F100" s="1541" t="s">
        <v>77</v>
      </c>
      <c r="G100" s="1541" t="s">
        <v>77</v>
      </c>
      <c r="H100" s="1541" t="s">
        <v>77</v>
      </c>
      <c r="I100" s="1541" t="s">
        <v>77</v>
      </c>
      <c r="J100" s="1541" t="s">
        <v>77</v>
      </c>
      <c r="K100" s="1542" t="s">
        <v>77</v>
      </c>
      <c r="L100" s="4176">
        <v>1975</v>
      </c>
    </row>
    <row r="101" spans="4:12">
      <c r="D101" s="1428" t="s">
        <v>77</v>
      </c>
      <c r="E101" s="1426" t="s">
        <v>77</v>
      </c>
      <c r="F101" s="1427">
        <v>5.5</v>
      </c>
      <c r="G101" s="1427">
        <v>5</v>
      </c>
      <c r="H101" s="1427">
        <v>2</v>
      </c>
      <c r="I101" s="1427" t="s">
        <v>77</v>
      </c>
      <c r="J101" s="1427">
        <v>9</v>
      </c>
      <c r="K101" s="1429">
        <v>8.25</v>
      </c>
      <c r="L101" s="4174">
        <v>1976</v>
      </c>
    </row>
    <row r="102" spans="4:12">
      <c r="D102" s="1434" t="s">
        <v>77</v>
      </c>
      <c r="E102" s="1435" t="s">
        <v>77</v>
      </c>
      <c r="F102" s="1436">
        <v>5.5</v>
      </c>
      <c r="G102" s="1436">
        <v>5</v>
      </c>
      <c r="H102" s="1436">
        <v>2</v>
      </c>
      <c r="I102" s="1436" t="s">
        <v>77</v>
      </c>
      <c r="J102" s="1436">
        <v>9</v>
      </c>
      <c r="K102" s="1437">
        <v>8.5</v>
      </c>
      <c r="L102" s="4176">
        <v>1977</v>
      </c>
    </row>
    <row r="103" spans="4:12">
      <c r="D103" s="1428" t="s">
        <v>77</v>
      </c>
      <c r="E103" s="1426" t="s">
        <v>77</v>
      </c>
      <c r="F103" s="1427">
        <v>5.5</v>
      </c>
      <c r="G103" s="1427">
        <v>5</v>
      </c>
      <c r="H103" s="1427">
        <v>2</v>
      </c>
      <c r="I103" s="1427" t="s">
        <v>77</v>
      </c>
      <c r="J103" s="1427">
        <v>9</v>
      </c>
      <c r="K103" s="1429">
        <v>8.5</v>
      </c>
      <c r="L103" s="4174">
        <v>1978</v>
      </c>
    </row>
    <row r="104" spans="4:12">
      <c r="D104" s="1434" t="s">
        <v>77</v>
      </c>
      <c r="E104" s="1435" t="s">
        <v>77</v>
      </c>
      <c r="F104" s="1436">
        <v>6</v>
      </c>
      <c r="G104" s="1436">
        <v>5</v>
      </c>
      <c r="H104" s="1436">
        <v>2</v>
      </c>
      <c r="I104" s="1436" t="s">
        <v>77</v>
      </c>
      <c r="J104" s="1436" t="s">
        <v>819</v>
      </c>
      <c r="K104" s="1437">
        <v>9</v>
      </c>
      <c r="L104" s="4176">
        <v>1979</v>
      </c>
    </row>
    <row r="105" spans="4:12">
      <c r="D105" s="1428" t="s">
        <v>77</v>
      </c>
      <c r="E105" s="1426" t="s">
        <v>77</v>
      </c>
      <c r="F105" s="1427">
        <v>6</v>
      </c>
      <c r="G105" s="1427">
        <v>5</v>
      </c>
      <c r="H105" s="1427">
        <v>2</v>
      </c>
      <c r="I105" s="1427" t="s">
        <v>77</v>
      </c>
      <c r="J105" s="1427" t="s">
        <v>819</v>
      </c>
      <c r="K105" s="1429">
        <v>9</v>
      </c>
      <c r="L105" s="4174">
        <v>1980</v>
      </c>
    </row>
    <row r="106" spans="4:12">
      <c r="D106" s="1434" t="s">
        <v>77</v>
      </c>
      <c r="E106" s="1435" t="s">
        <v>77</v>
      </c>
      <c r="F106" s="1436">
        <v>6</v>
      </c>
      <c r="G106" s="1436">
        <v>5</v>
      </c>
      <c r="H106" s="1436">
        <v>2</v>
      </c>
      <c r="I106" s="1436" t="s">
        <v>77</v>
      </c>
      <c r="J106" s="1436" t="s">
        <v>819</v>
      </c>
      <c r="K106" s="1437">
        <v>9</v>
      </c>
      <c r="L106" s="4176">
        <v>1981</v>
      </c>
    </row>
    <row r="107" spans="4:12">
      <c r="D107" s="1428" t="s">
        <v>77</v>
      </c>
      <c r="E107" s="1426" t="s">
        <v>77</v>
      </c>
      <c r="F107" s="1427">
        <v>6</v>
      </c>
      <c r="G107" s="1427">
        <v>5</v>
      </c>
      <c r="H107" s="1427">
        <v>4</v>
      </c>
      <c r="I107" s="1427" t="s">
        <v>77</v>
      </c>
      <c r="J107" s="1427" t="s">
        <v>819</v>
      </c>
      <c r="K107" s="1429">
        <v>9</v>
      </c>
      <c r="L107" s="4174">
        <v>1982</v>
      </c>
    </row>
    <row r="108" spans="4:12">
      <c r="D108" s="1434" t="s">
        <v>77</v>
      </c>
      <c r="E108" s="1435" t="s">
        <v>77</v>
      </c>
      <c r="F108" s="1436">
        <v>8</v>
      </c>
      <c r="G108" s="1436" t="s">
        <v>820</v>
      </c>
      <c r="H108" s="1436">
        <v>4</v>
      </c>
      <c r="I108" s="1436" t="s">
        <v>77</v>
      </c>
      <c r="J108" s="1436" t="s">
        <v>821</v>
      </c>
      <c r="K108" s="1437">
        <v>8.75</v>
      </c>
      <c r="L108" s="4176">
        <v>1983</v>
      </c>
    </row>
    <row r="109" spans="4:12">
      <c r="D109" s="1428" t="s">
        <v>77</v>
      </c>
      <c r="E109" s="1426" t="s">
        <v>77</v>
      </c>
      <c r="F109" s="1427">
        <v>8.5</v>
      </c>
      <c r="G109" s="1427" t="s">
        <v>822</v>
      </c>
      <c r="H109" s="1427">
        <v>4</v>
      </c>
      <c r="I109" s="1427" t="s">
        <v>77</v>
      </c>
      <c r="J109" s="1427" t="s">
        <v>821</v>
      </c>
      <c r="K109" s="1429">
        <v>8.75</v>
      </c>
      <c r="L109" s="4174">
        <v>1984</v>
      </c>
    </row>
    <row r="110" spans="4:12">
      <c r="D110" s="1434" t="s">
        <v>77</v>
      </c>
      <c r="E110" s="1435" t="s">
        <v>77</v>
      </c>
      <c r="F110" s="1436">
        <v>8.5</v>
      </c>
      <c r="G110" s="1436" t="s">
        <v>822</v>
      </c>
      <c r="H110" s="1436">
        <v>4</v>
      </c>
      <c r="I110" s="1436" t="s">
        <v>77</v>
      </c>
      <c r="J110" s="1436" t="s">
        <v>821</v>
      </c>
      <c r="K110" s="1437" t="s">
        <v>77</v>
      </c>
      <c r="L110" s="4176">
        <v>1985</v>
      </c>
    </row>
    <row r="111" spans="4:12">
      <c r="D111" s="1428" t="s">
        <v>77</v>
      </c>
      <c r="E111" s="1426" t="s">
        <v>77</v>
      </c>
      <c r="F111" s="1427">
        <v>7.5</v>
      </c>
      <c r="G111" s="1427" t="s">
        <v>823</v>
      </c>
      <c r="H111" s="1427">
        <v>3</v>
      </c>
      <c r="I111" s="1427" t="s">
        <v>77</v>
      </c>
      <c r="J111" s="1427" t="s">
        <v>824</v>
      </c>
      <c r="K111" s="1429" t="s">
        <v>77</v>
      </c>
      <c r="L111" s="4174">
        <v>1986</v>
      </c>
    </row>
    <row r="112" spans="4:12">
      <c r="D112" s="1434" t="s">
        <v>77</v>
      </c>
      <c r="E112" s="1435" t="s">
        <v>77</v>
      </c>
      <c r="F112" s="1436">
        <v>7.5</v>
      </c>
      <c r="G112" s="1436" t="s">
        <v>823</v>
      </c>
      <c r="H112" s="1436">
        <v>3</v>
      </c>
      <c r="I112" s="1436" t="s">
        <v>77</v>
      </c>
      <c r="J112" s="1436" t="s">
        <v>824</v>
      </c>
      <c r="K112" s="1437" t="s">
        <v>77</v>
      </c>
      <c r="L112" s="4176">
        <v>1987</v>
      </c>
    </row>
    <row r="113" spans="4:17">
      <c r="D113" s="1428" t="s">
        <v>77</v>
      </c>
      <c r="E113" s="1426" t="s">
        <v>77</v>
      </c>
      <c r="F113" s="1427" t="s">
        <v>77</v>
      </c>
      <c r="G113" s="1427" t="s">
        <v>77</v>
      </c>
      <c r="H113" s="1427" t="s">
        <v>77</v>
      </c>
      <c r="I113" s="1427" t="s">
        <v>77</v>
      </c>
      <c r="J113" s="1427">
        <v>9</v>
      </c>
      <c r="K113" s="1429" t="s">
        <v>77</v>
      </c>
      <c r="L113" s="4174">
        <v>1988</v>
      </c>
    </row>
    <row r="114" spans="4:17">
      <c r="D114" s="1434" t="s">
        <v>77</v>
      </c>
      <c r="E114" s="1435" t="s">
        <v>77</v>
      </c>
      <c r="F114" s="1436" t="s">
        <v>77</v>
      </c>
      <c r="G114" s="1436" t="s">
        <v>77</v>
      </c>
      <c r="H114" s="1436" t="s">
        <v>77</v>
      </c>
      <c r="I114" s="1436" t="s">
        <v>77</v>
      </c>
      <c r="J114" s="1436">
        <v>10</v>
      </c>
      <c r="K114" s="1437" t="s">
        <v>77</v>
      </c>
      <c r="L114" s="4176">
        <v>1989</v>
      </c>
    </row>
    <row r="115" spans="4:17">
      <c r="D115" s="1428" t="s">
        <v>77</v>
      </c>
      <c r="E115" s="1426" t="s">
        <v>77</v>
      </c>
      <c r="F115" s="1427">
        <v>8.23</v>
      </c>
      <c r="G115" s="1427">
        <v>5.18</v>
      </c>
      <c r="H115" s="1427">
        <v>1.69</v>
      </c>
      <c r="I115" s="1427">
        <v>11.38</v>
      </c>
      <c r="J115" s="1427">
        <v>10.51</v>
      </c>
      <c r="K115" s="1429">
        <v>11.79</v>
      </c>
      <c r="L115" s="4174">
        <v>1990</v>
      </c>
    </row>
    <row r="116" spans="4:17">
      <c r="D116" s="1434" t="s">
        <v>77</v>
      </c>
      <c r="E116" s="1435" t="s">
        <v>77</v>
      </c>
      <c r="F116" s="1436">
        <v>7.82</v>
      </c>
      <c r="G116" s="1436">
        <v>5</v>
      </c>
      <c r="H116" s="1436">
        <v>1.54</v>
      </c>
      <c r="I116" s="1436">
        <v>12.47</v>
      </c>
      <c r="J116" s="1436">
        <v>10.220000000000001</v>
      </c>
      <c r="K116" s="1437">
        <v>11.78</v>
      </c>
      <c r="L116" s="4176">
        <v>1991</v>
      </c>
    </row>
    <row r="117" spans="4:17">
      <c r="D117" s="1428" t="s">
        <v>77</v>
      </c>
      <c r="E117" s="1426" t="s">
        <v>77</v>
      </c>
      <c r="F117" s="1427">
        <v>6.95</v>
      </c>
      <c r="G117" s="1427">
        <v>5.01</v>
      </c>
      <c r="H117" s="1427">
        <v>0.74</v>
      </c>
      <c r="I117" s="1427">
        <v>11.64</v>
      </c>
      <c r="J117" s="1427">
        <v>10.199999999999999</v>
      </c>
      <c r="K117" s="1429">
        <v>11.68</v>
      </c>
      <c r="L117" s="4174">
        <v>1992</v>
      </c>
    </row>
    <row r="118" spans="4:17">
      <c r="D118" s="1434" t="s">
        <v>77</v>
      </c>
      <c r="E118" s="1435" t="s">
        <v>77</v>
      </c>
      <c r="F118" s="1436">
        <v>6.87</v>
      </c>
      <c r="G118" s="1436">
        <v>5.14</v>
      </c>
      <c r="H118" s="1436">
        <v>0.88</v>
      </c>
      <c r="I118" s="1436">
        <v>11.11</v>
      </c>
      <c r="J118" s="1436">
        <v>10.27</v>
      </c>
      <c r="K118" s="1437">
        <v>11.03</v>
      </c>
      <c r="L118" s="4176">
        <v>1993</v>
      </c>
    </row>
    <row r="119" spans="4:17">
      <c r="D119" s="1428" t="s">
        <v>77</v>
      </c>
      <c r="E119" s="1426" t="s">
        <v>77</v>
      </c>
      <c r="F119" s="1427">
        <v>7.33</v>
      </c>
      <c r="G119" s="1427">
        <v>4.96</v>
      </c>
      <c r="H119" s="1427">
        <v>1.1499999999999999</v>
      </c>
      <c r="I119" s="1427">
        <v>11.37</v>
      </c>
      <c r="J119" s="1427">
        <v>10.42</v>
      </c>
      <c r="K119" s="1429">
        <v>10.87</v>
      </c>
      <c r="L119" s="4174">
        <v>1994</v>
      </c>
    </row>
    <row r="120" spans="4:17">
      <c r="D120" s="1434" t="s">
        <v>77</v>
      </c>
      <c r="E120" s="1435" t="s">
        <v>77</v>
      </c>
      <c r="F120" s="1436">
        <v>7.97</v>
      </c>
      <c r="G120" s="1436">
        <v>5.01</v>
      </c>
      <c r="H120" s="1436">
        <v>1.04</v>
      </c>
      <c r="I120" s="1436">
        <v>11.68</v>
      </c>
      <c r="J120" s="1436">
        <v>10.74</v>
      </c>
      <c r="K120" s="1437">
        <v>11.8</v>
      </c>
      <c r="L120" s="4176">
        <v>1995</v>
      </c>
    </row>
    <row r="121" spans="4:17">
      <c r="D121" s="1428" t="s">
        <v>77</v>
      </c>
      <c r="E121" s="1426">
        <v>8.34</v>
      </c>
      <c r="F121" s="1427">
        <v>8.85</v>
      </c>
      <c r="G121" s="1427">
        <v>5.22</v>
      </c>
      <c r="H121" s="1427">
        <v>1.19</v>
      </c>
      <c r="I121" s="1427">
        <v>12.66</v>
      </c>
      <c r="J121" s="1427">
        <v>11.6</v>
      </c>
      <c r="K121" s="1429">
        <v>12.93</v>
      </c>
      <c r="L121" s="4174">
        <v>1996</v>
      </c>
    </row>
    <row r="122" spans="4:17">
      <c r="D122" s="1434" t="s">
        <v>77</v>
      </c>
      <c r="E122" s="1435">
        <v>2.5</v>
      </c>
      <c r="F122" s="1436">
        <v>8.91</v>
      </c>
      <c r="G122" s="1436">
        <v>4.79</v>
      </c>
      <c r="H122" s="1436">
        <v>1.27</v>
      </c>
      <c r="I122" s="1436">
        <v>13.44</v>
      </c>
      <c r="J122" s="1436">
        <v>12.55</v>
      </c>
      <c r="K122" s="1437">
        <v>13.12</v>
      </c>
      <c r="L122" s="4176">
        <v>1997</v>
      </c>
    </row>
    <row r="123" spans="4:17">
      <c r="D123" s="1428" t="s">
        <v>77</v>
      </c>
      <c r="E123" s="1426">
        <v>5.83</v>
      </c>
      <c r="F123" s="1427">
        <v>8.33</v>
      </c>
      <c r="G123" s="1427">
        <v>4.5599999999999996</v>
      </c>
      <c r="H123" s="1427">
        <v>1.35</v>
      </c>
      <c r="I123" s="1427">
        <v>13.97</v>
      </c>
      <c r="J123" s="1427">
        <v>12.89</v>
      </c>
      <c r="K123" s="1429">
        <v>12.49</v>
      </c>
      <c r="L123" s="4174">
        <v>1998</v>
      </c>
    </row>
    <row r="124" spans="4:17">
      <c r="D124" s="1434" t="s">
        <v>77</v>
      </c>
      <c r="E124" s="1435">
        <v>1.03</v>
      </c>
      <c r="F124" s="1436">
        <v>7.89</v>
      </c>
      <c r="G124" s="1436">
        <v>4.1900000000000004</v>
      </c>
      <c r="H124" s="1436">
        <v>1.46</v>
      </c>
      <c r="I124" s="1436">
        <v>13.37</v>
      </c>
      <c r="J124" s="1436">
        <v>12.67</v>
      </c>
      <c r="K124" s="1437">
        <v>12.66</v>
      </c>
      <c r="L124" s="4176">
        <v>1999</v>
      </c>
    </row>
    <row r="125" spans="4:17">
      <c r="D125" s="1428">
        <v>9.5</v>
      </c>
      <c r="E125" s="1426">
        <v>5.75</v>
      </c>
      <c r="F125" s="1427">
        <v>6.55</v>
      </c>
      <c r="G125" s="1427">
        <v>3.76</v>
      </c>
      <c r="H125" s="1427">
        <v>1.2</v>
      </c>
      <c r="I125" s="1427">
        <v>12.81</v>
      </c>
      <c r="J125" s="1427">
        <v>11.38</v>
      </c>
      <c r="K125" s="1429">
        <v>11.6</v>
      </c>
      <c r="L125" s="4174">
        <v>2000</v>
      </c>
    </row>
    <row r="126" spans="4:17">
      <c r="D126" s="1434">
        <v>8</v>
      </c>
      <c r="E126" s="1435">
        <v>3.88</v>
      </c>
      <c r="F126" s="1436">
        <v>5.19</v>
      </c>
      <c r="G126" s="1436">
        <v>2.91</v>
      </c>
      <c r="H126" s="1436">
        <v>1.06</v>
      </c>
      <c r="I126" s="1436">
        <v>11.88</v>
      </c>
      <c r="J126" s="1436">
        <v>10.45</v>
      </c>
      <c r="K126" s="1437">
        <v>10.42</v>
      </c>
      <c r="L126" s="4176">
        <v>2001</v>
      </c>
    </row>
    <row r="127" spans="4:17">
      <c r="D127" s="1428">
        <v>7.25</v>
      </c>
      <c r="E127" s="1426">
        <v>2.88</v>
      </c>
      <c r="F127" s="1427">
        <v>3.97</v>
      </c>
      <c r="G127" s="1427">
        <v>1.84</v>
      </c>
      <c r="H127" s="1427">
        <v>0.91</v>
      </c>
      <c r="I127" s="1427">
        <v>10.95</v>
      </c>
      <c r="J127" s="1427">
        <v>9.85</v>
      </c>
      <c r="K127" s="1429">
        <v>9.35</v>
      </c>
      <c r="L127" s="4174">
        <v>2002</v>
      </c>
    </row>
    <row r="128" spans="4:17">
      <c r="D128" s="1434">
        <v>6.5</v>
      </c>
      <c r="E128" s="1435">
        <v>2.13</v>
      </c>
      <c r="F128" s="1436">
        <v>2.75</v>
      </c>
      <c r="G128" s="1436">
        <v>0.88</v>
      </c>
      <c r="H128" s="1436">
        <v>0.5</v>
      </c>
      <c r="I128" s="1436">
        <v>10.24</v>
      </c>
      <c r="J128" s="1436">
        <v>8.92</v>
      </c>
      <c r="K128" s="1437">
        <v>9.43</v>
      </c>
      <c r="L128" s="4176">
        <v>2003</v>
      </c>
      <c r="O128" s="1760"/>
      <c r="P128" s="1760"/>
      <c r="Q128" s="1760"/>
    </row>
    <row r="129" spans="4:12">
      <c r="D129" s="1428">
        <v>6</v>
      </c>
      <c r="E129" s="1426">
        <v>2.8050000000000002</v>
      </c>
      <c r="F129" s="1427">
        <v>2.4900000000000002</v>
      </c>
      <c r="G129" s="1427">
        <v>0.73</v>
      </c>
      <c r="H129" s="1427">
        <v>0.38</v>
      </c>
      <c r="I129" s="1427">
        <v>8.98</v>
      </c>
      <c r="J129" s="1427">
        <v>7.59</v>
      </c>
      <c r="K129" s="1429">
        <v>8.7899999999999991</v>
      </c>
      <c r="L129" s="4174">
        <v>2004</v>
      </c>
    </row>
    <row r="130" spans="4:12">
      <c r="D130" s="1434">
        <v>7</v>
      </c>
      <c r="E130" s="1435">
        <v>4.6289999999999996</v>
      </c>
      <c r="F130" s="1436">
        <v>3.52</v>
      </c>
      <c r="G130" s="1436">
        <v>0.83</v>
      </c>
      <c r="H130" s="1436">
        <v>0.47</v>
      </c>
      <c r="I130" s="1436">
        <v>7.92</v>
      </c>
      <c r="J130" s="1436">
        <v>8.1</v>
      </c>
      <c r="K130" s="1437">
        <v>9.26</v>
      </c>
      <c r="L130" s="4176">
        <v>2005</v>
      </c>
    </row>
    <row r="131" spans="4:12">
      <c r="D131" s="1428">
        <v>7.5</v>
      </c>
      <c r="E131" s="1426">
        <v>6.4950000000000001</v>
      </c>
      <c r="F131" s="1427">
        <v>5.13</v>
      </c>
      <c r="G131" s="1427">
        <v>0.99</v>
      </c>
      <c r="H131" s="1427">
        <v>0.87</v>
      </c>
      <c r="I131" s="1427">
        <v>8.7200000000000006</v>
      </c>
      <c r="J131" s="1427">
        <v>8.56</v>
      </c>
      <c r="K131" s="1429">
        <v>9.23</v>
      </c>
      <c r="L131" s="4174">
        <v>2006</v>
      </c>
    </row>
    <row r="132" spans="4:12">
      <c r="D132" s="1434">
        <v>8.15</v>
      </c>
      <c r="E132" s="1435">
        <v>5.1470000000000002</v>
      </c>
      <c r="F132" s="1436">
        <v>5.56</v>
      </c>
      <c r="G132" s="1436">
        <v>1.1000000000000001</v>
      </c>
      <c r="H132" s="1436">
        <v>0.94</v>
      </c>
      <c r="I132" s="1436">
        <v>9.4499999999999993</v>
      </c>
      <c r="J132" s="1436">
        <v>8.86</v>
      </c>
      <c r="K132" s="1437">
        <v>9.83</v>
      </c>
      <c r="L132" s="4176">
        <v>2007</v>
      </c>
    </row>
    <row r="133" spans="4:12">
      <c r="D133" s="1428">
        <v>8.4499999999999993</v>
      </c>
      <c r="E133" s="1426">
        <v>4.649</v>
      </c>
      <c r="F133" s="1427">
        <v>5.66</v>
      </c>
      <c r="G133" s="1427">
        <v>1.04</v>
      </c>
      <c r="H133" s="1427">
        <v>1.01</v>
      </c>
      <c r="I133" s="1427">
        <v>8.89</v>
      </c>
      <c r="J133" s="1427">
        <v>9.48</v>
      </c>
      <c r="K133" s="1429">
        <v>9.31</v>
      </c>
      <c r="L133" s="4174">
        <v>2008</v>
      </c>
    </row>
    <row r="134" spans="4:12">
      <c r="D134" s="1434">
        <v>8.34</v>
      </c>
      <c r="E134" s="1435">
        <v>2.645</v>
      </c>
      <c r="F134" s="1436">
        <v>4.2300000000000004</v>
      </c>
      <c r="G134" s="1436">
        <v>0.84</v>
      </c>
      <c r="H134" s="1436">
        <v>0.67</v>
      </c>
      <c r="I134" s="1436">
        <v>9.17</v>
      </c>
      <c r="J134" s="1436">
        <v>9.07</v>
      </c>
      <c r="K134" s="1437">
        <v>9.0299999999999994</v>
      </c>
      <c r="L134" s="4176">
        <v>2009</v>
      </c>
    </row>
    <row r="135" spans="4:12">
      <c r="D135" s="1428">
        <v>8.1999999999999993</v>
      </c>
      <c r="E135" s="1426">
        <v>2.15</v>
      </c>
      <c r="F135" s="1427">
        <v>3.4</v>
      </c>
      <c r="G135" s="1427">
        <v>0.77</v>
      </c>
      <c r="H135" s="1427">
        <v>0.44</v>
      </c>
      <c r="I135" s="1427">
        <v>9.41</v>
      </c>
      <c r="J135" s="1427">
        <v>9.01</v>
      </c>
      <c r="K135" s="1429">
        <v>9.1199999999999992</v>
      </c>
      <c r="L135" s="4174">
        <v>2010</v>
      </c>
    </row>
    <row r="136" spans="4:12">
      <c r="D136" s="1434">
        <v>8.2200000000000006</v>
      </c>
      <c r="E136" s="1435">
        <v>2.9169999999999998</v>
      </c>
      <c r="F136" s="1436">
        <v>3.46</v>
      </c>
      <c r="G136" s="1436">
        <v>0.7</v>
      </c>
      <c r="H136" s="1436">
        <v>0.43</v>
      </c>
      <c r="I136" s="1436">
        <v>9.34</v>
      </c>
      <c r="J136" s="1436">
        <v>8.67</v>
      </c>
      <c r="K136" s="1437">
        <v>8.8000000000000007</v>
      </c>
      <c r="L136" s="4176">
        <v>2011</v>
      </c>
    </row>
    <row r="137" spans="4:12">
      <c r="D137" s="1428">
        <v>8.68</v>
      </c>
      <c r="E137" s="1426">
        <v>4.3090000000000002</v>
      </c>
      <c r="F137" s="1427">
        <v>4.1900000000000004</v>
      </c>
      <c r="G137" s="1427">
        <v>0.76</v>
      </c>
      <c r="H137" s="1427">
        <v>0.42</v>
      </c>
      <c r="I137" s="1427">
        <v>9.59</v>
      </c>
      <c r="J137" s="1427">
        <v>8.9499999999999993</v>
      </c>
      <c r="K137" s="1429">
        <v>9.2799999999999994</v>
      </c>
      <c r="L137" s="4174">
        <v>2012</v>
      </c>
    </row>
    <row r="138" spans="4:12">
      <c r="D138" s="1434">
        <v>8.85</v>
      </c>
      <c r="E138" s="1435">
        <v>3.7850000000000001</v>
      </c>
      <c r="F138" s="1436">
        <v>4.97</v>
      </c>
      <c r="G138" s="1436">
        <v>0.87</v>
      </c>
      <c r="H138" s="1436">
        <v>0.38</v>
      </c>
      <c r="I138" s="1436">
        <v>10.130000000000001</v>
      </c>
      <c r="J138" s="1436">
        <v>9.0299999999999994</v>
      </c>
      <c r="K138" s="1437">
        <v>9.1999999999999993</v>
      </c>
      <c r="L138" s="4176">
        <v>2013</v>
      </c>
    </row>
    <row r="139" spans="4:12">
      <c r="D139" s="1428">
        <v>8.7200000000000006</v>
      </c>
      <c r="E139" s="1426">
        <v>2.944</v>
      </c>
      <c r="F139" s="1427">
        <v>4.1100000000000003</v>
      </c>
      <c r="G139" s="1427">
        <v>0.79</v>
      </c>
      <c r="H139" s="1427">
        <v>0.43</v>
      </c>
      <c r="I139" s="1427">
        <v>9.9499999999999993</v>
      </c>
      <c r="J139" s="1427">
        <v>8.84</v>
      </c>
      <c r="K139" s="1429">
        <v>9.15</v>
      </c>
      <c r="L139" s="4174">
        <v>2014</v>
      </c>
    </row>
    <row r="140" spans="4:12">
      <c r="D140" s="1434">
        <v>8.3699999999999992</v>
      </c>
      <c r="E140" s="1435">
        <v>1.964</v>
      </c>
      <c r="F140" s="1436">
        <v>3.06</v>
      </c>
      <c r="G140" s="1436">
        <v>0.62</v>
      </c>
      <c r="H140" s="1436">
        <v>0.32</v>
      </c>
      <c r="I140" s="1436">
        <v>8.6999999999999993</v>
      </c>
      <c r="J140" s="1436">
        <v>8.24</v>
      </c>
      <c r="K140" s="1437">
        <v>8.01</v>
      </c>
      <c r="L140" s="4176">
        <v>2015</v>
      </c>
    </row>
    <row r="141" spans="4:12">
      <c r="D141" s="1428">
        <v>8.3699999999999992</v>
      </c>
      <c r="E141" s="1426">
        <v>2.3359999999999999</v>
      </c>
      <c r="F141" s="1427">
        <v>3.04</v>
      </c>
      <c r="G141" s="1427">
        <v>0.56000000000000005</v>
      </c>
      <c r="H141" s="1427">
        <v>0.26</v>
      </c>
      <c r="I141" s="1427">
        <v>10.42</v>
      </c>
      <c r="J141" s="1427">
        <v>7.83</v>
      </c>
      <c r="K141" s="1429">
        <v>7.6</v>
      </c>
      <c r="L141" s="4174">
        <v>2016</v>
      </c>
    </row>
    <row r="142" spans="4:12">
      <c r="D142" s="1434">
        <v>8.83</v>
      </c>
      <c r="E142" s="1435">
        <v>3.25</v>
      </c>
      <c r="F142" s="1436">
        <v>3.8</v>
      </c>
      <c r="G142" s="1436">
        <v>0.55000000000000004</v>
      </c>
      <c r="H142" s="1436">
        <v>0.34</v>
      </c>
      <c r="I142" s="1436">
        <v>10.23</v>
      </c>
      <c r="J142" s="1436">
        <v>8.64</v>
      </c>
      <c r="K142" s="1437">
        <v>8.77</v>
      </c>
      <c r="L142" s="4176">
        <v>2017</v>
      </c>
    </row>
    <row r="143" spans="4:12">
      <c r="D143" s="1428">
        <v>9.57</v>
      </c>
      <c r="E143" s="1426">
        <v>4.1159999999999997</v>
      </c>
      <c r="F143" s="1427">
        <v>4.7300000000000004</v>
      </c>
      <c r="G143" s="1427">
        <v>0.71</v>
      </c>
      <c r="H143" s="1427">
        <v>0.38</v>
      </c>
      <c r="I143" s="1427">
        <v>9.64</v>
      </c>
      <c r="J143" s="1427">
        <v>8.69</v>
      </c>
      <c r="K143" s="1429">
        <v>8.41</v>
      </c>
      <c r="L143" s="4174">
        <v>2018</v>
      </c>
    </row>
    <row r="144" spans="4:12">
      <c r="D144" s="1434">
        <v>9.33</v>
      </c>
      <c r="E144" s="1435">
        <v>3.3969999999999998</v>
      </c>
      <c r="F144" s="1436">
        <v>4.92</v>
      </c>
      <c r="G144" s="1436">
        <v>0.63</v>
      </c>
      <c r="H144" s="1436">
        <v>0.33</v>
      </c>
      <c r="I144" s="1436">
        <v>9.5500000000000007</v>
      </c>
      <c r="J144" s="1436">
        <v>8.4600000000000009</v>
      </c>
      <c r="K144" s="1437">
        <v>8.4700000000000006</v>
      </c>
      <c r="L144" s="4176">
        <v>2019</v>
      </c>
    </row>
    <row r="145" spans="4:12">
      <c r="D145" s="4339">
        <v>8.33</v>
      </c>
      <c r="E145" s="4340">
        <v>2.15</v>
      </c>
      <c r="F145" s="4341">
        <v>3.65</v>
      </c>
      <c r="G145" s="4341">
        <v>0.34</v>
      </c>
      <c r="H145" s="4341">
        <v>0.27</v>
      </c>
      <c r="I145" s="4341">
        <v>8.51</v>
      </c>
      <c r="J145" s="4341">
        <v>7.17</v>
      </c>
      <c r="K145" s="4342">
        <v>7.3</v>
      </c>
      <c r="L145" s="1747">
        <v>2020</v>
      </c>
    </row>
    <row r="146" spans="4:12" ht="6" customHeight="1">
      <c r="D146" s="1647"/>
      <c r="E146" s="1647"/>
      <c r="F146" s="2696"/>
      <c r="G146" s="2696"/>
      <c r="H146" s="2576"/>
      <c r="I146" s="2697"/>
      <c r="J146" s="4842"/>
      <c r="K146" s="4842"/>
      <c r="L146" s="4842"/>
    </row>
    <row r="147" spans="4:12">
      <c r="D147" s="4169" t="s">
        <v>825</v>
      </c>
      <c r="E147" s="4169"/>
      <c r="F147" s="2698"/>
      <c r="G147" s="2698"/>
      <c r="H147" s="1318"/>
      <c r="I147" s="2699"/>
      <c r="J147" s="4838" t="s">
        <v>826</v>
      </c>
      <c r="K147" s="4838"/>
      <c r="L147" s="4838"/>
    </row>
    <row r="148" spans="4:12">
      <c r="D148" s="4169" t="s">
        <v>827</v>
      </c>
      <c r="E148" s="4169"/>
      <c r="F148" s="2698"/>
      <c r="G148" s="2698"/>
      <c r="H148" s="1838"/>
      <c r="I148" s="2699"/>
      <c r="J148" s="4838" t="s">
        <v>828</v>
      </c>
      <c r="K148" s="4838"/>
      <c r="L148" s="4838"/>
    </row>
    <row r="149" spans="4:12">
      <c r="D149" s="4169" t="s">
        <v>829</v>
      </c>
      <c r="E149" s="1318"/>
      <c r="F149" s="1318"/>
      <c r="G149" s="1318"/>
      <c r="H149" s="1318"/>
      <c r="I149" s="4838" t="s">
        <v>830</v>
      </c>
      <c r="J149" s="4838"/>
      <c r="K149" s="4838"/>
      <c r="L149" s="4838"/>
    </row>
  </sheetData>
  <mergeCells count="18">
    <mergeCell ref="J147:L147"/>
    <mergeCell ref="J148:L148"/>
    <mergeCell ref="I149:L149"/>
    <mergeCell ref="D80:K81"/>
    <mergeCell ref="D82:K82"/>
    <mergeCell ref="F83:H83"/>
    <mergeCell ref="I83:K83"/>
    <mergeCell ref="F84:H84"/>
    <mergeCell ref="I84:K84"/>
    <mergeCell ref="J146:L146"/>
    <mergeCell ref="H11:I11"/>
    <mergeCell ref="D76:L76"/>
    <mergeCell ref="D77:L77"/>
    <mergeCell ref="E3:K3"/>
    <mergeCell ref="E4:K4"/>
    <mergeCell ref="E8:J8"/>
    <mergeCell ref="E9:J9"/>
    <mergeCell ref="H10:I10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8" orientation="portrait" verticalDpi="300" r:id="rId1"/>
  <headerFooter alignWithMargins="0">
    <oddFooter>&amp;C&amp;"+,Regular"&amp;22-28-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56"/>
  <sheetViews>
    <sheetView showWhiteSpace="0" zoomScale="50" zoomScaleNormal="50" workbookViewId="0">
      <selection activeCell="B3" sqref="B3"/>
    </sheetView>
  </sheetViews>
  <sheetFormatPr defaultColWidth="0" defaultRowHeight="20.25"/>
  <cols>
    <col min="1" max="1" width="25.7109375" style="1174" customWidth="1"/>
    <col min="2" max="2" width="30.5703125" style="1174" customWidth="1"/>
    <col min="3" max="3" width="81.28515625" style="1192" bestFit="1" customWidth="1"/>
    <col min="4" max="21" width="16.7109375" style="1192" customWidth="1"/>
    <col min="22" max="22" width="74.42578125" style="1192" bestFit="1" customWidth="1"/>
    <col min="23" max="23" width="4.28515625" style="1174" hidden="1" customWidth="1"/>
    <col min="24" max="24" width="4.28515625" style="1174" customWidth="1"/>
    <col min="25" max="25" width="0" style="1174" hidden="1" customWidth="1"/>
    <col min="26" max="26" width="4.28515625" style="1174" hidden="1" customWidth="1"/>
    <col min="27" max="16384" width="0" style="1174" hidden="1"/>
  </cols>
  <sheetData>
    <row r="1" spans="2:23" ht="15" customHeight="1">
      <c r="C1" s="1174"/>
      <c r="D1" s="1174"/>
      <c r="E1" s="1174"/>
      <c r="F1" s="1174"/>
      <c r="G1" s="1174"/>
      <c r="H1" s="1174"/>
      <c r="I1" s="1174"/>
      <c r="J1" s="1174"/>
      <c r="K1" s="1174"/>
      <c r="L1" s="1174"/>
      <c r="M1" s="1174"/>
      <c r="N1" s="1174"/>
      <c r="O1" s="1174"/>
      <c r="P1" s="1174"/>
      <c r="Q1" s="1174"/>
      <c r="R1" s="1174"/>
      <c r="S1" s="1174"/>
      <c r="T1" s="1174"/>
      <c r="U1" s="1174"/>
      <c r="V1" s="1174"/>
    </row>
    <row r="2" spans="2:23">
      <c r="C2" s="1174"/>
      <c r="D2" s="1174"/>
      <c r="E2" s="1174"/>
      <c r="F2" s="1174"/>
      <c r="G2" s="1174"/>
      <c r="H2" s="1174"/>
      <c r="I2" s="1174"/>
      <c r="J2" s="1174"/>
      <c r="K2" s="1174"/>
      <c r="L2" s="1174"/>
      <c r="M2" s="1174"/>
      <c r="N2" s="1174"/>
      <c r="O2" s="1174"/>
      <c r="P2" s="1174"/>
      <c r="Q2" s="1174"/>
      <c r="R2" s="1174"/>
      <c r="S2" s="1174"/>
      <c r="T2" s="1174"/>
      <c r="U2" s="1174"/>
      <c r="V2" s="1174"/>
    </row>
    <row r="3" spans="2:23" s="1845" customFormat="1" ht="37.5">
      <c r="C3" s="4847" t="s">
        <v>831</v>
      </c>
      <c r="D3" s="4847"/>
      <c r="E3" s="4847"/>
      <c r="F3" s="4847"/>
      <c r="G3" s="4847"/>
      <c r="H3" s="4847"/>
      <c r="I3" s="4847"/>
      <c r="J3" s="4847"/>
      <c r="K3" s="4847"/>
      <c r="L3" s="4847"/>
      <c r="M3" s="4847"/>
      <c r="N3" s="4847"/>
      <c r="O3" s="4847"/>
      <c r="P3" s="4847"/>
      <c r="Q3" s="4847"/>
      <c r="R3" s="4847"/>
      <c r="S3" s="4847"/>
      <c r="T3" s="4847"/>
      <c r="U3" s="4847"/>
      <c r="V3" s="4847"/>
    </row>
    <row r="4" spans="2:23" ht="32.25" customHeight="1">
      <c r="C4" s="4848" t="s">
        <v>832</v>
      </c>
      <c r="D4" s="4848"/>
      <c r="E4" s="4848"/>
      <c r="F4" s="4848"/>
      <c r="G4" s="4848"/>
      <c r="H4" s="4848"/>
      <c r="I4" s="4848"/>
      <c r="J4" s="4848"/>
      <c r="K4" s="4848"/>
      <c r="L4" s="4848"/>
      <c r="M4" s="4848"/>
      <c r="N4" s="4848"/>
      <c r="O4" s="4848"/>
      <c r="P4" s="4848"/>
      <c r="Q4" s="4848"/>
      <c r="R4" s="4848"/>
      <c r="S4" s="4848"/>
      <c r="T4" s="4848"/>
      <c r="U4" s="4848"/>
      <c r="V4" s="4848"/>
    </row>
    <row r="5" spans="2:23" s="1849" customFormat="1" ht="17.100000000000001" customHeight="1">
      <c r="C5" s="1185"/>
      <c r="D5" s="1185"/>
      <c r="E5" s="1185"/>
      <c r="F5" s="1185"/>
      <c r="G5" s="1185"/>
      <c r="H5" s="1185"/>
      <c r="I5" s="1185"/>
      <c r="J5" s="1185"/>
      <c r="K5" s="1185"/>
      <c r="L5" s="1185"/>
      <c r="M5" s="1185"/>
      <c r="N5" s="1185"/>
      <c r="O5" s="1185"/>
      <c r="P5" s="1185"/>
      <c r="Q5" s="1185"/>
      <c r="R5" s="1185"/>
      <c r="S5" s="1185"/>
      <c r="T5" s="1185"/>
      <c r="U5" s="1185"/>
      <c r="V5" s="2365"/>
    </row>
    <row r="6" spans="2:23" s="1849" customFormat="1" ht="4.3499999999999996" customHeight="1">
      <c r="C6" s="1185"/>
      <c r="D6" s="1185"/>
      <c r="E6" s="1185"/>
      <c r="F6" s="1185"/>
      <c r="G6" s="1185"/>
      <c r="H6" s="1185"/>
      <c r="I6" s="1185"/>
      <c r="J6" s="1185"/>
      <c r="K6" s="1185"/>
      <c r="L6" s="1185"/>
      <c r="M6" s="1185"/>
      <c r="N6" s="1185"/>
      <c r="O6" s="1185"/>
      <c r="P6" s="1185"/>
      <c r="Q6" s="1185"/>
      <c r="R6" s="1185"/>
      <c r="S6" s="1185"/>
      <c r="T6" s="1185"/>
      <c r="U6" s="1185"/>
      <c r="V6" s="2700"/>
    </row>
    <row r="7" spans="2:23" ht="50.1" customHeight="1">
      <c r="C7" s="4849"/>
      <c r="D7" s="4843" t="s">
        <v>3041</v>
      </c>
      <c r="E7" s="4843" t="s">
        <v>3042</v>
      </c>
      <c r="F7" s="4843" t="s">
        <v>2912</v>
      </c>
      <c r="G7" s="4843" t="s">
        <v>2746</v>
      </c>
      <c r="H7" s="4846">
        <v>2016</v>
      </c>
      <c r="I7" s="4846">
        <v>2015</v>
      </c>
      <c r="J7" s="4846">
        <v>2014</v>
      </c>
      <c r="K7" s="4846">
        <v>2013</v>
      </c>
      <c r="L7" s="4846">
        <v>2012</v>
      </c>
      <c r="M7" s="4846">
        <v>2011</v>
      </c>
      <c r="N7" s="4846">
        <v>2010</v>
      </c>
      <c r="O7" s="4846">
        <v>2009</v>
      </c>
      <c r="P7" s="4846">
        <v>2008</v>
      </c>
      <c r="Q7" s="4846">
        <v>2007</v>
      </c>
      <c r="R7" s="4846">
        <v>2006</v>
      </c>
      <c r="S7" s="4846">
        <v>2005</v>
      </c>
      <c r="T7" s="4846">
        <v>2004</v>
      </c>
      <c r="U7" s="4846">
        <v>2003</v>
      </c>
      <c r="V7" s="2701"/>
    </row>
    <row r="8" spans="2:23" ht="50.1" customHeight="1">
      <c r="C8" s="4850"/>
      <c r="D8" s="4844"/>
      <c r="E8" s="4844"/>
      <c r="F8" s="4844"/>
      <c r="G8" s="4844"/>
      <c r="H8" s="4844"/>
      <c r="I8" s="4844"/>
      <c r="J8" s="4844"/>
      <c r="K8" s="4844"/>
      <c r="L8" s="4844"/>
      <c r="M8" s="4844"/>
      <c r="N8" s="4844"/>
      <c r="O8" s="4844"/>
      <c r="P8" s="4844"/>
      <c r="Q8" s="4844"/>
      <c r="R8" s="4844"/>
      <c r="S8" s="4844"/>
      <c r="T8" s="4844"/>
      <c r="U8" s="4844"/>
      <c r="V8" s="2702"/>
    </row>
    <row r="9" spans="2:23" ht="50.1" customHeight="1">
      <c r="C9" s="4850"/>
      <c r="D9" s="4844"/>
      <c r="E9" s="4844"/>
      <c r="F9" s="4844"/>
      <c r="G9" s="4844"/>
      <c r="H9" s="4844"/>
      <c r="I9" s="4844"/>
      <c r="J9" s="4844"/>
      <c r="K9" s="4844"/>
      <c r="L9" s="4844"/>
      <c r="M9" s="4844"/>
      <c r="N9" s="4844"/>
      <c r="O9" s="4844"/>
      <c r="P9" s="4844"/>
      <c r="Q9" s="4844"/>
      <c r="R9" s="4844"/>
      <c r="S9" s="4844"/>
      <c r="T9" s="4844"/>
      <c r="U9" s="4844"/>
      <c r="V9" s="2702"/>
    </row>
    <row r="10" spans="2:23" ht="50.1" customHeight="1">
      <c r="B10" s="1801"/>
      <c r="C10" s="4850"/>
      <c r="D10" s="4844"/>
      <c r="E10" s="4844"/>
      <c r="F10" s="4844"/>
      <c r="G10" s="4844"/>
      <c r="H10" s="4844"/>
      <c r="I10" s="4844"/>
      <c r="J10" s="4844"/>
      <c r="K10" s="4844"/>
      <c r="L10" s="4844"/>
      <c r="M10" s="4844"/>
      <c r="N10" s="4844"/>
      <c r="O10" s="4844"/>
      <c r="P10" s="4844"/>
      <c r="Q10" s="4844"/>
      <c r="R10" s="4844"/>
      <c r="S10" s="4844"/>
      <c r="T10" s="4844"/>
      <c r="U10" s="4844"/>
      <c r="V10" s="2702"/>
      <c r="W10" s="1801"/>
    </row>
    <row r="11" spans="2:23" ht="50.1" customHeight="1">
      <c r="B11" s="1801"/>
      <c r="C11" s="4851"/>
      <c r="D11" s="4845"/>
      <c r="E11" s="4845"/>
      <c r="F11" s="4845"/>
      <c r="G11" s="4845"/>
      <c r="H11" s="4845"/>
      <c r="I11" s="4845"/>
      <c r="J11" s="4845"/>
      <c r="K11" s="4845"/>
      <c r="L11" s="4845"/>
      <c r="M11" s="4845"/>
      <c r="N11" s="4845"/>
      <c r="O11" s="4845"/>
      <c r="P11" s="4845"/>
      <c r="Q11" s="4845"/>
      <c r="R11" s="4845"/>
      <c r="S11" s="4845"/>
      <c r="T11" s="4845"/>
      <c r="U11" s="4845"/>
      <c r="V11" s="2703"/>
      <c r="W11" s="1801"/>
    </row>
    <row r="12" spans="2:23" ht="5.25" customHeight="1">
      <c r="B12" s="1801"/>
      <c r="C12" s="2704"/>
      <c r="D12" s="1186"/>
      <c r="E12" s="1186"/>
      <c r="F12" s="1186"/>
      <c r="G12" s="1186"/>
      <c r="H12" s="1186"/>
      <c r="I12" s="1186"/>
      <c r="J12" s="1186"/>
      <c r="K12" s="1590"/>
      <c r="L12" s="1590"/>
      <c r="M12" s="1590"/>
      <c r="N12" s="1590"/>
      <c r="O12" s="1590"/>
      <c r="P12" s="1590"/>
      <c r="Q12" s="1590"/>
      <c r="R12" s="1590"/>
      <c r="S12" s="1590"/>
      <c r="T12" s="1590"/>
      <c r="U12" s="2705"/>
      <c r="V12" s="2706"/>
      <c r="W12" s="1801"/>
    </row>
    <row r="13" spans="2:23" s="1190" customFormat="1" ht="150" customHeight="1">
      <c r="B13" s="2165"/>
      <c r="C13" s="2707" t="s">
        <v>833</v>
      </c>
      <c r="D13" s="1187">
        <v>18.3</v>
      </c>
      <c r="E13" s="1187">
        <v>18.28</v>
      </c>
      <c r="F13" s="1187">
        <v>16.899999999999999</v>
      </c>
      <c r="G13" s="1187">
        <v>17.8</v>
      </c>
      <c r="H13" s="1187">
        <v>18.5</v>
      </c>
      <c r="I13" s="1187">
        <v>19.100000000000001</v>
      </c>
      <c r="J13" s="1187">
        <v>18.399999999999999</v>
      </c>
      <c r="K13" s="1591">
        <v>18.399999999999999</v>
      </c>
      <c r="L13" s="1591">
        <v>19</v>
      </c>
      <c r="M13" s="1591">
        <v>19.3</v>
      </c>
      <c r="N13" s="1591">
        <v>20.3</v>
      </c>
      <c r="O13" s="1591">
        <v>19.600000000000001</v>
      </c>
      <c r="P13" s="1591">
        <v>18.399999999999999</v>
      </c>
      <c r="Q13" s="1591">
        <v>20.8</v>
      </c>
      <c r="R13" s="1591">
        <v>21.4</v>
      </c>
      <c r="S13" s="1591">
        <v>17.600000000000001</v>
      </c>
      <c r="T13" s="1591">
        <v>17.8</v>
      </c>
      <c r="U13" s="2708">
        <v>15.9</v>
      </c>
      <c r="V13" s="2709" t="s">
        <v>834</v>
      </c>
      <c r="W13" s="2165"/>
    </row>
    <row r="14" spans="2:23" s="1190" customFormat="1" ht="150" customHeight="1">
      <c r="B14" s="2165"/>
      <c r="C14" s="2710" t="s">
        <v>835</v>
      </c>
      <c r="D14" s="1188">
        <v>5.5</v>
      </c>
      <c r="E14" s="1188">
        <v>5</v>
      </c>
      <c r="F14" s="1188">
        <v>4.9000000000000004</v>
      </c>
      <c r="G14" s="1188">
        <v>4.2</v>
      </c>
      <c r="H14" s="1188">
        <v>4.3</v>
      </c>
      <c r="I14" s="1188">
        <v>4.9000000000000004</v>
      </c>
      <c r="J14" s="1188">
        <v>5.6</v>
      </c>
      <c r="K14" s="1592">
        <v>7</v>
      </c>
      <c r="L14" s="1592">
        <v>7.7</v>
      </c>
      <c r="M14" s="1592">
        <v>8.5</v>
      </c>
      <c r="N14" s="1592">
        <v>8.1999999999999993</v>
      </c>
      <c r="O14" s="1592">
        <v>6.7</v>
      </c>
      <c r="P14" s="1592">
        <v>4.2</v>
      </c>
      <c r="Q14" s="1592">
        <v>4.0999999999999996</v>
      </c>
      <c r="R14" s="1592">
        <v>4.3</v>
      </c>
      <c r="S14" s="1592">
        <v>6.6</v>
      </c>
      <c r="T14" s="1592">
        <v>10.5</v>
      </c>
      <c r="U14" s="2711">
        <v>15.5</v>
      </c>
      <c r="V14" s="2712" t="s">
        <v>836</v>
      </c>
      <c r="W14" s="2165"/>
    </row>
    <row r="15" spans="2:23" s="1963" customFormat="1" ht="150" customHeight="1">
      <c r="C15" s="2707" t="s">
        <v>837</v>
      </c>
      <c r="D15" s="1187">
        <v>71.5</v>
      </c>
      <c r="E15" s="1187">
        <v>69.5</v>
      </c>
      <c r="F15" s="1187">
        <v>79.3</v>
      </c>
      <c r="G15" s="1187">
        <v>75.400000000000006</v>
      </c>
      <c r="H15" s="1187">
        <v>77.900000000000006</v>
      </c>
      <c r="I15" s="1187">
        <v>74.7</v>
      </c>
      <c r="J15" s="1187">
        <v>77.599999999999994</v>
      </c>
      <c r="K15" s="1591">
        <v>77</v>
      </c>
      <c r="L15" s="1591">
        <v>69.400000000000006</v>
      </c>
      <c r="M15" s="1591">
        <v>52.3</v>
      </c>
      <c r="N15" s="1591">
        <v>52.4</v>
      </c>
      <c r="O15" s="1591">
        <v>52</v>
      </c>
      <c r="P15" s="1591">
        <v>63.4</v>
      </c>
      <c r="Q15" s="1591">
        <v>67.8</v>
      </c>
      <c r="R15" s="1591">
        <v>80</v>
      </c>
      <c r="S15" s="1591">
        <v>78.400000000000006</v>
      </c>
      <c r="T15" s="1591">
        <v>63.8</v>
      </c>
      <c r="U15" s="2708">
        <v>51.9</v>
      </c>
      <c r="V15" s="2713" t="s">
        <v>838</v>
      </c>
    </row>
    <row r="16" spans="2:23" ht="150" customHeight="1">
      <c r="B16" s="1963"/>
      <c r="C16" s="2710" t="s">
        <v>839</v>
      </c>
      <c r="D16" s="1188">
        <v>12.2</v>
      </c>
      <c r="E16" s="1188">
        <v>12.4</v>
      </c>
      <c r="F16" s="1188">
        <v>12.6</v>
      </c>
      <c r="G16" s="1188">
        <v>13.2</v>
      </c>
      <c r="H16" s="1188">
        <v>12.9</v>
      </c>
      <c r="I16" s="1188">
        <v>12.7</v>
      </c>
      <c r="J16" s="1188">
        <v>12.46</v>
      </c>
      <c r="K16" s="1592">
        <v>12.9</v>
      </c>
      <c r="L16" s="1592">
        <v>13.3</v>
      </c>
      <c r="M16" s="1592">
        <v>13.1</v>
      </c>
      <c r="N16" s="1592">
        <v>13.1</v>
      </c>
      <c r="O16" s="1592">
        <v>13</v>
      </c>
      <c r="P16" s="1592">
        <v>12.9</v>
      </c>
      <c r="Q16" s="1592">
        <v>13.3</v>
      </c>
      <c r="R16" s="1592">
        <v>13.2</v>
      </c>
      <c r="S16" s="1592">
        <v>10.5</v>
      </c>
      <c r="T16" s="1592">
        <v>8.9</v>
      </c>
      <c r="U16" s="2711">
        <v>7.5</v>
      </c>
      <c r="V16" s="2714" t="s">
        <v>840</v>
      </c>
      <c r="W16" s="1963"/>
    </row>
    <row r="17" spans="2:24" ht="150" customHeight="1">
      <c r="B17" s="1963"/>
      <c r="C17" s="2707" t="s">
        <v>841</v>
      </c>
      <c r="D17" s="1187">
        <v>5.0999999999999996</v>
      </c>
      <c r="E17" s="1187">
        <v>9.44</v>
      </c>
      <c r="F17" s="1187">
        <v>9.6</v>
      </c>
      <c r="G17" s="1187">
        <v>9.1</v>
      </c>
      <c r="H17" s="1187">
        <v>8.9</v>
      </c>
      <c r="I17" s="1187">
        <v>10.3</v>
      </c>
      <c r="J17" s="1187">
        <v>11</v>
      </c>
      <c r="K17" s="1591">
        <v>9.9</v>
      </c>
      <c r="L17" s="1591">
        <v>8.6</v>
      </c>
      <c r="M17" s="1591">
        <v>8.3000000000000007</v>
      </c>
      <c r="N17" s="1591">
        <v>8.8000000000000007</v>
      </c>
      <c r="O17" s="1591">
        <v>8.8000000000000007</v>
      </c>
      <c r="P17" s="1591">
        <v>11.5</v>
      </c>
      <c r="Q17" s="1591">
        <v>12.6</v>
      </c>
      <c r="R17" s="1591">
        <v>15</v>
      </c>
      <c r="S17" s="1591">
        <v>20.9</v>
      </c>
      <c r="T17" s="1591">
        <v>13.1</v>
      </c>
      <c r="U17" s="2708">
        <v>9.9</v>
      </c>
      <c r="V17" s="2713" t="s">
        <v>842</v>
      </c>
      <c r="W17" s="1963"/>
    </row>
    <row r="18" spans="2:24" ht="150" customHeight="1">
      <c r="B18" s="1963"/>
      <c r="C18" s="2710" t="s">
        <v>843</v>
      </c>
      <c r="D18" s="1188">
        <v>0.6</v>
      </c>
      <c r="E18" s="1188">
        <v>1.18</v>
      </c>
      <c r="F18" s="1188">
        <v>1.2</v>
      </c>
      <c r="G18" s="1188">
        <v>1.2</v>
      </c>
      <c r="H18" s="1188">
        <v>1.1000000000000001</v>
      </c>
      <c r="I18" s="1188">
        <v>1.3</v>
      </c>
      <c r="J18" s="1188">
        <v>1.4</v>
      </c>
      <c r="K18" s="1592">
        <v>1.2</v>
      </c>
      <c r="L18" s="1592">
        <v>1.1000000000000001</v>
      </c>
      <c r="M18" s="1592">
        <v>1.1000000000000001</v>
      </c>
      <c r="N18" s="1592">
        <v>1.1000000000000001</v>
      </c>
      <c r="O18" s="1592">
        <v>1.1000000000000001</v>
      </c>
      <c r="P18" s="1592">
        <v>1.4</v>
      </c>
      <c r="Q18" s="1592">
        <v>1.6</v>
      </c>
      <c r="R18" s="1592">
        <v>1.7</v>
      </c>
      <c r="S18" s="1592">
        <v>2</v>
      </c>
      <c r="T18" s="1592">
        <v>1.1000000000000001</v>
      </c>
      <c r="U18" s="2711">
        <v>0.7</v>
      </c>
      <c r="V18" s="2712" t="s">
        <v>844</v>
      </c>
      <c r="W18" s="2715"/>
      <c r="X18" s="2716"/>
    </row>
    <row r="19" spans="2:24" ht="150" customHeight="1">
      <c r="B19" s="1963"/>
      <c r="C19" s="2707" t="s">
        <v>845</v>
      </c>
      <c r="D19" s="1187">
        <v>80.599999999999994</v>
      </c>
      <c r="E19" s="1187">
        <v>77.599999999999994</v>
      </c>
      <c r="F19" s="1187">
        <v>78.5</v>
      </c>
      <c r="G19" s="1187">
        <v>75.8</v>
      </c>
      <c r="H19" s="1187">
        <v>78.959999999999994</v>
      </c>
      <c r="I19" s="1187">
        <v>77.400000000000006</v>
      </c>
      <c r="J19" s="1187">
        <v>77.900000000000006</v>
      </c>
      <c r="K19" s="1591">
        <v>77.599999999999994</v>
      </c>
      <c r="L19" s="1591">
        <v>76.599999999999994</v>
      </c>
      <c r="M19" s="1591">
        <v>70.099999999999994</v>
      </c>
      <c r="N19" s="1591">
        <v>74.3</v>
      </c>
      <c r="O19" s="1591">
        <v>71.599999999999994</v>
      </c>
      <c r="P19" s="1591">
        <v>71.3</v>
      </c>
      <c r="Q19" s="1591">
        <v>66.7</v>
      </c>
      <c r="R19" s="1591">
        <v>70.2</v>
      </c>
      <c r="S19" s="1591">
        <v>56.4</v>
      </c>
      <c r="T19" s="1591">
        <v>58.3</v>
      </c>
      <c r="U19" s="2708">
        <v>63.7</v>
      </c>
      <c r="V19" s="2713" t="s">
        <v>846</v>
      </c>
      <c r="W19" s="1963"/>
    </row>
    <row r="20" spans="2:24" ht="150" customHeight="1">
      <c r="B20" s="1963"/>
      <c r="C20" s="2710" t="s">
        <v>847</v>
      </c>
      <c r="D20" s="1188">
        <v>493.4</v>
      </c>
      <c r="E20" s="1188">
        <v>878.8</v>
      </c>
      <c r="F20" s="1188">
        <v>840.6</v>
      </c>
      <c r="G20" s="1188">
        <v>813.3</v>
      </c>
      <c r="H20" s="1188">
        <v>775.4</v>
      </c>
      <c r="I20" s="1188">
        <v>861.8</v>
      </c>
      <c r="J20" s="1188">
        <v>822.1</v>
      </c>
      <c r="K20" s="1592">
        <v>719.48</v>
      </c>
      <c r="L20" s="1592">
        <v>587.75199999999995</v>
      </c>
      <c r="M20" s="1592">
        <v>516.64</v>
      </c>
      <c r="N20" s="1592">
        <v>523.4</v>
      </c>
      <c r="O20" s="1592">
        <v>460.4</v>
      </c>
      <c r="P20" s="1592">
        <v>564.29999999999995</v>
      </c>
      <c r="Q20" s="1592">
        <v>568.79999999999995</v>
      </c>
      <c r="R20" s="1592">
        <v>522.79999999999995</v>
      </c>
      <c r="S20" s="1592">
        <v>502.1</v>
      </c>
      <c r="T20" s="1592">
        <v>240.2</v>
      </c>
      <c r="U20" s="2711">
        <v>147.19999999999999</v>
      </c>
      <c r="V20" s="2714" t="s">
        <v>848</v>
      </c>
      <c r="W20" s="1963"/>
    </row>
    <row r="21" spans="2:24" ht="150" customHeight="1">
      <c r="B21" s="1963"/>
      <c r="C21" s="2707" t="s">
        <v>849</v>
      </c>
      <c r="D21" s="1187">
        <v>328.2</v>
      </c>
      <c r="E21" s="1187">
        <v>586.5</v>
      </c>
      <c r="F21" s="1187">
        <v>589.70000000000005</v>
      </c>
      <c r="G21" s="1187">
        <v>554.20000000000005</v>
      </c>
      <c r="H21" s="1187">
        <v>522.20000000000005</v>
      </c>
      <c r="I21" s="1187">
        <v>582.37</v>
      </c>
      <c r="J21" s="1187">
        <v>595.9</v>
      </c>
      <c r="K21" s="1591">
        <v>501.78</v>
      </c>
      <c r="L21" s="1591">
        <v>413.93900000000008</v>
      </c>
      <c r="M21" s="1591">
        <v>382.26</v>
      </c>
      <c r="N21" s="1591">
        <v>365.7</v>
      </c>
      <c r="O21" s="1591">
        <v>333</v>
      </c>
      <c r="P21" s="1591">
        <v>400</v>
      </c>
      <c r="Q21" s="1591">
        <v>400</v>
      </c>
      <c r="R21" s="1591">
        <v>375.4</v>
      </c>
      <c r="S21" s="1591">
        <v>368.8</v>
      </c>
      <c r="T21" s="1591">
        <v>171.3</v>
      </c>
      <c r="U21" s="2708">
        <v>106.6</v>
      </c>
      <c r="V21" s="2713" t="s">
        <v>850</v>
      </c>
      <c r="W21" s="1964"/>
    </row>
    <row r="22" spans="2:24" ht="150" customHeight="1">
      <c r="B22" s="1963"/>
      <c r="C22" s="2710" t="s">
        <v>851</v>
      </c>
      <c r="D22" s="1188">
        <v>136.5</v>
      </c>
      <c r="E22" s="1188">
        <v>133.80000000000001</v>
      </c>
      <c r="F22" s="1188">
        <v>131.9</v>
      </c>
      <c r="G22" s="1188">
        <v>130.1</v>
      </c>
      <c r="H22" s="1188">
        <v>137.80000000000001</v>
      </c>
      <c r="I22" s="1188">
        <v>149</v>
      </c>
      <c r="J22" s="1188">
        <v>152.19999999999999</v>
      </c>
      <c r="K22" s="1592">
        <v>149.1</v>
      </c>
      <c r="L22" s="1592">
        <v>143.5</v>
      </c>
      <c r="M22" s="1592">
        <v>152.9</v>
      </c>
      <c r="N22" s="1592">
        <v>161.4</v>
      </c>
      <c r="O22" s="1592">
        <v>159.1</v>
      </c>
      <c r="P22" s="1592">
        <v>141.19999999999999</v>
      </c>
      <c r="Q22" s="1592">
        <v>157.69999999999999</v>
      </c>
      <c r="R22" s="1592">
        <v>161.4</v>
      </c>
      <c r="S22" s="1592">
        <v>168</v>
      </c>
      <c r="T22" s="1592">
        <v>173</v>
      </c>
      <c r="U22" s="2711">
        <v>179.6</v>
      </c>
      <c r="V22" s="2714" t="s">
        <v>852</v>
      </c>
      <c r="W22" s="1963"/>
    </row>
    <row r="23" spans="2:24" ht="150" customHeight="1">
      <c r="B23" s="1963"/>
      <c r="C23" s="2707" t="s">
        <v>853</v>
      </c>
      <c r="D23" s="1187">
        <v>5.6</v>
      </c>
      <c r="E23" s="1187">
        <v>5.4</v>
      </c>
      <c r="F23" s="1187">
        <v>3</v>
      </c>
      <c r="G23" s="1187">
        <v>1.6</v>
      </c>
      <c r="H23" s="1187">
        <v>2.6</v>
      </c>
      <c r="I23" s="1187">
        <v>5.0999999999999996</v>
      </c>
      <c r="J23" s="1187">
        <v>4.9000000000000004</v>
      </c>
      <c r="K23" s="1591">
        <v>9.1</v>
      </c>
      <c r="L23" s="1591">
        <v>4.3</v>
      </c>
      <c r="M23" s="1591">
        <v>7.9</v>
      </c>
      <c r="N23" s="1591">
        <v>9.6</v>
      </c>
      <c r="O23" s="1591">
        <v>7.4</v>
      </c>
      <c r="P23" s="1591">
        <v>11.4</v>
      </c>
      <c r="Q23" s="1591">
        <v>10.9</v>
      </c>
      <c r="R23" s="1591">
        <v>15.7</v>
      </c>
      <c r="S23" s="1591">
        <v>18.899999999999999</v>
      </c>
      <c r="T23" s="1591">
        <v>14.5</v>
      </c>
      <c r="U23" s="2708">
        <v>4</v>
      </c>
      <c r="V23" s="2713" t="s">
        <v>854</v>
      </c>
      <c r="W23" s="1963"/>
    </row>
    <row r="24" spans="2:24" ht="150" customHeight="1">
      <c r="B24" s="1963"/>
      <c r="C24" s="2710" t="s">
        <v>855</v>
      </c>
      <c r="D24" s="1188">
        <v>4.2</v>
      </c>
      <c r="E24" s="1188">
        <v>4.3499999999999996</v>
      </c>
      <c r="F24" s="1188">
        <v>2</v>
      </c>
      <c r="G24" s="1188">
        <v>0.9</v>
      </c>
      <c r="H24" s="1188">
        <v>1.1000000000000001</v>
      </c>
      <c r="I24" s="1188">
        <v>7.7</v>
      </c>
      <c r="J24" s="1188">
        <v>9.3000000000000007</v>
      </c>
      <c r="K24" s="1592">
        <v>10.5</v>
      </c>
      <c r="L24" s="1592">
        <v>2.4</v>
      </c>
      <c r="M24" s="1592">
        <v>8.3000000000000007</v>
      </c>
      <c r="N24" s="1592">
        <v>10.9</v>
      </c>
      <c r="O24" s="1592">
        <v>12.1</v>
      </c>
      <c r="P24" s="1592">
        <v>13.2</v>
      </c>
      <c r="Q24" s="1592">
        <v>9.6</v>
      </c>
      <c r="R24" s="1592">
        <v>11.4</v>
      </c>
      <c r="S24" s="1592">
        <v>13.4</v>
      </c>
      <c r="T24" s="1592">
        <v>15.9</v>
      </c>
      <c r="U24" s="2711">
        <v>6.4</v>
      </c>
      <c r="V24" s="2712" t="s">
        <v>856</v>
      </c>
      <c r="W24" s="1963"/>
    </row>
    <row r="25" spans="2:24" ht="150" customHeight="1">
      <c r="B25" s="1963"/>
      <c r="C25" s="2717" t="s">
        <v>857</v>
      </c>
      <c r="D25" s="1189">
        <v>5.9</v>
      </c>
      <c r="E25" s="1189">
        <v>3.1</v>
      </c>
      <c r="F25" s="1189">
        <v>5.3</v>
      </c>
      <c r="G25" s="1189">
        <v>8</v>
      </c>
      <c r="H25" s="1189">
        <v>8.9</v>
      </c>
      <c r="I25" s="1189">
        <v>9.6</v>
      </c>
      <c r="J25" s="1189">
        <v>5.2</v>
      </c>
      <c r="K25" s="1593">
        <v>6.3</v>
      </c>
      <c r="L25" s="1593">
        <v>12.5</v>
      </c>
      <c r="M25" s="1593">
        <v>9.8000000000000007</v>
      </c>
      <c r="N25" s="1593">
        <v>8.6</v>
      </c>
      <c r="O25" s="1593">
        <v>2.1</v>
      </c>
      <c r="P25" s="1593">
        <v>17.2</v>
      </c>
      <c r="Q25" s="1593">
        <v>16.100000000000001</v>
      </c>
      <c r="R25" s="1593">
        <v>27.2</v>
      </c>
      <c r="S25" s="1593">
        <v>25.9</v>
      </c>
      <c r="T25" s="1593">
        <v>19.3</v>
      </c>
      <c r="U25" s="2718">
        <v>2.7</v>
      </c>
      <c r="V25" s="2719" t="s">
        <v>858</v>
      </c>
      <c r="W25" s="1963"/>
    </row>
    <row r="26" spans="2:24" ht="28.35" customHeight="1">
      <c r="B26" s="1963"/>
      <c r="C26" s="2720" t="s">
        <v>2622</v>
      </c>
      <c r="D26" s="1174"/>
      <c r="E26" s="1174"/>
      <c r="F26" s="1174"/>
      <c r="G26" s="1174"/>
      <c r="H26" s="1174"/>
      <c r="I26" s="1174"/>
      <c r="J26" s="1174"/>
      <c r="K26" s="2721"/>
      <c r="L26" s="2721"/>
      <c r="M26" s="2721"/>
      <c r="N26" s="2721"/>
      <c r="O26" s="2721"/>
      <c r="P26" s="2721"/>
      <c r="Q26" s="2721"/>
      <c r="R26" s="2721"/>
      <c r="S26" s="2721"/>
      <c r="T26" s="2721"/>
      <c r="U26" s="2721"/>
      <c r="V26" s="2722" t="s">
        <v>2621</v>
      </c>
    </row>
    <row r="27" spans="2:24" ht="28.35" customHeight="1">
      <c r="B27" s="1963"/>
      <c r="C27" s="1174"/>
      <c r="D27" s="1174"/>
      <c r="E27" s="1174"/>
      <c r="F27" s="1174"/>
      <c r="G27" s="1174"/>
      <c r="H27" s="1174"/>
      <c r="I27" s="1174"/>
      <c r="J27" s="1174"/>
      <c r="K27" s="2721"/>
      <c r="L27" s="2721"/>
      <c r="M27" s="2721"/>
      <c r="N27" s="2721"/>
      <c r="O27" s="2721"/>
      <c r="P27" s="2721"/>
      <c r="Q27" s="2721"/>
      <c r="R27" s="2721"/>
      <c r="S27" s="2721"/>
      <c r="T27" s="2721"/>
      <c r="U27" s="2721"/>
      <c r="V27" s="1174"/>
    </row>
    <row r="28" spans="2:24" ht="28.35" customHeight="1">
      <c r="B28" s="1963"/>
      <c r="C28" s="1174"/>
      <c r="D28" s="1174"/>
      <c r="E28" s="1174"/>
      <c r="F28" s="1174"/>
      <c r="G28" s="1174"/>
      <c r="H28" s="1174"/>
      <c r="I28" s="1174"/>
      <c r="J28" s="1174"/>
      <c r="K28" s="2721"/>
      <c r="L28" s="2721"/>
      <c r="M28" s="2721"/>
      <c r="N28" s="2721"/>
      <c r="O28" s="2721"/>
      <c r="P28" s="2721"/>
      <c r="Q28" s="2721"/>
      <c r="R28" s="2721"/>
      <c r="S28" s="2721"/>
      <c r="T28" s="2721"/>
      <c r="U28" s="2721"/>
      <c r="V28" s="1174"/>
    </row>
    <row r="29" spans="2:24" ht="28.35" customHeight="1">
      <c r="B29" s="1963"/>
      <c r="C29" s="1174"/>
      <c r="D29" s="1174"/>
      <c r="E29" s="1174"/>
      <c r="F29" s="1174"/>
      <c r="G29" s="1174"/>
      <c r="H29" s="1174"/>
      <c r="I29" s="1174"/>
      <c r="J29" s="1174"/>
      <c r="K29" s="1174"/>
      <c r="L29" s="1174"/>
      <c r="M29" s="1174"/>
      <c r="N29" s="1174"/>
      <c r="O29" s="1174"/>
      <c r="P29" s="1174"/>
      <c r="Q29" s="1174"/>
      <c r="R29" s="1174"/>
      <c r="S29" s="1174"/>
      <c r="T29" s="1174"/>
      <c r="U29" s="1174"/>
      <c r="V29" s="1174"/>
    </row>
    <row r="30" spans="2:24" ht="28.35" customHeight="1">
      <c r="B30" s="1963"/>
      <c r="C30" s="1174"/>
      <c r="D30" s="1174"/>
      <c r="E30" s="1174"/>
      <c r="F30" s="1174"/>
      <c r="G30" s="1174"/>
      <c r="H30" s="1174"/>
      <c r="I30" s="1174"/>
      <c r="J30" s="1174"/>
      <c r="K30" s="1174"/>
      <c r="L30" s="1174"/>
      <c r="M30" s="1174"/>
      <c r="N30" s="1174"/>
      <c r="O30" s="1174"/>
      <c r="P30" s="1174"/>
      <c r="Q30" s="1174"/>
      <c r="R30" s="1174"/>
      <c r="S30" s="1174"/>
      <c r="T30" s="1174"/>
      <c r="U30" s="1174"/>
      <c r="V30" s="1174"/>
    </row>
    <row r="31" spans="2:24" s="1190" customFormat="1" ht="28.35" customHeight="1">
      <c r="B31" s="2165"/>
    </row>
    <row r="32" spans="2:24" ht="28.35" customHeight="1">
      <c r="B32" s="1963"/>
      <c r="C32" s="1174"/>
      <c r="D32" s="1174"/>
      <c r="E32" s="1174"/>
      <c r="F32" s="1174"/>
      <c r="G32" s="1174"/>
      <c r="H32" s="1174"/>
      <c r="I32" s="1174"/>
      <c r="J32" s="1174"/>
      <c r="K32" s="1174"/>
      <c r="L32" s="1174"/>
      <c r="M32" s="1174"/>
      <c r="N32" s="1174"/>
      <c r="O32" s="1174"/>
      <c r="P32" s="1174"/>
      <c r="Q32" s="1174"/>
      <c r="R32" s="1174"/>
      <c r="S32" s="1174"/>
      <c r="T32" s="1174"/>
      <c r="U32" s="1174"/>
      <c r="V32" s="1174"/>
    </row>
    <row r="33" spans="2:22" ht="28.35" customHeight="1">
      <c r="B33" s="1963"/>
      <c r="C33" s="1174"/>
      <c r="D33" s="1174"/>
      <c r="E33" s="1174"/>
      <c r="F33" s="1174"/>
      <c r="G33" s="1174"/>
      <c r="H33" s="1174"/>
      <c r="I33" s="1174"/>
      <c r="J33" s="1174"/>
      <c r="K33" s="1174"/>
      <c r="L33" s="1174"/>
      <c r="M33" s="1174"/>
      <c r="N33" s="1174"/>
      <c r="O33" s="1174"/>
      <c r="P33" s="1174"/>
      <c r="Q33" s="1174"/>
      <c r="R33" s="1174"/>
      <c r="S33" s="1174"/>
      <c r="T33" s="1174"/>
      <c r="U33" s="1174"/>
      <c r="V33" s="1174"/>
    </row>
    <row r="34" spans="2:22" s="1190" customFormat="1" ht="28.35" customHeight="1">
      <c r="B34" s="2165"/>
    </row>
    <row r="35" spans="2:22" ht="28.35" customHeight="1">
      <c r="B35" s="1963"/>
      <c r="C35" s="1174"/>
      <c r="D35" s="1174"/>
      <c r="E35" s="1174"/>
      <c r="F35" s="1174"/>
      <c r="G35" s="1174"/>
      <c r="H35" s="1174"/>
      <c r="I35" s="1174"/>
      <c r="J35" s="1174"/>
      <c r="K35" s="1174"/>
      <c r="L35" s="1174"/>
      <c r="M35" s="1174"/>
      <c r="N35" s="1174"/>
      <c r="O35" s="1174"/>
      <c r="P35" s="1174"/>
      <c r="Q35" s="1174"/>
      <c r="R35" s="1174"/>
      <c r="S35" s="1174"/>
      <c r="T35" s="1174"/>
      <c r="U35" s="1174"/>
      <c r="V35" s="1174"/>
    </row>
    <row r="36" spans="2:22" ht="28.35" customHeight="1">
      <c r="B36" s="1963"/>
      <c r="C36" s="1174"/>
      <c r="D36" s="1174"/>
      <c r="E36" s="1174"/>
      <c r="F36" s="1174"/>
      <c r="G36" s="1174"/>
      <c r="H36" s="1174"/>
      <c r="I36" s="1174"/>
      <c r="J36" s="1174"/>
      <c r="K36" s="1174"/>
      <c r="L36" s="1174"/>
      <c r="M36" s="1174"/>
      <c r="N36" s="1174"/>
      <c r="O36" s="1174"/>
      <c r="P36" s="1174"/>
      <c r="Q36" s="1174"/>
      <c r="R36" s="1174"/>
      <c r="S36" s="1174"/>
      <c r="T36" s="1174"/>
      <c r="U36" s="1174"/>
      <c r="V36" s="1174"/>
    </row>
    <row r="37" spans="2:22" ht="28.35" customHeight="1">
      <c r="B37" s="1963"/>
      <c r="C37" s="1174"/>
      <c r="D37" s="1174"/>
      <c r="E37" s="1174"/>
      <c r="F37" s="1174"/>
      <c r="G37" s="1174"/>
      <c r="H37" s="1174"/>
      <c r="I37" s="1174"/>
      <c r="J37" s="1174"/>
      <c r="K37" s="1174"/>
      <c r="L37" s="1174"/>
      <c r="M37" s="1174"/>
      <c r="N37" s="1174"/>
      <c r="O37" s="1174"/>
      <c r="P37" s="1174"/>
      <c r="Q37" s="1174"/>
      <c r="R37" s="1174"/>
      <c r="S37" s="1174"/>
      <c r="T37" s="1174"/>
      <c r="U37" s="1174"/>
      <c r="V37" s="1174"/>
    </row>
    <row r="38" spans="2:22" ht="28.35" customHeight="1">
      <c r="B38" s="1963"/>
      <c r="C38" s="1174"/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4"/>
      <c r="O38" s="1174"/>
      <c r="P38" s="1174"/>
      <c r="Q38" s="1174"/>
      <c r="R38" s="1174"/>
      <c r="S38" s="1174"/>
      <c r="T38" s="1174"/>
      <c r="U38" s="1174"/>
      <c r="V38" s="1174"/>
    </row>
    <row r="39" spans="2:22" s="1190" customFormat="1" ht="28.35" customHeight="1">
      <c r="B39" s="2165"/>
    </row>
    <row r="40" spans="2:22" s="1190" customFormat="1" ht="28.35" customHeight="1">
      <c r="B40" s="2165"/>
    </row>
    <row r="41" spans="2:22" s="1190" customFormat="1" ht="28.35" customHeight="1">
      <c r="B41" s="2165"/>
    </row>
    <row r="42" spans="2:22" s="1190" customFormat="1" ht="28.35" customHeight="1"/>
    <row r="43" spans="2:22" ht="28.35" customHeight="1">
      <c r="C43" s="1174"/>
      <c r="D43" s="1174"/>
      <c r="E43" s="1174"/>
      <c r="F43" s="1174"/>
      <c r="G43" s="1174"/>
      <c r="H43" s="1174"/>
      <c r="I43" s="1174"/>
      <c r="J43" s="1174"/>
      <c r="K43" s="1174"/>
      <c r="L43" s="1174"/>
      <c r="M43" s="1174"/>
      <c r="N43" s="1174"/>
      <c r="O43" s="1174"/>
      <c r="P43" s="1174"/>
      <c r="Q43" s="1174"/>
      <c r="R43" s="1174"/>
      <c r="S43" s="1174"/>
      <c r="T43" s="1174"/>
      <c r="U43" s="1174"/>
      <c r="V43" s="1174"/>
    </row>
    <row r="44" spans="2:22" ht="28.35" customHeight="1">
      <c r="C44" s="1174"/>
      <c r="D44" s="1174"/>
      <c r="E44" s="1174"/>
      <c r="F44" s="1174"/>
      <c r="G44" s="1174"/>
      <c r="H44" s="1174"/>
      <c r="I44" s="1174"/>
      <c r="J44" s="1174"/>
      <c r="K44" s="1174"/>
      <c r="L44" s="1174"/>
      <c r="M44" s="1174"/>
      <c r="N44" s="1174"/>
      <c r="O44" s="1174"/>
      <c r="P44" s="1174"/>
      <c r="Q44" s="1174"/>
      <c r="R44" s="1174"/>
      <c r="S44" s="1174"/>
      <c r="T44" s="1174"/>
      <c r="U44" s="1174"/>
      <c r="V44" s="1174"/>
    </row>
    <row r="45" spans="2:22" ht="28.35" customHeight="1">
      <c r="C45" s="1174"/>
      <c r="D45" s="1174"/>
      <c r="E45" s="1174"/>
      <c r="F45" s="1174"/>
      <c r="G45" s="1174"/>
      <c r="H45" s="1174"/>
      <c r="I45" s="1174"/>
      <c r="J45" s="1174"/>
      <c r="K45" s="1174"/>
      <c r="L45" s="1174"/>
      <c r="M45" s="1174"/>
      <c r="N45" s="1174"/>
      <c r="O45" s="1174"/>
      <c r="P45" s="1174"/>
      <c r="Q45" s="1174"/>
      <c r="R45" s="1174"/>
      <c r="S45" s="1174"/>
      <c r="T45" s="1174"/>
      <c r="U45" s="1174"/>
      <c r="V45" s="1174"/>
    </row>
    <row r="46" spans="2:22" ht="28.35" customHeight="1">
      <c r="B46" s="1801"/>
      <c r="C46" s="1174"/>
      <c r="D46" s="1174"/>
      <c r="E46" s="1174"/>
      <c r="F46" s="1174"/>
      <c r="G46" s="1174"/>
      <c r="H46" s="1174"/>
      <c r="I46" s="1174"/>
      <c r="J46" s="1174"/>
      <c r="K46" s="1174"/>
      <c r="L46" s="1174"/>
      <c r="M46" s="1174"/>
      <c r="N46" s="1174"/>
      <c r="O46" s="1174"/>
      <c r="P46" s="1174"/>
      <c r="Q46" s="1174"/>
      <c r="R46" s="1174"/>
      <c r="S46" s="1174"/>
      <c r="T46" s="1174"/>
      <c r="U46" s="1174"/>
      <c r="V46" s="1174"/>
    </row>
    <row r="47" spans="2:22" ht="28.35" customHeight="1">
      <c r="C47" s="1174"/>
      <c r="D47" s="1174"/>
      <c r="E47" s="1174"/>
      <c r="F47" s="1174"/>
      <c r="G47" s="1174"/>
      <c r="H47" s="1174"/>
      <c r="I47" s="1174"/>
      <c r="J47" s="1174"/>
      <c r="K47" s="1174"/>
      <c r="L47" s="1174"/>
      <c r="M47" s="1174"/>
      <c r="N47" s="1174"/>
      <c r="O47" s="1174"/>
      <c r="P47" s="1174"/>
      <c r="Q47" s="1174"/>
      <c r="R47" s="1174"/>
      <c r="S47" s="1174"/>
      <c r="T47" s="1174"/>
      <c r="U47" s="1174"/>
      <c r="V47" s="1174"/>
    </row>
    <row r="48" spans="2:22" s="1191" customFormat="1" ht="28.35" customHeight="1">
      <c r="B48" s="2723"/>
    </row>
    <row r="49" spans="3:23" ht="28.35" customHeight="1">
      <c r="C49" s="1174"/>
      <c r="D49" s="1174"/>
      <c r="E49" s="1174"/>
      <c r="F49" s="1174"/>
      <c r="G49" s="1174"/>
      <c r="H49" s="1174"/>
      <c r="I49" s="1174"/>
      <c r="J49" s="1174"/>
      <c r="K49" s="1174"/>
      <c r="L49" s="1174"/>
      <c r="M49" s="1174"/>
      <c r="N49" s="1174"/>
      <c r="O49" s="1174"/>
      <c r="P49" s="1174"/>
      <c r="Q49" s="1174"/>
      <c r="R49" s="1174"/>
      <c r="S49" s="1174"/>
      <c r="T49" s="1174"/>
      <c r="U49" s="1174"/>
      <c r="V49" s="1174"/>
    </row>
    <row r="50" spans="3:23" ht="28.35" customHeight="1">
      <c r="M50" s="1174"/>
      <c r="N50" s="1174"/>
      <c r="O50" s="1174"/>
      <c r="P50" s="1174"/>
      <c r="V50" s="1174"/>
    </row>
    <row r="51" spans="3:23" ht="28.35" customHeight="1">
      <c r="W51" s="1963"/>
    </row>
    <row r="52" spans="3:23">
      <c r="V52" s="1843"/>
      <c r="W52" s="1963"/>
    </row>
    <row r="53" spans="3:23">
      <c r="V53" s="1843"/>
      <c r="W53" s="1963"/>
    </row>
    <row r="54" spans="3:23">
      <c r="V54" s="1843"/>
      <c r="W54" s="1963"/>
    </row>
    <row r="55" spans="3:23">
      <c r="V55" s="1843"/>
      <c r="W55" s="1963"/>
    </row>
    <row r="56" spans="3:23">
      <c r="V56" s="1843"/>
      <c r="W56" s="1963"/>
    </row>
  </sheetData>
  <mergeCells count="21">
    <mergeCell ref="C3:V3"/>
    <mergeCell ref="C4:V4"/>
    <mergeCell ref="D7:D11"/>
    <mergeCell ref="E7:E11"/>
    <mergeCell ref="F7:F11"/>
    <mergeCell ref="S7:S11"/>
    <mergeCell ref="K7:K11"/>
    <mergeCell ref="L7:L11"/>
    <mergeCell ref="M7:M11"/>
    <mergeCell ref="N7:N11"/>
    <mergeCell ref="C7:C11"/>
    <mergeCell ref="T7:T11"/>
    <mergeCell ref="U7:U11"/>
    <mergeCell ref="J7:J11"/>
    <mergeCell ref="H7:H11"/>
    <mergeCell ref="I7:I11"/>
    <mergeCell ref="G7:G11"/>
    <mergeCell ref="O7:O11"/>
    <mergeCell ref="P7:P11"/>
    <mergeCell ref="Q7:Q11"/>
    <mergeCell ref="R7:R11"/>
  </mergeCells>
  <printOptions horizontalCentered="1" verticalCentered="1"/>
  <pageMargins left="0.62992125984251968" right="0.62992125984251968" top="0" bottom="1.7716535433070868" header="0" footer="0.51181102362204722"/>
  <pageSetup paperSize="9" scale="26" orientation="portrait" r:id="rId1"/>
  <headerFooter alignWithMargins="0">
    <oddFooter>&amp;C&amp;"+,Regular"&amp;22-30-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51"/>
  <sheetViews>
    <sheetView zoomScale="75" zoomScaleNormal="75" workbookViewId="0">
      <selection sqref="A1:XFD1048576"/>
    </sheetView>
  </sheetViews>
  <sheetFormatPr defaultColWidth="11.42578125" defaultRowHeight="20.25"/>
  <cols>
    <col min="1" max="1" width="22.5703125" style="1174" customWidth="1"/>
    <col min="2" max="2" width="28.7109375" style="1174" customWidth="1"/>
    <col min="3" max="6" width="28.7109375" style="1192" customWidth="1"/>
    <col min="7" max="8" width="16.7109375" style="1192" customWidth="1"/>
    <col min="9" max="10" width="14.7109375" style="1192" customWidth="1"/>
    <col min="11" max="11" width="11.5703125" style="2259" customWidth="1"/>
    <col min="12" max="12" width="9.5703125" style="1192" customWidth="1"/>
    <col min="13" max="13" width="1.7109375" style="1192" customWidth="1"/>
    <col min="14" max="16384" width="11.42578125" style="1174"/>
  </cols>
  <sheetData>
    <row r="1" spans="2:21" ht="28.35" customHeight="1">
      <c r="D1" s="1760"/>
      <c r="E1" s="1760"/>
      <c r="F1" s="1760"/>
      <c r="G1" s="1760"/>
      <c r="H1" s="1760"/>
      <c r="I1" s="1760"/>
      <c r="J1" s="1760"/>
      <c r="L1" s="1760"/>
    </row>
    <row r="2" spans="2:21" ht="28.35" customHeight="1">
      <c r="D2" s="2724"/>
      <c r="E2" s="2724"/>
      <c r="F2" s="1760"/>
      <c r="G2" s="2724"/>
      <c r="H2" s="1760"/>
      <c r="I2" s="1760"/>
      <c r="J2" s="1760"/>
      <c r="L2" s="1760"/>
    </row>
    <row r="3" spans="2:21" s="1845" customFormat="1" ht="28.35" customHeight="1">
      <c r="B3" s="4856" t="s">
        <v>859</v>
      </c>
      <c r="C3" s="4856"/>
      <c r="D3" s="4856"/>
      <c r="E3" s="4856"/>
      <c r="F3" s="4856"/>
      <c r="G3" s="4856"/>
      <c r="H3" s="4856"/>
      <c r="I3" s="4856"/>
      <c r="J3" s="4856"/>
      <c r="K3" s="4856"/>
      <c r="L3" s="4856"/>
      <c r="M3" s="4856"/>
      <c r="P3" s="2725"/>
      <c r="Q3" s="2725"/>
      <c r="R3" s="2725"/>
      <c r="S3" s="2725"/>
      <c r="T3" s="2725"/>
      <c r="U3" s="2725"/>
    </row>
    <row r="4" spans="2:21" s="2498" customFormat="1" ht="28.35" customHeight="1">
      <c r="B4" s="4713" t="s">
        <v>860</v>
      </c>
      <c r="C4" s="4713"/>
      <c r="D4" s="4713"/>
      <c r="E4" s="4713"/>
      <c r="F4" s="4713"/>
      <c r="G4" s="4713"/>
      <c r="H4" s="4713"/>
      <c r="I4" s="4713"/>
      <c r="J4" s="4713"/>
      <c r="K4" s="4713"/>
      <c r="L4" s="4713"/>
      <c r="M4" s="2726"/>
    </row>
    <row r="5" spans="2:21" s="1857" customFormat="1" ht="17.100000000000001" customHeight="1">
      <c r="B5" s="1977" t="s">
        <v>90</v>
      </c>
      <c r="C5" s="2083"/>
      <c r="D5" s="1318"/>
      <c r="E5" s="1977"/>
      <c r="F5" s="1852"/>
      <c r="G5" s="1852"/>
      <c r="H5" s="1852"/>
      <c r="I5" s="1852"/>
      <c r="J5" s="1852"/>
      <c r="K5" s="2277"/>
      <c r="L5" s="1990" t="s">
        <v>91</v>
      </c>
      <c r="M5" s="1838"/>
    </row>
    <row r="6" spans="2:21" ht="4.3499999999999996" customHeight="1">
      <c r="B6" s="2378"/>
      <c r="C6" s="1762"/>
      <c r="D6" s="1858"/>
      <c r="E6" s="1858"/>
      <c r="F6" s="1858"/>
      <c r="G6" s="1858"/>
      <c r="H6" s="2727"/>
      <c r="I6" s="1858"/>
      <c r="J6" s="1858"/>
      <c r="K6" s="2314"/>
      <c r="L6" s="2314"/>
      <c r="M6" s="1762"/>
      <c r="N6" s="1801"/>
    </row>
    <row r="7" spans="2:21" ht="36.950000000000003" customHeight="1">
      <c r="B7" s="4399" t="s">
        <v>861</v>
      </c>
      <c r="C7" s="4402" t="s">
        <v>861</v>
      </c>
      <c r="D7" s="4770" t="s">
        <v>862</v>
      </c>
      <c r="E7" s="4671"/>
      <c r="F7" s="4686"/>
      <c r="G7" s="4671" t="s">
        <v>2913</v>
      </c>
      <c r="H7" s="4671"/>
      <c r="I7" s="4671"/>
      <c r="J7" s="4686"/>
      <c r="K7" s="4397"/>
      <c r="L7" s="2728"/>
      <c r="M7" s="2729"/>
    </row>
    <row r="8" spans="2:21" ht="29.1" customHeight="1">
      <c r="B8" s="4400" t="s">
        <v>863</v>
      </c>
      <c r="C8" s="2730" t="s">
        <v>864</v>
      </c>
      <c r="D8" s="4623" t="s">
        <v>865</v>
      </c>
      <c r="E8" s="4624"/>
      <c r="F8" s="4679"/>
      <c r="G8" s="4672" t="s">
        <v>866</v>
      </c>
      <c r="H8" s="4672"/>
      <c r="I8" s="4672"/>
      <c r="J8" s="4685"/>
      <c r="K8" s="4397"/>
      <c r="L8" s="2728"/>
      <c r="M8" s="2729"/>
    </row>
    <row r="9" spans="2:21" ht="29.1" customHeight="1">
      <c r="B9" s="2731"/>
      <c r="C9" s="2730"/>
      <c r="D9" s="2060" t="s">
        <v>867</v>
      </c>
      <c r="E9" s="2060" t="s">
        <v>868</v>
      </c>
      <c r="F9" s="1246"/>
      <c r="G9" s="2060" t="s">
        <v>2914</v>
      </c>
      <c r="H9" s="2060" t="s">
        <v>869</v>
      </c>
      <c r="I9" s="2732" t="s">
        <v>8</v>
      </c>
      <c r="J9" s="2733"/>
      <c r="K9" s="4760"/>
      <c r="L9" s="4760"/>
      <c r="M9" s="4857"/>
    </row>
    <row r="10" spans="2:21" ht="26.1" customHeight="1">
      <c r="B10" s="4400" t="s">
        <v>870</v>
      </c>
      <c r="C10" s="4382" t="s">
        <v>870</v>
      </c>
      <c r="D10" s="4382" t="s">
        <v>871</v>
      </c>
      <c r="E10" s="4382" t="s">
        <v>872</v>
      </c>
      <c r="F10" s="1242" t="s">
        <v>170</v>
      </c>
      <c r="G10" s="4382" t="s">
        <v>873</v>
      </c>
      <c r="H10" s="4382" t="s">
        <v>364</v>
      </c>
      <c r="I10" s="4825" t="s">
        <v>170</v>
      </c>
      <c r="J10" s="4822"/>
      <c r="K10" s="4825"/>
      <c r="L10" s="4825"/>
      <c r="M10" s="4858"/>
    </row>
    <row r="11" spans="2:21" ht="26.25" customHeight="1">
      <c r="B11" s="4400" t="s">
        <v>874</v>
      </c>
      <c r="C11" s="2054" t="s">
        <v>875</v>
      </c>
      <c r="D11" s="4382" t="s">
        <v>58</v>
      </c>
      <c r="E11" s="4382" t="s">
        <v>876</v>
      </c>
      <c r="F11" s="1242"/>
      <c r="G11" s="4382" t="s">
        <v>877</v>
      </c>
      <c r="H11" s="4382" t="s">
        <v>457</v>
      </c>
      <c r="I11" s="1232"/>
      <c r="J11" s="1233"/>
      <c r="K11" s="4397"/>
      <c r="L11" s="2734"/>
      <c r="M11" s="2729"/>
    </row>
    <row r="12" spans="2:21" ht="26.25" customHeight="1">
      <c r="B12" s="2735" t="s">
        <v>878</v>
      </c>
      <c r="C12" s="4403" t="s">
        <v>879</v>
      </c>
      <c r="D12" s="4403" t="s">
        <v>880</v>
      </c>
      <c r="E12" s="4403" t="s">
        <v>880</v>
      </c>
      <c r="F12" s="2736" t="s">
        <v>187</v>
      </c>
      <c r="G12" s="4403" t="s">
        <v>881</v>
      </c>
      <c r="H12" s="4403" t="s">
        <v>882</v>
      </c>
      <c r="I12" s="4859" t="s">
        <v>187</v>
      </c>
      <c r="J12" s="4860"/>
      <c r="K12" s="4421"/>
      <c r="L12" s="2737"/>
      <c r="M12" s="2738"/>
    </row>
    <row r="13" spans="2:21" ht="25.5" customHeight="1">
      <c r="B13" s="2739">
        <f>H13-F13</f>
        <v>-19.7</v>
      </c>
      <c r="C13" s="2740">
        <f>I13-F13</f>
        <v>-4.2999999999999972</v>
      </c>
      <c r="D13" s="2741">
        <v>9</v>
      </c>
      <c r="E13" s="2741">
        <v>34.5</v>
      </c>
      <c r="F13" s="2742">
        <f>D13+E13</f>
        <v>43.5</v>
      </c>
      <c r="G13" s="1444">
        <v>15.4</v>
      </c>
      <c r="H13" s="1444">
        <v>23.8</v>
      </c>
      <c r="I13" s="4861">
        <f>H13+G13</f>
        <v>39.200000000000003</v>
      </c>
      <c r="J13" s="4862"/>
      <c r="K13" s="4863" t="s">
        <v>883</v>
      </c>
      <c r="L13" s="4863"/>
      <c r="M13" s="4864"/>
    </row>
    <row r="14" spans="2:21" ht="25.5" customHeight="1">
      <c r="B14" s="1438">
        <f t="shared" ref="B14:B61" si="0">H14-F14</f>
        <v>-20.3</v>
      </c>
      <c r="C14" s="1439">
        <f t="shared" ref="C14:C60" si="1">I14-F14</f>
        <v>-5</v>
      </c>
      <c r="D14" s="1440">
        <v>11.2</v>
      </c>
      <c r="E14" s="1440">
        <v>35.799999999999997</v>
      </c>
      <c r="F14" s="1441">
        <f>D14+E14</f>
        <v>47</v>
      </c>
      <c r="G14" s="1439">
        <v>15.3</v>
      </c>
      <c r="H14" s="1439">
        <v>26.7</v>
      </c>
      <c r="I14" s="4852">
        <f t="shared" ref="I14:I59" si="2">H14+G14</f>
        <v>42</v>
      </c>
      <c r="J14" s="4853"/>
      <c r="K14" s="4854" t="s">
        <v>884</v>
      </c>
      <c r="L14" s="4854"/>
      <c r="M14" s="4855"/>
    </row>
    <row r="15" spans="2:21" ht="25.5" customHeight="1">
      <c r="B15" s="2739">
        <f t="shared" si="0"/>
        <v>-15.3</v>
      </c>
      <c r="C15" s="2740">
        <f t="shared" si="1"/>
        <v>-5.3999999999999986</v>
      </c>
      <c r="D15" s="2741">
        <v>10.4</v>
      </c>
      <c r="E15" s="2741">
        <v>28.2</v>
      </c>
      <c r="F15" s="2742">
        <f t="shared" ref="F15:F38" si="3">D15+E15</f>
        <v>38.6</v>
      </c>
      <c r="G15" s="1444">
        <v>9.9</v>
      </c>
      <c r="H15" s="1444">
        <v>23.3</v>
      </c>
      <c r="I15" s="4865">
        <f t="shared" si="2"/>
        <v>33.200000000000003</v>
      </c>
      <c r="J15" s="4866"/>
      <c r="K15" s="4863" t="s">
        <v>885</v>
      </c>
      <c r="L15" s="4863"/>
      <c r="M15" s="4864"/>
    </row>
    <row r="16" spans="2:21" ht="25.5" customHeight="1">
      <c r="B16" s="1438">
        <f t="shared" si="0"/>
        <v>-40.599999999999994</v>
      </c>
      <c r="C16" s="1439">
        <f t="shared" si="1"/>
        <v>-21.299999999999997</v>
      </c>
      <c r="D16" s="1440">
        <v>21.5</v>
      </c>
      <c r="E16" s="1440">
        <v>44.7</v>
      </c>
      <c r="F16" s="1441">
        <v>66.099999999999994</v>
      </c>
      <c r="G16" s="1439">
        <v>19.3</v>
      </c>
      <c r="H16" s="1439">
        <v>25.5</v>
      </c>
      <c r="I16" s="4852">
        <f t="shared" si="2"/>
        <v>44.8</v>
      </c>
      <c r="J16" s="4853"/>
      <c r="K16" s="4854">
        <v>1967</v>
      </c>
      <c r="L16" s="4854"/>
      <c r="M16" s="4855"/>
    </row>
    <row r="17" spans="2:13" ht="25.5" customHeight="1">
      <c r="B17" s="2739">
        <f t="shared" si="0"/>
        <v>-52.2</v>
      </c>
      <c r="C17" s="2740">
        <f t="shared" si="1"/>
        <v>-12.299999999999997</v>
      </c>
      <c r="D17" s="2741">
        <v>21.3</v>
      </c>
      <c r="E17" s="2741">
        <v>57.2</v>
      </c>
      <c r="F17" s="2742">
        <f t="shared" si="3"/>
        <v>78.5</v>
      </c>
      <c r="G17" s="1444">
        <v>39.9</v>
      </c>
      <c r="H17" s="1444">
        <v>26.3</v>
      </c>
      <c r="I17" s="4865">
        <f t="shared" si="2"/>
        <v>66.2</v>
      </c>
      <c r="J17" s="4866"/>
      <c r="K17" s="4863">
        <v>1968</v>
      </c>
      <c r="L17" s="4863"/>
      <c r="M17" s="4864"/>
    </row>
    <row r="18" spans="2:13" ht="25.5" customHeight="1">
      <c r="B18" s="1438">
        <f t="shared" si="0"/>
        <v>-55.099999999999994</v>
      </c>
      <c r="C18" s="1439">
        <f t="shared" si="1"/>
        <v>-16.699999999999989</v>
      </c>
      <c r="D18" s="1440">
        <v>22.3</v>
      </c>
      <c r="E18" s="1440">
        <v>65.2</v>
      </c>
      <c r="F18" s="1441">
        <v>87.6</v>
      </c>
      <c r="G18" s="1439">
        <v>38.4</v>
      </c>
      <c r="H18" s="1439">
        <v>32.5</v>
      </c>
      <c r="I18" s="4852">
        <f t="shared" si="2"/>
        <v>70.900000000000006</v>
      </c>
      <c r="J18" s="4853"/>
      <c r="K18" s="4854">
        <v>1969</v>
      </c>
      <c r="L18" s="4854">
        <v>1969</v>
      </c>
      <c r="M18" s="4855"/>
    </row>
    <row r="19" spans="2:13" ht="25.5" customHeight="1">
      <c r="B19" s="2739">
        <f t="shared" si="0"/>
        <v>-49.5</v>
      </c>
      <c r="C19" s="2740">
        <f t="shared" si="1"/>
        <v>-14.099999999999994</v>
      </c>
      <c r="D19" s="2741">
        <v>20.8</v>
      </c>
      <c r="E19" s="2741">
        <v>59</v>
      </c>
      <c r="F19" s="2742">
        <f t="shared" si="3"/>
        <v>79.8</v>
      </c>
      <c r="G19" s="1444">
        <v>35.4</v>
      </c>
      <c r="H19" s="1444">
        <v>30.3</v>
      </c>
      <c r="I19" s="4865">
        <f t="shared" si="2"/>
        <v>65.7</v>
      </c>
      <c r="J19" s="4866"/>
      <c r="K19" s="4863">
        <v>1970</v>
      </c>
      <c r="L19" s="4863">
        <v>1970</v>
      </c>
      <c r="M19" s="4864"/>
    </row>
    <row r="20" spans="2:13" ht="25.5" customHeight="1">
      <c r="B20" s="1438">
        <f t="shared" si="0"/>
        <v>-40.700000000000003</v>
      </c>
      <c r="C20" s="1439">
        <f t="shared" si="1"/>
        <v>-3.5</v>
      </c>
      <c r="D20" s="1440">
        <v>15.8</v>
      </c>
      <c r="E20" s="1440">
        <v>60.7</v>
      </c>
      <c r="F20" s="1441">
        <f t="shared" si="3"/>
        <v>76.5</v>
      </c>
      <c r="G20" s="1439">
        <v>37.200000000000003</v>
      </c>
      <c r="H20" s="1439">
        <v>35.799999999999997</v>
      </c>
      <c r="I20" s="4852">
        <f t="shared" si="2"/>
        <v>73</v>
      </c>
      <c r="J20" s="4853"/>
      <c r="K20" s="4854">
        <v>1971</v>
      </c>
      <c r="L20" s="4854">
        <v>1971</v>
      </c>
      <c r="M20" s="4855"/>
    </row>
    <row r="21" spans="2:13" ht="25.5" customHeight="1">
      <c r="B21" s="2739">
        <f t="shared" si="0"/>
        <v>-53.300000000000004</v>
      </c>
      <c r="C21" s="2740">
        <f t="shared" si="1"/>
        <v>-8.9000000000000057</v>
      </c>
      <c r="D21" s="2741">
        <v>25.5</v>
      </c>
      <c r="E21" s="2741">
        <v>70.5</v>
      </c>
      <c r="F21" s="2742">
        <v>95.9</v>
      </c>
      <c r="G21" s="1444">
        <v>44.5</v>
      </c>
      <c r="H21" s="1444">
        <v>42.6</v>
      </c>
      <c r="I21" s="4865">
        <v>87</v>
      </c>
      <c r="J21" s="4866"/>
      <c r="K21" s="4863">
        <v>1972</v>
      </c>
      <c r="L21" s="4863">
        <v>1972</v>
      </c>
      <c r="M21" s="4864"/>
    </row>
    <row r="22" spans="2:13" ht="25.5" customHeight="1">
      <c r="B22" s="1438">
        <f t="shared" si="0"/>
        <v>-63.999999999999986</v>
      </c>
      <c r="C22" s="1439">
        <f t="shared" si="1"/>
        <v>-20.399999999999977</v>
      </c>
      <c r="D22" s="1440">
        <v>31.6</v>
      </c>
      <c r="E22" s="1440">
        <v>78.599999999999994</v>
      </c>
      <c r="F22" s="1441">
        <f t="shared" si="3"/>
        <v>110.19999999999999</v>
      </c>
      <c r="G22" s="1439">
        <v>43.6</v>
      </c>
      <c r="H22" s="1439">
        <v>46.2</v>
      </c>
      <c r="I22" s="4852">
        <f t="shared" si="2"/>
        <v>89.800000000000011</v>
      </c>
      <c r="J22" s="4853"/>
      <c r="K22" s="4854">
        <v>1973</v>
      </c>
      <c r="L22" s="4854">
        <v>1973</v>
      </c>
      <c r="M22" s="4855"/>
    </row>
    <row r="23" spans="2:13" ht="25.5" customHeight="1">
      <c r="B23" s="2739">
        <f t="shared" si="0"/>
        <v>-73.399999999999991</v>
      </c>
      <c r="C23" s="2740">
        <f t="shared" si="1"/>
        <v>-15.699999999999989</v>
      </c>
      <c r="D23" s="2741">
        <v>35.5</v>
      </c>
      <c r="E23" s="2741">
        <v>103.6</v>
      </c>
      <c r="F23" s="2742">
        <f t="shared" si="3"/>
        <v>139.1</v>
      </c>
      <c r="G23" s="1444">
        <v>57.7</v>
      </c>
      <c r="H23" s="1444">
        <v>65.7</v>
      </c>
      <c r="I23" s="4865">
        <f t="shared" si="2"/>
        <v>123.4</v>
      </c>
      <c r="J23" s="4866"/>
      <c r="K23" s="4863">
        <v>1974</v>
      </c>
      <c r="L23" s="4863">
        <v>1974</v>
      </c>
      <c r="M23" s="4864"/>
    </row>
    <row r="24" spans="2:13" ht="25.5" customHeight="1">
      <c r="B24" s="1438">
        <f t="shared" si="0"/>
        <v>-112.00000000000003</v>
      </c>
      <c r="C24" s="1439">
        <f t="shared" si="1"/>
        <v>-11.400000000000034</v>
      </c>
      <c r="D24" s="1440">
        <v>68.900000000000006</v>
      </c>
      <c r="E24" s="1440">
        <v>125.7</v>
      </c>
      <c r="F24" s="1441">
        <f t="shared" si="3"/>
        <v>194.60000000000002</v>
      </c>
      <c r="G24" s="1439">
        <v>100.6</v>
      </c>
      <c r="H24" s="1439">
        <v>82.6</v>
      </c>
      <c r="I24" s="4852">
        <f t="shared" si="2"/>
        <v>183.2</v>
      </c>
      <c r="J24" s="4853"/>
      <c r="K24" s="4854">
        <v>1975</v>
      </c>
      <c r="L24" s="4854">
        <v>1975</v>
      </c>
      <c r="M24" s="4855"/>
    </row>
    <row r="25" spans="2:13" ht="25.5" customHeight="1">
      <c r="B25" s="2739">
        <f t="shared" si="0"/>
        <v>-147.6</v>
      </c>
      <c r="C25" s="2740">
        <f t="shared" si="1"/>
        <v>-81.399999999999977</v>
      </c>
      <c r="D25" s="2741">
        <v>69.3</v>
      </c>
      <c r="E25" s="2741">
        <v>185.9</v>
      </c>
      <c r="F25" s="2742">
        <f t="shared" si="3"/>
        <v>255.2</v>
      </c>
      <c r="G25" s="1444">
        <v>66.2</v>
      </c>
      <c r="H25" s="1444">
        <v>107.6</v>
      </c>
      <c r="I25" s="4865">
        <f t="shared" si="2"/>
        <v>173.8</v>
      </c>
      <c r="J25" s="4866"/>
      <c r="K25" s="4863">
        <v>1976</v>
      </c>
      <c r="L25" s="4863">
        <v>1976</v>
      </c>
      <c r="M25" s="4864"/>
    </row>
    <row r="26" spans="2:13" ht="25.5" customHeight="1">
      <c r="B26" s="1438">
        <f t="shared" si="0"/>
        <v>-183.3</v>
      </c>
      <c r="C26" s="1439">
        <f t="shared" si="1"/>
        <v>-61</v>
      </c>
      <c r="D26" s="1440">
        <v>129.9</v>
      </c>
      <c r="E26" s="1440">
        <v>195.6</v>
      </c>
      <c r="F26" s="1441">
        <f t="shared" si="3"/>
        <v>325.5</v>
      </c>
      <c r="G26" s="1439">
        <v>122.2</v>
      </c>
      <c r="H26" s="1439">
        <v>142.19999999999999</v>
      </c>
      <c r="I26" s="4852">
        <v>264.5</v>
      </c>
      <c r="J26" s="4853"/>
      <c r="K26" s="4854">
        <v>1977</v>
      </c>
      <c r="L26" s="4854">
        <v>1977</v>
      </c>
      <c r="M26" s="4855"/>
    </row>
    <row r="27" spans="2:13" ht="25.5" customHeight="1">
      <c r="B27" s="2739">
        <f t="shared" si="0"/>
        <v>-192.5</v>
      </c>
      <c r="C27" s="2740">
        <f t="shared" si="1"/>
        <v>-110.80000000000001</v>
      </c>
      <c r="D27" s="2741">
        <v>138.1</v>
      </c>
      <c r="E27" s="2741">
        <v>212.9</v>
      </c>
      <c r="F27" s="2742">
        <f t="shared" si="3"/>
        <v>351</v>
      </c>
      <c r="G27" s="1444">
        <v>81.7</v>
      </c>
      <c r="H27" s="1444">
        <v>158.5</v>
      </c>
      <c r="I27" s="4865">
        <f t="shared" si="2"/>
        <v>240.2</v>
      </c>
      <c r="J27" s="4866"/>
      <c r="K27" s="4863">
        <v>1978</v>
      </c>
      <c r="L27" s="4863">
        <v>1978</v>
      </c>
      <c r="M27" s="4864"/>
    </row>
    <row r="28" spans="2:13" ht="25.5" customHeight="1">
      <c r="B28" s="1438">
        <f t="shared" si="0"/>
        <v>-314.39999999999998</v>
      </c>
      <c r="C28" s="1439">
        <f t="shared" si="1"/>
        <v>-104.09999999999997</v>
      </c>
      <c r="D28" s="1440">
        <v>181</v>
      </c>
      <c r="E28" s="1440">
        <v>321.3</v>
      </c>
      <c r="F28" s="1441">
        <f t="shared" si="3"/>
        <v>502.3</v>
      </c>
      <c r="G28" s="1439">
        <v>210.3</v>
      </c>
      <c r="H28" s="1439">
        <v>187.9</v>
      </c>
      <c r="I28" s="4852">
        <f t="shared" si="2"/>
        <v>398.20000000000005</v>
      </c>
      <c r="J28" s="4853"/>
      <c r="K28" s="4854">
        <v>1979</v>
      </c>
      <c r="L28" s="4854">
        <v>1979</v>
      </c>
      <c r="M28" s="4855"/>
    </row>
    <row r="29" spans="2:13" ht="25.5" customHeight="1">
      <c r="B29" s="2739">
        <f t="shared" si="0"/>
        <v>-313.30000000000007</v>
      </c>
      <c r="C29" s="2740">
        <f t="shared" si="1"/>
        <v>-103.90000000000009</v>
      </c>
      <c r="D29" s="2741">
        <v>203.3</v>
      </c>
      <c r="E29" s="2741">
        <v>336.1</v>
      </c>
      <c r="F29" s="2742">
        <f t="shared" si="3"/>
        <v>539.40000000000009</v>
      </c>
      <c r="G29" s="1444">
        <v>209.3</v>
      </c>
      <c r="H29" s="1444">
        <v>226.1</v>
      </c>
      <c r="I29" s="4865">
        <v>435.5</v>
      </c>
      <c r="J29" s="4866"/>
      <c r="K29" s="4863">
        <v>1980</v>
      </c>
      <c r="L29" s="4863">
        <v>1980</v>
      </c>
      <c r="M29" s="4864"/>
    </row>
    <row r="30" spans="2:13" ht="25.5" customHeight="1">
      <c r="B30" s="1438">
        <f t="shared" si="0"/>
        <v>-307.80000000000007</v>
      </c>
      <c r="C30" s="1439">
        <f t="shared" si="1"/>
        <v>-101.5</v>
      </c>
      <c r="D30" s="1440">
        <v>232.7</v>
      </c>
      <c r="E30" s="1440">
        <v>391.5</v>
      </c>
      <c r="F30" s="1441">
        <f t="shared" si="3"/>
        <v>624.20000000000005</v>
      </c>
      <c r="G30" s="1439">
        <v>206.3</v>
      </c>
      <c r="H30" s="1439">
        <v>316.39999999999998</v>
      </c>
      <c r="I30" s="4852">
        <f t="shared" si="2"/>
        <v>522.70000000000005</v>
      </c>
      <c r="J30" s="4853"/>
      <c r="K30" s="4854">
        <v>1981</v>
      </c>
      <c r="L30" s="4854">
        <v>1981</v>
      </c>
      <c r="M30" s="4855"/>
    </row>
    <row r="31" spans="2:13" ht="25.5" customHeight="1">
      <c r="B31" s="2739">
        <f t="shared" si="0"/>
        <v>-312.59999999999997</v>
      </c>
      <c r="C31" s="2740">
        <f t="shared" si="1"/>
        <v>-113</v>
      </c>
      <c r="D31" s="2741">
        <v>231.8</v>
      </c>
      <c r="E31" s="2741">
        <v>443</v>
      </c>
      <c r="F31" s="2742">
        <f t="shared" si="3"/>
        <v>674.8</v>
      </c>
      <c r="G31" s="1444">
        <v>199.6</v>
      </c>
      <c r="H31" s="1444">
        <v>362.2</v>
      </c>
      <c r="I31" s="4865">
        <f t="shared" si="2"/>
        <v>561.79999999999995</v>
      </c>
      <c r="J31" s="4866"/>
      <c r="K31" s="4863">
        <v>1982</v>
      </c>
      <c r="L31" s="4863">
        <v>1982</v>
      </c>
      <c r="M31" s="4864"/>
    </row>
    <row r="32" spans="2:13" ht="25.5" customHeight="1">
      <c r="B32" s="1438">
        <f t="shared" si="0"/>
        <v>-265.3</v>
      </c>
      <c r="C32" s="1439">
        <f t="shared" si="1"/>
        <v>-68.600000000000023</v>
      </c>
      <c r="D32" s="1440">
        <v>214.5</v>
      </c>
      <c r="E32" s="1440">
        <v>453.7</v>
      </c>
      <c r="F32" s="1441">
        <v>668.1</v>
      </c>
      <c r="G32" s="1439">
        <v>196.7</v>
      </c>
      <c r="H32" s="1439">
        <v>402.8</v>
      </c>
      <c r="I32" s="4852">
        <f t="shared" si="2"/>
        <v>599.5</v>
      </c>
      <c r="J32" s="4853"/>
      <c r="K32" s="4854">
        <v>1983</v>
      </c>
      <c r="L32" s="4854">
        <v>1983</v>
      </c>
      <c r="M32" s="4855"/>
    </row>
    <row r="33" spans="1:13" ht="25.5" customHeight="1">
      <c r="B33" s="2739">
        <f t="shared" si="0"/>
        <v>-248.19999999999993</v>
      </c>
      <c r="C33" s="2740">
        <f t="shared" si="1"/>
        <v>-142.09999999999991</v>
      </c>
      <c r="D33" s="2741">
        <v>184.7</v>
      </c>
      <c r="E33" s="2741">
        <v>488.1</v>
      </c>
      <c r="F33" s="2742">
        <f t="shared" si="3"/>
        <v>672.8</v>
      </c>
      <c r="G33" s="1444">
        <v>106.1</v>
      </c>
      <c r="H33" s="1444">
        <v>424.6</v>
      </c>
      <c r="I33" s="4865">
        <f t="shared" si="2"/>
        <v>530.70000000000005</v>
      </c>
      <c r="J33" s="4866"/>
      <c r="K33" s="4863">
        <v>1984</v>
      </c>
      <c r="L33" s="4863">
        <v>1984</v>
      </c>
      <c r="M33" s="4864"/>
    </row>
    <row r="34" spans="1:13" ht="25.5" customHeight="1">
      <c r="B34" s="1438">
        <f t="shared" si="0"/>
        <v>-299.99999999999994</v>
      </c>
      <c r="C34" s="1439">
        <f t="shared" si="1"/>
        <v>-112.19999999999993</v>
      </c>
      <c r="D34" s="1440">
        <v>216.8</v>
      </c>
      <c r="E34" s="1440">
        <v>542.5</v>
      </c>
      <c r="F34" s="1441">
        <f t="shared" si="3"/>
        <v>759.3</v>
      </c>
      <c r="G34" s="1439">
        <v>187.8</v>
      </c>
      <c r="H34" s="1439">
        <v>459.3</v>
      </c>
      <c r="I34" s="4852">
        <f t="shared" si="2"/>
        <v>647.1</v>
      </c>
      <c r="J34" s="4853"/>
      <c r="K34" s="4854">
        <v>1985</v>
      </c>
      <c r="L34" s="4854">
        <v>1985</v>
      </c>
      <c r="M34" s="4855"/>
    </row>
    <row r="35" spans="1:13" ht="25.5" customHeight="1">
      <c r="B35" s="2739">
        <f t="shared" si="0"/>
        <v>-296.90000000000009</v>
      </c>
      <c r="C35" s="2740">
        <f t="shared" si="1"/>
        <v>-153.20000000000016</v>
      </c>
      <c r="D35" s="2741">
        <v>253.5</v>
      </c>
      <c r="E35" s="2741">
        <v>570.5</v>
      </c>
      <c r="F35" s="2742">
        <v>824.1</v>
      </c>
      <c r="G35" s="1444">
        <v>143.69999999999999</v>
      </c>
      <c r="H35" s="1444">
        <v>527.19999999999993</v>
      </c>
      <c r="I35" s="4865">
        <f t="shared" si="2"/>
        <v>670.89999999999986</v>
      </c>
      <c r="J35" s="4866"/>
      <c r="K35" s="4863">
        <v>1986</v>
      </c>
      <c r="L35" s="4863">
        <v>1986</v>
      </c>
      <c r="M35" s="4864"/>
    </row>
    <row r="36" spans="1:13" ht="25.5" customHeight="1">
      <c r="B36" s="1438">
        <f t="shared" si="0"/>
        <v>-325.89999999999998</v>
      </c>
      <c r="C36" s="1439">
        <f t="shared" si="1"/>
        <v>-198.30000000000007</v>
      </c>
      <c r="D36" s="1440">
        <v>272.39999999999998</v>
      </c>
      <c r="E36" s="1440">
        <v>602.70000000000005</v>
      </c>
      <c r="F36" s="1441">
        <f t="shared" si="3"/>
        <v>875.1</v>
      </c>
      <c r="G36" s="1439">
        <v>127.5</v>
      </c>
      <c r="H36" s="1439">
        <v>549.20000000000005</v>
      </c>
      <c r="I36" s="4852">
        <v>676.8</v>
      </c>
      <c r="J36" s="4853"/>
      <c r="K36" s="4854">
        <v>1987</v>
      </c>
      <c r="L36" s="4854">
        <v>1987</v>
      </c>
      <c r="M36" s="4855"/>
    </row>
    <row r="37" spans="1:13" ht="25.5" customHeight="1">
      <c r="B37" s="2739">
        <f t="shared" si="0"/>
        <v>-496.4</v>
      </c>
      <c r="C37" s="2740">
        <f t="shared" si="1"/>
        <v>-341</v>
      </c>
      <c r="D37" s="2741">
        <v>378.7</v>
      </c>
      <c r="E37" s="2741">
        <v>683.6</v>
      </c>
      <c r="F37" s="2742">
        <f t="shared" si="3"/>
        <v>1062.3</v>
      </c>
      <c r="G37" s="1444">
        <v>155.4</v>
      </c>
      <c r="H37" s="1444">
        <v>565.9</v>
      </c>
      <c r="I37" s="4865">
        <f t="shared" si="2"/>
        <v>721.3</v>
      </c>
      <c r="J37" s="4866"/>
      <c r="K37" s="4863">
        <v>1988</v>
      </c>
      <c r="L37" s="4863">
        <v>1988</v>
      </c>
      <c r="M37" s="4864"/>
    </row>
    <row r="38" spans="1:13" ht="25.5" customHeight="1">
      <c r="B38" s="1438">
        <f t="shared" si="0"/>
        <v>-398.80000000000007</v>
      </c>
      <c r="C38" s="1439">
        <f t="shared" si="1"/>
        <v>-137.10000000000002</v>
      </c>
      <c r="D38" s="1440">
        <v>242.9</v>
      </c>
      <c r="E38" s="1440">
        <v>749.7</v>
      </c>
      <c r="F38" s="1441">
        <f t="shared" si="3"/>
        <v>992.6</v>
      </c>
      <c r="G38" s="1439">
        <v>261.7</v>
      </c>
      <c r="H38" s="1439">
        <v>593.79999999999995</v>
      </c>
      <c r="I38" s="4852">
        <f t="shared" si="2"/>
        <v>855.5</v>
      </c>
      <c r="J38" s="4853"/>
      <c r="K38" s="4854">
        <v>1989</v>
      </c>
      <c r="L38" s="4854">
        <v>1989</v>
      </c>
      <c r="M38" s="4855"/>
    </row>
    <row r="39" spans="1:13" ht="25.5" customHeight="1">
      <c r="B39" s="2739">
        <f t="shared" si="0"/>
        <v>-258.69999999999993</v>
      </c>
      <c r="C39" s="2740">
        <f t="shared" si="1"/>
        <v>-94.399999999999864</v>
      </c>
      <c r="D39" s="2741">
        <v>191.3</v>
      </c>
      <c r="E39" s="2741">
        <v>841.4</v>
      </c>
      <c r="F39" s="2742">
        <v>1032.5999999999999</v>
      </c>
      <c r="G39" s="1444">
        <v>164.3</v>
      </c>
      <c r="H39" s="1444">
        <v>773.9</v>
      </c>
      <c r="I39" s="4865">
        <f t="shared" si="2"/>
        <v>938.2</v>
      </c>
      <c r="J39" s="4866"/>
      <c r="K39" s="4863">
        <v>1990</v>
      </c>
      <c r="L39" s="4863">
        <v>1990</v>
      </c>
      <c r="M39" s="4864"/>
    </row>
    <row r="40" spans="1:13" ht="25.5" customHeight="1">
      <c r="B40" s="1438">
        <f t="shared" si="0"/>
        <v>-378.00000000000023</v>
      </c>
      <c r="C40" s="1439">
        <f t="shared" si="1"/>
        <v>-147.80000000000018</v>
      </c>
      <c r="D40" s="1440">
        <v>333.1</v>
      </c>
      <c r="E40" s="1440">
        <v>931.7</v>
      </c>
      <c r="F40" s="1441">
        <f>D40+E40</f>
        <v>1264.8000000000002</v>
      </c>
      <c r="G40" s="1439">
        <v>230.2</v>
      </c>
      <c r="H40" s="1439">
        <v>886.8</v>
      </c>
      <c r="I40" s="4852">
        <f t="shared" si="2"/>
        <v>1117</v>
      </c>
      <c r="J40" s="4853"/>
      <c r="K40" s="4854">
        <v>1991</v>
      </c>
      <c r="L40" s="4854">
        <v>1991</v>
      </c>
      <c r="M40" s="4855"/>
    </row>
    <row r="41" spans="1:13" ht="25.5" customHeight="1">
      <c r="A41" s="1801"/>
      <c r="B41" s="1449">
        <f t="shared" si="0"/>
        <v>-69.900000000000091</v>
      </c>
      <c r="C41" s="2740">
        <f t="shared" si="1"/>
        <v>67.5</v>
      </c>
      <c r="D41" s="1444">
        <v>352.7</v>
      </c>
      <c r="E41" s="1444">
        <v>938.5</v>
      </c>
      <c r="F41" s="1445">
        <f>D41+E41</f>
        <v>1291.2</v>
      </c>
      <c r="G41" s="1444">
        <v>137.4</v>
      </c>
      <c r="H41" s="1444">
        <v>1221.3</v>
      </c>
      <c r="I41" s="4865">
        <f t="shared" si="2"/>
        <v>1358.7</v>
      </c>
      <c r="J41" s="4866"/>
      <c r="K41" s="4863">
        <v>1992</v>
      </c>
      <c r="L41" s="4863">
        <v>1992</v>
      </c>
      <c r="M41" s="4864"/>
    </row>
    <row r="42" spans="1:13" s="2149" customFormat="1" ht="25.5" customHeight="1">
      <c r="A42" s="2127"/>
      <c r="B42" s="1438">
        <f t="shared" si="0"/>
        <v>-93.599999999999909</v>
      </c>
      <c r="C42" s="1439">
        <f t="shared" si="1"/>
        <v>69.5</v>
      </c>
      <c r="D42" s="1440">
        <v>292.3</v>
      </c>
      <c r="E42" s="1440">
        <v>1044.3</v>
      </c>
      <c r="F42" s="1441">
        <f>E42+D42</f>
        <v>1336.6</v>
      </c>
      <c r="G42" s="1439">
        <v>163.1</v>
      </c>
      <c r="H42" s="1439">
        <v>1243</v>
      </c>
      <c r="I42" s="4852">
        <f t="shared" si="2"/>
        <v>1406.1</v>
      </c>
      <c r="J42" s="4853"/>
      <c r="K42" s="4854" t="s">
        <v>886</v>
      </c>
      <c r="L42" s="4854"/>
      <c r="M42" s="4855"/>
    </row>
    <row r="43" spans="1:13" ht="25.5" customHeight="1">
      <c r="A43" s="1801"/>
      <c r="B43" s="1449">
        <f t="shared" si="0"/>
        <v>-130.90000000000009</v>
      </c>
      <c r="C43" s="1709">
        <f t="shared" si="1"/>
        <v>44.599999999999909</v>
      </c>
      <c r="D43" s="1710">
        <v>376.2</v>
      </c>
      <c r="E43" s="1710">
        <v>1116.5</v>
      </c>
      <c r="F43" s="1711">
        <f t="shared" ref="F43:F69" si="4">D43+E43</f>
        <v>1492.7</v>
      </c>
      <c r="G43" s="1444">
        <v>175.5</v>
      </c>
      <c r="H43" s="1444">
        <v>1361.8</v>
      </c>
      <c r="I43" s="4865">
        <f t="shared" si="2"/>
        <v>1537.3</v>
      </c>
      <c r="J43" s="4866"/>
      <c r="K43" s="4863">
        <v>1994</v>
      </c>
      <c r="L43" s="4863">
        <v>1994</v>
      </c>
      <c r="M43" s="4864"/>
    </row>
    <row r="44" spans="1:13" s="2149" customFormat="1" ht="25.5" customHeight="1">
      <c r="A44" s="2127"/>
      <c r="B44" s="1438">
        <f t="shared" si="0"/>
        <v>-167.60000000000014</v>
      </c>
      <c r="C44" s="1439">
        <f t="shared" si="1"/>
        <v>15.199999999999818</v>
      </c>
      <c r="D44" s="1440">
        <v>384.4</v>
      </c>
      <c r="E44" s="1440">
        <v>1220.4000000000001</v>
      </c>
      <c r="F44" s="1441">
        <f t="shared" si="4"/>
        <v>1604.8000000000002</v>
      </c>
      <c r="G44" s="1439">
        <v>182.8</v>
      </c>
      <c r="H44" s="1439">
        <v>1437.2</v>
      </c>
      <c r="I44" s="4852">
        <f t="shared" si="2"/>
        <v>1620</v>
      </c>
      <c r="J44" s="4853"/>
      <c r="K44" s="4854">
        <v>1995</v>
      </c>
      <c r="L44" s="4854">
        <v>1995</v>
      </c>
      <c r="M44" s="4855"/>
    </row>
    <row r="45" spans="1:13" ht="25.5" customHeight="1">
      <c r="A45" s="1801"/>
      <c r="B45" s="1449">
        <f t="shared" si="0"/>
        <v>-230.40000000000009</v>
      </c>
      <c r="C45" s="1709">
        <f t="shared" si="1"/>
        <v>16.599999999999909</v>
      </c>
      <c r="D45" s="1710">
        <v>410.2</v>
      </c>
      <c r="E45" s="1710">
        <v>1296.4000000000001</v>
      </c>
      <c r="F45" s="1711">
        <f t="shared" si="4"/>
        <v>1706.6000000000001</v>
      </c>
      <c r="G45" s="1444">
        <v>247</v>
      </c>
      <c r="H45" s="1444">
        <v>1476.2</v>
      </c>
      <c r="I45" s="4865">
        <f t="shared" si="2"/>
        <v>1723.2</v>
      </c>
      <c r="J45" s="4866"/>
      <c r="K45" s="4863">
        <v>1996</v>
      </c>
      <c r="L45" s="4863">
        <v>1996</v>
      </c>
      <c r="M45" s="4864"/>
    </row>
    <row r="46" spans="1:13" s="2149" customFormat="1" ht="25.5" customHeight="1">
      <c r="A46" s="2127"/>
      <c r="B46" s="1438">
        <f t="shared" si="0"/>
        <v>-468.40000000000009</v>
      </c>
      <c r="C46" s="1439">
        <f t="shared" si="1"/>
        <v>-263.40000000000009</v>
      </c>
      <c r="D46" s="1440">
        <v>427.2</v>
      </c>
      <c r="E46" s="1440">
        <v>1457</v>
      </c>
      <c r="F46" s="1441">
        <f t="shared" si="4"/>
        <v>1884.2</v>
      </c>
      <c r="G46" s="1439">
        <v>205</v>
      </c>
      <c r="H46" s="1439">
        <v>1415.8</v>
      </c>
      <c r="I46" s="4852">
        <f t="shared" si="2"/>
        <v>1620.8</v>
      </c>
      <c r="J46" s="4853"/>
      <c r="K46" s="4854">
        <v>1997</v>
      </c>
      <c r="L46" s="4854">
        <v>1997</v>
      </c>
      <c r="M46" s="4855"/>
    </row>
    <row r="47" spans="1:13" ht="25.5" customHeight="1">
      <c r="A47" s="1801"/>
      <c r="B47" s="1449">
        <f t="shared" si="0"/>
        <v>-499.5</v>
      </c>
      <c r="C47" s="1709">
        <f t="shared" si="1"/>
        <v>-327.29999999999995</v>
      </c>
      <c r="D47" s="1710">
        <v>443.2</v>
      </c>
      <c r="E47" s="1710">
        <v>1585.5</v>
      </c>
      <c r="F47" s="1711">
        <f t="shared" si="4"/>
        <v>2028.7</v>
      </c>
      <c r="G47" s="1444">
        <v>172.2</v>
      </c>
      <c r="H47" s="1444">
        <v>1529.2</v>
      </c>
      <c r="I47" s="4865">
        <f t="shared" si="2"/>
        <v>1701.4</v>
      </c>
      <c r="J47" s="4866"/>
      <c r="K47" s="4863">
        <v>1998</v>
      </c>
      <c r="L47" s="4863">
        <v>1998</v>
      </c>
      <c r="M47" s="4864"/>
    </row>
    <row r="48" spans="1:13" s="2149" customFormat="1" ht="25.5" customHeight="1">
      <c r="A48" s="2127"/>
      <c r="B48" s="1438">
        <f t="shared" si="0"/>
        <v>-338.90000000000009</v>
      </c>
      <c r="C48" s="1439">
        <f t="shared" si="1"/>
        <v>-140.40000000000009</v>
      </c>
      <c r="D48" s="1440">
        <v>396.4</v>
      </c>
      <c r="E48" s="1440">
        <v>1559.9</v>
      </c>
      <c r="F48" s="1441">
        <f t="shared" si="4"/>
        <v>1956.3000000000002</v>
      </c>
      <c r="G48" s="1439">
        <v>198.5</v>
      </c>
      <c r="H48" s="1439">
        <v>1617.4</v>
      </c>
      <c r="I48" s="4852">
        <f t="shared" si="2"/>
        <v>1815.9</v>
      </c>
      <c r="J48" s="4853"/>
      <c r="K48" s="4854">
        <v>1999</v>
      </c>
      <c r="L48" s="4854">
        <v>1999</v>
      </c>
      <c r="M48" s="4855"/>
    </row>
    <row r="49" spans="1:13" ht="25.5" customHeight="1">
      <c r="A49" s="1801"/>
      <c r="B49" s="1449">
        <f t="shared" si="0"/>
        <v>-360</v>
      </c>
      <c r="C49" s="1709">
        <f t="shared" si="1"/>
        <v>-119.79999999999995</v>
      </c>
      <c r="D49" s="1710">
        <v>335.8</v>
      </c>
      <c r="E49" s="1710">
        <v>1634.3</v>
      </c>
      <c r="F49" s="1711">
        <f t="shared" si="4"/>
        <v>1970.1</v>
      </c>
      <c r="G49" s="1444">
        <v>240.2</v>
      </c>
      <c r="H49" s="1444">
        <v>1610.1</v>
      </c>
      <c r="I49" s="4865">
        <f t="shared" si="2"/>
        <v>1850.3</v>
      </c>
      <c r="J49" s="4866"/>
      <c r="K49" s="4863">
        <v>2000</v>
      </c>
      <c r="L49" s="4863">
        <v>2000</v>
      </c>
      <c r="M49" s="4864"/>
    </row>
    <row r="50" spans="1:13" s="2149" customFormat="1" ht="25.5" customHeight="1">
      <c r="A50" s="2127"/>
      <c r="B50" s="1438">
        <f t="shared" si="0"/>
        <v>-404.90000000000009</v>
      </c>
      <c r="C50" s="1439">
        <f t="shared" si="1"/>
        <v>-155.5</v>
      </c>
      <c r="D50" s="1440">
        <v>403.8</v>
      </c>
      <c r="E50" s="1440">
        <v>1719.7</v>
      </c>
      <c r="F50" s="1441">
        <f t="shared" si="4"/>
        <v>2123.5</v>
      </c>
      <c r="G50" s="1439">
        <v>249.4</v>
      </c>
      <c r="H50" s="1439">
        <v>1718.6</v>
      </c>
      <c r="I50" s="4852">
        <f t="shared" si="2"/>
        <v>1968</v>
      </c>
      <c r="J50" s="4853"/>
      <c r="K50" s="4854">
        <v>2001</v>
      </c>
      <c r="L50" s="4854">
        <v>2001</v>
      </c>
      <c r="M50" s="4855"/>
    </row>
    <row r="51" spans="1:13" ht="25.5" customHeight="1">
      <c r="A51" s="1801"/>
      <c r="B51" s="1449">
        <f t="shared" si="0"/>
        <v>-470.99999999999977</v>
      </c>
      <c r="C51" s="1709">
        <f>I51-F51</f>
        <v>-205.09999999999991</v>
      </c>
      <c r="D51" s="1710">
        <v>438.7</v>
      </c>
      <c r="E51" s="1710">
        <v>1783.1</v>
      </c>
      <c r="F51" s="1711">
        <f t="shared" si="4"/>
        <v>2221.7999999999997</v>
      </c>
      <c r="G51" s="1444">
        <v>265.89999999999998</v>
      </c>
      <c r="H51" s="1444">
        <v>1750.8</v>
      </c>
      <c r="I51" s="4865">
        <f t="shared" si="2"/>
        <v>2016.6999999999998</v>
      </c>
      <c r="J51" s="4866"/>
      <c r="K51" s="4863">
        <v>2002</v>
      </c>
      <c r="L51" s="4863">
        <v>2002</v>
      </c>
      <c r="M51" s="4864"/>
    </row>
    <row r="52" spans="1:13" s="2149" customFormat="1" ht="25.5" customHeight="1">
      <c r="A52" s="2127"/>
      <c r="B52" s="1438">
        <f t="shared" si="0"/>
        <v>-766.80000000000018</v>
      </c>
      <c r="C52" s="1439">
        <f t="shared" si="1"/>
        <v>-79.000000000000455</v>
      </c>
      <c r="D52" s="1440">
        <v>467</v>
      </c>
      <c r="E52" s="1440">
        <v>1975.4</v>
      </c>
      <c r="F52" s="1441">
        <f t="shared" si="4"/>
        <v>2442.4</v>
      </c>
      <c r="G52" s="1439">
        <v>687.8</v>
      </c>
      <c r="H52" s="1439">
        <v>1675.6</v>
      </c>
      <c r="I52" s="4852">
        <f t="shared" si="2"/>
        <v>2363.3999999999996</v>
      </c>
      <c r="J52" s="4853"/>
      <c r="K52" s="4854">
        <v>2003</v>
      </c>
      <c r="L52" s="4854">
        <v>2003</v>
      </c>
      <c r="M52" s="4855"/>
    </row>
    <row r="53" spans="1:13" ht="25.5" customHeight="1">
      <c r="A53" s="1801"/>
      <c r="B53" s="1449">
        <f t="shared" si="0"/>
        <v>-783.80000000000018</v>
      </c>
      <c r="C53" s="1709">
        <f t="shared" si="1"/>
        <v>-116.70000000000027</v>
      </c>
      <c r="D53" s="1710">
        <v>621</v>
      </c>
      <c r="E53" s="1710">
        <v>2310</v>
      </c>
      <c r="F53" s="1711">
        <f t="shared" si="4"/>
        <v>2931</v>
      </c>
      <c r="G53" s="1444">
        <v>667.1</v>
      </c>
      <c r="H53" s="1444">
        <v>2147.1999999999998</v>
      </c>
      <c r="I53" s="4865">
        <f t="shared" si="2"/>
        <v>2814.2999999999997</v>
      </c>
      <c r="J53" s="4866"/>
      <c r="K53" s="4863">
        <v>2004</v>
      </c>
      <c r="L53" s="4863">
        <v>2004</v>
      </c>
      <c r="M53" s="4864"/>
    </row>
    <row r="54" spans="1:13" s="2149" customFormat="1" ht="25.5" customHeight="1">
      <c r="A54" s="2127"/>
      <c r="B54" s="1438">
        <f t="shared" si="0"/>
        <v>-541.5</v>
      </c>
      <c r="C54" s="1439">
        <f t="shared" si="1"/>
        <v>-40.5</v>
      </c>
      <c r="D54" s="1440">
        <v>634.6</v>
      </c>
      <c r="E54" s="1440">
        <v>2469.8000000000002</v>
      </c>
      <c r="F54" s="1441">
        <f t="shared" si="4"/>
        <v>3104.4</v>
      </c>
      <c r="G54" s="1439">
        <v>501</v>
      </c>
      <c r="H54" s="1439">
        <v>2562.9</v>
      </c>
      <c r="I54" s="4852">
        <f t="shared" si="2"/>
        <v>3063.9</v>
      </c>
      <c r="J54" s="4853"/>
      <c r="K54" s="4854">
        <v>2005</v>
      </c>
      <c r="L54" s="4854">
        <v>2005</v>
      </c>
      <c r="M54" s="4855"/>
    </row>
    <row r="55" spans="1:13" ht="25.5" customHeight="1">
      <c r="A55" s="1801"/>
      <c r="B55" s="1449">
        <f t="shared" si="0"/>
        <v>-696</v>
      </c>
      <c r="C55" s="1709">
        <f t="shared" si="1"/>
        <v>-391.40000000000009</v>
      </c>
      <c r="D55" s="1710">
        <v>794.1</v>
      </c>
      <c r="E55" s="1710">
        <v>3066.3</v>
      </c>
      <c r="F55" s="1711">
        <f t="shared" si="4"/>
        <v>3860.4</v>
      </c>
      <c r="G55" s="1444">
        <v>304.60000000000002</v>
      </c>
      <c r="H55" s="1444">
        <v>3164.4</v>
      </c>
      <c r="I55" s="4865">
        <f t="shared" si="2"/>
        <v>3469</v>
      </c>
      <c r="J55" s="4866"/>
      <c r="K55" s="4863">
        <v>2006</v>
      </c>
      <c r="L55" s="4863">
        <v>2006</v>
      </c>
      <c r="M55" s="4864"/>
    </row>
    <row r="56" spans="1:13" s="2149" customFormat="1" ht="25.5" customHeight="1">
      <c r="A56" s="2127"/>
      <c r="B56" s="1438">
        <f t="shared" si="0"/>
        <v>-912.20000000000027</v>
      </c>
      <c r="C56" s="1439">
        <f>I56-F56</f>
        <v>-568.80000000000018</v>
      </c>
      <c r="D56" s="1440">
        <v>842.6</v>
      </c>
      <c r="E56" s="1440">
        <v>3697.7</v>
      </c>
      <c r="F56" s="1441">
        <f t="shared" si="4"/>
        <v>4540.3</v>
      </c>
      <c r="G56" s="1439">
        <v>343.4</v>
      </c>
      <c r="H56" s="1439">
        <v>3628.1</v>
      </c>
      <c r="I56" s="4852">
        <f t="shared" si="2"/>
        <v>3971.5</v>
      </c>
      <c r="J56" s="4853"/>
      <c r="K56" s="4854">
        <v>2007</v>
      </c>
      <c r="L56" s="4854">
        <v>2007</v>
      </c>
      <c r="M56" s="4855"/>
    </row>
    <row r="57" spans="1:13" ht="25.5" customHeight="1">
      <c r="A57" s="1801"/>
      <c r="B57" s="1449">
        <f t="shared" si="0"/>
        <v>-1056.5</v>
      </c>
      <c r="C57" s="1709" t="s">
        <v>887</v>
      </c>
      <c r="D57" s="1444">
        <v>958.5</v>
      </c>
      <c r="E57" s="1444">
        <v>4473.3999999999996</v>
      </c>
      <c r="F57" s="1445">
        <f t="shared" si="4"/>
        <v>5431.9</v>
      </c>
      <c r="G57" s="1444">
        <v>718.3</v>
      </c>
      <c r="H57" s="1444">
        <v>4375.3999999999996</v>
      </c>
      <c r="I57" s="4865">
        <f t="shared" si="2"/>
        <v>5093.7</v>
      </c>
      <c r="J57" s="4866"/>
      <c r="K57" s="4863">
        <v>2008</v>
      </c>
      <c r="L57" s="4863">
        <v>2008</v>
      </c>
      <c r="M57" s="4864"/>
    </row>
    <row r="58" spans="1:13" s="2127" customFormat="1" ht="25.5" customHeight="1">
      <c r="A58" s="2743"/>
      <c r="B58" s="1438">
        <f t="shared" si="0"/>
        <v>-1842.6000000000004</v>
      </c>
      <c r="C58" s="1439">
        <f t="shared" si="1"/>
        <v>-1509.1999999999998</v>
      </c>
      <c r="D58" s="1440">
        <v>1444.5</v>
      </c>
      <c r="E58" s="1440">
        <v>4586</v>
      </c>
      <c r="F58" s="1441">
        <f t="shared" si="4"/>
        <v>6030.5</v>
      </c>
      <c r="G58" s="1439">
        <v>333.4</v>
      </c>
      <c r="H58" s="1439">
        <v>4187.8999999999996</v>
      </c>
      <c r="I58" s="4852">
        <v>4521.3</v>
      </c>
      <c r="J58" s="4853"/>
      <c r="K58" s="4854">
        <v>2009</v>
      </c>
      <c r="L58" s="4854">
        <v>2009</v>
      </c>
      <c r="M58" s="4855"/>
    </row>
    <row r="59" spans="1:13" ht="25.5" customHeight="1">
      <c r="A59" s="1801"/>
      <c r="B59" s="1449">
        <f t="shared" si="0"/>
        <v>-1446.8999999999996</v>
      </c>
      <c r="C59" s="1450">
        <f t="shared" si="1"/>
        <v>-1045.1999999999998</v>
      </c>
      <c r="D59" s="1444">
        <v>961.4</v>
      </c>
      <c r="E59" s="1444">
        <v>4746.6000000000004</v>
      </c>
      <c r="F59" s="1445">
        <f t="shared" si="4"/>
        <v>5708</v>
      </c>
      <c r="G59" s="1444">
        <v>401.7</v>
      </c>
      <c r="H59" s="1444">
        <v>4261.1000000000004</v>
      </c>
      <c r="I59" s="4865">
        <f t="shared" si="2"/>
        <v>4662.8</v>
      </c>
      <c r="J59" s="4866"/>
      <c r="K59" s="4863" t="s">
        <v>888</v>
      </c>
      <c r="L59" s="4863"/>
      <c r="M59" s="4864"/>
    </row>
    <row r="60" spans="1:13" s="2127" customFormat="1" ht="25.5" customHeight="1">
      <c r="A60" s="2743"/>
      <c r="B60" s="1438">
        <f t="shared" si="0"/>
        <v>-2597.7000000000007</v>
      </c>
      <c r="C60" s="1439">
        <f t="shared" si="1"/>
        <v>-1382.7000000000007</v>
      </c>
      <c r="D60" s="1440">
        <v>1057.0999999999999</v>
      </c>
      <c r="E60" s="1440">
        <v>5739.5</v>
      </c>
      <c r="F60" s="1441">
        <f t="shared" si="4"/>
        <v>6796.6</v>
      </c>
      <c r="G60" s="1439">
        <v>1215</v>
      </c>
      <c r="H60" s="1439">
        <v>4198.8999999999996</v>
      </c>
      <c r="I60" s="4852">
        <v>5413.9</v>
      </c>
      <c r="J60" s="4853"/>
      <c r="K60" s="4854" t="s">
        <v>889</v>
      </c>
      <c r="L60" s="4854"/>
      <c r="M60" s="4855"/>
    </row>
    <row r="61" spans="1:13" s="1801" customFormat="1" ht="25.5" customHeight="1">
      <c r="A61" s="1964"/>
      <c r="B61" s="1442">
        <f t="shared" si="0"/>
        <v>-2151.3000000000002</v>
      </c>
      <c r="C61" s="1443">
        <v>-1824</v>
      </c>
      <c r="D61" s="1444">
        <v>675.4</v>
      </c>
      <c r="E61" s="1444">
        <v>6202.8</v>
      </c>
      <c r="F61" s="1445">
        <f t="shared" si="4"/>
        <v>6878.2</v>
      </c>
      <c r="G61" s="1444">
        <v>327.3</v>
      </c>
      <c r="H61" s="1444">
        <v>4726.8999999999996</v>
      </c>
      <c r="I61" s="4865">
        <v>5054.3</v>
      </c>
      <c r="J61" s="4866"/>
      <c r="K61" s="4863" t="s">
        <v>890</v>
      </c>
      <c r="L61" s="4863"/>
      <c r="M61" s="4864"/>
    </row>
    <row r="62" spans="1:13" s="1801" customFormat="1" ht="25.5" customHeight="1">
      <c r="A62" s="1964"/>
      <c r="B62" s="1446">
        <f>H62-F62</f>
        <v>-1957.0999999999995</v>
      </c>
      <c r="C62" s="1447">
        <f>I62-F62</f>
        <v>-1317.9999999999991</v>
      </c>
      <c r="D62" s="1439">
        <v>1021</v>
      </c>
      <c r="E62" s="1439">
        <v>6055.9</v>
      </c>
      <c r="F62" s="1448">
        <f t="shared" si="4"/>
        <v>7076.9</v>
      </c>
      <c r="G62" s="1439">
        <v>639.1</v>
      </c>
      <c r="H62" s="1439">
        <v>5119.8</v>
      </c>
      <c r="I62" s="4852">
        <f t="shared" ref="I62:I68" si="5">H62+G62</f>
        <v>5758.9000000000005</v>
      </c>
      <c r="J62" s="4853"/>
      <c r="K62" s="4854">
        <v>2013</v>
      </c>
      <c r="L62" s="4854"/>
      <c r="M62" s="4855"/>
    </row>
    <row r="63" spans="1:13" ht="25.5" customHeight="1">
      <c r="A63" s="1801"/>
      <c r="B63" s="1449">
        <f>H63-F63</f>
        <v>-1820</v>
      </c>
      <c r="C63" s="1450">
        <f>I63-F63</f>
        <v>-583.5</v>
      </c>
      <c r="D63" s="1444">
        <v>1137.5</v>
      </c>
      <c r="E63" s="1444">
        <v>6713.6</v>
      </c>
      <c r="F63" s="1445">
        <f t="shared" si="4"/>
        <v>7851.1</v>
      </c>
      <c r="G63" s="1444">
        <v>1236.5</v>
      </c>
      <c r="H63" s="1444">
        <v>6031.1</v>
      </c>
      <c r="I63" s="4861">
        <f t="shared" si="5"/>
        <v>7267.6</v>
      </c>
      <c r="J63" s="4862"/>
      <c r="K63" s="4863">
        <v>2014</v>
      </c>
      <c r="L63" s="4863">
        <v>2006</v>
      </c>
      <c r="M63" s="4864"/>
    </row>
    <row r="64" spans="1:13" s="1801" customFormat="1" ht="25.5" customHeight="1">
      <c r="A64" s="1964"/>
      <c r="B64" s="1446">
        <v>-1812.1</v>
      </c>
      <c r="C64" s="1447">
        <f>I64-F64</f>
        <v>-925.89999999999964</v>
      </c>
      <c r="D64" s="1439">
        <v>1098.2</v>
      </c>
      <c r="E64" s="1439">
        <v>6624.5</v>
      </c>
      <c r="F64" s="1448">
        <f t="shared" si="4"/>
        <v>7722.7</v>
      </c>
      <c r="G64" s="1439">
        <v>886.2</v>
      </c>
      <c r="H64" s="1439">
        <v>5910.6</v>
      </c>
      <c r="I64" s="4852">
        <f t="shared" si="5"/>
        <v>6796.8</v>
      </c>
      <c r="J64" s="4853"/>
      <c r="K64" s="4854">
        <v>2015</v>
      </c>
      <c r="L64" s="4854">
        <v>2006</v>
      </c>
      <c r="M64" s="4855"/>
    </row>
    <row r="65" spans="1:30" s="1801" customFormat="1" ht="25.5" customHeight="1">
      <c r="A65" s="1964"/>
      <c r="B65" s="1449">
        <f>H65-F65</f>
        <v>-1714.6000000000004</v>
      </c>
      <c r="C65" s="1450">
        <f>I65-F65</f>
        <v>-878.60000000000036</v>
      </c>
      <c r="D65" s="1444">
        <v>1029.0999999999999</v>
      </c>
      <c r="E65" s="1444">
        <v>6919.1</v>
      </c>
      <c r="F65" s="1445">
        <f t="shared" si="4"/>
        <v>7948.2000000000007</v>
      </c>
      <c r="G65" s="1444">
        <v>836</v>
      </c>
      <c r="H65" s="1444">
        <v>6233.6</v>
      </c>
      <c r="I65" s="4861">
        <f t="shared" si="5"/>
        <v>7069.6</v>
      </c>
      <c r="J65" s="4862"/>
      <c r="K65" s="4863">
        <v>2016</v>
      </c>
      <c r="L65" s="4863">
        <v>2006</v>
      </c>
      <c r="M65" s="4864"/>
    </row>
    <row r="66" spans="1:30" s="1801" customFormat="1" ht="25.5" customHeight="1">
      <c r="A66" s="1964"/>
      <c r="B66" s="1446">
        <v>-1455.9</v>
      </c>
      <c r="C66" s="1447">
        <v>-747.9</v>
      </c>
      <c r="D66" s="1439">
        <v>1060.2</v>
      </c>
      <c r="E66" s="1439">
        <v>7113</v>
      </c>
      <c r="F66" s="1448">
        <f t="shared" si="4"/>
        <v>8173.2</v>
      </c>
      <c r="G66" s="1439">
        <v>707.9</v>
      </c>
      <c r="H66" s="1439">
        <v>6717.4</v>
      </c>
      <c r="I66" s="4852">
        <f t="shared" si="5"/>
        <v>7425.2999999999993</v>
      </c>
      <c r="J66" s="4853"/>
      <c r="K66" s="4854">
        <v>2017</v>
      </c>
      <c r="L66" s="4854">
        <v>2006</v>
      </c>
      <c r="M66" s="4855"/>
    </row>
    <row r="67" spans="1:30" s="1801" customFormat="1" ht="25.5" customHeight="1">
      <c r="A67" s="1964"/>
      <c r="B67" s="1449">
        <v>-1622.3</v>
      </c>
      <c r="C67" s="1450">
        <v>-727.6</v>
      </c>
      <c r="D67" s="1444">
        <v>947.7</v>
      </c>
      <c r="E67" s="1444">
        <v>7619.6</v>
      </c>
      <c r="F67" s="1445">
        <f t="shared" si="4"/>
        <v>8567.3000000000011</v>
      </c>
      <c r="G67" s="1444">
        <v>894.7</v>
      </c>
      <c r="H67" s="1444">
        <v>6944.9</v>
      </c>
      <c r="I67" s="4861">
        <f t="shared" si="5"/>
        <v>7839.5999999999995</v>
      </c>
      <c r="J67" s="4862"/>
      <c r="K67" s="4863">
        <v>2018</v>
      </c>
      <c r="L67" s="4863"/>
      <c r="M67" s="4864"/>
    </row>
    <row r="68" spans="1:30" s="1801" customFormat="1" ht="25.5" customHeight="1">
      <c r="A68" s="1964"/>
      <c r="B68" s="1446">
        <v>-1846.9</v>
      </c>
      <c r="C68" s="1447">
        <v>-1058.4000000000001</v>
      </c>
      <c r="D68" s="1439">
        <v>915.5</v>
      </c>
      <c r="E68" s="1439">
        <v>7897.2</v>
      </c>
      <c r="F68" s="1448">
        <f t="shared" si="4"/>
        <v>8812.7000000000007</v>
      </c>
      <c r="G68" s="1439">
        <v>788.4</v>
      </c>
      <c r="H68" s="1439">
        <v>6965.9</v>
      </c>
      <c r="I68" s="4852">
        <f t="shared" si="5"/>
        <v>7754.2999999999993</v>
      </c>
      <c r="J68" s="4853"/>
      <c r="K68" s="4854">
        <v>2019</v>
      </c>
      <c r="L68" s="4854">
        <v>2006</v>
      </c>
      <c r="M68" s="4855"/>
    </row>
    <row r="69" spans="1:30" s="1801" customFormat="1" ht="25.5" customHeight="1">
      <c r="A69" s="1964"/>
      <c r="B69" s="4458">
        <v>-2973.3</v>
      </c>
      <c r="C69" s="4459">
        <v>-2182.4</v>
      </c>
      <c r="D69" s="4459">
        <v>822.8</v>
      </c>
      <c r="E69" s="4459">
        <v>8388.5</v>
      </c>
      <c r="F69" s="4460">
        <f t="shared" si="4"/>
        <v>9211.2999999999993</v>
      </c>
      <c r="G69" s="4459">
        <v>790.8</v>
      </c>
      <c r="H69" s="4459">
        <v>6238</v>
      </c>
      <c r="I69" s="4872">
        <v>7028.9</v>
      </c>
      <c r="J69" s="4873"/>
      <c r="K69" s="4869">
        <v>2020</v>
      </c>
      <c r="L69" s="4870"/>
      <c r="M69" s="4871"/>
    </row>
    <row r="70" spans="1:30" s="1801" customFormat="1" ht="18.75" customHeight="1">
      <c r="A70" s="1964"/>
      <c r="B70" s="4380" t="s">
        <v>891</v>
      </c>
      <c r="C70" s="2083"/>
      <c r="D70" s="2083"/>
      <c r="E70" s="2083"/>
      <c r="F70" s="2083"/>
      <c r="G70" s="2083"/>
      <c r="H70" s="2083"/>
      <c r="I70" s="2083"/>
      <c r="J70" s="4628" t="s">
        <v>892</v>
      </c>
      <c r="K70" s="4628"/>
      <c r="L70" s="4628"/>
      <c r="M70" s="2744"/>
    </row>
    <row r="71" spans="1:30" s="1801" customFormat="1" ht="18.75" customHeight="1">
      <c r="A71" s="1964"/>
      <c r="B71" s="2745" t="s">
        <v>893</v>
      </c>
      <c r="C71" s="1274"/>
      <c r="D71" s="2032"/>
      <c r="E71" s="2032"/>
      <c r="F71" s="4628" t="s">
        <v>894</v>
      </c>
      <c r="G71" s="4628"/>
      <c r="H71" s="4628"/>
      <c r="I71" s="4628"/>
      <c r="J71" s="4628"/>
      <c r="K71" s="4628"/>
      <c r="L71" s="2258" t="s">
        <v>895</v>
      </c>
      <c r="M71" s="2083"/>
    </row>
    <row r="72" spans="1:30" s="1191" customFormat="1" ht="18.75" customHeight="1">
      <c r="B72" s="2745" t="s">
        <v>896</v>
      </c>
      <c r="C72" s="1274"/>
      <c r="D72" s="2032"/>
      <c r="E72" s="2032"/>
      <c r="F72" s="4628" t="s">
        <v>897</v>
      </c>
      <c r="G72" s="4628"/>
      <c r="H72" s="4628"/>
      <c r="I72" s="4628"/>
      <c r="J72" s="4628"/>
      <c r="K72" s="4628"/>
      <c r="L72" s="2258" t="s">
        <v>898</v>
      </c>
      <c r="M72" s="1268"/>
    </row>
    <row r="73" spans="1:30" s="1191" customFormat="1" ht="18.75" customHeight="1">
      <c r="B73" s="2746" t="s">
        <v>899</v>
      </c>
      <c r="C73" s="2746"/>
      <c r="D73" s="2746"/>
      <c r="E73" s="2746"/>
      <c r="F73" s="4628" t="s">
        <v>900</v>
      </c>
      <c r="G73" s="4628"/>
      <c r="H73" s="4628"/>
      <c r="I73" s="4628"/>
      <c r="J73" s="4628"/>
      <c r="K73" s="4628"/>
      <c r="L73" s="2258" t="s">
        <v>901</v>
      </c>
      <c r="M73" s="1275"/>
    </row>
    <row r="74" spans="1:30" s="1191" customFormat="1" ht="18.75" customHeight="1">
      <c r="B74" s="2746" t="s">
        <v>902</v>
      </c>
      <c r="C74" s="2746"/>
      <c r="D74" s="2746"/>
      <c r="E74" s="2746"/>
      <c r="F74" s="4628" t="s">
        <v>903</v>
      </c>
      <c r="G74" s="4628"/>
      <c r="H74" s="4628"/>
      <c r="I74" s="4628"/>
      <c r="J74" s="4628"/>
      <c r="K74" s="4628"/>
      <c r="L74" s="2744"/>
      <c r="M74" s="2744"/>
      <c r="O74" s="2747"/>
      <c r="P74" s="2748"/>
      <c r="Q74" s="2747"/>
      <c r="R74" s="2747"/>
      <c r="S74" s="2747"/>
      <c r="T74" s="2749"/>
      <c r="U74" s="2749"/>
      <c r="V74" s="2750"/>
      <c r="W74" s="2751"/>
      <c r="X74" s="2751"/>
      <c r="Y74" s="2752"/>
      <c r="Z74" s="2752"/>
      <c r="AA74" s="2753"/>
      <c r="AB74" s="2754"/>
      <c r="AC74" s="1849"/>
      <c r="AD74" s="2752"/>
    </row>
    <row r="75" spans="1:30" s="1191" customFormat="1" ht="18.75" customHeight="1">
      <c r="B75" s="2746" t="s">
        <v>904</v>
      </c>
      <c r="C75" s="2746"/>
      <c r="D75" s="2746"/>
      <c r="E75" s="2746"/>
      <c r="F75" s="4628" t="s">
        <v>905</v>
      </c>
      <c r="G75" s="4628"/>
      <c r="H75" s="4628"/>
      <c r="I75" s="4628"/>
      <c r="J75" s="4628"/>
      <c r="K75" s="4628"/>
      <c r="L75" s="2744"/>
      <c r="M75" s="2744"/>
      <c r="O75" s="2747"/>
      <c r="P75" s="2748"/>
      <c r="Q75" s="2747"/>
      <c r="R75" s="2747"/>
      <c r="S75" s="2747"/>
      <c r="T75" s="2749"/>
      <c r="U75" s="2749"/>
      <c r="V75" s="2750"/>
      <c r="W75" s="2751"/>
      <c r="X75" s="2751"/>
      <c r="Y75" s="2752"/>
      <c r="Z75" s="2752"/>
      <c r="AA75" s="2753"/>
      <c r="AB75" s="2754"/>
      <c r="AC75" s="1849"/>
      <c r="AD75" s="2752"/>
    </row>
    <row r="76" spans="1:30" s="1191" customFormat="1" ht="18.75" customHeight="1">
      <c r="B76" s="2746" t="s">
        <v>906</v>
      </c>
      <c r="C76" s="2746"/>
      <c r="D76" s="2746"/>
      <c r="E76" s="2746"/>
      <c r="F76" s="4867" t="s">
        <v>907</v>
      </c>
      <c r="G76" s="4867"/>
      <c r="H76" s="4867"/>
      <c r="I76" s="4867"/>
      <c r="J76" s="4867"/>
      <c r="K76" s="4867"/>
      <c r="L76" s="2755"/>
      <c r="M76" s="2755"/>
      <c r="O76" s="2756"/>
      <c r="P76" s="2757"/>
      <c r="Q76" s="2758"/>
      <c r="R76" s="2758"/>
      <c r="S76" s="2758"/>
      <c r="T76" s="2759"/>
      <c r="U76" s="2759"/>
      <c r="V76" s="2760"/>
      <c r="W76" s="2761"/>
      <c r="X76" s="2761"/>
      <c r="Y76" s="2762"/>
      <c r="Z76" s="2757"/>
      <c r="AA76" s="2757"/>
      <c r="AB76" s="2763"/>
      <c r="AC76" s="2264"/>
      <c r="AD76" s="2757"/>
    </row>
    <row r="77" spans="1:30" s="1191" customFormat="1" ht="18.75" customHeight="1">
      <c r="B77" s="2746" t="s">
        <v>908</v>
      </c>
      <c r="C77" s="2746"/>
      <c r="D77" s="2746"/>
      <c r="E77" s="2746"/>
      <c r="F77" s="4867" t="s">
        <v>909</v>
      </c>
      <c r="G77" s="4867"/>
      <c r="H77" s="4867"/>
      <c r="I77" s="4867"/>
      <c r="J77" s="4867"/>
      <c r="K77" s="4867"/>
      <c r="L77" s="2755"/>
      <c r="M77" s="2755"/>
      <c r="O77" s="2756"/>
      <c r="Q77" s="2758"/>
      <c r="R77" s="2758"/>
      <c r="S77" s="2758"/>
      <c r="T77" s="2759"/>
      <c r="U77" s="2759"/>
      <c r="V77" s="2760"/>
      <c r="W77" s="2761"/>
      <c r="X77" s="2761"/>
      <c r="Y77" s="2762"/>
      <c r="Z77" s="2757"/>
      <c r="AA77" s="2757"/>
      <c r="AB77" s="2763"/>
      <c r="AC77" s="2264"/>
      <c r="AD77" s="2757"/>
    </row>
    <row r="78" spans="1:30" s="1191" customFormat="1" ht="18.75" customHeight="1">
      <c r="B78" s="2746" t="s">
        <v>910</v>
      </c>
      <c r="C78" s="2746"/>
      <c r="D78" s="2746"/>
      <c r="E78" s="2746"/>
      <c r="F78" s="2764"/>
      <c r="G78" s="4419"/>
      <c r="H78" s="4419"/>
      <c r="I78" s="4419"/>
      <c r="J78" s="4419"/>
      <c r="K78" s="4419"/>
      <c r="L78" s="4419"/>
      <c r="M78" s="4419"/>
      <c r="O78" s="2756"/>
      <c r="Q78" s="2758"/>
      <c r="R78" s="2758"/>
      <c r="S78" s="2758"/>
      <c r="T78" s="2759"/>
      <c r="U78" s="2759"/>
      <c r="V78" s="2760"/>
      <c r="W78" s="2761"/>
      <c r="X78" s="2761"/>
      <c r="Y78" s="2762"/>
      <c r="Z78" s="2757"/>
      <c r="AA78" s="2757"/>
      <c r="AB78" s="2763"/>
      <c r="AC78" s="2264"/>
      <c r="AD78" s="2757"/>
    </row>
    <row r="79" spans="1:30" ht="18.75" customHeight="1">
      <c r="B79" s="2745" t="s">
        <v>911</v>
      </c>
      <c r="C79" s="1850"/>
      <c r="D79" s="1850"/>
      <c r="E79" s="1850"/>
      <c r="F79" s="4628" t="s">
        <v>912</v>
      </c>
      <c r="G79" s="4628"/>
      <c r="H79" s="4628"/>
      <c r="I79" s="4628"/>
      <c r="J79" s="4628"/>
      <c r="K79" s="4628"/>
      <c r="L79" s="2258" t="s">
        <v>913</v>
      </c>
      <c r="M79" s="2158"/>
      <c r="O79" s="2760"/>
      <c r="P79" s="2762"/>
      <c r="Q79" s="2758"/>
      <c r="R79" s="2758"/>
      <c r="S79" s="2758"/>
      <c r="T79" s="2759"/>
      <c r="U79" s="2759"/>
      <c r="V79" s="2760"/>
      <c r="W79" s="2761"/>
      <c r="X79" s="2761"/>
      <c r="Y79" s="2762"/>
      <c r="Z79" s="2757"/>
      <c r="AA79" s="2757"/>
      <c r="AB79" s="2763"/>
      <c r="AC79" s="2264"/>
      <c r="AD79" s="2757"/>
    </row>
    <row r="80" spans="1:30" ht="18.75" customHeight="1">
      <c r="B80" s="4380" t="s">
        <v>914</v>
      </c>
      <c r="C80" s="1850"/>
      <c r="D80" s="1850"/>
      <c r="E80" s="1850"/>
      <c r="F80" s="4628" t="s">
        <v>915</v>
      </c>
      <c r="G80" s="4628"/>
      <c r="H80" s="4628"/>
      <c r="I80" s="4628"/>
      <c r="J80" s="4628"/>
      <c r="K80" s="4628"/>
      <c r="L80" s="2258" t="s">
        <v>916</v>
      </c>
      <c r="M80" s="2158"/>
    </row>
    <row r="81" spans="1:13" ht="18.75" customHeight="1">
      <c r="A81" s="1801"/>
      <c r="B81" s="4380" t="s">
        <v>917</v>
      </c>
      <c r="C81" s="1850"/>
      <c r="D81" s="1850"/>
      <c r="E81" s="1850"/>
      <c r="F81" s="4628" t="s">
        <v>918</v>
      </c>
      <c r="G81" s="4628"/>
      <c r="H81" s="4628"/>
      <c r="I81" s="4628"/>
      <c r="J81" s="4628"/>
      <c r="K81" s="4628"/>
      <c r="L81" s="2258" t="s">
        <v>919</v>
      </c>
      <c r="M81" s="2158"/>
    </row>
    <row r="82" spans="1:13" ht="18.75" customHeight="1">
      <c r="B82" s="2745" t="s">
        <v>920</v>
      </c>
      <c r="C82" s="1850"/>
      <c r="D82" s="1850"/>
      <c r="E82" s="1850"/>
      <c r="F82" s="4628" t="s">
        <v>921</v>
      </c>
      <c r="G82" s="4628"/>
      <c r="H82" s="4628"/>
      <c r="I82" s="4628"/>
      <c r="J82" s="4628"/>
      <c r="K82" s="4628"/>
      <c r="L82" s="2258" t="s">
        <v>922</v>
      </c>
      <c r="M82" s="2158"/>
    </row>
    <row r="83" spans="1:13" ht="17.100000000000001" customHeight="1">
      <c r="B83" s="1463"/>
      <c r="C83" s="1398"/>
      <c r="D83" s="1398"/>
      <c r="E83" s="1398"/>
      <c r="F83" s="4868"/>
      <c r="G83" s="4868"/>
      <c r="H83" s="4868"/>
      <c r="I83" s="4868"/>
      <c r="J83" s="4868"/>
      <c r="K83" s="4868"/>
      <c r="L83" s="2765"/>
      <c r="M83" s="2766"/>
    </row>
    <row r="85" spans="1:13">
      <c r="D85" s="1760"/>
      <c r="E85" s="1760"/>
      <c r="F85" s="1760"/>
      <c r="G85" s="1760"/>
    </row>
    <row r="86" spans="1:13">
      <c r="C86" s="1760"/>
      <c r="D86" s="1760"/>
      <c r="E86" s="1760"/>
      <c r="F86" s="1760"/>
      <c r="G86" s="1760"/>
      <c r="H86" s="1760"/>
      <c r="I86" s="1760"/>
      <c r="J86" s="1760"/>
      <c r="L86" s="1760"/>
    </row>
    <row r="87" spans="1:13">
      <c r="C87" s="1760"/>
      <c r="D87" s="1760"/>
      <c r="E87" s="1760"/>
      <c r="F87" s="1760"/>
      <c r="G87" s="1760"/>
      <c r="H87" s="1760"/>
      <c r="I87" s="1760"/>
      <c r="J87" s="1760"/>
      <c r="L87" s="1760"/>
    </row>
    <row r="88" spans="1:13">
      <c r="C88" s="1760"/>
      <c r="D88" s="1760"/>
      <c r="E88" s="1760"/>
      <c r="F88" s="1760"/>
      <c r="G88" s="1760"/>
      <c r="H88" s="1760"/>
      <c r="I88" s="1760"/>
      <c r="J88" s="1760"/>
      <c r="L88" s="1760"/>
    </row>
    <row r="89" spans="1:13">
      <c r="C89" s="1760"/>
      <c r="D89" s="1760"/>
      <c r="E89" s="1760"/>
      <c r="F89" s="1760"/>
      <c r="G89" s="1760"/>
      <c r="H89" s="1760"/>
      <c r="I89" s="1760"/>
      <c r="J89" s="1760"/>
      <c r="L89" s="1760"/>
    </row>
    <row r="90" spans="1:13">
      <c r="C90" s="1760"/>
      <c r="D90" s="1760"/>
      <c r="E90" s="1760"/>
      <c r="F90" s="1760"/>
      <c r="G90" s="1760"/>
      <c r="H90" s="1760"/>
      <c r="I90" s="1760"/>
      <c r="J90" s="1760"/>
      <c r="L90" s="1760"/>
    </row>
    <row r="91" spans="1:13">
      <c r="C91" s="1760"/>
      <c r="D91" s="1760"/>
      <c r="E91" s="1760"/>
      <c r="F91" s="1760"/>
      <c r="G91" s="1760"/>
      <c r="H91" s="1760"/>
      <c r="I91" s="1760"/>
      <c r="J91" s="1760"/>
      <c r="L91" s="1760"/>
    </row>
    <row r="92" spans="1:13">
      <c r="C92" s="1760"/>
      <c r="D92" s="1760"/>
      <c r="E92" s="1760"/>
      <c r="F92" s="1760"/>
      <c r="G92" s="1760"/>
      <c r="H92" s="1760"/>
      <c r="I92" s="1760"/>
      <c r="J92" s="1760"/>
      <c r="L92" s="1760"/>
    </row>
    <row r="93" spans="1:13">
      <c r="C93" s="1760"/>
      <c r="D93" s="1760"/>
      <c r="E93" s="1760"/>
      <c r="F93" s="1760"/>
      <c r="G93" s="1760"/>
      <c r="H93" s="1760"/>
      <c r="I93" s="1760"/>
      <c r="J93" s="1760"/>
      <c r="L93" s="1760"/>
    </row>
    <row r="94" spans="1:13">
      <c r="C94" s="1760"/>
      <c r="D94" s="1760"/>
      <c r="E94" s="1760"/>
      <c r="F94" s="1760"/>
      <c r="G94" s="1760"/>
      <c r="H94" s="1760"/>
      <c r="I94" s="1760"/>
      <c r="J94" s="1760"/>
      <c r="L94" s="1760"/>
    </row>
    <row r="95" spans="1:13">
      <c r="C95" s="1760"/>
      <c r="D95" s="1760"/>
      <c r="E95" s="1760"/>
      <c r="F95" s="1760"/>
      <c r="G95" s="1760"/>
      <c r="H95" s="1760"/>
      <c r="I95" s="1760"/>
      <c r="J95" s="1760"/>
      <c r="L95" s="1760"/>
    </row>
    <row r="96" spans="1:13">
      <c r="C96" s="1760"/>
      <c r="D96" s="1760"/>
      <c r="E96" s="1760"/>
      <c r="F96" s="1760"/>
      <c r="G96" s="1760"/>
      <c r="H96" s="1760"/>
      <c r="I96" s="1760"/>
      <c r="J96" s="1760"/>
      <c r="L96" s="1760"/>
    </row>
    <row r="97" spans="3:12">
      <c r="C97" s="1760"/>
      <c r="D97" s="1760"/>
      <c r="E97" s="1760"/>
      <c r="F97" s="1760"/>
      <c r="G97" s="1760"/>
      <c r="H97" s="1760"/>
      <c r="I97" s="1760"/>
      <c r="J97" s="1760"/>
      <c r="L97" s="1760"/>
    </row>
    <row r="98" spans="3:12">
      <c r="C98" s="1760"/>
      <c r="D98" s="1760"/>
      <c r="E98" s="1760"/>
      <c r="F98" s="1760"/>
      <c r="G98" s="1760"/>
      <c r="H98" s="1760"/>
      <c r="I98" s="1760"/>
      <c r="J98" s="1760"/>
      <c r="L98" s="1760"/>
    </row>
    <row r="99" spans="3:12">
      <c r="C99" s="1760"/>
      <c r="D99" s="1760"/>
      <c r="E99" s="1760"/>
      <c r="F99" s="1760"/>
      <c r="G99" s="1760"/>
      <c r="H99" s="1760"/>
      <c r="I99" s="1760"/>
      <c r="J99" s="1760"/>
      <c r="L99" s="1760"/>
    </row>
    <row r="100" spans="3:12">
      <c r="C100" s="1760"/>
      <c r="D100" s="1760"/>
      <c r="E100" s="1760"/>
      <c r="F100" s="1760"/>
      <c r="G100" s="1760"/>
      <c r="H100" s="1760"/>
      <c r="I100" s="1760"/>
      <c r="J100" s="1760"/>
      <c r="L100" s="1760"/>
    </row>
    <row r="101" spans="3:12">
      <c r="C101" s="1760"/>
      <c r="D101" s="1760"/>
      <c r="E101" s="1760"/>
      <c r="F101" s="1760"/>
      <c r="G101" s="1760"/>
      <c r="H101" s="1760"/>
      <c r="I101" s="1760"/>
      <c r="J101" s="1760"/>
      <c r="L101" s="1760"/>
    </row>
    <row r="102" spans="3:12">
      <c r="C102" s="1760"/>
      <c r="D102" s="1760"/>
      <c r="E102" s="1760"/>
      <c r="F102" s="1760"/>
      <c r="G102" s="1760"/>
      <c r="H102" s="1760"/>
      <c r="I102" s="1760"/>
      <c r="J102" s="1760"/>
      <c r="L102" s="1760"/>
    </row>
    <row r="103" spans="3:12">
      <c r="C103" s="1760"/>
      <c r="D103" s="1760"/>
      <c r="E103" s="1760"/>
      <c r="F103" s="1760"/>
      <c r="G103" s="1760"/>
      <c r="H103" s="1760"/>
      <c r="I103" s="1760"/>
      <c r="J103" s="1760"/>
      <c r="L103" s="1760"/>
    </row>
    <row r="104" spans="3:12">
      <c r="C104" s="1760"/>
      <c r="D104" s="1760"/>
      <c r="E104" s="1760"/>
      <c r="F104" s="1760"/>
      <c r="G104" s="1760"/>
      <c r="H104" s="1760"/>
      <c r="I104" s="1760"/>
      <c r="J104" s="1760"/>
      <c r="L104" s="1760"/>
    </row>
    <row r="105" spans="3:12">
      <c r="C105" s="1760"/>
      <c r="D105" s="1760"/>
      <c r="E105" s="1760"/>
      <c r="F105" s="1760"/>
      <c r="G105" s="1760"/>
      <c r="H105" s="1760"/>
      <c r="I105" s="1760"/>
      <c r="J105" s="1760"/>
      <c r="L105" s="1760"/>
    </row>
    <row r="106" spans="3:12">
      <c r="C106" s="1760"/>
      <c r="D106" s="1760"/>
      <c r="E106" s="1760"/>
      <c r="F106" s="1760"/>
      <c r="G106" s="1760"/>
      <c r="H106" s="1760"/>
      <c r="I106" s="1760"/>
      <c r="J106" s="1760"/>
      <c r="L106" s="1760"/>
    </row>
    <row r="107" spans="3:12">
      <c r="C107" s="1760"/>
      <c r="D107" s="1760"/>
      <c r="E107" s="1760"/>
      <c r="F107" s="1760"/>
      <c r="G107" s="1760"/>
      <c r="H107" s="1760"/>
      <c r="I107" s="1760"/>
      <c r="J107" s="1760"/>
      <c r="L107" s="1760"/>
    </row>
    <row r="108" spans="3:12">
      <c r="C108" s="1760"/>
      <c r="D108" s="1760"/>
      <c r="E108" s="1760"/>
      <c r="F108" s="1760"/>
      <c r="G108" s="1760"/>
      <c r="H108" s="1760"/>
      <c r="I108" s="1760"/>
      <c r="J108" s="1760"/>
      <c r="L108" s="1760"/>
    </row>
    <row r="109" spans="3:12">
      <c r="C109" s="1760"/>
      <c r="D109" s="1760"/>
      <c r="E109" s="1760"/>
      <c r="F109" s="1760"/>
      <c r="G109" s="1760"/>
      <c r="H109" s="1760"/>
      <c r="I109" s="1760"/>
      <c r="J109" s="1760"/>
      <c r="L109" s="1760"/>
    </row>
    <row r="110" spans="3:12">
      <c r="C110" s="1760"/>
      <c r="D110" s="1760"/>
      <c r="E110" s="1760"/>
      <c r="F110" s="1760"/>
      <c r="G110" s="1760"/>
      <c r="H110" s="1760"/>
      <c r="I110" s="1760"/>
      <c r="J110" s="1760"/>
      <c r="L110" s="1760"/>
    </row>
    <row r="111" spans="3:12">
      <c r="C111" s="1760"/>
      <c r="D111" s="1760"/>
      <c r="E111" s="1760"/>
      <c r="F111" s="1760"/>
      <c r="G111" s="1760"/>
      <c r="H111" s="1760"/>
      <c r="I111" s="1760"/>
      <c r="J111" s="1760"/>
      <c r="L111" s="1760"/>
    </row>
    <row r="112" spans="3:12">
      <c r="C112" s="1760"/>
      <c r="D112" s="1760"/>
      <c r="E112" s="1760"/>
      <c r="F112" s="1760"/>
      <c r="G112" s="1760"/>
      <c r="H112" s="1760"/>
      <c r="I112" s="1760"/>
      <c r="J112" s="1760"/>
      <c r="L112" s="1760"/>
    </row>
    <row r="113" spans="3:12">
      <c r="C113" s="1760"/>
      <c r="D113" s="1760"/>
      <c r="E113" s="1760"/>
      <c r="F113" s="1760"/>
      <c r="G113" s="1760"/>
      <c r="H113" s="1760"/>
      <c r="I113" s="1760"/>
      <c r="J113" s="1760"/>
      <c r="L113" s="1760"/>
    </row>
    <row r="114" spans="3:12">
      <c r="C114" s="1760"/>
      <c r="D114" s="1760"/>
      <c r="E114" s="1760"/>
      <c r="F114" s="1760"/>
      <c r="G114" s="1760"/>
      <c r="H114" s="1760"/>
      <c r="I114" s="1760"/>
      <c r="J114" s="1760"/>
      <c r="L114" s="1760"/>
    </row>
    <row r="115" spans="3:12">
      <c r="C115" s="1760"/>
      <c r="D115" s="1760"/>
      <c r="E115" s="1760"/>
      <c r="F115" s="1760"/>
      <c r="G115" s="1760"/>
      <c r="H115" s="1760"/>
      <c r="I115" s="1760"/>
      <c r="J115" s="1760"/>
      <c r="L115" s="1760"/>
    </row>
    <row r="116" spans="3:12">
      <c r="C116" s="1760"/>
      <c r="D116" s="1760"/>
      <c r="E116" s="1760"/>
      <c r="F116" s="1760"/>
      <c r="G116" s="1760"/>
      <c r="H116" s="1760"/>
      <c r="I116" s="1760"/>
      <c r="J116" s="1760"/>
      <c r="L116" s="1760"/>
    </row>
    <row r="117" spans="3:12">
      <c r="C117" s="1760"/>
      <c r="D117" s="1760"/>
      <c r="E117" s="1760"/>
      <c r="F117" s="1760"/>
      <c r="G117" s="1760"/>
      <c r="H117" s="1760"/>
      <c r="I117" s="1760"/>
      <c r="J117" s="1760"/>
      <c r="L117" s="1760"/>
    </row>
    <row r="118" spans="3:12">
      <c r="C118" s="1760"/>
      <c r="D118" s="1760"/>
      <c r="E118" s="1760"/>
      <c r="F118" s="1760"/>
      <c r="G118" s="1760"/>
      <c r="H118" s="1760"/>
      <c r="I118" s="1760"/>
      <c r="J118" s="1760"/>
      <c r="L118" s="1760"/>
    </row>
    <row r="119" spans="3:12">
      <c r="C119" s="1760"/>
      <c r="D119" s="1760"/>
      <c r="E119" s="1760"/>
      <c r="F119" s="1760"/>
      <c r="G119" s="1760"/>
      <c r="H119" s="1760"/>
      <c r="I119" s="1760"/>
      <c r="J119" s="1760"/>
      <c r="L119" s="1760"/>
    </row>
    <row r="120" spans="3:12">
      <c r="C120" s="1760"/>
      <c r="D120" s="1760"/>
      <c r="E120" s="1760"/>
      <c r="F120" s="1760"/>
      <c r="G120" s="1760"/>
      <c r="H120" s="1760"/>
      <c r="I120" s="1760"/>
      <c r="J120" s="1760"/>
      <c r="L120" s="1760"/>
    </row>
    <row r="121" spans="3:12">
      <c r="C121" s="1760"/>
      <c r="D121" s="1760"/>
      <c r="E121" s="1760"/>
      <c r="F121" s="1760"/>
      <c r="G121" s="1760"/>
      <c r="H121" s="1760"/>
      <c r="I121" s="1760"/>
      <c r="J121" s="1760"/>
      <c r="L121" s="1760"/>
    </row>
    <row r="122" spans="3:12">
      <c r="C122" s="1760"/>
      <c r="D122" s="1760"/>
      <c r="E122" s="1760"/>
      <c r="F122" s="1760"/>
      <c r="G122" s="1760"/>
      <c r="H122" s="1760"/>
      <c r="I122" s="1760"/>
      <c r="J122" s="1760"/>
      <c r="L122" s="1760"/>
    </row>
    <row r="123" spans="3:12">
      <c r="C123" s="1760"/>
      <c r="D123" s="1760"/>
      <c r="E123" s="1760"/>
      <c r="F123" s="1760"/>
      <c r="G123" s="1760"/>
      <c r="H123" s="1760"/>
      <c r="I123" s="1760"/>
      <c r="J123" s="1760"/>
      <c r="L123" s="1760"/>
    </row>
    <row r="124" spans="3:12">
      <c r="C124" s="1760"/>
      <c r="D124" s="1760"/>
      <c r="E124" s="1760"/>
      <c r="F124" s="1760"/>
      <c r="G124" s="1760"/>
      <c r="H124" s="1760"/>
      <c r="I124" s="1760"/>
      <c r="J124" s="1760"/>
      <c r="L124" s="1760"/>
    </row>
    <row r="125" spans="3:12">
      <c r="C125" s="1760"/>
      <c r="D125" s="1760"/>
      <c r="E125" s="1760"/>
      <c r="F125" s="1760"/>
      <c r="G125" s="1760"/>
      <c r="H125" s="1760"/>
      <c r="I125" s="1760"/>
      <c r="J125" s="1760"/>
      <c r="L125" s="1760"/>
    </row>
    <row r="126" spans="3:12">
      <c r="C126" s="1760"/>
      <c r="D126" s="1760"/>
      <c r="E126" s="1760"/>
      <c r="F126" s="1760"/>
      <c r="G126" s="1760"/>
      <c r="H126" s="1760"/>
      <c r="I126" s="1760"/>
      <c r="J126" s="1760"/>
      <c r="L126" s="1760"/>
    </row>
    <row r="127" spans="3:12">
      <c r="C127" s="1760"/>
      <c r="D127" s="1760"/>
      <c r="E127" s="1760"/>
      <c r="F127" s="1760"/>
      <c r="G127" s="1760"/>
      <c r="H127" s="1760"/>
      <c r="I127" s="1760"/>
      <c r="J127" s="1760"/>
      <c r="L127" s="1760"/>
    </row>
    <row r="128" spans="3:12">
      <c r="C128" s="1760"/>
      <c r="D128" s="1760"/>
      <c r="E128" s="1760"/>
      <c r="F128" s="1760"/>
      <c r="G128" s="1760"/>
      <c r="H128" s="1760"/>
      <c r="I128" s="1760"/>
      <c r="J128" s="1760"/>
      <c r="L128" s="1760"/>
    </row>
    <row r="129" spans="3:12">
      <c r="C129" s="1760"/>
      <c r="D129" s="1760"/>
      <c r="E129" s="1760"/>
      <c r="F129" s="1760"/>
      <c r="G129" s="1760"/>
      <c r="H129" s="1760"/>
      <c r="I129" s="1760"/>
      <c r="J129" s="1760"/>
      <c r="L129" s="1760"/>
    </row>
    <row r="130" spans="3:12">
      <c r="C130" s="1760"/>
      <c r="D130" s="1760"/>
      <c r="E130" s="1760"/>
      <c r="F130" s="1760"/>
      <c r="G130" s="1760"/>
      <c r="H130" s="1760"/>
      <c r="I130" s="1760"/>
      <c r="J130" s="1760"/>
      <c r="L130" s="1760"/>
    </row>
    <row r="131" spans="3:12">
      <c r="C131" s="1760"/>
      <c r="D131" s="1760"/>
      <c r="E131" s="1760"/>
      <c r="F131" s="1760"/>
      <c r="G131" s="1760"/>
      <c r="H131" s="1760"/>
      <c r="I131" s="1760"/>
      <c r="J131" s="1760"/>
      <c r="L131" s="1760"/>
    </row>
    <row r="132" spans="3:12">
      <c r="C132" s="1760"/>
      <c r="D132" s="1760"/>
      <c r="E132" s="1760"/>
      <c r="F132" s="1760"/>
      <c r="G132" s="1760"/>
      <c r="H132" s="1760"/>
      <c r="I132" s="1760"/>
      <c r="J132" s="1760"/>
      <c r="L132" s="1760"/>
    </row>
    <row r="133" spans="3:12">
      <c r="C133" s="1760"/>
      <c r="D133" s="1760"/>
      <c r="E133" s="1760"/>
      <c r="F133" s="1760"/>
      <c r="G133" s="1760"/>
      <c r="H133" s="1760"/>
      <c r="I133" s="1760"/>
      <c r="J133" s="1760"/>
      <c r="L133" s="1760"/>
    </row>
    <row r="134" spans="3:12">
      <c r="C134" s="1760"/>
      <c r="D134" s="1760"/>
      <c r="E134" s="1760"/>
      <c r="F134" s="1760"/>
      <c r="G134" s="1760"/>
      <c r="H134" s="1760"/>
      <c r="I134" s="1760"/>
      <c r="J134" s="1760"/>
      <c r="L134" s="1760"/>
    </row>
    <row r="135" spans="3:12">
      <c r="C135" s="1760"/>
      <c r="D135" s="1760"/>
      <c r="E135" s="1760"/>
      <c r="F135" s="1760"/>
      <c r="G135" s="1760"/>
      <c r="H135" s="1760"/>
      <c r="I135" s="1760"/>
      <c r="J135" s="1760"/>
      <c r="L135" s="1760"/>
    </row>
    <row r="136" spans="3:12">
      <c r="C136" s="1760"/>
      <c r="D136" s="1760"/>
      <c r="E136" s="1760"/>
      <c r="F136" s="1760"/>
      <c r="G136" s="1760"/>
      <c r="H136" s="1760"/>
      <c r="I136" s="1760"/>
      <c r="J136" s="1760"/>
      <c r="L136" s="1760"/>
    </row>
    <row r="137" spans="3:12">
      <c r="C137" s="1760"/>
      <c r="D137" s="1760"/>
      <c r="E137" s="1760"/>
      <c r="F137" s="1760"/>
      <c r="G137" s="1760"/>
      <c r="H137" s="1760"/>
      <c r="I137" s="1760"/>
      <c r="J137" s="1760"/>
      <c r="L137" s="1760"/>
    </row>
    <row r="138" spans="3:12">
      <c r="C138" s="1760"/>
      <c r="D138" s="1760"/>
      <c r="E138" s="1760"/>
      <c r="F138" s="1760"/>
      <c r="G138" s="1760"/>
      <c r="H138" s="1760"/>
      <c r="I138" s="1760"/>
      <c r="J138" s="1760"/>
      <c r="L138" s="1760"/>
    </row>
    <row r="139" spans="3:12">
      <c r="C139" s="1760"/>
      <c r="D139" s="1760"/>
      <c r="E139" s="1760"/>
      <c r="F139" s="1760"/>
      <c r="G139" s="1760"/>
      <c r="H139" s="1760"/>
      <c r="I139" s="1760"/>
      <c r="J139" s="1760"/>
      <c r="L139" s="1760"/>
    </row>
    <row r="140" spans="3:12">
      <c r="C140" s="1760"/>
      <c r="D140" s="1760"/>
      <c r="E140" s="1760"/>
      <c r="F140" s="1760"/>
      <c r="G140" s="1760"/>
      <c r="H140" s="1760"/>
      <c r="I140" s="1760"/>
      <c r="J140" s="1760"/>
      <c r="L140" s="1760"/>
    </row>
    <row r="141" spans="3:12">
      <c r="C141" s="1760"/>
      <c r="D141" s="1760"/>
      <c r="E141" s="1760"/>
      <c r="F141" s="1760"/>
      <c r="G141" s="1760"/>
      <c r="H141" s="1760"/>
      <c r="I141" s="1760"/>
      <c r="J141" s="1760"/>
      <c r="L141" s="1760"/>
    </row>
    <row r="142" spans="3:12">
      <c r="C142" s="1760"/>
      <c r="D142" s="1760"/>
      <c r="E142" s="1760"/>
      <c r="F142" s="1760"/>
      <c r="G142" s="1760"/>
      <c r="H142" s="1760"/>
      <c r="I142" s="1760"/>
      <c r="J142" s="1760"/>
      <c r="L142" s="1760"/>
    </row>
    <row r="143" spans="3:12">
      <c r="C143" s="1760"/>
      <c r="D143" s="1760"/>
      <c r="E143" s="1760"/>
      <c r="F143" s="1760"/>
      <c r="G143" s="1760"/>
      <c r="H143" s="1760"/>
      <c r="I143" s="1760"/>
      <c r="J143" s="1760"/>
      <c r="L143" s="1760"/>
    </row>
    <row r="144" spans="3:12">
      <c r="C144" s="1760"/>
      <c r="D144" s="1760"/>
      <c r="E144" s="1760"/>
      <c r="F144" s="1760"/>
      <c r="G144" s="1760"/>
      <c r="H144" s="1760"/>
      <c r="I144" s="1760"/>
      <c r="J144" s="1760"/>
      <c r="L144" s="1760"/>
    </row>
    <row r="145" spans="3:12">
      <c r="C145" s="1760"/>
      <c r="D145" s="1760"/>
      <c r="E145" s="1760"/>
      <c r="F145" s="1760"/>
      <c r="G145" s="1760"/>
      <c r="H145" s="1760"/>
      <c r="I145" s="1760"/>
      <c r="J145" s="1760"/>
      <c r="L145" s="1760"/>
    </row>
    <row r="146" spans="3:12">
      <c r="C146" s="1760"/>
      <c r="D146" s="1760"/>
      <c r="E146" s="1760"/>
      <c r="F146" s="1760"/>
      <c r="G146" s="1760"/>
      <c r="H146" s="1760"/>
      <c r="I146" s="1760"/>
      <c r="J146" s="1760"/>
      <c r="L146" s="1760"/>
    </row>
    <row r="147" spans="3:12">
      <c r="C147" s="1760"/>
      <c r="D147" s="1760"/>
      <c r="E147" s="1760"/>
      <c r="F147" s="1760"/>
      <c r="G147" s="1760"/>
      <c r="H147" s="1760"/>
      <c r="I147" s="1760"/>
      <c r="J147" s="1760"/>
      <c r="L147" s="1760"/>
    </row>
    <row r="148" spans="3:12">
      <c r="C148" s="1760"/>
      <c r="D148" s="1760"/>
      <c r="E148" s="1760"/>
      <c r="F148" s="1760"/>
      <c r="G148" s="1760"/>
      <c r="H148" s="1760"/>
      <c r="I148" s="1760"/>
      <c r="J148" s="1760"/>
      <c r="L148" s="1760"/>
    </row>
    <row r="149" spans="3:12">
      <c r="C149" s="1760"/>
      <c r="D149" s="1760"/>
      <c r="E149" s="1760"/>
      <c r="F149" s="1760"/>
      <c r="G149" s="1760"/>
      <c r="H149" s="1760"/>
      <c r="I149" s="1760"/>
      <c r="J149" s="1760"/>
      <c r="L149" s="1760"/>
    </row>
    <row r="150" spans="3:12">
      <c r="C150" s="1760"/>
      <c r="D150" s="1760"/>
      <c r="E150" s="1760"/>
      <c r="F150" s="1760"/>
      <c r="G150" s="1760"/>
      <c r="H150" s="1760"/>
      <c r="I150" s="1760"/>
      <c r="J150" s="1760"/>
      <c r="L150" s="1760"/>
    </row>
    <row r="151" spans="3:12">
      <c r="C151" s="1760"/>
      <c r="D151" s="1760"/>
      <c r="E151" s="1760"/>
      <c r="F151" s="1760"/>
      <c r="G151" s="1760"/>
      <c r="H151" s="1760"/>
      <c r="I151" s="1760"/>
      <c r="J151" s="1760"/>
      <c r="L151" s="1760"/>
    </row>
  </sheetData>
  <dataConsolidate/>
  <mergeCells count="137">
    <mergeCell ref="F76:K76"/>
    <mergeCell ref="F77:K77"/>
    <mergeCell ref="F79:K79"/>
    <mergeCell ref="F80:K80"/>
    <mergeCell ref="F81:K81"/>
    <mergeCell ref="F82:K82"/>
    <mergeCell ref="F83:K83"/>
    <mergeCell ref="I19:J19"/>
    <mergeCell ref="K19:M19"/>
    <mergeCell ref="I20:J20"/>
    <mergeCell ref="K20:M20"/>
    <mergeCell ref="I21:J21"/>
    <mergeCell ref="K21:M21"/>
    <mergeCell ref="I22:J22"/>
    <mergeCell ref="K22:M22"/>
    <mergeCell ref="I23:J23"/>
    <mergeCell ref="K23:M23"/>
    <mergeCell ref="K69:M69"/>
    <mergeCell ref="I67:J67"/>
    <mergeCell ref="K67:M67"/>
    <mergeCell ref="I68:J68"/>
    <mergeCell ref="K68:M68"/>
    <mergeCell ref="I69:J69"/>
    <mergeCell ref="J70:L70"/>
    <mergeCell ref="F71:K71"/>
    <mergeCell ref="F72:K72"/>
    <mergeCell ref="F73:K73"/>
    <mergeCell ref="F74:K74"/>
    <mergeCell ref="F75:K75"/>
    <mergeCell ref="I60:J60"/>
    <mergeCell ref="K60:M60"/>
    <mergeCell ref="I61:J61"/>
    <mergeCell ref="K61:M61"/>
    <mergeCell ref="I62:J62"/>
    <mergeCell ref="K62:M62"/>
    <mergeCell ref="I63:J63"/>
    <mergeCell ref="K63:M63"/>
    <mergeCell ref="I64:J64"/>
    <mergeCell ref="K64:M64"/>
    <mergeCell ref="I65:J65"/>
    <mergeCell ref="K65:M65"/>
    <mergeCell ref="I66:J66"/>
    <mergeCell ref="K66:M66"/>
    <mergeCell ref="I55:J55"/>
    <mergeCell ref="K55:M55"/>
    <mergeCell ref="I56:J56"/>
    <mergeCell ref="K56:M56"/>
    <mergeCell ref="I57:J57"/>
    <mergeCell ref="K57:M57"/>
    <mergeCell ref="I58:J58"/>
    <mergeCell ref="K58:M58"/>
    <mergeCell ref="I59:J59"/>
    <mergeCell ref="K59:M59"/>
    <mergeCell ref="I50:J50"/>
    <mergeCell ref="K50:M50"/>
    <mergeCell ref="I51:J51"/>
    <mergeCell ref="K51:M51"/>
    <mergeCell ref="I52:J52"/>
    <mergeCell ref="K52:M52"/>
    <mergeCell ref="I53:J53"/>
    <mergeCell ref="K53:M53"/>
    <mergeCell ref="I54:J54"/>
    <mergeCell ref="K54:M54"/>
    <mergeCell ref="I45:J45"/>
    <mergeCell ref="K45:M45"/>
    <mergeCell ref="I46:J46"/>
    <mergeCell ref="K46:M46"/>
    <mergeCell ref="I47:J47"/>
    <mergeCell ref="K47:M47"/>
    <mergeCell ref="I48:J48"/>
    <mergeCell ref="K48:M48"/>
    <mergeCell ref="I49:J49"/>
    <mergeCell ref="K49:M49"/>
    <mergeCell ref="I40:J40"/>
    <mergeCell ref="K40:M40"/>
    <mergeCell ref="I41:J41"/>
    <mergeCell ref="K41:M41"/>
    <mergeCell ref="I42:J42"/>
    <mergeCell ref="K42:M42"/>
    <mergeCell ref="I43:J43"/>
    <mergeCell ref="K43:M43"/>
    <mergeCell ref="I44:J44"/>
    <mergeCell ref="K44:M44"/>
    <mergeCell ref="I35:J35"/>
    <mergeCell ref="K35:M35"/>
    <mergeCell ref="I36:J36"/>
    <mergeCell ref="K36:M36"/>
    <mergeCell ref="I37:J37"/>
    <mergeCell ref="K37:M37"/>
    <mergeCell ref="I38:J38"/>
    <mergeCell ref="K38:M38"/>
    <mergeCell ref="I39:J39"/>
    <mergeCell ref="K39:M39"/>
    <mergeCell ref="I30:J30"/>
    <mergeCell ref="K30:M30"/>
    <mergeCell ref="I31:J31"/>
    <mergeCell ref="K31:M31"/>
    <mergeCell ref="I32:J32"/>
    <mergeCell ref="K32:M32"/>
    <mergeCell ref="I33:J33"/>
    <mergeCell ref="K33:M33"/>
    <mergeCell ref="I34:J34"/>
    <mergeCell ref="K34:M34"/>
    <mergeCell ref="I25:J25"/>
    <mergeCell ref="K25:M25"/>
    <mergeCell ref="I26:J26"/>
    <mergeCell ref="K26:M26"/>
    <mergeCell ref="I27:J27"/>
    <mergeCell ref="K27:M27"/>
    <mergeCell ref="I28:J28"/>
    <mergeCell ref="K28:M28"/>
    <mergeCell ref="I29:J29"/>
    <mergeCell ref="K29:M29"/>
    <mergeCell ref="I24:J24"/>
    <mergeCell ref="K24:M24"/>
    <mergeCell ref="B3:M3"/>
    <mergeCell ref="B4:L4"/>
    <mergeCell ref="D7:F7"/>
    <mergeCell ref="G7:J7"/>
    <mergeCell ref="D8:F8"/>
    <mergeCell ref="G8:J8"/>
    <mergeCell ref="K9:M9"/>
    <mergeCell ref="I10:J10"/>
    <mergeCell ref="K10:M10"/>
    <mergeCell ref="I12:J12"/>
    <mergeCell ref="I13:J13"/>
    <mergeCell ref="K13:M13"/>
    <mergeCell ref="I14:J14"/>
    <mergeCell ref="K14:M14"/>
    <mergeCell ref="I15:J15"/>
    <mergeCell ref="K15:M15"/>
    <mergeCell ref="I16:J16"/>
    <mergeCell ref="K16:M16"/>
    <mergeCell ref="I17:J17"/>
    <mergeCell ref="K17:M17"/>
    <mergeCell ref="I18:J18"/>
    <mergeCell ref="K18:M18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39" orientation="portrait" horizontalDpi="300" verticalDpi="300" r:id="rId1"/>
  <headerFooter alignWithMargins="0">
    <oddFooter>&amp;C&amp;"+,Regular"&amp;22-31-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G68"/>
  <sheetViews>
    <sheetView showGridLines="0" topLeftCell="A6" zoomScale="40" zoomScaleNormal="40" workbookViewId="0">
      <selection activeCell="J14" sqref="J14"/>
    </sheetView>
  </sheetViews>
  <sheetFormatPr defaultRowHeight="30" customHeight="1"/>
  <cols>
    <col min="1" max="2" width="9" style="1084"/>
    <col min="3" max="3" width="9.140625" style="1085" customWidth="1"/>
    <col min="4" max="4" width="122.42578125" style="1086" customWidth="1"/>
    <col min="5" max="5" width="8.85546875" style="1086" customWidth="1"/>
    <col min="6" max="6" width="5.5703125" style="1086" customWidth="1"/>
    <col min="7" max="7" width="11.7109375" style="1087" customWidth="1"/>
    <col min="8" max="259" width="9" style="1084"/>
    <col min="260" max="260" width="9.140625" style="1084" customWidth="1"/>
    <col min="261" max="261" width="102.42578125" style="1084" customWidth="1"/>
    <col min="262" max="262" width="4.85546875" style="1084" customWidth="1"/>
    <col min="263" max="263" width="18.7109375" style="1084" bestFit="1" customWidth="1"/>
    <col min="264" max="515" width="9" style="1084"/>
    <col min="516" max="516" width="9.140625" style="1084" customWidth="1"/>
    <col min="517" max="517" width="102.42578125" style="1084" customWidth="1"/>
    <col min="518" max="518" width="4.85546875" style="1084" customWidth="1"/>
    <col min="519" max="519" width="18.7109375" style="1084" bestFit="1" customWidth="1"/>
    <col min="520" max="771" width="9" style="1084"/>
    <col min="772" max="772" width="9.140625" style="1084" customWidth="1"/>
    <col min="773" max="773" width="102.42578125" style="1084" customWidth="1"/>
    <col min="774" max="774" width="4.85546875" style="1084" customWidth="1"/>
    <col min="775" max="775" width="18.7109375" style="1084" bestFit="1" customWidth="1"/>
    <col min="776" max="1027" width="9" style="1084"/>
    <col min="1028" max="1028" width="9.140625" style="1084" customWidth="1"/>
    <col min="1029" max="1029" width="102.42578125" style="1084" customWidth="1"/>
    <col min="1030" max="1030" width="4.85546875" style="1084" customWidth="1"/>
    <col min="1031" max="1031" width="18.7109375" style="1084" bestFit="1" customWidth="1"/>
    <col min="1032" max="1283" width="9" style="1084"/>
    <col min="1284" max="1284" width="9.140625" style="1084" customWidth="1"/>
    <col min="1285" max="1285" width="102.42578125" style="1084" customWidth="1"/>
    <col min="1286" max="1286" width="4.85546875" style="1084" customWidth="1"/>
    <col min="1287" max="1287" width="18.7109375" style="1084" bestFit="1" customWidth="1"/>
    <col min="1288" max="1539" width="9" style="1084"/>
    <col min="1540" max="1540" width="9.140625" style="1084" customWidth="1"/>
    <col min="1541" max="1541" width="102.42578125" style="1084" customWidth="1"/>
    <col min="1542" max="1542" width="4.85546875" style="1084" customWidth="1"/>
    <col min="1543" max="1543" width="18.7109375" style="1084" bestFit="1" customWidth="1"/>
    <col min="1544" max="1795" width="9" style="1084"/>
    <col min="1796" max="1796" width="9.140625" style="1084" customWidth="1"/>
    <col min="1797" max="1797" width="102.42578125" style="1084" customWidth="1"/>
    <col min="1798" max="1798" width="4.85546875" style="1084" customWidth="1"/>
    <col min="1799" max="1799" width="18.7109375" style="1084" bestFit="1" customWidth="1"/>
    <col min="1800" max="2051" width="9" style="1084"/>
    <col min="2052" max="2052" width="9.140625" style="1084" customWidth="1"/>
    <col min="2053" max="2053" width="102.42578125" style="1084" customWidth="1"/>
    <col min="2054" max="2054" width="4.85546875" style="1084" customWidth="1"/>
    <col min="2055" max="2055" width="18.7109375" style="1084" bestFit="1" customWidth="1"/>
    <col min="2056" max="2307" width="9" style="1084"/>
    <col min="2308" max="2308" width="9.140625" style="1084" customWidth="1"/>
    <col min="2309" max="2309" width="102.42578125" style="1084" customWidth="1"/>
    <col min="2310" max="2310" width="4.85546875" style="1084" customWidth="1"/>
    <col min="2311" max="2311" width="18.7109375" style="1084" bestFit="1" customWidth="1"/>
    <col min="2312" max="2563" width="9" style="1084"/>
    <col min="2564" max="2564" width="9.140625" style="1084" customWidth="1"/>
    <col min="2565" max="2565" width="102.42578125" style="1084" customWidth="1"/>
    <col min="2566" max="2566" width="4.85546875" style="1084" customWidth="1"/>
    <col min="2567" max="2567" width="18.7109375" style="1084" bestFit="1" customWidth="1"/>
    <col min="2568" max="2819" width="9" style="1084"/>
    <col min="2820" max="2820" width="9.140625" style="1084" customWidth="1"/>
    <col min="2821" max="2821" width="102.42578125" style="1084" customWidth="1"/>
    <col min="2822" max="2822" width="4.85546875" style="1084" customWidth="1"/>
    <col min="2823" max="2823" width="18.7109375" style="1084" bestFit="1" customWidth="1"/>
    <col min="2824" max="3075" width="9" style="1084"/>
    <col min="3076" max="3076" width="9.140625" style="1084" customWidth="1"/>
    <col min="3077" max="3077" width="102.42578125" style="1084" customWidth="1"/>
    <col min="3078" max="3078" width="4.85546875" style="1084" customWidth="1"/>
    <col min="3079" max="3079" width="18.7109375" style="1084" bestFit="1" customWidth="1"/>
    <col min="3080" max="3331" width="9" style="1084"/>
    <col min="3332" max="3332" width="9.140625" style="1084" customWidth="1"/>
    <col min="3333" max="3333" width="102.42578125" style="1084" customWidth="1"/>
    <col min="3334" max="3334" width="4.85546875" style="1084" customWidth="1"/>
    <col min="3335" max="3335" width="18.7109375" style="1084" bestFit="1" customWidth="1"/>
    <col min="3336" max="3587" width="9" style="1084"/>
    <col min="3588" max="3588" width="9.140625" style="1084" customWidth="1"/>
    <col min="3589" max="3589" width="102.42578125" style="1084" customWidth="1"/>
    <col min="3590" max="3590" width="4.85546875" style="1084" customWidth="1"/>
    <col min="3591" max="3591" width="18.7109375" style="1084" bestFit="1" customWidth="1"/>
    <col min="3592" max="3843" width="9" style="1084"/>
    <col min="3844" max="3844" width="9.140625" style="1084" customWidth="1"/>
    <col min="3845" max="3845" width="102.42578125" style="1084" customWidth="1"/>
    <col min="3846" max="3846" width="4.85546875" style="1084" customWidth="1"/>
    <col min="3847" max="3847" width="18.7109375" style="1084" bestFit="1" customWidth="1"/>
    <col min="3848" max="4099" width="9" style="1084"/>
    <col min="4100" max="4100" width="9.140625" style="1084" customWidth="1"/>
    <col min="4101" max="4101" width="102.42578125" style="1084" customWidth="1"/>
    <col min="4102" max="4102" width="4.85546875" style="1084" customWidth="1"/>
    <col min="4103" max="4103" width="18.7109375" style="1084" bestFit="1" customWidth="1"/>
    <col min="4104" max="4355" width="9" style="1084"/>
    <col min="4356" max="4356" width="9.140625" style="1084" customWidth="1"/>
    <col min="4357" max="4357" width="102.42578125" style="1084" customWidth="1"/>
    <col min="4358" max="4358" width="4.85546875" style="1084" customWidth="1"/>
    <col min="4359" max="4359" width="18.7109375" style="1084" bestFit="1" customWidth="1"/>
    <col min="4360" max="4611" width="9" style="1084"/>
    <col min="4612" max="4612" width="9.140625" style="1084" customWidth="1"/>
    <col min="4613" max="4613" width="102.42578125" style="1084" customWidth="1"/>
    <col min="4614" max="4614" width="4.85546875" style="1084" customWidth="1"/>
    <col min="4615" max="4615" width="18.7109375" style="1084" bestFit="1" customWidth="1"/>
    <col min="4616" max="4867" width="9" style="1084"/>
    <col min="4868" max="4868" width="9.140625" style="1084" customWidth="1"/>
    <col min="4869" max="4869" width="102.42578125" style="1084" customWidth="1"/>
    <col min="4870" max="4870" width="4.85546875" style="1084" customWidth="1"/>
    <col min="4871" max="4871" width="18.7109375" style="1084" bestFit="1" customWidth="1"/>
    <col min="4872" max="5123" width="9" style="1084"/>
    <col min="5124" max="5124" width="9.140625" style="1084" customWidth="1"/>
    <col min="5125" max="5125" width="102.42578125" style="1084" customWidth="1"/>
    <col min="5126" max="5126" width="4.85546875" style="1084" customWidth="1"/>
    <col min="5127" max="5127" width="18.7109375" style="1084" bestFit="1" customWidth="1"/>
    <col min="5128" max="5379" width="9" style="1084"/>
    <col min="5380" max="5380" width="9.140625" style="1084" customWidth="1"/>
    <col min="5381" max="5381" width="102.42578125" style="1084" customWidth="1"/>
    <col min="5382" max="5382" width="4.85546875" style="1084" customWidth="1"/>
    <col min="5383" max="5383" width="18.7109375" style="1084" bestFit="1" customWidth="1"/>
    <col min="5384" max="5635" width="9" style="1084"/>
    <col min="5636" max="5636" width="9.140625" style="1084" customWidth="1"/>
    <col min="5637" max="5637" width="102.42578125" style="1084" customWidth="1"/>
    <col min="5638" max="5638" width="4.85546875" style="1084" customWidth="1"/>
    <col min="5639" max="5639" width="18.7109375" style="1084" bestFit="1" customWidth="1"/>
    <col min="5640" max="5891" width="9" style="1084"/>
    <col min="5892" max="5892" width="9.140625" style="1084" customWidth="1"/>
    <col min="5893" max="5893" width="102.42578125" style="1084" customWidth="1"/>
    <col min="5894" max="5894" width="4.85546875" style="1084" customWidth="1"/>
    <col min="5895" max="5895" width="18.7109375" style="1084" bestFit="1" customWidth="1"/>
    <col min="5896" max="6147" width="9" style="1084"/>
    <col min="6148" max="6148" width="9.140625" style="1084" customWidth="1"/>
    <col min="6149" max="6149" width="102.42578125" style="1084" customWidth="1"/>
    <col min="6150" max="6150" width="4.85546875" style="1084" customWidth="1"/>
    <col min="6151" max="6151" width="18.7109375" style="1084" bestFit="1" customWidth="1"/>
    <col min="6152" max="6403" width="9" style="1084"/>
    <col min="6404" max="6404" width="9.140625" style="1084" customWidth="1"/>
    <col min="6405" max="6405" width="102.42578125" style="1084" customWidth="1"/>
    <col min="6406" max="6406" width="4.85546875" style="1084" customWidth="1"/>
    <col min="6407" max="6407" width="18.7109375" style="1084" bestFit="1" customWidth="1"/>
    <col min="6408" max="6659" width="9" style="1084"/>
    <col min="6660" max="6660" width="9.140625" style="1084" customWidth="1"/>
    <col min="6661" max="6661" width="102.42578125" style="1084" customWidth="1"/>
    <col min="6662" max="6662" width="4.85546875" style="1084" customWidth="1"/>
    <col min="6663" max="6663" width="18.7109375" style="1084" bestFit="1" customWidth="1"/>
    <col min="6664" max="6915" width="9" style="1084"/>
    <col min="6916" max="6916" width="9.140625" style="1084" customWidth="1"/>
    <col min="6917" max="6917" width="102.42578125" style="1084" customWidth="1"/>
    <col min="6918" max="6918" width="4.85546875" style="1084" customWidth="1"/>
    <col min="6919" max="6919" width="18.7109375" style="1084" bestFit="1" customWidth="1"/>
    <col min="6920" max="7171" width="9" style="1084"/>
    <col min="7172" max="7172" width="9.140625" style="1084" customWidth="1"/>
    <col min="7173" max="7173" width="102.42578125" style="1084" customWidth="1"/>
    <col min="7174" max="7174" width="4.85546875" style="1084" customWidth="1"/>
    <col min="7175" max="7175" width="18.7109375" style="1084" bestFit="1" customWidth="1"/>
    <col min="7176" max="7427" width="9" style="1084"/>
    <col min="7428" max="7428" width="9.140625" style="1084" customWidth="1"/>
    <col min="7429" max="7429" width="102.42578125" style="1084" customWidth="1"/>
    <col min="7430" max="7430" width="4.85546875" style="1084" customWidth="1"/>
    <col min="7431" max="7431" width="18.7109375" style="1084" bestFit="1" customWidth="1"/>
    <col min="7432" max="7683" width="9" style="1084"/>
    <col min="7684" max="7684" width="9.140625" style="1084" customWidth="1"/>
    <col min="7685" max="7685" width="102.42578125" style="1084" customWidth="1"/>
    <col min="7686" max="7686" width="4.85546875" style="1084" customWidth="1"/>
    <col min="7687" max="7687" width="18.7109375" style="1084" bestFit="1" customWidth="1"/>
    <col min="7688" max="7939" width="9" style="1084"/>
    <col min="7940" max="7940" width="9.140625" style="1084" customWidth="1"/>
    <col min="7941" max="7941" width="102.42578125" style="1084" customWidth="1"/>
    <col min="7942" max="7942" width="4.85546875" style="1084" customWidth="1"/>
    <col min="7943" max="7943" width="18.7109375" style="1084" bestFit="1" customWidth="1"/>
    <col min="7944" max="8195" width="9" style="1084"/>
    <col min="8196" max="8196" width="9.140625" style="1084" customWidth="1"/>
    <col min="8197" max="8197" width="102.42578125" style="1084" customWidth="1"/>
    <col min="8198" max="8198" width="4.85546875" style="1084" customWidth="1"/>
    <col min="8199" max="8199" width="18.7109375" style="1084" bestFit="1" customWidth="1"/>
    <col min="8200" max="8451" width="9" style="1084"/>
    <col min="8452" max="8452" width="9.140625" style="1084" customWidth="1"/>
    <col min="8453" max="8453" width="102.42578125" style="1084" customWidth="1"/>
    <col min="8454" max="8454" width="4.85546875" style="1084" customWidth="1"/>
    <col min="8455" max="8455" width="18.7109375" style="1084" bestFit="1" customWidth="1"/>
    <col min="8456" max="8707" width="9" style="1084"/>
    <col min="8708" max="8708" width="9.140625" style="1084" customWidth="1"/>
    <col min="8709" max="8709" width="102.42578125" style="1084" customWidth="1"/>
    <col min="8710" max="8710" width="4.85546875" style="1084" customWidth="1"/>
    <col min="8711" max="8711" width="18.7109375" style="1084" bestFit="1" customWidth="1"/>
    <col min="8712" max="8963" width="9" style="1084"/>
    <col min="8964" max="8964" width="9.140625" style="1084" customWidth="1"/>
    <col min="8965" max="8965" width="102.42578125" style="1084" customWidth="1"/>
    <col min="8966" max="8966" width="4.85546875" style="1084" customWidth="1"/>
    <col min="8967" max="8967" width="18.7109375" style="1084" bestFit="1" customWidth="1"/>
    <col min="8968" max="9219" width="9" style="1084"/>
    <col min="9220" max="9220" width="9.140625" style="1084" customWidth="1"/>
    <col min="9221" max="9221" width="102.42578125" style="1084" customWidth="1"/>
    <col min="9222" max="9222" width="4.85546875" style="1084" customWidth="1"/>
    <col min="9223" max="9223" width="18.7109375" style="1084" bestFit="1" customWidth="1"/>
    <col min="9224" max="9475" width="9" style="1084"/>
    <col min="9476" max="9476" width="9.140625" style="1084" customWidth="1"/>
    <col min="9477" max="9477" width="102.42578125" style="1084" customWidth="1"/>
    <col min="9478" max="9478" width="4.85546875" style="1084" customWidth="1"/>
    <col min="9479" max="9479" width="18.7109375" style="1084" bestFit="1" customWidth="1"/>
    <col min="9480" max="9731" width="9" style="1084"/>
    <col min="9732" max="9732" width="9.140625" style="1084" customWidth="1"/>
    <col min="9733" max="9733" width="102.42578125" style="1084" customWidth="1"/>
    <col min="9734" max="9734" width="4.85546875" style="1084" customWidth="1"/>
    <col min="9735" max="9735" width="18.7109375" style="1084" bestFit="1" customWidth="1"/>
    <col min="9736" max="9987" width="9" style="1084"/>
    <col min="9988" max="9988" width="9.140625" style="1084" customWidth="1"/>
    <col min="9989" max="9989" width="102.42578125" style="1084" customWidth="1"/>
    <col min="9990" max="9990" width="4.85546875" style="1084" customWidth="1"/>
    <col min="9991" max="9991" width="18.7109375" style="1084" bestFit="1" customWidth="1"/>
    <col min="9992" max="10243" width="9" style="1084"/>
    <col min="10244" max="10244" width="9.140625" style="1084" customWidth="1"/>
    <col min="10245" max="10245" width="102.42578125" style="1084" customWidth="1"/>
    <col min="10246" max="10246" width="4.85546875" style="1084" customWidth="1"/>
    <col min="10247" max="10247" width="18.7109375" style="1084" bestFit="1" customWidth="1"/>
    <col min="10248" max="10499" width="9" style="1084"/>
    <col min="10500" max="10500" width="9.140625" style="1084" customWidth="1"/>
    <col min="10501" max="10501" width="102.42578125" style="1084" customWidth="1"/>
    <col min="10502" max="10502" width="4.85546875" style="1084" customWidth="1"/>
    <col min="10503" max="10503" width="18.7109375" style="1084" bestFit="1" customWidth="1"/>
    <col min="10504" max="10755" width="9" style="1084"/>
    <col min="10756" max="10756" width="9.140625" style="1084" customWidth="1"/>
    <col min="10757" max="10757" width="102.42578125" style="1084" customWidth="1"/>
    <col min="10758" max="10758" width="4.85546875" style="1084" customWidth="1"/>
    <col min="10759" max="10759" width="18.7109375" style="1084" bestFit="1" customWidth="1"/>
    <col min="10760" max="11011" width="9" style="1084"/>
    <col min="11012" max="11012" width="9.140625" style="1084" customWidth="1"/>
    <col min="11013" max="11013" width="102.42578125" style="1084" customWidth="1"/>
    <col min="11014" max="11014" width="4.85546875" style="1084" customWidth="1"/>
    <col min="11015" max="11015" width="18.7109375" style="1084" bestFit="1" customWidth="1"/>
    <col min="11016" max="11267" width="9" style="1084"/>
    <col min="11268" max="11268" width="9.140625" style="1084" customWidth="1"/>
    <col min="11269" max="11269" width="102.42578125" style="1084" customWidth="1"/>
    <col min="11270" max="11270" width="4.85546875" style="1084" customWidth="1"/>
    <col min="11271" max="11271" width="18.7109375" style="1084" bestFit="1" customWidth="1"/>
    <col min="11272" max="11523" width="9" style="1084"/>
    <col min="11524" max="11524" width="9.140625" style="1084" customWidth="1"/>
    <col min="11525" max="11525" width="102.42578125" style="1084" customWidth="1"/>
    <col min="11526" max="11526" width="4.85546875" style="1084" customWidth="1"/>
    <col min="11527" max="11527" width="18.7109375" style="1084" bestFit="1" customWidth="1"/>
    <col min="11528" max="11779" width="9" style="1084"/>
    <col min="11780" max="11780" width="9.140625" style="1084" customWidth="1"/>
    <col min="11781" max="11781" width="102.42578125" style="1084" customWidth="1"/>
    <col min="11782" max="11782" width="4.85546875" style="1084" customWidth="1"/>
    <col min="11783" max="11783" width="18.7109375" style="1084" bestFit="1" customWidth="1"/>
    <col min="11784" max="12035" width="9" style="1084"/>
    <col min="12036" max="12036" width="9.140625" style="1084" customWidth="1"/>
    <col min="12037" max="12037" width="102.42578125" style="1084" customWidth="1"/>
    <col min="12038" max="12038" width="4.85546875" style="1084" customWidth="1"/>
    <col min="12039" max="12039" width="18.7109375" style="1084" bestFit="1" customWidth="1"/>
    <col min="12040" max="12291" width="9" style="1084"/>
    <col min="12292" max="12292" width="9.140625" style="1084" customWidth="1"/>
    <col min="12293" max="12293" width="102.42578125" style="1084" customWidth="1"/>
    <col min="12294" max="12294" width="4.85546875" style="1084" customWidth="1"/>
    <col min="12295" max="12295" width="18.7109375" style="1084" bestFit="1" customWidth="1"/>
    <col min="12296" max="12547" width="9" style="1084"/>
    <col min="12548" max="12548" width="9.140625" style="1084" customWidth="1"/>
    <col min="12549" max="12549" width="102.42578125" style="1084" customWidth="1"/>
    <col min="12550" max="12550" width="4.85546875" style="1084" customWidth="1"/>
    <col min="12551" max="12551" width="18.7109375" style="1084" bestFit="1" customWidth="1"/>
    <col min="12552" max="12803" width="9" style="1084"/>
    <col min="12804" max="12804" width="9.140625" style="1084" customWidth="1"/>
    <col min="12805" max="12805" width="102.42578125" style="1084" customWidth="1"/>
    <col min="12806" max="12806" width="4.85546875" style="1084" customWidth="1"/>
    <col min="12807" max="12807" width="18.7109375" style="1084" bestFit="1" customWidth="1"/>
    <col min="12808" max="13059" width="9" style="1084"/>
    <col min="13060" max="13060" width="9.140625" style="1084" customWidth="1"/>
    <col min="13061" max="13061" width="102.42578125" style="1084" customWidth="1"/>
    <col min="13062" max="13062" width="4.85546875" style="1084" customWidth="1"/>
    <col min="13063" max="13063" width="18.7109375" style="1084" bestFit="1" customWidth="1"/>
    <col min="13064" max="13315" width="9" style="1084"/>
    <col min="13316" max="13316" width="9.140625" style="1084" customWidth="1"/>
    <col min="13317" max="13317" width="102.42578125" style="1084" customWidth="1"/>
    <col min="13318" max="13318" width="4.85546875" style="1084" customWidth="1"/>
    <col min="13319" max="13319" width="18.7109375" style="1084" bestFit="1" customWidth="1"/>
    <col min="13320" max="13571" width="9" style="1084"/>
    <col min="13572" max="13572" width="9.140625" style="1084" customWidth="1"/>
    <col min="13573" max="13573" width="102.42578125" style="1084" customWidth="1"/>
    <col min="13574" max="13574" width="4.85546875" style="1084" customWidth="1"/>
    <col min="13575" max="13575" width="18.7109375" style="1084" bestFit="1" customWidth="1"/>
    <col min="13576" max="13827" width="9" style="1084"/>
    <col min="13828" max="13828" width="9.140625" style="1084" customWidth="1"/>
    <col min="13829" max="13829" width="102.42578125" style="1084" customWidth="1"/>
    <col min="13830" max="13830" width="4.85546875" style="1084" customWidth="1"/>
    <col min="13831" max="13831" width="18.7109375" style="1084" bestFit="1" customWidth="1"/>
    <col min="13832" max="14083" width="9" style="1084"/>
    <col min="14084" max="14084" width="9.140625" style="1084" customWidth="1"/>
    <col min="14085" max="14085" width="102.42578125" style="1084" customWidth="1"/>
    <col min="14086" max="14086" width="4.85546875" style="1084" customWidth="1"/>
    <col min="14087" max="14087" width="18.7109375" style="1084" bestFit="1" customWidth="1"/>
    <col min="14088" max="14339" width="9" style="1084"/>
    <col min="14340" max="14340" width="9.140625" style="1084" customWidth="1"/>
    <col min="14341" max="14341" width="102.42578125" style="1084" customWidth="1"/>
    <col min="14342" max="14342" width="4.85546875" style="1084" customWidth="1"/>
    <col min="14343" max="14343" width="18.7109375" style="1084" bestFit="1" customWidth="1"/>
    <col min="14344" max="14595" width="9" style="1084"/>
    <col min="14596" max="14596" width="9.140625" style="1084" customWidth="1"/>
    <col min="14597" max="14597" width="102.42578125" style="1084" customWidth="1"/>
    <col min="14598" max="14598" width="4.85546875" style="1084" customWidth="1"/>
    <col min="14599" max="14599" width="18.7109375" style="1084" bestFit="1" customWidth="1"/>
    <col min="14600" max="14851" width="9" style="1084"/>
    <col min="14852" max="14852" width="9.140625" style="1084" customWidth="1"/>
    <col min="14853" max="14853" width="102.42578125" style="1084" customWidth="1"/>
    <col min="14854" max="14854" width="4.85546875" style="1084" customWidth="1"/>
    <col min="14855" max="14855" width="18.7109375" style="1084" bestFit="1" customWidth="1"/>
    <col min="14856" max="15107" width="9" style="1084"/>
    <col min="15108" max="15108" width="9.140625" style="1084" customWidth="1"/>
    <col min="15109" max="15109" width="102.42578125" style="1084" customWidth="1"/>
    <col min="15110" max="15110" width="4.85546875" style="1084" customWidth="1"/>
    <col min="15111" max="15111" width="18.7109375" style="1084" bestFit="1" customWidth="1"/>
    <col min="15112" max="15363" width="9" style="1084"/>
    <col min="15364" max="15364" width="9.140625" style="1084" customWidth="1"/>
    <col min="15365" max="15365" width="102.42578125" style="1084" customWidth="1"/>
    <col min="15366" max="15366" width="4.85546875" style="1084" customWidth="1"/>
    <col min="15367" max="15367" width="18.7109375" style="1084" bestFit="1" customWidth="1"/>
    <col min="15368" max="15619" width="9" style="1084"/>
    <col min="15620" max="15620" width="9.140625" style="1084" customWidth="1"/>
    <col min="15621" max="15621" width="102.42578125" style="1084" customWidth="1"/>
    <col min="15622" max="15622" width="4.85546875" style="1084" customWidth="1"/>
    <col min="15623" max="15623" width="18.7109375" style="1084" bestFit="1" customWidth="1"/>
    <col min="15624" max="15875" width="9" style="1084"/>
    <col min="15876" max="15876" width="9.140625" style="1084" customWidth="1"/>
    <col min="15877" max="15877" width="102.42578125" style="1084" customWidth="1"/>
    <col min="15878" max="15878" width="4.85546875" style="1084" customWidth="1"/>
    <col min="15879" max="15879" width="18.7109375" style="1084" bestFit="1" customWidth="1"/>
    <col min="15880" max="16131" width="9" style="1084"/>
    <col min="16132" max="16132" width="9.140625" style="1084" customWidth="1"/>
    <col min="16133" max="16133" width="102.42578125" style="1084" customWidth="1"/>
    <col min="16134" max="16134" width="4.85546875" style="1084" customWidth="1"/>
    <col min="16135" max="16135" width="18.7109375" style="1084" bestFit="1" customWidth="1"/>
    <col min="16136" max="16384" width="9" style="1084"/>
  </cols>
  <sheetData>
    <row r="4" spans="2:7" ht="30" customHeight="1" thickBot="1"/>
    <row r="5" spans="2:7" ht="30" customHeight="1" thickTop="1">
      <c r="B5" s="1088"/>
      <c r="C5" s="4599"/>
      <c r="D5" s="4599"/>
      <c r="E5" s="4599"/>
      <c r="F5" s="4599"/>
      <c r="G5" s="4600"/>
    </row>
    <row r="6" spans="2:7" ht="53.25" customHeight="1">
      <c r="B6" s="1089"/>
      <c r="C6" s="4601" t="s">
        <v>2476</v>
      </c>
      <c r="D6" s="4601"/>
      <c r="E6" s="1090"/>
      <c r="F6" s="1091"/>
      <c r="G6" s="1092"/>
    </row>
    <row r="7" spans="2:7" ht="30" customHeight="1">
      <c r="B7" s="1089"/>
      <c r="C7" s="1093"/>
      <c r="D7" s="1094"/>
      <c r="E7" s="1094"/>
      <c r="F7" s="1094"/>
      <c r="G7" s="1095"/>
    </row>
    <row r="8" spans="2:7" ht="30" customHeight="1">
      <c r="B8" s="1089"/>
      <c r="C8" s="1096"/>
      <c r="D8" s="1097"/>
      <c r="E8" s="1097"/>
      <c r="F8" s="1097"/>
      <c r="G8" s="1098"/>
    </row>
    <row r="9" spans="2:7" ht="30" customHeight="1">
      <c r="B9" s="1089"/>
      <c r="C9" s="1099" t="s">
        <v>2477</v>
      </c>
      <c r="D9" s="1099"/>
      <c r="E9" s="1096"/>
      <c r="F9" s="1096"/>
      <c r="G9" s="1098"/>
    </row>
    <row r="10" spans="2:7" ht="30" customHeight="1">
      <c r="B10" s="1089"/>
      <c r="C10" s="1100" t="s">
        <v>552</v>
      </c>
      <c r="D10" s="1117" t="s">
        <v>2478</v>
      </c>
      <c r="E10" s="1101"/>
      <c r="F10" s="1096"/>
      <c r="G10" s="1098"/>
    </row>
    <row r="11" spans="2:7" ht="30" customHeight="1">
      <c r="B11" s="1089"/>
      <c r="C11" s="1100" t="s">
        <v>555</v>
      </c>
      <c r="D11" s="1117" t="s">
        <v>2479</v>
      </c>
      <c r="E11" s="1102"/>
      <c r="F11" s="1097"/>
      <c r="G11" s="1098"/>
    </row>
    <row r="12" spans="2:7" ht="30" customHeight="1">
      <c r="B12" s="1089"/>
      <c r="C12" s="1100" t="s">
        <v>561</v>
      </c>
      <c r="D12" s="1117" t="s">
        <v>2480</v>
      </c>
      <c r="E12" s="1101"/>
      <c r="F12" s="1097"/>
      <c r="G12" s="1098"/>
    </row>
    <row r="13" spans="2:7" ht="30" customHeight="1">
      <c r="B13" s="1089"/>
      <c r="C13" s="1100" t="s">
        <v>563</v>
      </c>
      <c r="D13" s="1117" t="s">
        <v>2481</v>
      </c>
      <c r="E13" s="1101"/>
      <c r="F13" s="1097"/>
      <c r="G13" s="1098"/>
    </row>
    <row r="14" spans="2:7" ht="30" customHeight="1">
      <c r="B14" s="1089"/>
      <c r="C14" s="1100" t="s">
        <v>566</v>
      </c>
      <c r="D14" s="1117" t="s">
        <v>2482</v>
      </c>
      <c r="E14" s="1101"/>
      <c r="F14" s="1097"/>
      <c r="G14" s="1098"/>
    </row>
    <row r="15" spans="2:7" ht="30" customHeight="1">
      <c r="B15" s="1089"/>
      <c r="C15" s="1100" t="s">
        <v>573</v>
      </c>
      <c r="D15" s="1117" t="s">
        <v>2483</v>
      </c>
      <c r="E15" s="1101"/>
      <c r="F15" s="1097"/>
      <c r="G15" s="1098"/>
    </row>
    <row r="16" spans="2:7" ht="30" customHeight="1">
      <c r="B16" s="1089"/>
      <c r="C16" s="1100" t="s">
        <v>576</v>
      </c>
      <c r="D16" s="1117" t="s">
        <v>2484</v>
      </c>
      <c r="E16" s="1101"/>
      <c r="F16" s="1097"/>
      <c r="G16" s="1098"/>
    </row>
    <row r="17" spans="2:7" ht="30" customHeight="1">
      <c r="B17" s="1089"/>
      <c r="C17" s="1100" t="s">
        <v>577</v>
      </c>
      <c r="D17" s="1117" t="s">
        <v>2485</v>
      </c>
      <c r="E17" s="1101"/>
      <c r="F17" s="1097"/>
      <c r="G17" s="1098"/>
    </row>
    <row r="18" spans="2:7" ht="30" customHeight="1">
      <c r="B18" s="1089"/>
      <c r="C18" s="1100" t="s">
        <v>584</v>
      </c>
      <c r="D18" s="1117" t="s">
        <v>2486</v>
      </c>
      <c r="E18" s="1101"/>
      <c r="F18" s="1097"/>
      <c r="G18" s="1098"/>
    </row>
    <row r="19" spans="2:7" ht="30" customHeight="1">
      <c r="B19" s="1089"/>
      <c r="C19" s="1100" t="s">
        <v>587</v>
      </c>
      <c r="D19" s="1117" t="s">
        <v>2487</v>
      </c>
      <c r="E19" s="1101"/>
      <c r="F19" s="1097"/>
      <c r="G19" s="1098"/>
    </row>
    <row r="20" spans="2:7" ht="30" customHeight="1">
      <c r="B20" s="1089"/>
      <c r="C20" s="1100" t="s">
        <v>590</v>
      </c>
      <c r="D20" s="1117" t="s">
        <v>2488</v>
      </c>
      <c r="E20" s="1101"/>
      <c r="F20" s="1097"/>
      <c r="G20" s="1098"/>
    </row>
    <row r="21" spans="2:7" ht="30" customHeight="1">
      <c r="B21" s="1089"/>
      <c r="C21" s="1100" t="s">
        <v>593</v>
      </c>
      <c r="D21" s="1117" t="s">
        <v>2489</v>
      </c>
      <c r="E21" s="1102"/>
      <c r="F21" s="1097"/>
      <c r="G21" s="1098"/>
    </row>
    <row r="22" spans="2:7" ht="30" customHeight="1">
      <c r="B22" s="1089"/>
      <c r="C22" s="1100" t="s">
        <v>596</v>
      </c>
      <c r="D22" s="1117" t="s">
        <v>2490</v>
      </c>
      <c r="E22" s="1101"/>
      <c r="F22" s="1097"/>
      <c r="G22" s="1098"/>
    </row>
    <row r="23" spans="2:7" ht="30" customHeight="1">
      <c r="B23" s="1089"/>
      <c r="C23" s="1100" t="s">
        <v>599</v>
      </c>
      <c r="D23" s="1117" t="s">
        <v>2491</v>
      </c>
      <c r="E23" s="1101"/>
      <c r="F23" s="1097"/>
      <c r="G23" s="1098"/>
    </row>
    <row r="24" spans="2:7" ht="30" customHeight="1">
      <c r="B24" s="1089"/>
      <c r="C24" s="1100" t="s">
        <v>601</v>
      </c>
      <c r="D24" s="1117" t="s">
        <v>2492</v>
      </c>
      <c r="E24" s="1101"/>
      <c r="F24" s="1097"/>
      <c r="G24" s="1098"/>
    </row>
    <row r="25" spans="2:7" ht="30" customHeight="1">
      <c r="B25" s="1089"/>
      <c r="C25" s="1100" t="s">
        <v>2493</v>
      </c>
      <c r="D25" s="1117" t="s">
        <v>2494</v>
      </c>
      <c r="E25" s="1101"/>
      <c r="F25" s="1097"/>
      <c r="G25" s="1098"/>
    </row>
    <row r="26" spans="2:7" ht="30" customHeight="1">
      <c r="B26" s="1089"/>
      <c r="C26" s="1100"/>
      <c r="D26" s="1097"/>
      <c r="E26" s="1097"/>
      <c r="F26" s="1097"/>
      <c r="G26" s="1103"/>
    </row>
    <row r="27" spans="2:7" ht="30" customHeight="1">
      <c r="B27" s="1089"/>
      <c r="C27" s="1104" t="s">
        <v>2495</v>
      </c>
      <c r="D27" s="1099"/>
      <c r="E27" s="1096"/>
      <c r="F27" s="1096"/>
      <c r="G27" s="1103"/>
    </row>
    <row r="28" spans="2:7" ht="30" customHeight="1">
      <c r="B28" s="1089"/>
      <c r="C28" s="1100" t="s">
        <v>2496</v>
      </c>
      <c r="D28" s="1117" t="s">
        <v>2497</v>
      </c>
      <c r="E28" s="1101"/>
      <c r="F28" s="1097"/>
      <c r="G28" s="1103"/>
    </row>
    <row r="29" spans="2:7" ht="30" customHeight="1">
      <c r="B29" s="1089"/>
      <c r="C29" s="1100" t="s">
        <v>2498</v>
      </c>
      <c r="D29" s="1117" t="s">
        <v>2499</v>
      </c>
      <c r="E29" s="1101"/>
      <c r="F29" s="1097"/>
      <c r="G29" s="1103"/>
    </row>
    <row r="30" spans="2:7" ht="30" customHeight="1">
      <c r="B30" s="1089"/>
      <c r="C30" s="1100" t="s">
        <v>2500</v>
      </c>
      <c r="D30" s="1117" t="s">
        <v>2501</v>
      </c>
      <c r="E30" s="1101"/>
      <c r="F30" s="1097"/>
      <c r="G30" s="1103"/>
    </row>
    <row r="31" spans="2:7" ht="30" customHeight="1">
      <c r="B31" s="1089"/>
      <c r="C31" s="1100"/>
      <c r="D31" s="1105"/>
      <c r="E31" s="1105"/>
      <c r="F31" s="1097"/>
      <c r="G31" s="1103"/>
    </row>
    <row r="32" spans="2:7" ht="30" customHeight="1">
      <c r="B32" s="1089"/>
      <c r="C32" s="1104" t="s">
        <v>2502</v>
      </c>
      <c r="D32" s="1106"/>
      <c r="E32" s="1107"/>
      <c r="F32" s="1096"/>
      <c r="G32" s="1095"/>
    </row>
    <row r="33" spans="2:7" ht="30" customHeight="1">
      <c r="B33" s="1089"/>
      <c r="C33" s="1100" t="s">
        <v>2893</v>
      </c>
      <c r="D33" s="1713" t="s">
        <v>2891</v>
      </c>
      <c r="E33" s="1107"/>
      <c r="F33" s="1096"/>
      <c r="G33" s="1095"/>
    </row>
    <row r="34" spans="2:7" ht="30" customHeight="1">
      <c r="B34" s="1089"/>
      <c r="C34" s="1100" t="s">
        <v>2503</v>
      </c>
      <c r="D34" s="1117" t="s">
        <v>2892</v>
      </c>
      <c r="E34" s="1101"/>
      <c r="F34" s="1097"/>
      <c r="G34" s="1103"/>
    </row>
    <row r="35" spans="2:7" ht="30" customHeight="1">
      <c r="B35" s="1089"/>
      <c r="C35" s="1100" t="s">
        <v>2504</v>
      </c>
      <c r="D35" s="1118" t="s">
        <v>2892</v>
      </c>
      <c r="E35" s="1719" t="s">
        <v>2466</v>
      </c>
      <c r="F35" s="1719" t="s">
        <v>2465</v>
      </c>
      <c r="G35" s="1103"/>
    </row>
    <row r="36" spans="2:7" ht="30" customHeight="1">
      <c r="B36" s="1089"/>
      <c r="C36" s="1100" t="s">
        <v>2505</v>
      </c>
      <c r="D36" s="1117" t="s">
        <v>2506</v>
      </c>
      <c r="E36" s="1101"/>
      <c r="F36" s="1097"/>
      <c r="G36" s="1103"/>
    </row>
    <row r="37" spans="2:7" ht="30" customHeight="1">
      <c r="B37" s="1089"/>
      <c r="C37" s="1100" t="s">
        <v>2507</v>
      </c>
      <c r="D37" s="1117" t="s">
        <v>2508</v>
      </c>
      <c r="E37" s="1101"/>
      <c r="F37" s="1097"/>
      <c r="G37" s="1103"/>
    </row>
    <row r="38" spans="2:7" ht="30" customHeight="1">
      <c r="B38" s="1089"/>
      <c r="C38" s="1100" t="s">
        <v>2509</v>
      </c>
      <c r="D38" s="1117" t="s">
        <v>2510</v>
      </c>
      <c r="E38" s="1101"/>
      <c r="F38" s="1097"/>
      <c r="G38" s="1103"/>
    </row>
    <row r="39" spans="2:7" ht="30" customHeight="1">
      <c r="B39" s="1089"/>
      <c r="C39" s="1100" t="s">
        <v>2511</v>
      </c>
      <c r="D39" s="1117" t="s">
        <v>2512</v>
      </c>
      <c r="E39" s="1101"/>
      <c r="F39" s="1097"/>
      <c r="G39" s="1098"/>
    </row>
    <row r="40" spans="2:7" ht="30" customHeight="1">
      <c r="B40" s="1089"/>
      <c r="C40" s="1100" t="s">
        <v>2513</v>
      </c>
      <c r="D40" s="1117" t="s">
        <v>2514</v>
      </c>
      <c r="E40" s="1101"/>
      <c r="F40" s="1097"/>
      <c r="G40" s="1103"/>
    </row>
    <row r="41" spans="2:7" ht="30" customHeight="1">
      <c r="B41" s="1089"/>
      <c r="C41" s="1100" t="s">
        <v>2515</v>
      </c>
      <c r="D41" s="1117" t="s">
        <v>2516</v>
      </c>
      <c r="E41" s="1101"/>
      <c r="F41" s="1097"/>
      <c r="G41" s="1103"/>
    </row>
    <row r="42" spans="2:7" ht="30" customHeight="1">
      <c r="B42" s="1089"/>
      <c r="C42" s="1100" t="s">
        <v>2517</v>
      </c>
      <c r="D42" s="1117" t="s">
        <v>2518</v>
      </c>
      <c r="E42" s="1101"/>
      <c r="F42" s="1097"/>
      <c r="G42" s="1103"/>
    </row>
    <row r="43" spans="2:7" ht="30" customHeight="1">
      <c r="B43" s="1089"/>
      <c r="C43" s="1100" t="s">
        <v>2519</v>
      </c>
      <c r="D43" s="1117" t="s">
        <v>2520</v>
      </c>
      <c r="E43" s="1101"/>
      <c r="F43" s="1097"/>
      <c r="G43" s="1098"/>
    </row>
    <row r="44" spans="2:7" ht="30" customHeight="1">
      <c r="B44" s="1089"/>
      <c r="C44" s="1100" t="s">
        <v>2521</v>
      </c>
      <c r="D44" s="1117" t="s">
        <v>2522</v>
      </c>
      <c r="E44" s="1101"/>
      <c r="F44" s="1097"/>
      <c r="G44" s="1103"/>
    </row>
    <row r="45" spans="2:7" ht="30" customHeight="1">
      <c r="B45" s="1089"/>
      <c r="C45" s="1100" t="s">
        <v>2523</v>
      </c>
      <c r="D45" s="1117" t="s">
        <v>2524</v>
      </c>
      <c r="E45" s="1101"/>
      <c r="F45" s="1097"/>
      <c r="G45" s="1103"/>
    </row>
    <row r="46" spans="2:7" ht="30" customHeight="1">
      <c r="B46" s="1089"/>
      <c r="C46" s="1100" t="s">
        <v>2525</v>
      </c>
      <c r="D46" s="1117" t="s">
        <v>2526</v>
      </c>
      <c r="E46" s="1101"/>
      <c r="F46" s="1097"/>
      <c r="G46" s="1103"/>
    </row>
    <row r="47" spans="2:7" ht="30" customHeight="1">
      <c r="B47" s="1089"/>
      <c r="C47" s="1100" t="s">
        <v>2527</v>
      </c>
      <c r="D47" s="1117" t="s">
        <v>2528</v>
      </c>
      <c r="E47" s="1101"/>
      <c r="F47" s="1097"/>
      <c r="G47" s="1103"/>
    </row>
    <row r="48" spans="2:7" ht="30" customHeight="1">
      <c r="B48" s="1089"/>
      <c r="C48" s="1100" t="s">
        <v>2529</v>
      </c>
      <c r="D48" s="1117" t="s">
        <v>2530</v>
      </c>
      <c r="E48" s="1101"/>
      <c r="F48" s="1097"/>
      <c r="G48" s="1103"/>
    </row>
    <row r="49" spans="2:7" ht="30" customHeight="1">
      <c r="B49" s="1089"/>
      <c r="C49" s="1100" t="s">
        <v>2531</v>
      </c>
      <c r="D49" s="1117" t="s">
        <v>2532</v>
      </c>
      <c r="E49" s="1101"/>
      <c r="F49" s="1097"/>
      <c r="G49" s="1103"/>
    </row>
    <row r="50" spans="2:7" ht="30" customHeight="1">
      <c r="B50" s="1089"/>
      <c r="C50" s="1100"/>
      <c r="D50" s="1097"/>
      <c r="E50" s="1097"/>
      <c r="F50" s="1097"/>
      <c r="G50" s="1103"/>
    </row>
    <row r="51" spans="2:7" ht="30" customHeight="1">
      <c r="B51" s="1089"/>
      <c r="C51" s="1104" t="s">
        <v>2533</v>
      </c>
      <c r="D51" s="1108"/>
      <c r="E51" s="1094"/>
      <c r="F51" s="1096"/>
      <c r="G51" s="1103"/>
    </row>
    <row r="52" spans="2:7" ht="30" customHeight="1">
      <c r="B52" s="1089"/>
      <c r="C52" s="1100" t="s">
        <v>2534</v>
      </c>
      <c r="D52" s="1117" t="s">
        <v>2535</v>
      </c>
      <c r="E52" s="1101"/>
      <c r="F52" s="1097"/>
      <c r="G52" s="1103"/>
    </row>
    <row r="53" spans="2:7" ht="30" customHeight="1">
      <c r="B53" s="1089"/>
      <c r="C53" s="1100" t="s">
        <v>2536</v>
      </c>
      <c r="D53" s="1117" t="s">
        <v>2537</v>
      </c>
      <c r="E53" s="1101"/>
      <c r="F53" s="1097"/>
      <c r="G53" s="1103"/>
    </row>
    <row r="54" spans="2:7" ht="30" customHeight="1">
      <c r="B54" s="1089"/>
      <c r="C54" s="1100" t="s">
        <v>2538</v>
      </c>
      <c r="D54" s="1117" t="s">
        <v>2539</v>
      </c>
      <c r="E54" s="1101"/>
      <c r="F54" s="1097"/>
      <c r="G54" s="1103"/>
    </row>
    <row r="55" spans="2:7" ht="30" customHeight="1">
      <c r="B55" s="1089"/>
      <c r="C55" s="1100" t="s">
        <v>2540</v>
      </c>
      <c r="D55" s="1117" t="s">
        <v>2541</v>
      </c>
      <c r="E55" s="1101"/>
      <c r="F55" s="1097"/>
      <c r="G55" s="1103"/>
    </row>
    <row r="56" spans="2:7" ht="30" customHeight="1">
      <c r="B56" s="1089"/>
      <c r="C56" s="1100" t="s">
        <v>2542</v>
      </c>
      <c r="D56" s="1117" t="s">
        <v>2543</v>
      </c>
      <c r="E56" s="1119"/>
      <c r="F56" s="1120"/>
      <c r="G56" s="1121"/>
    </row>
    <row r="57" spans="2:7" ht="30" customHeight="1">
      <c r="B57" s="1089"/>
      <c r="C57" s="1100" t="s">
        <v>2544</v>
      </c>
      <c r="D57" s="1105" t="s">
        <v>2545</v>
      </c>
      <c r="E57" s="1122" t="s">
        <v>2466</v>
      </c>
      <c r="F57" s="1122" t="s">
        <v>2465</v>
      </c>
      <c r="G57" s="1123" t="s">
        <v>2464</v>
      </c>
    </row>
    <row r="58" spans="2:7" ht="30" customHeight="1">
      <c r="B58" s="1089"/>
      <c r="C58" s="1100" t="s">
        <v>2546</v>
      </c>
      <c r="D58" s="1117" t="s">
        <v>2547</v>
      </c>
      <c r="E58" s="1119"/>
      <c r="F58" s="1120"/>
      <c r="G58" s="1121"/>
    </row>
    <row r="59" spans="2:7" ht="30" customHeight="1">
      <c r="B59" s="1089"/>
      <c r="C59" s="1100" t="s">
        <v>2548</v>
      </c>
      <c r="D59" s="1117" t="s">
        <v>2549</v>
      </c>
      <c r="E59" s="1101"/>
      <c r="F59" s="1097"/>
      <c r="G59" s="1103"/>
    </row>
    <row r="60" spans="2:7" ht="30" customHeight="1">
      <c r="B60" s="1089"/>
      <c r="C60" s="1100" t="s">
        <v>2550</v>
      </c>
      <c r="D60" s="1117" t="s">
        <v>2551</v>
      </c>
      <c r="E60" s="1102"/>
      <c r="F60" s="1097"/>
      <c r="G60" s="1103"/>
    </row>
    <row r="61" spans="2:7" ht="30" customHeight="1">
      <c r="B61" s="1089"/>
      <c r="C61" s="1100"/>
      <c r="D61" s="1105"/>
      <c r="E61" s="1105"/>
      <c r="F61" s="1097"/>
      <c r="G61" s="1103"/>
    </row>
    <row r="62" spans="2:7" ht="30" customHeight="1">
      <c r="B62" s="1089"/>
      <c r="C62" s="1104" t="s">
        <v>2552</v>
      </c>
      <c r="D62" s="1106"/>
      <c r="E62" s="1107"/>
      <c r="F62" s="1096"/>
      <c r="G62" s="1103"/>
    </row>
    <row r="63" spans="2:7" ht="30" customHeight="1">
      <c r="B63" s="1089"/>
      <c r="C63" s="1100" t="s">
        <v>2553</v>
      </c>
      <c r="D63" s="1117" t="s">
        <v>2554</v>
      </c>
      <c r="E63" s="1101"/>
      <c r="F63" s="1097"/>
      <c r="G63" s="1124"/>
    </row>
    <row r="64" spans="2:7" ht="30" customHeight="1">
      <c r="B64" s="1089"/>
      <c r="C64" s="1100" t="s">
        <v>2555</v>
      </c>
      <c r="D64" s="1117" t="s">
        <v>2556</v>
      </c>
      <c r="E64" s="1101"/>
      <c r="F64" s="1097"/>
      <c r="G64" s="1124"/>
    </row>
    <row r="65" spans="2:7" ht="30" customHeight="1">
      <c r="B65" s="1089"/>
      <c r="C65" s="1100" t="s">
        <v>2557</v>
      </c>
      <c r="D65" s="1105" t="s">
        <v>2558</v>
      </c>
      <c r="E65" s="1127" t="s">
        <v>2466</v>
      </c>
      <c r="F65" s="4444" t="s">
        <v>2465</v>
      </c>
      <c r="G65" s="4443" t="s">
        <v>2464</v>
      </c>
    </row>
    <row r="66" spans="2:7" ht="30" customHeight="1">
      <c r="B66" s="1089"/>
      <c r="C66" s="1100" t="s">
        <v>2559</v>
      </c>
      <c r="D66" s="1117" t="s">
        <v>2560</v>
      </c>
      <c r="E66" s="1101"/>
      <c r="F66" s="1097"/>
      <c r="G66" s="1124"/>
    </row>
    <row r="67" spans="2:7" ht="30" customHeight="1" thickBot="1">
      <c r="B67" s="1109"/>
      <c r="C67" s="1110"/>
      <c r="D67" s="1111"/>
      <c r="E67" s="1111"/>
      <c r="F67" s="1110"/>
      <c r="G67" s="1112"/>
    </row>
    <row r="68" spans="2:7" ht="30" customHeight="1" thickTop="1">
      <c r="C68" s="1113"/>
      <c r="D68" s="1114"/>
      <c r="E68" s="1114"/>
      <c r="F68" s="1114"/>
      <c r="G68" s="1115"/>
    </row>
  </sheetData>
  <mergeCells count="2">
    <mergeCell ref="C5:G5"/>
    <mergeCell ref="C6:D6"/>
  </mergeCells>
  <hyperlinks>
    <hyperlink ref="D10" location="si_1!A1" display="Branching of Jordanian Licensed Banks"/>
    <hyperlink ref="D11" location="si_2!A1" display="Branching of Foreign Licensed Bank in Jordan"/>
    <hyperlink ref="D12" location="si_3!A1" display="Monetary Survey of the Banking System"/>
    <hyperlink ref="D13" location="si_4!A1" display="Money Supply "/>
    <hyperlink ref="D14" location="si_5!A1" display="Assets of the Central Bank of Jordan"/>
    <hyperlink ref="D15" location="si_6!A1" display="Liabilities of the Central Bank of Jordan"/>
    <hyperlink ref="D16" location="si_7!A1" display="Assets of the Licensed Banks"/>
    <hyperlink ref="D17" location="si_8!A1" display="Liabilities of the Licensed Banks"/>
    <hyperlink ref="D18" location="si_9!A1" display="Central Bank of Jordan Foreign Reserves"/>
    <hyperlink ref="D19" location="si_10!A1" display=" Deposits with Licensed Banks by Depositor and Type"/>
    <hyperlink ref="D20" location="si_11!A1" display="Sectorial Distribution of Outstanding Licensed Banks Credit"/>
    <hyperlink ref="D21" location="si_12!A1" display="Credit Facilities Extended by the Licensed Banks According to Borrower and Currency"/>
    <hyperlink ref="D22" location="si_13!A1" display="Assets of Jordanian Banks Branches Operating in Palestine "/>
    <hyperlink ref="D23" location="si_14!A1" display="Liabilities of Jordanian Banks Branches Operating in Palestine "/>
    <hyperlink ref="D24" location="si_15!A1" display="Interest Rates Structure"/>
    <hyperlink ref="D25" location="si_16!A1" display="Financial Soundness Indicators"/>
    <hyperlink ref="D28" location="si_17!A1" display="Summary of Central Government Budget"/>
    <hyperlink ref="D29" location="si_18!A1" display="Outstanding Balance of External Public Debt (Budget and Guaranteed)"/>
    <hyperlink ref="D30" location="si_19!A1" display="Central Government Domestic Debt (Budgetary Central Government and Own Budget Agencies)"/>
    <hyperlink ref="D34" location="si_20a!A1" display="Jordanian Balance of Payments"/>
    <hyperlink ref="E35" location="si_20b!Print_Area" display="I"/>
    <hyperlink ref="F35" location="si_20c!Print_Area" display="II"/>
    <hyperlink ref="D36" location="si_21!A1" display="Arrivals and Departures by Nationality"/>
    <hyperlink ref="D37" location="si_22!A1" display="Domestic Exports by Economic Function"/>
    <hyperlink ref="D38" location="si_23!A1" display="Imports by Economic Function"/>
    <hyperlink ref="D39" location="si_24!A1" display="Domestic Exports by Commodity According to S.I.T.C."/>
    <hyperlink ref="D40" location="si_25!A1" display="Imports by Commodity According to S.I.T.C."/>
    <hyperlink ref="D41" location="si_26!A1" display="Geographic Distribution of Domestic Exports "/>
    <hyperlink ref="D42" location="si_27!A1" display="Geographic Distribution of Imports "/>
    <hyperlink ref="D43" location="si_28!A1" display="Domestic Exports to Arab Countries According to S.I.T.C."/>
    <hyperlink ref="D44" location="si_29!A1" display="Imports from Arab Countries According to S.I.T.C."/>
    <hyperlink ref="D45" location="si_30!A1" display="Index of Unit Price of Domestic Exports"/>
    <hyperlink ref="D46" location="si_31!A1" display="Index of Unit Volume of Domestic Exports"/>
    <hyperlink ref="D47" location="si_32!A1" display="Index of Unit Price of Imports"/>
    <hyperlink ref="D48" location="si_33!A1" display="Index of Unit Volume of Imports"/>
    <hyperlink ref="D49" location="si_34!A1" display="Aqaba Port Activity"/>
    <hyperlink ref="D52" location="si_35!A1" display="Gross Domestic Product at Current Prices"/>
    <hyperlink ref="D53" location="si_36!A1" display="Gross Domestic Product at Constant  Prices"/>
    <hyperlink ref="D54" location="si_37!A1" display="Gross Fixed Capital Formation by Economic Activity at Current Prices"/>
    <hyperlink ref="D55" location="si_38!A1" display="Agricultural Production Index"/>
    <hyperlink ref="D56" location="si_39!A1" display="Quantities Produced by Major Industries"/>
    <hyperlink ref="E57" location="si_40a!A1" display="I"/>
    <hyperlink ref="F57" location="si_40b!A1" display="II"/>
    <hyperlink ref="G57" location="si_40c!A1" display="III"/>
    <hyperlink ref="D58" location="si_41!A1" display="Construction Activity (No. of Permits)"/>
    <hyperlink ref="D59" location="si_42!A1" display="Construction Activity (Licensed Area)"/>
    <hyperlink ref="D60" location="si_43!A1" display="Price and Quantity Indices"/>
    <hyperlink ref="D63" location="si_44!A1" display="Exchange Rates of Major Foreign Currencies Announced by CBJ"/>
    <hyperlink ref="D64" location="si_45!A1" display="Consumer Price Index"/>
    <hyperlink ref="D66" location="si_47!A1" display="Major Indicators of Amman Stock Exchange"/>
    <hyperlink ref="D33" location="si_20!Print_Area" display="Jordanian Balance of Payments (BOP6)"/>
    <hyperlink ref="E65" location="si_46a!A1" display="I"/>
    <hyperlink ref="F65" location="si_46b!A1" display="II"/>
    <hyperlink ref="G65" location="si_46c!Print_Area" display="III"/>
  </hyperlinks>
  <printOptions horizontalCentered="1"/>
  <pageMargins left="0.62992125984251968" right="0.62992125984251968" top="0.98425196850393704" bottom="1.1811023622047245" header="0.51181102362204722" footer="0.51181102362204722"/>
  <pageSetup paperSize="9" scale="59" orientation="portrait" r:id="rId1"/>
  <headerFooter alignWithMargins="0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L61"/>
  <sheetViews>
    <sheetView zoomScale="65" zoomScaleNormal="65" workbookViewId="0">
      <selection activeCell="J16" sqref="J16"/>
    </sheetView>
  </sheetViews>
  <sheetFormatPr defaultColWidth="9.42578125" defaultRowHeight="20.25"/>
  <cols>
    <col min="1" max="1" width="13.42578125" style="1174" customWidth="1"/>
    <col min="2" max="2" width="15.5703125" style="1174" customWidth="1"/>
    <col min="3" max="3" width="1.7109375" style="1192" customWidth="1"/>
    <col min="4" max="4" width="4" style="1192" customWidth="1"/>
    <col min="5" max="5" width="3.140625" style="1192" customWidth="1"/>
    <col min="6" max="6" width="1.140625" style="1192" customWidth="1"/>
    <col min="7" max="7" width="52.7109375" style="1451" customWidth="1"/>
    <col min="8" max="12" width="15.28515625" style="1451" customWidth="1"/>
    <col min="13" max="17" width="13.7109375" style="1451" customWidth="1"/>
    <col min="18" max="18" width="13.7109375" style="1400" customWidth="1"/>
    <col min="19" max="31" width="13.7109375" style="1451" customWidth="1"/>
    <col min="32" max="37" width="13.7109375" style="1192" customWidth="1"/>
    <col min="38" max="38" width="40.42578125" style="1451" customWidth="1"/>
    <col min="39" max="39" width="2" style="1451" customWidth="1"/>
    <col min="40" max="40" width="3" style="1451" customWidth="1"/>
    <col min="41" max="41" width="3.7109375" style="1192" customWidth="1"/>
    <col min="42" max="42" width="1.7109375" style="1192" customWidth="1"/>
    <col min="43" max="257" width="9.42578125" style="1174"/>
    <col min="258" max="258" width="13.42578125" style="1174" customWidth="1"/>
    <col min="259" max="259" width="15.5703125" style="1174" customWidth="1"/>
    <col min="260" max="260" width="1.7109375" style="1174" customWidth="1"/>
    <col min="261" max="261" width="4" style="1174" customWidth="1"/>
    <col min="262" max="262" width="3.140625" style="1174" customWidth="1"/>
    <col min="263" max="263" width="1.140625" style="1174" customWidth="1"/>
    <col min="264" max="264" width="52.7109375" style="1174" customWidth="1"/>
    <col min="265" max="268" width="15.28515625" style="1174" customWidth="1"/>
    <col min="269" max="293" width="13.7109375" style="1174" customWidth="1"/>
    <col min="294" max="294" width="40.42578125" style="1174" customWidth="1"/>
    <col min="295" max="295" width="2" style="1174" customWidth="1"/>
    <col min="296" max="296" width="3" style="1174" customWidth="1"/>
    <col min="297" max="297" width="3.7109375" style="1174" customWidth="1"/>
    <col min="298" max="298" width="1.7109375" style="1174" customWidth="1"/>
    <col min="299" max="513" width="9.42578125" style="1174"/>
    <col min="514" max="514" width="13.42578125" style="1174" customWidth="1"/>
    <col min="515" max="515" width="15.5703125" style="1174" customWidth="1"/>
    <col min="516" max="516" width="1.7109375" style="1174" customWidth="1"/>
    <col min="517" max="517" width="4" style="1174" customWidth="1"/>
    <col min="518" max="518" width="3.140625" style="1174" customWidth="1"/>
    <col min="519" max="519" width="1.140625" style="1174" customWidth="1"/>
    <col min="520" max="520" width="52.7109375" style="1174" customWidth="1"/>
    <col min="521" max="524" width="15.28515625" style="1174" customWidth="1"/>
    <col min="525" max="549" width="13.7109375" style="1174" customWidth="1"/>
    <col min="550" max="550" width="40.42578125" style="1174" customWidth="1"/>
    <col min="551" max="551" width="2" style="1174" customWidth="1"/>
    <col min="552" max="552" width="3" style="1174" customWidth="1"/>
    <col min="553" max="553" width="3.7109375" style="1174" customWidth="1"/>
    <col min="554" max="554" width="1.7109375" style="1174" customWidth="1"/>
    <col min="555" max="769" width="9.42578125" style="1174"/>
    <col min="770" max="770" width="13.42578125" style="1174" customWidth="1"/>
    <col min="771" max="771" width="15.5703125" style="1174" customWidth="1"/>
    <col min="772" max="772" width="1.7109375" style="1174" customWidth="1"/>
    <col min="773" max="773" width="4" style="1174" customWidth="1"/>
    <col min="774" max="774" width="3.140625" style="1174" customWidth="1"/>
    <col min="775" max="775" width="1.140625" style="1174" customWidth="1"/>
    <col min="776" max="776" width="52.7109375" style="1174" customWidth="1"/>
    <col min="777" max="780" width="15.28515625" style="1174" customWidth="1"/>
    <col min="781" max="805" width="13.7109375" style="1174" customWidth="1"/>
    <col min="806" max="806" width="40.42578125" style="1174" customWidth="1"/>
    <col min="807" max="807" width="2" style="1174" customWidth="1"/>
    <col min="808" max="808" width="3" style="1174" customWidth="1"/>
    <col min="809" max="809" width="3.7109375" style="1174" customWidth="1"/>
    <col min="810" max="810" width="1.7109375" style="1174" customWidth="1"/>
    <col min="811" max="1025" width="9.42578125" style="1174"/>
    <col min="1026" max="1026" width="13.42578125" style="1174" customWidth="1"/>
    <col min="1027" max="1027" width="15.5703125" style="1174" customWidth="1"/>
    <col min="1028" max="1028" width="1.7109375" style="1174" customWidth="1"/>
    <col min="1029" max="1029" width="4" style="1174" customWidth="1"/>
    <col min="1030" max="1030" width="3.140625" style="1174" customWidth="1"/>
    <col min="1031" max="1031" width="1.140625" style="1174" customWidth="1"/>
    <col min="1032" max="1032" width="52.7109375" style="1174" customWidth="1"/>
    <col min="1033" max="1036" width="15.28515625" style="1174" customWidth="1"/>
    <col min="1037" max="1061" width="13.7109375" style="1174" customWidth="1"/>
    <col min="1062" max="1062" width="40.42578125" style="1174" customWidth="1"/>
    <col min="1063" max="1063" width="2" style="1174" customWidth="1"/>
    <col min="1064" max="1064" width="3" style="1174" customWidth="1"/>
    <col min="1065" max="1065" width="3.7109375" style="1174" customWidth="1"/>
    <col min="1066" max="1066" width="1.7109375" style="1174" customWidth="1"/>
    <col min="1067" max="1281" width="9.42578125" style="1174"/>
    <col min="1282" max="1282" width="13.42578125" style="1174" customWidth="1"/>
    <col min="1283" max="1283" width="15.5703125" style="1174" customWidth="1"/>
    <col min="1284" max="1284" width="1.7109375" style="1174" customWidth="1"/>
    <col min="1285" max="1285" width="4" style="1174" customWidth="1"/>
    <col min="1286" max="1286" width="3.140625" style="1174" customWidth="1"/>
    <col min="1287" max="1287" width="1.140625" style="1174" customWidth="1"/>
    <col min="1288" max="1288" width="52.7109375" style="1174" customWidth="1"/>
    <col min="1289" max="1292" width="15.28515625" style="1174" customWidth="1"/>
    <col min="1293" max="1317" width="13.7109375" style="1174" customWidth="1"/>
    <col min="1318" max="1318" width="40.42578125" style="1174" customWidth="1"/>
    <col min="1319" max="1319" width="2" style="1174" customWidth="1"/>
    <col min="1320" max="1320" width="3" style="1174" customWidth="1"/>
    <col min="1321" max="1321" width="3.7109375" style="1174" customWidth="1"/>
    <col min="1322" max="1322" width="1.7109375" style="1174" customWidth="1"/>
    <col min="1323" max="1537" width="9.42578125" style="1174"/>
    <col min="1538" max="1538" width="13.42578125" style="1174" customWidth="1"/>
    <col min="1539" max="1539" width="15.5703125" style="1174" customWidth="1"/>
    <col min="1540" max="1540" width="1.7109375" style="1174" customWidth="1"/>
    <col min="1541" max="1541" width="4" style="1174" customWidth="1"/>
    <col min="1542" max="1542" width="3.140625" style="1174" customWidth="1"/>
    <col min="1543" max="1543" width="1.140625" style="1174" customWidth="1"/>
    <col min="1544" max="1544" width="52.7109375" style="1174" customWidth="1"/>
    <col min="1545" max="1548" width="15.28515625" style="1174" customWidth="1"/>
    <col min="1549" max="1573" width="13.7109375" style="1174" customWidth="1"/>
    <col min="1574" max="1574" width="40.42578125" style="1174" customWidth="1"/>
    <col min="1575" max="1575" width="2" style="1174" customWidth="1"/>
    <col min="1576" max="1576" width="3" style="1174" customWidth="1"/>
    <col min="1577" max="1577" width="3.7109375" style="1174" customWidth="1"/>
    <col min="1578" max="1578" width="1.7109375" style="1174" customWidth="1"/>
    <col min="1579" max="1793" width="9.42578125" style="1174"/>
    <col min="1794" max="1794" width="13.42578125" style="1174" customWidth="1"/>
    <col min="1795" max="1795" width="15.5703125" style="1174" customWidth="1"/>
    <col min="1796" max="1796" width="1.7109375" style="1174" customWidth="1"/>
    <col min="1797" max="1797" width="4" style="1174" customWidth="1"/>
    <col min="1798" max="1798" width="3.140625" style="1174" customWidth="1"/>
    <col min="1799" max="1799" width="1.140625" style="1174" customWidth="1"/>
    <col min="1800" max="1800" width="52.7109375" style="1174" customWidth="1"/>
    <col min="1801" max="1804" width="15.28515625" style="1174" customWidth="1"/>
    <col min="1805" max="1829" width="13.7109375" style="1174" customWidth="1"/>
    <col min="1830" max="1830" width="40.42578125" style="1174" customWidth="1"/>
    <col min="1831" max="1831" width="2" style="1174" customWidth="1"/>
    <col min="1832" max="1832" width="3" style="1174" customWidth="1"/>
    <col min="1833" max="1833" width="3.7109375" style="1174" customWidth="1"/>
    <col min="1834" max="1834" width="1.7109375" style="1174" customWidth="1"/>
    <col min="1835" max="2049" width="9.42578125" style="1174"/>
    <col min="2050" max="2050" width="13.42578125" style="1174" customWidth="1"/>
    <col min="2051" max="2051" width="15.5703125" style="1174" customWidth="1"/>
    <col min="2052" max="2052" width="1.7109375" style="1174" customWidth="1"/>
    <col min="2053" max="2053" width="4" style="1174" customWidth="1"/>
    <col min="2054" max="2054" width="3.140625" style="1174" customWidth="1"/>
    <col min="2055" max="2055" width="1.140625" style="1174" customWidth="1"/>
    <col min="2056" max="2056" width="52.7109375" style="1174" customWidth="1"/>
    <col min="2057" max="2060" width="15.28515625" style="1174" customWidth="1"/>
    <col min="2061" max="2085" width="13.7109375" style="1174" customWidth="1"/>
    <col min="2086" max="2086" width="40.42578125" style="1174" customWidth="1"/>
    <col min="2087" max="2087" width="2" style="1174" customWidth="1"/>
    <col min="2088" max="2088" width="3" style="1174" customWidth="1"/>
    <col min="2089" max="2089" width="3.7109375" style="1174" customWidth="1"/>
    <col min="2090" max="2090" width="1.7109375" style="1174" customWidth="1"/>
    <col min="2091" max="2305" width="9.42578125" style="1174"/>
    <col min="2306" max="2306" width="13.42578125" style="1174" customWidth="1"/>
    <col min="2307" max="2307" width="15.5703125" style="1174" customWidth="1"/>
    <col min="2308" max="2308" width="1.7109375" style="1174" customWidth="1"/>
    <col min="2309" max="2309" width="4" style="1174" customWidth="1"/>
    <col min="2310" max="2310" width="3.140625" style="1174" customWidth="1"/>
    <col min="2311" max="2311" width="1.140625" style="1174" customWidth="1"/>
    <col min="2312" max="2312" width="52.7109375" style="1174" customWidth="1"/>
    <col min="2313" max="2316" width="15.28515625" style="1174" customWidth="1"/>
    <col min="2317" max="2341" width="13.7109375" style="1174" customWidth="1"/>
    <col min="2342" max="2342" width="40.42578125" style="1174" customWidth="1"/>
    <col min="2343" max="2343" width="2" style="1174" customWidth="1"/>
    <col min="2344" max="2344" width="3" style="1174" customWidth="1"/>
    <col min="2345" max="2345" width="3.7109375" style="1174" customWidth="1"/>
    <col min="2346" max="2346" width="1.7109375" style="1174" customWidth="1"/>
    <col min="2347" max="2561" width="9.42578125" style="1174"/>
    <col min="2562" max="2562" width="13.42578125" style="1174" customWidth="1"/>
    <col min="2563" max="2563" width="15.5703125" style="1174" customWidth="1"/>
    <col min="2564" max="2564" width="1.7109375" style="1174" customWidth="1"/>
    <col min="2565" max="2565" width="4" style="1174" customWidth="1"/>
    <col min="2566" max="2566" width="3.140625" style="1174" customWidth="1"/>
    <col min="2567" max="2567" width="1.140625" style="1174" customWidth="1"/>
    <col min="2568" max="2568" width="52.7109375" style="1174" customWidth="1"/>
    <col min="2569" max="2572" width="15.28515625" style="1174" customWidth="1"/>
    <col min="2573" max="2597" width="13.7109375" style="1174" customWidth="1"/>
    <col min="2598" max="2598" width="40.42578125" style="1174" customWidth="1"/>
    <col min="2599" max="2599" width="2" style="1174" customWidth="1"/>
    <col min="2600" max="2600" width="3" style="1174" customWidth="1"/>
    <col min="2601" max="2601" width="3.7109375" style="1174" customWidth="1"/>
    <col min="2602" max="2602" width="1.7109375" style="1174" customWidth="1"/>
    <col min="2603" max="2817" width="9.42578125" style="1174"/>
    <col min="2818" max="2818" width="13.42578125" style="1174" customWidth="1"/>
    <col min="2819" max="2819" width="15.5703125" style="1174" customWidth="1"/>
    <col min="2820" max="2820" width="1.7109375" style="1174" customWidth="1"/>
    <col min="2821" max="2821" width="4" style="1174" customWidth="1"/>
    <col min="2822" max="2822" width="3.140625" style="1174" customWidth="1"/>
    <col min="2823" max="2823" width="1.140625" style="1174" customWidth="1"/>
    <col min="2824" max="2824" width="52.7109375" style="1174" customWidth="1"/>
    <col min="2825" max="2828" width="15.28515625" style="1174" customWidth="1"/>
    <col min="2829" max="2853" width="13.7109375" style="1174" customWidth="1"/>
    <col min="2854" max="2854" width="40.42578125" style="1174" customWidth="1"/>
    <col min="2855" max="2855" width="2" style="1174" customWidth="1"/>
    <col min="2856" max="2856" width="3" style="1174" customWidth="1"/>
    <col min="2857" max="2857" width="3.7109375" style="1174" customWidth="1"/>
    <col min="2858" max="2858" width="1.7109375" style="1174" customWidth="1"/>
    <col min="2859" max="3073" width="9.42578125" style="1174"/>
    <col min="3074" max="3074" width="13.42578125" style="1174" customWidth="1"/>
    <col min="3075" max="3075" width="15.5703125" style="1174" customWidth="1"/>
    <col min="3076" max="3076" width="1.7109375" style="1174" customWidth="1"/>
    <col min="3077" max="3077" width="4" style="1174" customWidth="1"/>
    <col min="3078" max="3078" width="3.140625" style="1174" customWidth="1"/>
    <col min="3079" max="3079" width="1.140625" style="1174" customWidth="1"/>
    <col min="3080" max="3080" width="52.7109375" style="1174" customWidth="1"/>
    <col min="3081" max="3084" width="15.28515625" style="1174" customWidth="1"/>
    <col min="3085" max="3109" width="13.7109375" style="1174" customWidth="1"/>
    <col min="3110" max="3110" width="40.42578125" style="1174" customWidth="1"/>
    <col min="3111" max="3111" width="2" style="1174" customWidth="1"/>
    <col min="3112" max="3112" width="3" style="1174" customWidth="1"/>
    <col min="3113" max="3113" width="3.7109375" style="1174" customWidth="1"/>
    <col min="3114" max="3114" width="1.7109375" style="1174" customWidth="1"/>
    <col min="3115" max="3329" width="9.42578125" style="1174"/>
    <col min="3330" max="3330" width="13.42578125" style="1174" customWidth="1"/>
    <col min="3331" max="3331" width="15.5703125" style="1174" customWidth="1"/>
    <col min="3332" max="3332" width="1.7109375" style="1174" customWidth="1"/>
    <col min="3333" max="3333" width="4" style="1174" customWidth="1"/>
    <col min="3334" max="3334" width="3.140625" style="1174" customWidth="1"/>
    <col min="3335" max="3335" width="1.140625" style="1174" customWidth="1"/>
    <col min="3336" max="3336" width="52.7109375" style="1174" customWidth="1"/>
    <col min="3337" max="3340" width="15.28515625" style="1174" customWidth="1"/>
    <col min="3341" max="3365" width="13.7109375" style="1174" customWidth="1"/>
    <col min="3366" max="3366" width="40.42578125" style="1174" customWidth="1"/>
    <col min="3367" max="3367" width="2" style="1174" customWidth="1"/>
    <col min="3368" max="3368" width="3" style="1174" customWidth="1"/>
    <col min="3369" max="3369" width="3.7109375" style="1174" customWidth="1"/>
    <col min="3370" max="3370" width="1.7109375" style="1174" customWidth="1"/>
    <col min="3371" max="3585" width="9.42578125" style="1174"/>
    <col min="3586" max="3586" width="13.42578125" style="1174" customWidth="1"/>
    <col min="3587" max="3587" width="15.5703125" style="1174" customWidth="1"/>
    <col min="3588" max="3588" width="1.7109375" style="1174" customWidth="1"/>
    <col min="3589" max="3589" width="4" style="1174" customWidth="1"/>
    <col min="3590" max="3590" width="3.140625" style="1174" customWidth="1"/>
    <col min="3591" max="3591" width="1.140625" style="1174" customWidth="1"/>
    <col min="3592" max="3592" width="52.7109375" style="1174" customWidth="1"/>
    <col min="3593" max="3596" width="15.28515625" style="1174" customWidth="1"/>
    <col min="3597" max="3621" width="13.7109375" style="1174" customWidth="1"/>
    <col min="3622" max="3622" width="40.42578125" style="1174" customWidth="1"/>
    <col min="3623" max="3623" width="2" style="1174" customWidth="1"/>
    <col min="3624" max="3624" width="3" style="1174" customWidth="1"/>
    <col min="3625" max="3625" width="3.7109375" style="1174" customWidth="1"/>
    <col min="3626" max="3626" width="1.7109375" style="1174" customWidth="1"/>
    <col min="3627" max="3841" width="9.42578125" style="1174"/>
    <col min="3842" max="3842" width="13.42578125" style="1174" customWidth="1"/>
    <col min="3843" max="3843" width="15.5703125" style="1174" customWidth="1"/>
    <col min="3844" max="3844" width="1.7109375" style="1174" customWidth="1"/>
    <col min="3845" max="3845" width="4" style="1174" customWidth="1"/>
    <col min="3846" max="3846" width="3.140625" style="1174" customWidth="1"/>
    <col min="3847" max="3847" width="1.140625" style="1174" customWidth="1"/>
    <col min="3848" max="3848" width="52.7109375" style="1174" customWidth="1"/>
    <col min="3849" max="3852" width="15.28515625" style="1174" customWidth="1"/>
    <col min="3853" max="3877" width="13.7109375" style="1174" customWidth="1"/>
    <col min="3878" max="3878" width="40.42578125" style="1174" customWidth="1"/>
    <col min="3879" max="3879" width="2" style="1174" customWidth="1"/>
    <col min="3880" max="3880" width="3" style="1174" customWidth="1"/>
    <col min="3881" max="3881" width="3.7109375" style="1174" customWidth="1"/>
    <col min="3882" max="3882" width="1.7109375" style="1174" customWidth="1"/>
    <col min="3883" max="4097" width="9.42578125" style="1174"/>
    <col min="4098" max="4098" width="13.42578125" style="1174" customWidth="1"/>
    <col min="4099" max="4099" width="15.5703125" style="1174" customWidth="1"/>
    <col min="4100" max="4100" width="1.7109375" style="1174" customWidth="1"/>
    <col min="4101" max="4101" width="4" style="1174" customWidth="1"/>
    <col min="4102" max="4102" width="3.140625" style="1174" customWidth="1"/>
    <col min="4103" max="4103" width="1.140625" style="1174" customWidth="1"/>
    <col min="4104" max="4104" width="52.7109375" style="1174" customWidth="1"/>
    <col min="4105" max="4108" width="15.28515625" style="1174" customWidth="1"/>
    <col min="4109" max="4133" width="13.7109375" style="1174" customWidth="1"/>
    <col min="4134" max="4134" width="40.42578125" style="1174" customWidth="1"/>
    <col min="4135" max="4135" width="2" style="1174" customWidth="1"/>
    <col min="4136" max="4136" width="3" style="1174" customWidth="1"/>
    <col min="4137" max="4137" width="3.7109375" style="1174" customWidth="1"/>
    <col min="4138" max="4138" width="1.7109375" style="1174" customWidth="1"/>
    <col min="4139" max="4353" width="9.42578125" style="1174"/>
    <col min="4354" max="4354" width="13.42578125" style="1174" customWidth="1"/>
    <col min="4355" max="4355" width="15.5703125" style="1174" customWidth="1"/>
    <col min="4356" max="4356" width="1.7109375" style="1174" customWidth="1"/>
    <col min="4357" max="4357" width="4" style="1174" customWidth="1"/>
    <col min="4358" max="4358" width="3.140625" style="1174" customWidth="1"/>
    <col min="4359" max="4359" width="1.140625" style="1174" customWidth="1"/>
    <col min="4360" max="4360" width="52.7109375" style="1174" customWidth="1"/>
    <col min="4361" max="4364" width="15.28515625" style="1174" customWidth="1"/>
    <col min="4365" max="4389" width="13.7109375" style="1174" customWidth="1"/>
    <col min="4390" max="4390" width="40.42578125" style="1174" customWidth="1"/>
    <col min="4391" max="4391" width="2" style="1174" customWidth="1"/>
    <col min="4392" max="4392" width="3" style="1174" customWidth="1"/>
    <col min="4393" max="4393" width="3.7109375" style="1174" customWidth="1"/>
    <col min="4394" max="4394" width="1.7109375" style="1174" customWidth="1"/>
    <col min="4395" max="4609" width="9.42578125" style="1174"/>
    <col min="4610" max="4610" width="13.42578125" style="1174" customWidth="1"/>
    <col min="4611" max="4611" width="15.5703125" style="1174" customWidth="1"/>
    <col min="4612" max="4612" width="1.7109375" style="1174" customWidth="1"/>
    <col min="4613" max="4613" width="4" style="1174" customWidth="1"/>
    <col min="4614" max="4614" width="3.140625" style="1174" customWidth="1"/>
    <col min="4615" max="4615" width="1.140625" style="1174" customWidth="1"/>
    <col min="4616" max="4616" width="52.7109375" style="1174" customWidth="1"/>
    <col min="4617" max="4620" width="15.28515625" style="1174" customWidth="1"/>
    <col min="4621" max="4645" width="13.7109375" style="1174" customWidth="1"/>
    <col min="4646" max="4646" width="40.42578125" style="1174" customWidth="1"/>
    <col min="4647" max="4647" width="2" style="1174" customWidth="1"/>
    <col min="4648" max="4648" width="3" style="1174" customWidth="1"/>
    <col min="4649" max="4649" width="3.7109375" style="1174" customWidth="1"/>
    <col min="4650" max="4650" width="1.7109375" style="1174" customWidth="1"/>
    <col min="4651" max="4865" width="9.42578125" style="1174"/>
    <col min="4866" max="4866" width="13.42578125" style="1174" customWidth="1"/>
    <col min="4867" max="4867" width="15.5703125" style="1174" customWidth="1"/>
    <col min="4868" max="4868" width="1.7109375" style="1174" customWidth="1"/>
    <col min="4869" max="4869" width="4" style="1174" customWidth="1"/>
    <col min="4870" max="4870" width="3.140625" style="1174" customWidth="1"/>
    <col min="4871" max="4871" width="1.140625" style="1174" customWidth="1"/>
    <col min="4872" max="4872" width="52.7109375" style="1174" customWidth="1"/>
    <col min="4873" max="4876" width="15.28515625" style="1174" customWidth="1"/>
    <col min="4877" max="4901" width="13.7109375" style="1174" customWidth="1"/>
    <col min="4902" max="4902" width="40.42578125" style="1174" customWidth="1"/>
    <col min="4903" max="4903" width="2" style="1174" customWidth="1"/>
    <col min="4904" max="4904" width="3" style="1174" customWidth="1"/>
    <col min="4905" max="4905" width="3.7109375" style="1174" customWidth="1"/>
    <col min="4906" max="4906" width="1.7109375" style="1174" customWidth="1"/>
    <col min="4907" max="5121" width="9.42578125" style="1174"/>
    <col min="5122" max="5122" width="13.42578125" style="1174" customWidth="1"/>
    <col min="5123" max="5123" width="15.5703125" style="1174" customWidth="1"/>
    <col min="5124" max="5124" width="1.7109375" style="1174" customWidth="1"/>
    <col min="5125" max="5125" width="4" style="1174" customWidth="1"/>
    <col min="5126" max="5126" width="3.140625" style="1174" customWidth="1"/>
    <col min="5127" max="5127" width="1.140625" style="1174" customWidth="1"/>
    <col min="5128" max="5128" width="52.7109375" style="1174" customWidth="1"/>
    <col min="5129" max="5132" width="15.28515625" style="1174" customWidth="1"/>
    <col min="5133" max="5157" width="13.7109375" style="1174" customWidth="1"/>
    <col min="5158" max="5158" width="40.42578125" style="1174" customWidth="1"/>
    <col min="5159" max="5159" width="2" style="1174" customWidth="1"/>
    <col min="5160" max="5160" width="3" style="1174" customWidth="1"/>
    <col min="5161" max="5161" width="3.7109375" style="1174" customWidth="1"/>
    <col min="5162" max="5162" width="1.7109375" style="1174" customWidth="1"/>
    <col min="5163" max="5377" width="9.42578125" style="1174"/>
    <col min="5378" max="5378" width="13.42578125" style="1174" customWidth="1"/>
    <col min="5379" max="5379" width="15.5703125" style="1174" customWidth="1"/>
    <col min="5380" max="5380" width="1.7109375" style="1174" customWidth="1"/>
    <col min="5381" max="5381" width="4" style="1174" customWidth="1"/>
    <col min="5382" max="5382" width="3.140625" style="1174" customWidth="1"/>
    <col min="5383" max="5383" width="1.140625" style="1174" customWidth="1"/>
    <col min="5384" max="5384" width="52.7109375" style="1174" customWidth="1"/>
    <col min="5385" max="5388" width="15.28515625" style="1174" customWidth="1"/>
    <col min="5389" max="5413" width="13.7109375" style="1174" customWidth="1"/>
    <col min="5414" max="5414" width="40.42578125" style="1174" customWidth="1"/>
    <col min="5415" max="5415" width="2" style="1174" customWidth="1"/>
    <col min="5416" max="5416" width="3" style="1174" customWidth="1"/>
    <col min="5417" max="5417" width="3.7109375" style="1174" customWidth="1"/>
    <col min="5418" max="5418" width="1.7109375" style="1174" customWidth="1"/>
    <col min="5419" max="5633" width="9.42578125" style="1174"/>
    <col min="5634" max="5634" width="13.42578125" style="1174" customWidth="1"/>
    <col min="5635" max="5635" width="15.5703125" style="1174" customWidth="1"/>
    <col min="5636" max="5636" width="1.7109375" style="1174" customWidth="1"/>
    <col min="5637" max="5637" width="4" style="1174" customWidth="1"/>
    <col min="5638" max="5638" width="3.140625" style="1174" customWidth="1"/>
    <col min="5639" max="5639" width="1.140625" style="1174" customWidth="1"/>
    <col min="5640" max="5640" width="52.7109375" style="1174" customWidth="1"/>
    <col min="5641" max="5644" width="15.28515625" style="1174" customWidth="1"/>
    <col min="5645" max="5669" width="13.7109375" style="1174" customWidth="1"/>
    <col min="5670" max="5670" width="40.42578125" style="1174" customWidth="1"/>
    <col min="5671" max="5671" width="2" style="1174" customWidth="1"/>
    <col min="5672" max="5672" width="3" style="1174" customWidth="1"/>
    <col min="5673" max="5673" width="3.7109375" style="1174" customWidth="1"/>
    <col min="5674" max="5674" width="1.7109375" style="1174" customWidth="1"/>
    <col min="5675" max="5889" width="9.42578125" style="1174"/>
    <col min="5890" max="5890" width="13.42578125" style="1174" customWidth="1"/>
    <col min="5891" max="5891" width="15.5703125" style="1174" customWidth="1"/>
    <col min="5892" max="5892" width="1.7109375" style="1174" customWidth="1"/>
    <col min="5893" max="5893" width="4" style="1174" customWidth="1"/>
    <col min="5894" max="5894" width="3.140625" style="1174" customWidth="1"/>
    <col min="5895" max="5895" width="1.140625" style="1174" customWidth="1"/>
    <col min="5896" max="5896" width="52.7109375" style="1174" customWidth="1"/>
    <col min="5897" max="5900" width="15.28515625" style="1174" customWidth="1"/>
    <col min="5901" max="5925" width="13.7109375" style="1174" customWidth="1"/>
    <col min="5926" max="5926" width="40.42578125" style="1174" customWidth="1"/>
    <col min="5927" max="5927" width="2" style="1174" customWidth="1"/>
    <col min="5928" max="5928" width="3" style="1174" customWidth="1"/>
    <col min="5929" max="5929" width="3.7109375" style="1174" customWidth="1"/>
    <col min="5930" max="5930" width="1.7109375" style="1174" customWidth="1"/>
    <col min="5931" max="6145" width="9.42578125" style="1174"/>
    <col min="6146" max="6146" width="13.42578125" style="1174" customWidth="1"/>
    <col min="6147" max="6147" width="15.5703125" style="1174" customWidth="1"/>
    <col min="6148" max="6148" width="1.7109375" style="1174" customWidth="1"/>
    <col min="6149" max="6149" width="4" style="1174" customWidth="1"/>
    <col min="6150" max="6150" width="3.140625" style="1174" customWidth="1"/>
    <col min="6151" max="6151" width="1.140625" style="1174" customWidth="1"/>
    <col min="6152" max="6152" width="52.7109375" style="1174" customWidth="1"/>
    <col min="6153" max="6156" width="15.28515625" style="1174" customWidth="1"/>
    <col min="6157" max="6181" width="13.7109375" style="1174" customWidth="1"/>
    <col min="6182" max="6182" width="40.42578125" style="1174" customWidth="1"/>
    <col min="6183" max="6183" width="2" style="1174" customWidth="1"/>
    <col min="6184" max="6184" width="3" style="1174" customWidth="1"/>
    <col min="6185" max="6185" width="3.7109375" style="1174" customWidth="1"/>
    <col min="6186" max="6186" width="1.7109375" style="1174" customWidth="1"/>
    <col min="6187" max="6401" width="9.42578125" style="1174"/>
    <col min="6402" max="6402" width="13.42578125" style="1174" customWidth="1"/>
    <col min="6403" max="6403" width="15.5703125" style="1174" customWidth="1"/>
    <col min="6404" max="6404" width="1.7109375" style="1174" customWidth="1"/>
    <col min="6405" max="6405" width="4" style="1174" customWidth="1"/>
    <col min="6406" max="6406" width="3.140625" style="1174" customWidth="1"/>
    <col min="6407" max="6407" width="1.140625" style="1174" customWidth="1"/>
    <col min="6408" max="6408" width="52.7109375" style="1174" customWidth="1"/>
    <col min="6409" max="6412" width="15.28515625" style="1174" customWidth="1"/>
    <col min="6413" max="6437" width="13.7109375" style="1174" customWidth="1"/>
    <col min="6438" max="6438" width="40.42578125" style="1174" customWidth="1"/>
    <col min="6439" max="6439" width="2" style="1174" customWidth="1"/>
    <col min="6440" max="6440" width="3" style="1174" customWidth="1"/>
    <col min="6441" max="6441" width="3.7109375" style="1174" customWidth="1"/>
    <col min="6442" max="6442" width="1.7109375" style="1174" customWidth="1"/>
    <col min="6443" max="6657" width="9.42578125" style="1174"/>
    <col min="6658" max="6658" width="13.42578125" style="1174" customWidth="1"/>
    <col min="6659" max="6659" width="15.5703125" style="1174" customWidth="1"/>
    <col min="6660" max="6660" width="1.7109375" style="1174" customWidth="1"/>
    <col min="6661" max="6661" width="4" style="1174" customWidth="1"/>
    <col min="6662" max="6662" width="3.140625" style="1174" customWidth="1"/>
    <col min="6663" max="6663" width="1.140625" style="1174" customWidth="1"/>
    <col min="6664" max="6664" width="52.7109375" style="1174" customWidth="1"/>
    <col min="6665" max="6668" width="15.28515625" style="1174" customWidth="1"/>
    <col min="6669" max="6693" width="13.7109375" style="1174" customWidth="1"/>
    <col min="6694" max="6694" width="40.42578125" style="1174" customWidth="1"/>
    <col min="6695" max="6695" width="2" style="1174" customWidth="1"/>
    <col min="6696" max="6696" width="3" style="1174" customWidth="1"/>
    <col min="6697" max="6697" width="3.7109375" style="1174" customWidth="1"/>
    <col min="6698" max="6698" width="1.7109375" style="1174" customWidth="1"/>
    <col min="6699" max="6913" width="9.42578125" style="1174"/>
    <col min="6914" max="6914" width="13.42578125" style="1174" customWidth="1"/>
    <col min="6915" max="6915" width="15.5703125" style="1174" customWidth="1"/>
    <col min="6916" max="6916" width="1.7109375" style="1174" customWidth="1"/>
    <col min="6917" max="6917" width="4" style="1174" customWidth="1"/>
    <col min="6918" max="6918" width="3.140625" style="1174" customWidth="1"/>
    <col min="6919" max="6919" width="1.140625" style="1174" customWidth="1"/>
    <col min="6920" max="6920" width="52.7109375" style="1174" customWidth="1"/>
    <col min="6921" max="6924" width="15.28515625" style="1174" customWidth="1"/>
    <col min="6925" max="6949" width="13.7109375" style="1174" customWidth="1"/>
    <col min="6950" max="6950" width="40.42578125" style="1174" customWidth="1"/>
    <col min="6951" max="6951" width="2" style="1174" customWidth="1"/>
    <col min="6952" max="6952" width="3" style="1174" customWidth="1"/>
    <col min="6953" max="6953" width="3.7109375" style="1174" customWidth="1"/>
    <col min="6954" max="6954" width="1.7109375" style="1174" customWidth="1"/>
    <col min="6955" max="7169" width="9.42578125" style="1174"/>
    <col min="7170" max="7170" width="13.42578125" style="1174" customWidth="1"/>
    <col min="7171" max="7171" width="15.5703125" style="1174" customWidth="1"/>
    <col min="7172" max="7172" width="1.7109375" style="1174" customWidth="1"/>
    <col min="7173" max="7173" width="4" style="1174" customWidth="1"/>
    <col min="7174" max="7174" width="3.140625" style="1174" customWidth="1"/>
    <col min="7175" max="7175" width="1.140625" style="1174" customWidth="1"/>
    <col min="7176" max="7176" width="52.7109375" style="1174" customWidth="1"/>
    <col min="7177" max="7180" width="15.28515625" style="1174" customWidth="1"/>
    <col min="7181" max="7205" width="13.7109375" style="1174" customWidth="1"/>
    <col min="7206" max="7206" width="40.42578125" style="1174" customWidth="1"/>
    <col min="7207" max="7207" width="2" style="1174" customWidth="1"/>
    <col min="7208" max="7208" width="3" style="1174" customWidth="1"/>
    <col min="7209" max="7209" width="3.7109375" style="1174" customWidth="1"/>
    <col min="7210" max="7210" width="1.7109375" style="1174" customWidth="1"/>
    <col min="7211" max="7425" width="9.42578125" style="1174"/>
    <col min="7426" max="7426" width="13.42578125" style="1174" customWidth="1"/>
    <col min="7427" max="7427" width="15.5703125" style="1174" customWidth="1"/>
    <col min="7428" max="7428" width="1.7109375" style="1174" customWidth="1"/>
    <col min="7429" max="7429" width="4" style="1174" customWidth="1"/>
    <col min="7430" max="7430" width="3.140625" style="1174" customWidth="1"/>
    <col min="7431" max="7431" width="1.140625" style="1174" customWidth="1"/>
    <col min="7432" max="7432" width="52.7109375" style="1174" customWidth="1"/>
    <col min="7433" max="7436" width="15.28515625" style="1174" customWidth="1"/>
    <col min="7437" max="7461" width="13.7109375" style="1174" customWidth="1"/>
    <col min="7462" max="7462" width="40.42578125" style="1174" customWidth="1"/>
    <col min="7463" max="7463" width="2" style="1174" customWidth="1"/>
    <col min="7464" max="7464" width="3" style="1174" customWidth="1"/>
    <col min="7465" max="7465" width="3.7109375" style="1174" customWidth="1"/>
    <col min="7466" max="7466" width="1.7109375" style="1174" customWidth="1"/>
    <col min="7467" max="7681" width="9.42578125" style="1174"/>
    <col min="7682" max="7682" width="13.42578125" style="1174" customWidth="1"/>
    <col min="7683" max="7683" width="15.5703125" style="1174" customWidth="1"/>
    <col min="7684" max="7684" width="1.7109375" style="1174" customWidth="1"/>
    <col min="7685" max="7685" width="4" style="1174" customWidth="1"/>
    <col min="7686" max="7686" width="3.140625" style="1174" customWidth="1"/>
    <col min="7687" max="7687" width="1.140625" style="1174" customWidth="1"/>
    <col min="7688" max="7688" width="52.7109375" style="1174" customWidth="1"/>
    <col min="7689" max="7692" width="15.28515625" style="1174" customWidth="1"/>
    <col min="7693" max="7717" width="13.7109375" style="1174" customWidth="1"/>
    <col min="7718" max="7718" width="40.42578125" style="1174" customWidth="1"/>
    <col min="7719" max="7719" width="2" style="1174" customWidth="1"/>
    <col min="7720" max="7720" width="3" style="1174" customWidth="1"/>
    <col min="7721" max="7721" width="3.7109375" style="1174" customWidth="1"/>
    <col min="7722" max="7722" width="1.7109375" style="1174" customWidth="1"/>
    <col min="7723" max="7937" width="9.42578125" style="1174"/>
    <col min="7938" max="7938" width="13.42578125" style="1174" customWidth="1"/>
    <col min="7939" max="7939" width="15.5703125" style="1174" customWidth="1"/>
    <col min="7940" max="7940" width="1.7109375" style="1174" customWidth="1"/>
    <col min="7941" max="7941" width="4" style="1174" customWidth="1"/>
    <col min="7942" max="7942" width="3.140625" style="1174" customWidth="1"/>
    <col min="7943" max="7943" width="1.140625" style="1174" customWidth="1"/>
    <col min="7944" max="7944" width="52.7109375" style="1174" customWidth="1"/>
    <col min="7945" max="7948" width="15.28515625" style="1174" customWidth="1"/>
    <col min="7949" max="7973" width="13.7109375" style="1174" customWidth="1"/>
    <col min="7974" max="7974" width="40.42578125" style="1174" customWidth="1"/>
    <col min="7975" max="7975" width="2" style="1174" customWidth="1"/>
    <col min="7976" max="7976" width="3" style="1174" customWidth="1"/>
    <col min="7977" max="7977" width="3.7109375" style="1174" customWidth="1"/>
    <col min="7978" max="7978" width="1.7109375" style="1174" customWidth="1"/>
    <col min="7979" max="8193" width="9.42578125" style="1174"/>
    <col min="8194" max="8194" width="13.42578125" style="1174" customWidth="1"/>
    <col min="8195" max="8195" width="15.5703125" style="1174" customWidth="1"/>
    <col min="8196" max="8196" width="1.7109375" style="1174" customWidth="1"/>
    <col min="8197" max="8197" width="4" style="1174" customWidth="1"/>
    <col min="8198" max="8198" width="3.140625" style="1174" customWidth="1"/>
    <col min="8199" max="8199" width="1.140625" style="1174" customWidth="1"/>
    <col min="8200" max="8200" width="52.7109375" style="1174" customWidth="1"/>
    <col min="8201" max="8204" width="15.28515625" style="1174" customWidth="1"/>
    <col min="8205" max="8229" width="13.7109375" style="1174" customWidth="1"/>
    <col min="8230" max="8230" width="40.42578125" style="1174" customWidth="1"/>
    <col min="8231" max="8231" width="2" style="1174" customWidth="1"/>
    <col min="8232" max="8232" width="3" style="1174" customWidth="1"/>
    <col min="8233" max="8233" width="3.7109375" style="1174" customWidth="1"/>
    <col min="8234" max="8234" width="1.7109375" style="1174" customWidth="1"/>
    <col min="8235" max="8449" width="9.42578125" style="1174"/>
    <col min="8450" max="8450" width="13.42578125" style="1174" customWidth="1"/>
    <col min="8451" max="8451" width="15.5703125" style="1174" customWidth="1"/>
    <col min="8452" max="8452" width="1.7109375" style="1174" customWidth="1"/>
    <col min="8453" max="8453" width="4" style="1174" customWidth="1"/>
    <col min="8454" max="8454" width="3.140625" style="1174" customWidth="1"/>
    <col min="8455" max="8455" width="1.140625" style="1174" customWidth="1"/>
    <col min="8456" max="8456" width="52.7109375" style="1174" customWidth="1"/>
    <col min="8457" max="8460" width="15.28515625" style="1174" customWidth="1"/>
    <col min="8461" max="8485" width="13.7109375" style="1174" customWidth="1"/>
    <col min="8486" max="8486" width="40.42578125" style="1174" customWidth="1"/>
    <col min="8487" max="8487" width="2" style="1174" customWidth="1"/>
    <col min="8488" max="8488" width="3" style="1174" customWidth="1"/>
    <col min="8489" max="8489" width="3.7109375" style="1174" customWidth="1"/>
    <col min="8490" max="8490" width="1.7109375" style="1174" customWidth="1"/>
    <col min="8491" max="8705" width="9.42578125" style="1174"/>
    <col min="8706" max="8706" width="13.42578125" style="1174" customWidth="1"/>
    <col min="8707" max="8707" width="15.5703125" style="1174" customWidth="1"/>
    <col min="8708" max="8708" width="1.7109375" style="1174" customWidth="1"/>
    <col min="8709" max="8709" width="4" style="1174" customWidth="1"/>
    <col min="8710" max="8710" width="3.140625" style="1174" customWidth="1"/>
    <col min="8711" max="8711" width="1.140625" style="1174" customWidth="1"/>
    <col min="8712" max="8712" width="52.7109375" style="1174" customWidth="1"/>
    <col min="8713" max="8716" width="15.28515625" style="1174" customWidth="1"/>
    <col min="8717" max="8741" width="13.7109375" style="1174" customWidth="1"/>
    <col min="8742" max="8742" width="40.42578125" style="1174" customWidth="1"/>
    <col min="8743" max="8743" width="2" style="1174" customWidth="1"/>
    <col min="8744" max="8744" width="3" style="1174" customWidth="1"/>
    <col min="8745" max="8745" width="3.7109375" style="1174" customWidth="1"/>
    <col min="8746" max="8746" width="1.7109375" style="1174" customWidth="1"/>
    <col min="8747" max="8961" width="9.42578125" style="1174"/>
    <col min="8962" max="8962" width="13.42578125" style="1174" customWidth="1"/>
    <col min="8963" max="8963" width="15.5703125" style="1174" customWidth="1"/>
    <col min="8964" max="8964" width="1.7109375" style="1174" customWidth="1"/>
    <col min="8965" max="8965" width="4" style="1174" customWidth="1"/>
    <col min="8966" max="8966" width="3.140625" style="1174" customWidth="1"/>
    <col min="8967" max="8967" width="1.140625" style="1174" customWidth="1"/>
    <col min="8968" max="8968" width="52.7109375" style="1174" customWidth="1"/>
    <col min="8969" max="8972" width="15.28515625" style="1174" customWidth="1"/>
    <col min="8973" max="8997" width="13.7109375" style="1174" customWidth="1"/>
    <col min="8998" max="8998" width="40.42578125" style="1174" customWidth="1"/>
    <col min="8999" max="8999" width="2" style="1174" customWidth="1"/>
    <col min="9000" max="9000" width="3" style="1174" customWidth="1"/>
    <col min="9001" max="9001" width="3.7109375" style="1174" customWidth="1"/>
    <col min="9002" max="9002" width="1.7109375" style="1174" customWidth="1"/>
    <col min="9003" max="9217" width="9.42578125" style="1174"/>
    <col min="9218" max="9218" width="13.42578125" style="1174" customWidth="1"/>
    <col min="9219" max="9219" width="15.5703125" style="1174" customWidth="1"/>
    <col min="9220" max="9220" width="1.7109375" style="1174" customWidth="1"/>
    <col min="9221" max="9221" width="4" style="1174" customWidth="1"/>
    <col min="9222" max="9222" width="3.140625" style="1174" customWidth="1"/>
    <col min="9223" max="9223" width="1.140625" style="1174" customWidth="1"/>
    <col min="9224" max="9224" width="52.7109375" style="1174" customWidth="1"/>
    <col min="9225" max="9228" width="15.28515625" style="1174" customWidth="1"/>
    <col min="9229" max="9253" width="13.7109375" style="1174" customWidth="1"/>
    <col min="9254" max="9254" width="40.42578125" style="1174" customWidth="1"/>
    <col min="9255" max="9255" width="2" style="1174" customWidth="1"/>
    <col min="9256" max="9256" width="3" style="1174" customWidth="1"/>
    <col min="9257" max="9257" width="3.7109375" style="1174" customWidth="1"/>
    <col min="9258" max="9258" width="1.7109375" style="1174" customWidth="1"/>
    <col min="9259" max="9473" width="9.42578125" style="1174"/>
    <col min="9474" max="9474" width="13.42578125" style="1174" customWidth="1"/>
    <col min="9475" max="9475" width="15.5703125" style="1174" customWidth="1"/>
    <col min="9476" max="9476" width="1.7109375" style="1174" customWidth="1"/>
    <col min="9477" max="9477" width="4" style="1174" customWidth="1"/>
    <col min="9478" max="9478" width="3.140625" style="1174" customWidth="1"/>
    <col min="9479" max="9479" width="1.140625" style="1174" customWidth="1"/>
    <col min="9480" max="9480" width="52.7109375" style="1174" customWidth="1"/>
    <col min="9481" max="9484" width="15.28515625" style="1174" customWidth="1"/>
    <col min="9485" max="9509" width="13.7109375" style="1174" customWidth="1"/>
    <col min="9510" max="9510" width="40.42578125" style="1174" customWidth="1"/>
    <col min="9511" max="9511" width="2" style="1174" customWidth="1"/>
    <col min="9512" max="9512" width="3" style="1174" customWidth="1"/>
    <col min="9513" max="9513" width="3.7109375" style="1174" customWidth="1"/>
    <col min="9514" max="9514" width="1.7109375" style="1174" customWidth="1"/>
    <col min="9515" max="9729" width="9.42578125" style="1174"/>
    <col min="9730" max="9730" width="13.42578125" style="1174" customWidth="1"/>
    <col min="9731" max="9731" width="15.5703125" style="1174" customWidth="1"/>
    <col min="9732" max="9732" width="1.7109375" style="1174" customWidth="1"/>
    <col min="9733" max="9733" width="4" style="1174" customWidth="1"/>
    <col min="9734" max="9734" width="3.140625" style="1174" customWidth="1"/>
    <col min="9735" max="9735" width="1.140625" style="1174" customWidth="1"/>
    <col min="9736" max="9736" width="52.7109375" style="1174" customWidth="1"/>
    <col min="9737" max="9740" width="15.28515625" style="1174" customWidth="1"/>
    <col min="9741" max="9765" width="13.7109375" style="1174" customWidth="1"/>
    <col min="9766" max="9766" width="40.42578125" style="1174" customWidth="1"/>
    <col min="9767" max="9767" width="2" style="1174" customWidth="1"/>
    <col min="9768" max="9768" width="3" style="1174" customWidth="1"/>
    <col min="9769" max="9769" width="3.7109375" style="1174" customWidth="1"/>
    <col min="9770" max="9770" width="1.7109375" style="1174" customWidth="1"/>
    <col min="9771" max="9985" width="9.42578125" style="1174"/>
    <col min="9986" max="9986" width="13.42578125" style="1174" customWidth="1"/>
    <col min="9987" max="9987" width="15.5703125" style="1174" customWidth="1"/>
    <col min="9988" max="9988" width="1.7109375" style="1174" customWidth="1"/>
    <col min="9989" max="9989" width="4" style="1174" customWidth="1"/>
    <col min="9990" max="9990" width="3.140625" style="1174" customWidth="1"/>
    <col min="9991" max="9991" width="1.140625" style="1174" customWidth="1"/>
    <col min="9992" max="9992" width="52.7109375" style="1174" customWidth="1"/>
    <col min="9993" max="9996" width="15.28515625" style="1174" customWidth="1"/>
    <col min="9997" max="10021" width="13.7109375" style="1174" customWidth="1"/>
    <col min="10022" max="10022" width="40.42578125" style="1174" customWidth="1"/>
    <col min="10023" max="10023" width="2" style="1174" customWidth="1"/>
    <col min="10024" max="10024" width="3" style="1174" customWidth="1"/>
    <col min="10025" max="10025" width="3.7109375" style="1174" customWidth="1"/>
    <col min="10026" max="10026" width="1.7109375" style="1174" customWidth="1"/>
    <col min="10027" max="10241" width="9.42578125" style="1174"/>
    <col min="10242" max="10242" width="13.42578125" style="1174" customWidth="1"/>
    <col min="10243" max="10243" width="15.5703125" style="1174" customWidth="1"/>
    <col min="10244" max="10244" width="1.7109375" style="1174" customWidth="1"/>
    <col min="10245" max="10245" width="4" style="1174" customWidth="1"/>
    <col min="10246" max="10246" width="3.140625" style="1174" customWidth="1"/>
    <col min="10247" max="10247" width="1.140625" style="1174" customWidth="1"/>
    <col min="10248" max="10248" width="52.7109375" style="1174" customWidth="1"/>
    <col min="10249" max="10252" width="15.28515625" style="1174" customWidth="1"/>
    <col min="10253" max="10277" width="13.7109375" style="1174" customWidth="1"/>
    <col min="10278" max="10278" width="40.42578125" style="1174" customWidth="1"/>
    <col min="10279" max="10279" width="2" style="1174" customWidth="1"/>
    <col min="10280" max="10280" width="3" style="1174" customWidth="1"/>
    <col min="10281" max="10281" width="3.7109375" style="1174" customWidth="1"/>
    <col min="10282" max="10282" width="1.7109375" style="1174" customWidth="1"/>
    <col min="10283" max="10497" width="9.42578125" style="1174"/>
    <col min="10498" max="10498" width="13.42578125" style="1174" customWidth="1"/>
    <col min="10499" max="10499" width="15.5703125" style="1174" customWidth="1"/>
    <col min="10500" max="10500" width="1.7109375" style="1174" customWidth="1"/>
    <col min="10501" max="10501" width="4" style="1174" customWidth="1"/>
    <col min="10502" max="10502" width="3.140625" style="1174" customWidth="1"/>
    <col min="10503" max="10503" width="1.140625" style="1174" customWidth="1"/>
    <col min="10504" max="10504" width="52.7109375" style="1174" customWidth="1"/>
    <col min="10505" max="10508" width="15.28515625" style="1174" customWidth="1"/>
    <col min="10509" max="10533" width="13.7109375" style="1174" customWidth="1"/>
    <col min="10534" max="10534" width="40.42578125" style="1174" customWidth="1"/>
    <col min="10535" max="10535" width="2" style="1174" customWidth="1"/>
    <col min="10536" max="10536" width="3" style="1174" customWidth="1"/>
    <col min="10537" max="10537" width="3.7109375" style="1174" customWidth="1"/>
    <col min="10538" max="10538" width="1.7109375" style="1174" customWidth="1"/>
    <col min="10539" max="10753" width="9.42578125" style="1174"/>
    <col min="10754" max="10754" width="13.42578125" style="1174" customWidth="1"/>
    <col min="10755" max="10755" width="15.5703125" style="1174" customWidth="1"/>
    <col min="10756" max="10756" width="1.7109375" style="1174" customWidth="1"/>
    <col min="10757" max="10757" width="4" style="1174" customWidth="1"/>
    <col min="10758" max="10758" width="3.140625" style="1174" customWidth="1"/>
    <col min="10759" max="10759" width="1.140625" style="1174" customWidth="1"/>
    <col min="10760" max="10760" width="52.7109375" style="1174" customWidth="1"/>
    <col min="10761" max="10764" width="15.28515625" style="1174" customWidth="1"/>
    <col min="10765" max="10789" width="13.7109375" style="1174" customWidth="1"/>
    <col min="10790" max="10790" width="40.42578125" style="1174" customWidth="1"/>
    <col min="10791" max="10791" width="2" style="1174" customWidth="1"/>
    <col min="10792" max="10792" width="3" style="1174" customWidth="1"/>
    <col min="10793" max="10793" width="3.7109375" style="1174" customWidth="1"/>
    <col min="10794" max="10794" width="1.7109375" style="1174" customWidth="1"/>
    <col min="10795" max="11009" width="9.42578125" style="1174"/>
    <col min="11010" max="11010" width="13.42578125" style="1174" customWidth="1"/>
    <col min="11011" max="11011" width="15.5703125" style="1174" customWidth="1"/>
    <col min="11012" max="11012" width="1.7109375" style="1174" customWidth="1"/>
    <col min="11013" max="11013" width="4" style="1174" customWidth="1"/>
    <col min="11014" max="11014" width="3.140625" style="1174" customWidth="1"/>
    <col min="11015" max="11015" width="1.140625" style="1174" customWidth="1"/>
    <col min="11016" max="11016" width="52.7109375" style="1174" customWidth="1"/>
    <col min="11017" max="11020" width="15.28515625" style="1174" customWidth="1"/>
    <col min="11021" max="11045" width="13.7109375" style="1174" customWidth="1"/>
    <col min="11046" max="11046" width="40.42578125" style="1174" customWidth="1"/>
    <col min="11047" max="11047" width="2" style="1174" customWidth="1"/>
    <col min="11048" max="11048" width="3" style="1174" customWidth="1"/>
    <col min="11049" max="11049" width="3.7109375" style="1174" customWidth="1"/>
    <col min="11050" max="11050" width="1.7109375" style="1174" customWidth="1"/>
    <col min="11051" max="11265" width="9.42578125" style="1174"/>
    <col min="11266" max="11266" width="13.42578125" style="1174" customWidth="1"/>
    <col min="11267" max="11267" width="15.5703125" style="1174" customWidth="1"/>
    <col min="11268" max="11268" width="1.7109375" style="1174" customWidth="1"/>
    <col min="11269" max="11269" width="4" style="1174" customWidth="1"/>
    <col min="11270" max="11270" width="3.140625" style="1174" customWidth="1"/>
    <col min="11271" max="11271" width="1.140625" style="1174" customWidth="1"/>
    <col min="11272" max="11272" width="52.7109375" style="1174" customWidth="1"/>
    <col min="11273" max="11276" width="15.28515625" style="1174" customWidth="1"/>
    <col min="11277" max="11301" width="13.7109375" style="1174" customWidth="1"/>
    <col min="11302" max="11302" width="40.42578125" style="1174" customWidth="1"/>
    <col min="11303" max="11303" width="2" style="1174" customWidth="1"/>
    <col min="11304" max="11304" width="3" style="1174" customWidth="1"/>
    <col min="11305" max="11305" width="3.7109375" style="1174" customWidth="1"/>
    <col min="11306" max="11306" width="1.7109375" style="1174" customWidth="1"/>
    <col min="11307" max="11521" width="9.42578125" style="1174"/>
    <col min="11522" max="11522" width="13.42578125" style="1174" customWidth="1"/>
    <col min="11523" max="11523" width="15.5703125" style="1174" customWidth="1"/>
    <col min="11524" max="11524" width="1.7109375" style="1174" customWidth="1"/>
    <col min="11525" max="11525" width="4" style="1174" customWidth="1"/>
    <col min="11526" max="11526" width="3.140625" style="1174" customWidth="1"/>
    <col min="11527" max="11527" width="1.140625" style="1174" customWidth="1"/>
    <col min="11528" max="11528" width="52.7109375" style="1174" customWidth="1"/>
    <col min="11529" max="11532" width="15.28515625" style="1174" customWidth="1"/>
    <col min="11533" max="11557" width="13.7109375" style="1174" customWidth="1"/>
    <col min="11558" max="11558" width="40.42578125" style="1174" customWidth="1"/>
    <col min="11559" max="11559" width="2" style="1174" customWidth="1"/>
    <col min="11560" max="11560" width="3" style="1174" customWidth="1"/>
    <col min="11561" max="11561" width="3.7109375" style="1174" customWidth="1"/>
    <col min="11562" max="11562" width="1.7109375" style="1174" customWidth="1"/>
    <col min="11563" max="11777" width="9.42578125" style="1174"/>
    <col min="11778" max="11778" width="13.42578125" style="1174" customWidth="1"/>
    <col min="11779" max="11779" width="15.5703125" style="1174" customWidth="1"/>
    <col min="11780" max="11780" width="1.7109375" style="1174" customWidth="1"/>
    <col min="11781" max="11781" width="4" style="1174" customWidth="1"/>
    <col min="11782" max="11782" width="3.140625" style="1174" customWidth="1"/>
    <col min="11783" max="11783" width="1.140625" style="1174" customWidth="1"/>
    <col min="11784" max="11784" width="52.7109375" style="1174" customWidth="1"/>
    <col min="11785" max="11788" width="15.28515625" style="1174" customWidth="1"/>
    <col min="11789" max="11813" width="13.7109375" style="1174" customWidth="1"/>
    <col min="11814" max="11814" width="40.42578125" style="1174" customWidth="1"/>
    <col min="11815" max="11815" width="2" style="1174" customWidth="1"/>
    <col min="11816" max="11816" width="3" style="1174" customWidth="1"/>
    <col min="11817" max="11817" width="3.7109375" style="1174" customWidth="1"/>
    <col min="11818" max="11818" width="1.7109375" style="1174" customWidth="1"/>
    <col min="11819" max="12033" width="9.42578125" style="1174"/>
    <col min="12034" max="12034" width="13.42578125" style="1174" customWidth="1"/>
    <col min="12035" max="12035" width="15.5703125" style="1174" customWidth="1"/>
    <col min="12036" max="12036" width="1.7109375" style="1174" customWidth="1"/>
    <col min="12037" max="12037" width="4" style="1174" customWidth="1"/>
    <col min="12038" max="12038" width="3.140625" style="1174" customWidth="1"/>
    <col min="12039" max="12039" width="1.140625" style="1174" customWidth="1"/>
    <col min="12040" max="12040" width="52.7109375" style="1174" customWidth="1"/>
    <col min="12041" max="12044" width="15.28515625" style="1174" customWidth="1"/>
    <col min="12045" max="12069" width="13.7109375" style="1174" customWidth="1"/>
    <col min="12070" max="12070" width="40.42578125" style="1174" customWidth="1"/>
    <col min="12071" max="12071" width="2" style="1174" customWidth="1"/>
    <col min="12072" max="12072" width="3" style="1174" customWidth="1"/>
    <col min="12073" max="12073" width="3.7109375" style="1174" customWidth="1"/>
    <col min="12074" max="12074" width="1.7109375" style="1174" customWidth="1"/>
    <col min="12075" max="12289" width="9.42578125" style="1174"/>
    <col min="12290" max="12290" width="13.42578125" style="1174" customWidth="1"/>
    <col min="12291" max="12291" width="15.5703125" style="1174" customWidth="1"/>
    <col min="12292" max="12292" width="1.7109375" style="1174" customWidth="1"/>
    <col min="12293" max="12293" width="4" style="1174" customWidth="1"/>
    <col min="12294" max="12294" width="3.140625" style="1174" customWidth="1"/>
    <col min="12295" max="12295" width="1.140625" style="1174" customWidth="1"/>
    <col min="12296" max="12296" width="52.7109375" style="1174" customWidth="1"/>
    <col min="12297" max="12300" width="15.28515625" style="1174" customWidth="1"/>
    <col min="12301" max="12325" width="13.7109375" style="1174" customWidth="1"/>
    <col min="12326" max="12326" width="40.42578125" style="1174" customWidth="1"/>
    <col min="12327" max="12327" width="2" style="1174" customWidth="1"/>
    <col min="12328" max="12328" width="3" style="1174" customWidth="1"/>
    <col min="12329" max="12329" width="3.7109375" style="1174" customWidth="1"/>
    <col min="12330" max="12330" width="1.7109375" style="1174" customWidth="1"/>
    <col min="12331" max="12545" width="9.42578125" style="1174"/>
    <col min="12546" max="12546" width="13.42578125" style="1174" customWidth="1"/>
    <col min="12547" max="12547" width="15.5703125" style="1174" customWidth="1"/>
    <col min="12548" max="12548" width="1.7109375" style="1174" customWidth="1"/>
    <col min="12549" max="12549" width="4" style="1174" customWidth="1"/>
    <col min="12550" max="12550" width="3.140625" style="1174" customWidth="1"/>
    <col min="12551" max="12551" width="1.140625" style="1174" customWidth="1"/>
    <col min="12552" max="12552" width="52.7109375" style="1174" customWidth="1"/>
    <col min="12553" max="12556" width="15.28515625" style="1174" customWidth="1"/>
    <col min="12557" max="12581" width="13.7109375" style="1174" customWidth="1"/>
    <col min="12582" max="12582" width="40.42578125" style="1174" customWidth="1"/>
    <col min="12583" max="12583" width="2" style="1174" customWidth="1"/>
    <col min="12584" max="12584" width="3" style="1174" customWidth="1"/>
    <col min="12585" max="12585" width="3.7109375" style="1174" customWidth="1"/>
    <col min="12586" max="12586" width="1.7109375" style="1174" customWidth="1"/>
    <col min="12587" max="12801" width="9.42578125" style="1174"/>
    <col min="12802" max="12802" width="13.42578125" style="1174" customWidth="1"/>
    <col min="12803" max="12803" width="15.5703125" style="1174" customWidth="1"/>
    <col min="12804" max="12804" width="1.7109375" style="1174" customWidth="1"/>
    <col min="12805" max="12805" width="4" style="1174" customWidth="1"/>
    <col min="12806" max="12806" width="3.140625" style="1174" customWidth="1"/>
    <col min="12807" max="12807" width="1.140625" style="1174" customWidth="1"/>
    <col min="12808" max="12808" width="52.7109375" style="1174" customWidth="1"/>
    <col min="12809" max="12812" width="15.28515625" style="1174" customWidth="1"/>
    <col min="12813" max="12837" width="13.7109375" style="1174" customWidth="1"/>
    <col min="12838" max="12838" width="40.42578125" style="1174" customWidth="1"/>
    <col min="12839" max="12839" width="2" style="1174" customWidth="1"/>
    <col min="12840" max="12840" width="3" style="1174" customWidth="1"/>
    <col min="12841" max="12841" width="3.7109375" style="1174" customWidth="1"/>
    <col min="12842" max="12842" width="1.7109375" style="1174" customWidth="1"/>
    <col min="12843" max="13057" width="9.42578125" style="1174"/>
    <col min="13058" max="13058" width="13.42578125" style="1174" customWidth="1"/>
    <col min="13059" max="13059" width="15.5703125" style="1174" customWidth="1"/>
    <col min="13060" max="13060" width="1.7109375" style="1174" customWidth="1"/>
    <col min="13061" max="13061" width="4" style="1174" customWidth="1"/>
    <col min="13062" max="13062" width="3.140625" style="1174" customWidth="1"/>
    <col min="13063" max="13063" width="1.140625" style="1174" customWidth="1"/>
    <col min="13064" max="13064" width="52.7109375" style="1174" customWidth="1"/>
    <col min="13065" max="13068" width="15.28515625" style="1174" customWidth="1"/>
    <col min="13069" max="13093" width="13.7109375" style="1174" customWidth="1"/>
    <col min="13094" max="13094" width="40.42578125" style="1174" customWidth="1"/>
    <col min="13095" max="13095" width="2" style="1174" customWidth="1"/>
    <col min="13096" max="13096" width="3" style="1174" customWidth="1"/>
    <col min="13097" max="13097" width="3.7109375" style="1174" customWidth="1"/>
    <col min="13098" max="13098" width="1.7109375" style="1174" customWidth="1"/>
    <col min="13099" max="13313" width="9.42578125" style="1174"/>
    <col min="13314" max="13314" width="13.42578125" style="1174" customWidth="1"/>
    <col min="13315" max="13315" width="15.5703125" style="1174" customWidth="1"/>
    <col min="13316" max="13316" width="1.7109375" style="1174" customWidth="1"/>
    <col min="13317" max="13317" width="4" style="1174" customWidth="1"/>
    <col min="13318" max="13318" width="3.140625" style="1174" customWidth="1"/>
    <col min="13319" max="13319" width="1.140625" style="1174" customWidth="1"/>
    <col min="13320" max="13320" width="52.7109375" style="1174" customWidth="1"/>
    <col min="13321" max="13324" width="15.28515625" style="1174" customWidth="1"/>
    <col min="13325" max="13349" width="13.7109375" style="1174" customWidth="1"/>
    <col min="13350" max="13350" width="40.42578125" style="1174" customWidth="1"/>
    <col min="13351" max="13351" width="2" style="1174" customWidth="1"/>
    <col min="13352" max="13352" width="3" style="1174" customWidth="1"/>
    <col min="13353" max="13353" width="3.7109375" style="1174" customWidth="1"/>
    <col min="13354" max="13354" width="1.7109375" style="1174" customWidth="1"/>
    <col min="13355" max="13569" width="9.42578125" style="1174"/>
    <col min="13570" max="13570" width="13.42578125" style="1174" customWidth="1"/>
    <col min="13571" max="13571" width="15.5703125" style="1174" customWidth="1"/>
    <col min="13572" max="13572" width="1.7109375" style="1174" customWidth="1"/>
    <col min="13573" max="13573" width="4" style="1174" customWidth="1"/>
    <col min="13574" max="13574" width="3.140625" style="1174" customWidth="1"/>
    <col min="13575" max="13575" width="1.140625" style="1174" customWidth="1"/>
    <col min="13576" max="13576" width="52.7109375" style="1174" customWidth="1"/>
    <col min="13577" max="13580" width="15.28515625" style="1174" customWidth="1"/>
    <col min="13581" max="13605" width="13.7109375" style="1174" customWidth="1"/>
    <col min="13606" max="13606" width="40.42578125" style="1174" customWidth="1"/>
    <col min="13607" max="13607" width="2" style="1174" customWidth="1"/>
    <col min="13608" max="13608" width="3" style="1174" customWidth="1"/>
    <col min="13609" max="13609" width="3.7109375" style="1174" customWidth="1"/>
    <col min="13610" max="13610" width="1.7109375" style="1174" customWidth="1"/>
    <col min="13611" max="13825" width="9.42578125" style="1174"/>
    <col min="13826" max="13826" width="13.42578125" style="1174" customWidth="1"/>
    <col min="13827" max="13827" width="15.5703125" style="1174" customWidth="1"/>
    <col min="13828" max="13828" width="1.7109375" style="1174" customWidth="1"/>
    <col min="13829" max="13829" width="4" style="1174" customWidth="1"/>
    <col min="13830" max="13830" width="3.140625" style="1174" customWidth="1"/>
    <col min="13831" max="13831" width="1.140625" style="1174" customWidth="1"/>
    <col min="13832" max="13832" width="52.7109375" style="1174" customWidth="1"/>
    <col min="13833" max="13836" width="15.28515625" style="1174" customWidth="1"/>
    <col min="13837" max="13861" width="13.7109375" style="1174" customWidth="1"/>
    <col min="13862" max="13862" width="40.42578125" style="1174" customWidth="1"/>
    <col min="13863" max="13863" width="2" style="1174" customWidth="1"/>
    <col min="13864" max="13864" width="3" style="1174" customWidth="1"/>
    <col min="13865" max="13865" width="3.7109375" style="1174" customWidth="1"/>
    <col min="13866" max="13866" width="1.7109375" style="1174" customWidth="1"/>
    <col min="13867" max="14081" width="9.42578125" style="1174"/>
    <col min="14082" max="14082" width="13.42578125" style="1174" customWidth="1"/>
    <col min="14083" max="14083" width="15.5703125" style="1174" customWidth="1"/>
    <col min="14084" max="14084" width="1.7109375" style="1174" customWidth="1"/>
    <col min="14085" max="14085" width="4" style="1174" customWidth="1"/>
    <col min="14086" max="14086" width="3.140625" style="1174" customWidth="1"/>
    <col min="14087" max="14087" width="1.140625" style="1174" customWidth="1"/>
    <col min="14088" max="14088" width="52.7109375" style="1174" customWidth="1"/>
    <col min="14089" max="14092" width="15.28515625" style="1174" customWidth="1"/>
    <col min="14093" max="14117" width="13.7109375" style="1174" customWidth="1"/>
    <col min="14118" max="14118" width="40.42578125" style="1174" customWidth="1"/>
    <col min="14119" max="14119" width="2" style="1174" customWidth="1"/>
    <col min="14120" max="14120" width="3" style="1174" customWidth="1"/>
    <col min="14121" max="14121" width="3.7109375" style="1174" customWidth="1"/>
    <col min="14122" max="14122" width="1.7109375" style="1174" customWidth="1"/>
    <col min="14123" max="14337" width="9.42578125" style="1174"/>
    <col min="14338" max="14338" width="13.42578125" style="1174" customWidth="1"/>
    <col min="14339" max="14339" width="15.5703125" style="1174" customWidth="1"/>
    <col min="14340" max="14340" width="1.7109375" style="1174" customWidth="1"/>
    <col min="14341" max="14341" width="4" style="1174" customWidth="1"/>
    <col min="14342" max="14342" width="3.140625" style="1174" customWidth="1"/>
    <col min="14343" max="14343" width="1.140625" style="1174" customWidth="1"/>
    <col min="14344" max="14344" width="52.7109375" style="1174" customWidth="1"/>
    <col min="14345" max="14348" width="15.28515625" style="1174" customWidth="1"/>
    <col min="14349" max="14373" width="13.7109375" style="1174" customWidth="1"/>
    <col min="14374" max="14374" width="40.42578125" style="1174" customWidth="1"/>
    <col min="14375" max="14375" width="2" style="1174" customWidth="1"/>
    <col min="14376" max="14376" width="3" style="1174" customWidth="1"/>
    <col min="14377" max="14377" width="3.7109375" style="1174" customWidth="1"/>
    <col min="14378" max="14378" width="1.7109375" style="1174" customWidth="1"/>
    <col min="14379" max="14593" width="9.42578125" style="1174"/>
    <col min="14594" max="14594" width="13.42578125" style="1174" customWidth="1"/>
    <col min="14595" max="14595" width="15.5703125" style="1174" customWidth="1"/>
    <col min="14596" max="14596" width="1.7109375" style="1174" customWidth="1"/>
    <col min="14597" max="14597" width="4" style="1174" customWidth="1"/>
    <col min="14598" max="14598" width="3.140625" style="1174" customWidth="1"/>
    <col min="14599" max="14599" width="1.140625" style="1174" customWidth="1"/>
    <col min="14600" max="14600" width="52.7109375" style="1174" customWidth="1"/>
    <col min="14601" max="14604" width="15.28515625" style="1174" customWidth="1"/>
    <col min="14605" max="14629" width="13.7109375" style="1174" customWidth="1"/>
    <col min="14630" max="14630" width="40.42578125" style="1174" customWidth="1"/>
    <col min="14631" max="14631" width="2" style="1174" customWidth="1"/>
    <col min="14632" max="14632" width="3" style="1174" customWidth="1"/>
    <col min="14633" max="14633" width="3.7109375" style="1174" customWidth="1"/>
    <col min="14634" max="14634" width="1.7109375" style="1174" customWidth="1"/>
    <col min="14635" max="14849" width="9.42578125" style="1174"/>
    <col min="14850" max="14850" width="13.42578125" style="1174" customWidth="1"/>
    <col min="14851" max="14851" width="15.5703125" style="1174" customWidth="1"/>
    <col min="14852" max="14852" width="1.7109375" style="1174" customWidth="1"/>
    <col min="14853" max="14853" width="4" style="1174" customWidth="1"/>
    <col min="14854" max="14854" width="3.140625" style="1174" customWidth="1"/>
    <col min="14855" max="14855" width="1.140625" style="1174" customWidth="1"/>
    <col min="14856" max="14856" width="52.7109375" style="1174" customWidth="1"/>
    <col min="14857" max="14860" width="15.28515625" style="1174" customWidth="1"/>
    <col min="14861" max="14885" width="13.7109375" style="1174" customWidth="1"/>
    <col min="14886" max="14886" width="40.42578125" style="1174" customWidth="1"/>
    <col min="14887" max="14887" width="2" style="1174" customWidth="1"/>
    <col min="14888" max="14888" width="3" style="1174" customWidth="1"/>
    <col min="14889" max="14889" width="3.7109375" style="1174" customWidth="1"/>
    <col min="14890" max="14890" width="1.7109375" style="1174" customWidth="1"/>
    <col min="14891" max="15105" width="9.42578125" style="1174"/>
    <col min="15106" max="15106" width="13.42578125" style="1174" customWidth="1"/>
    <col min="15107" max="15107" width="15.5703125" style="1174" customWidth="1"/>
    <col min="15108" max="15108" width="1.7109375" style="1174" customWidth="1"/>
    <col min="15109" max="15109" width="4" style="1174" customWidth="1"/>
    <col min="15110" max="15110" width="3.140625" style="1174" customWidth="1"/>
    <col min="15111" max="15111" width="1.140625" style="1174" customWidth="1"/>
    <col min="15112" max="15112" width="52.7109375" style="1174" customWidth="1"/>
    <col min="15113" max="15116" width="15.28515625" style="1174" customWidth="1"/>
    <col min="15117" max="15141" width="13.7109375" style="1174" customWidth="1"/>
    <col min="15142" max="15142" width="40.42578125" style="1174" customWidth="1"/>
    <col min="15143" max="15143" width="2" style="1174" customWidth="1"/>
    <col min="15144" max="15144" width="3" style="1174" customWidth="1"/>
    <col min="15145" max="15145" width="3.7109375" style="1174" customWidth="1"/>
    <col min="15146" max="15146" width="1.7109375" style="1174" customWidth="1"/>
    <col min="15147" max="15361" width="9.42578125" style="1174"/>
    <col min="15362" max="15362" width="13.42578125" style="1174" customWidth="1"/>
    <col min="15363" max="15363" width="15.5703125" style="1174" customWidth="1"/>
    <col min="15364" max="15364" width="1.7109375" style="1174" customWidth="1"/>
    <col min="15365" max="15365" width="4" style="1174" customWidth="1"/>
    <col min="15366" max="15366" width="3.140625" style="1174" customWidth="1"/>
    <col min="15367" max="15367" width="1.140625" style="1174" customWidth="1"/>
    <col min="15368" max="15368" width="52.7109375" style="1174" customWidth="1"/>
    <col min="15369" max="15372" width="15.28515625" style="1174" customWidth="1"/>
    <col min="15373" max="15397" width="13.7109375" style="1174" customWidth="1"/>
    <col min="15398" max="15398" width="40.42578125" style="1174" customWidth="1"/>
    <col min="15399" max="15399" width="2" style="1174" customWidth="1"/>
    <col min="15400" max="15400" width="3" style="1174" customWidth="1"/>
    <col min="15401" max="15401" width="3.7109375" style="1174" customWidth="1"/>
    <col min="15402" max="15402" width="1.7109375" style="1174" customWidth="1"/>
    <col min="15403" max="15617" width="9.42578125" style="1174"/>
    <col min="15618" max="15618" width="13.42578125" style="1174" customWidth="1"/>
    <col min="15619" max="15619" width="15.5703125" style="1174" customWidth="1"/>
    <col min="15620" max="15620" width="1.7109375" style="1174" customWidth="1"/>
    <col min="15621" max="15621" width="4" style="1174" customWidth="1"/>
    <col min="15622" max="15622" width="3.140625" style="1174" customWidth="1"/>
    <col min="15623" max="15623" width="1.140625" style="1174" customWidth="1"/>
    <col min="15624" max="15624" width="52.7109375" style="1174" customWidth="1"/>
    <col min="15625" max="15628" width="15.28515625" style="1174" customWidth="1"/>
    <col min="15629" max="15653" width="13.7109375" style="1174" customWidth="1"/>
    <col min="15654" max="15654" width="40.42578125" style="1174" customWidth="1"/>
    <col min="15655" max="15655" width="2" style="1174" customWidth="1"/>
    <col min="15656" max="15656" width="3" style="1174" customWidth="1"/>
    <col min="15657" max="15657" width="3.7109375" style="1174" customWidth="1"/>
    <col min="15658" max="15658" width="1.7109375" style="1174" customWidth="1"/>
    <col min="15659" max="15873" width="9.42578125" style="1174"/>
    <col min="15874" max="15874" width="13.42578125" style="1174" customWidth="1"/>
    <col min="15875" max="15875" width="15.5703125" style="1174" customWidth="1"/>
    <col min="15876" max="15876" width="1.7109375" style="1174" customWidth="1"/>
    <col min="15877" max="15877" width="4" style="1174" customWidth="1"/>
    <col min="15878" max="15878" width="3.140625" style="1174" customWidth="1"/>
    <col min="15879" max="15879" width="1.140625" style="1174" customWidth="1"/>
    <col min="15880" max="15880" width="52.7109375" style="1174" customWidth="1"/>
    <col min="15881" max="15884" width="15.28515625" style="1174" customWidth="1"/>
    <col min="15885" max="15909" width="13.7109375" style="1174" customWidth="1"/>
    <col min="15910" max="15910" width="40.42578125" style="1174" customWidth="1"/>
    <col min="15911" max="15911" width="2" style="1174" customWidth="1"/>
    <col min="15912" max="15912" width="3" style="1174" customWidth="1"/>
    <col min="15913" max="15913" width="3.7109375" style="1174" customWidth="1"/>
    <col min="15914" max="15914" width="1.7109375" style="1174" customWidth="1"/>
    <col min="15915" max="16129" width="9.42578125" style="1174"/>
    <col min="16130" max="16130" width="13.42578125" style="1174" customWidth="1"/>
    <col min="16131" max="16131" width="15.5703125" style="1174" customWidth="1"/>
    <col min="16132" max="16132" width="1.7109375" style="1174" customWidth="1"/>
    <col min="16133" max="16133" width="4" style="1174" customWidth="1"/>
    <col min="16134" max="16134" width="3.140625" style="1174" customWidth="1"/>
    <col min="16135" max="16135" width="1.140625" style="1174" customWidth="1"/>
    <col min="16136" max="16136" width="52.7109375" style="1174" customWidth="1"/>
    <col min="16137" max="16140" width="15.28515625" style="1174" customWidth="1"/>
    <col min="16141" max="16165" width="13.7109375" style="1174" customWidth="1"/>
    <col min="16166" max="16166" width="40.42578125" style="1174" customWidth="1"/>
    <col min="16167" max="16167" width="2" style="1174" customWidth="1"/>
    <col min="16168" max="16168" width="3" style="1174" customWidth="1"/>
    <col min="16169" max="16169" width="3.7109375" style="1174" customWidth="1"/>
    <col min="16170" max="16170" width="1.7109375" style="1174" customWidth="1"/>
    <col min="16171" max="16384" width="9.42578125" style="1174"/>
  </cols>
  <sheetData>
    <row r="1" spans="2:43" ht="35.1" customHeight="1"/>
    <row r="2" spans="2:43" ht="35.1" customHeight="1">
      <c r="G2" s="1452"/>
      <c r="H2" s="1452"/>
      <c r="I2" s="1452"/>
      <c r="J2" s="1452"/>
      <c r="K2" s="1452"/>
      <c r="L2" s="1452"/>
      <c r="M2" s="1452"/>
      <c r="N2" s="1452"/>
      <c r="O2" s="1452"/>
      <c r="P2" s="1452"/>
      <c r="Q2" s="1452"/>
      <c r="R2" s="2767"/>
      <c r="S2" s="1452"/>
      <c r="T2" s="1452"/>
      <c r="U2" s="1452"/>
      <c r="V2" s="1452"/>
      <c r="W2" s="1452"/>
      <c r="X2" s="2768"/>
      <c r="Y2" s="2768"/>
      <c r="Z2" s="2768"/>
      <c r="AA2" s="2768"/>
      <c r="AB2" s="2768"/>
      <c r="AC2" s="2768"/>
      <c r="AD2" s="2768"/>
      <c r="AE2" s="2768"/>
      <c r="AF2" s="2768"/>
      <c r="AG2" s="1452"/>
      <c r="AH2" s="1348"/>
    </row>
    <row r="3" spans="2:43" s="2769" customFormat="1" ht="38.1" customHeight="1">
      <c r="C3" s="4856" t="s">
        <v>923</v>
      </c>
      <c r="D3" s="4856"/>
      <c r="E3" s="4856"/>
      <c r="F3" s="4856"/>
      <c r="G3" s="4856"/>
      <c r="H3" s="4856"/>
      <c r="I3" s="4856"/>
      <c r="J3" s="4856"/>
      <c r="K3" s="4856"/>
      <c r="L3" s="4856"/>
      <c r="M3" s="4856"/>
      <c r="N3" s="4856"/>
      <c r="O3" s="4856"/>
      <c r="P3" s="4856"/>
      <c r="Q3" s="4856"/>
      <c r="R3" s="4856"/>
      <c r="S3" s="4856"/>
      <c r="T3" s="4856"/>
      <c r="U3" s="4856"/>
      <c r="V3" s="4856" t="s">
        <v>924</v>
      </c>
      <c r="W3" s="4856"/>
      <c r="X3" s="4856"/>
      <c r="Y3" s="4856"/>
      <c r="Z3" s="4856"/>
      <c r="AA3" s="4856"/>
      <c r="AB3" s="4856"/>
      <c r="AC3" s="4856"/>
      <c r="AD3" s="4856"/>
      <c r="AE3" s="4856"/>
      <c r="AF3" s="4856"/>
      <c r="AG3" s="4856"/>
      <c r="AH3" s="4856"/>
      <c r="AI3" s="4856"/>
      <c r="AJ3" s="4856"/>
      <c r="AK3" s="4856"/>
      <c r="AL3" s="4856"/>
      <c r="AM3" s="4856"/>
      <c r="AN3" s="4856"/>
      <c r="AO3" s="4856"/>
      <c r="AP3" s="4856"/>
    </row>
    <row r="4" spans="2:43" s="2770" customFormat="1" ht="38.1" customHeight="1">
      <c r="C4" s="4713" t="s">
        <v>925</v>
      </c>
      <c r="D4" s="4713"/>
      <c r="E4" s="4713"/>
      <c r="F4" s="4713"/>
      <c r="G4" s="4713"/>
      <c r="H4" s="4713"/>
      <c r="I4" s="4713"/>
      <c r="J4" s="4713"/>
      <c r="K4" s="4713"/>
      <c r="L4" s="4713"/>
      <c r="M4" s="4713"/>
      <c r="N4" s="4713"/>
      <c r="O4" s="4713"/>
      <c r="P4" s="4713"/>
      <c r="Q4" s="4713"/>
      <c r="R4" s="4713"/>
      <c r="S4" s="4713"/>
      <c r="T4" s="4713"/>
      <c r="U4" s="4713"/>
      <c r="V4" s="4713" t="s">
        <v>926</v>
      </c>
      <c r="W4" s="4713"/>
      <c r="X4" s="4713"/>
      <c r="Y4" s="4713"/>
      <c r="Z4" s="4713"/>
      <c r="AA4" s="4713"/>
      <c r="AB4" s="4713"/>
      <c r="AC4" s="4713"/>
      <c r="AD4" s="4713"/>
      <c r="AE4" s="4713"/>
      <c r="AF4" s="4713"/>
      <c r="AG4" s="4713"/>
      <c r="AH4" s="4713"/>
      <c r="AI4" s="4713"/>
      <c r="AJ4" s="4713"/>
      <c r="AK4" s="4713"/>
      <c r="AL4" s="4713"/>
      <c r="AM4" s="4713"/>
      <c r="AN4" s="4713"/>
      <c r="AO4" s="4713"/>
      <c r="AP4" s="4713"/>
    </row>
    <row r="5" spans="2:43" s="2754" customFormat="1" ht="18" customHeight="1">
      <c r="C5" s="1315" t="s">
        <v>927</v>
      </c>
      <c r="D5" s="1393"/>
      <c r="E5" s="2262"/>
      <c r="F5" s="2262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2262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2262"/>
      <c r="AG5" s="2262"/>
      <c r="AH5" s="2262"/>
      <c r="AI5" s="2262"/>
      <c r="AJ5" s="2262"/>
      <c r="AK5" s="2262"/>
      <c r="AL5" s="1839"/>
      <c r="AM5" s="1453"/>
      <c r="AN5" s="1453"/>
      <c r="AO5" s="2544"/>
      <c r="AP5" s="2279" t="s">
        <v>91</v>
      </c>
    </row>
    <row r="6" spans="2:43" s="2771" customFormat="1" ht="6" customHeight="1">
      <c r="C6" s="1763"/>
      <c r="D6" s="1763"/>
      <c r="E6" s="2163"/>
      <c r="F6" s="2163"/>
      <c r="G6" s="1454"/>
      <c r="H6" s="1454"/>
      <c r="I6" s="1454"/>
      <c r="J6" s="1454"/>
      <c r="K6" s="1454"/>
      <c r="L6" s="1454"/>
      <c r="M6" s="1454"/>
      <c r="N6" s="1454"/>
      <c r="O6" s="1454"/>
      <c r="P6" s="1454"/>
      <c r="Q6" s="1454"/>
      <c r="R6" s="2772"/>
      <c r="S6" s="1454"/>
      <c r="T6" s="1454"/>
      <c r="U6" s="1454"/>
      <c r="V6" s="1454"/>
      <c r="W6" s="1454"/>
      <c r="X6" s="1763"/>
      <c r="Y6" s="1763"/>
      <c r="Z6" s="1763"/>
      <c r="AA6" s="1763"/>
      <c r="AB6" s="1763"/>
      <c r="AC6" s="1763"/>
      <c r="AD6" s="1763"/>
      <c r="AE6" s="1763"/>
      <c r="AF6" s="2163"/>
      <c r="AG6" s="2163"/>
      <c r="AH6" s="2163"/>
      <c r="AI6" s="2163"/>
      <c r="AJ6" s="2163"/>
      <c r="AK6" s="2163"/>
      <c r="AL6" s="2773"/>
      <c r="AM6" s="2279"/>
      <c r="AN6" s="2279"/>
      <c r="AO6" s="2163"/>
      <c r="AP6" s="2163"/>
    </row>
    <row r="7" spans="2:43" s="2774" customFormat="1" ht="16.5" customHeight="1">
      <c r="C7" s="4880" t="s">
        <v>928</v>
      </c>
      <c r="D7" s="4881"/>
      <c r="E7" s="4881"/>
      <c r="F7" s="4881"/>
      <c r="G7" s="4882"/>
      <c r="H7" s="4877">
        <v>2019</v>
      </c>
      <c r="I7" s="4877">
        <v>2018</v>
      </c>
      <c r="J7" s="4877">
        <v>2017</v>
      </c>
      <c r="K7" s="4877">
        <v>2016</v>
      </c>
      <c r="L7" s="4877">
        <v>2015</v>
      </c>
      <c r="M7" s="4874">
        <v>2014</v>
      </c>
      <c r="N7" s="4874">
        <v>2013</v>
      </c>
      <c r="O7" s="4874">
        <v>2012</v>
      </c>
      <c r="P7" s="4874">
        <v>2011</v>
      </c>
      <c r="Q7" s="4874">
        <v>2010</v>
      </c>
      <c r="R7" s="4874">
        <v>2009</v>
      </c>
      <c r="S7" s="4874">
        <v>2008</v>
      </c>
      <c r="T7" s="4874">
        <v>2007</v>
      </c>
      <c r="U7" s="4889">
        <v>2006</v>
      </c>
      <c r="V7" s="4877">
        <v>2005</v>
      </c>
      <c r="W7" s="4877">
        <v>2004</v>
      </c>
      <c r="X7" s="4877">
        <v>2003</v>
      </c>
      <c r="Y7" s="4877">
        <v>2002</v>
      </c>
      <c r="Z7" s="4877">
        <v>2001</v>
      </c>
      <c r="AA7" s="4874">
        <v>2000</v>
      </c>
      <c r="AB7" s="4874">
        <v>1999</v>
      </c>
      <c r="AC7" s="4874">
        <v>1998</v>
      </c>
      <c r="AD7" s="4874">
        <v>1997</v>
      </c>
      <c r="AE7" s="4874">
        <v>1996</v>
      </c>
      <c r="AF7" s="4874">
        <v>1995</v>
      </c>
      <c r="AG7" s="4874">
        <v>1994</v>
      </c>
      <c r="AH7" s="4874">
        <v>1993</v>
      </c>
      <c r="AI7" s="4874">
        <v>1992</v>
      </c>
      <c r="AJ7" s="4874">
        <v>1991</v>
      </c>
      <c r="AK7" s="4874">
        <v>1990</v>
      </c>
      <c r="AL7" s="4892" t="s">
        <v>929</v>
      </c>
      <c r="AM7" s="4881"/>
      <c r="AN7" s="4881"/>
      <c r="AO7" s="4881"/>
      <c r="AP7" s="4882"/>
      <c r="AQ7" s="2775"/>
    </row>
    <row r="8" spans="2:43" s="2774" customFormat="1" ht="16.5" customHeight="1">
      <c r="C8" s="4883"/>
      <c r="D8" s="4884"/>
      <c r="E8" s="4884"/>
      <c r="F8" s="4884"/>
      <c r="G8" s="4885"/>
      <c r="H8" s="4878"/>
      <c r="I8" s="4878"/>
      <c r="J8" s="4878"/>
      <c r="K8" s="4878"/>
      <c r="L8" s="4878"/>
      <c r="M8" s="4875"/>
      <c r="N8" s="4875"/>
      <c r="O8" s="4875"/>
      <c r="P8" s="4875"/>
      <c r="Q8" s="4875"/>
      <c r="R8" s="4875"/>
      <c r="S8" s="4875"/>
      <c r="T8" s="4875"/>
      <c r="U8" s="4890"/>
      <c r="V8" s="4878"/>
      <c r="W8" s="4878"/>
      <c r="X8" s="4878"/>
      <c r="Y8" s="4878"/>
      <c r="Z8" s="4878"/>
      <c r="AA8" s="4875"/>
      <c r="AB8" s="4875"/>
      <c r="AC8" s="4875"/>
      <c r="AD8" s="4875"/>
      <c r="AE8" s="4875"/>
      <c r="AF8" s="4875"/>
      <c r="AG8" s="4875"/>
      <c r="AH8" s="4875"/>
      <c r="AI8" s="4875"/>
      <c r="AJ8" s="4875"/>
      <c r="AK8" s="4875"/>
      <c r="AL8" s="4893"/>
      <c r="AM8" s="4884"/>
      <c r="AN8" s="4884"/>
      <c r="AO8" s="4884"/>
      <c r="AP8" s="4885"/>
      <c r="AQ8" s="2775"/>
    </row>
    <row r="9" spans="2:43" s="2774" customFormat="1" ht="16.5" customHeight="1">
      <c r="C9" s="4883"/>
      <c r="D9" s="4884"/>
      <c r="E9" s="4884"/>
      <c r="F9" s="4884"/>
      <c r="G9" s="4885"/>
      <c r="H9" s="4878"/>
      <c r="I9" s="4878"/>
      <c r="J9" s="4878"/>
      <c r="K9" s="4878"/>
      <c r="L9" s="4878"/>
      <c r="M9" s="4875"/>
      <c r="N9" s="4875"/>
      <c r="O9" s="4875"/>
      <c r="P9" s="4875"/>
      <c r="Q9" s="4875"/>
      <c r="R9" s="4875"/>
      <c r="S9" s="4875"/>
      <c r="T9" s="4875"/>
      <c r="U9" s="4890"/>
      <c r="V9" s="4878"/>
      <c r="W9" s="4878"/>
      <c r="X9" s="4878"/>
      <c r="Y9" s="4878"/>
      <c r="Z9" s="4878"/>
      <c r="AA9" s="4875"/>
      <c r="AB9" s="4875"/>
      <c r="AC9" s="4875"/>
      <c r="AD9" s="4875"/>
      <c r="AE9" s="4875"/>
      <c r="AF9" s="4875"/>
      <c r="AG9" s="4875"/>
      <c r="AH9" s="4875"/>
      <c r="AI9" s="4875"/>
      <c r="AJ9" s="4875"/>
      <c r="AK9" s="4875"/>
      <c r="AL9" s="4893"/>
      <c r="AM9" s="4884"/>
      <c r="AN9" s="4884"/>
      <c r="AO9" s="4884"/>
      <c r="AP9" s="4885"/>
      <c r="AQ9" s="2775"/>
    </row>
    <row r="10" spans="2:43" s="2774" customFormat="1" ht="16.5" customHeight="1">
      <c r="C10" s="4883"/>
      <c r="D10" s="4884"/>
      <c r="E10" s="4884"/>
      <c r="F10" s="4884"/>
      <c r="G10" s="4885"/>
      <c r="H10" s="4878"/>
      <c r="I10" s="4878"/>
      <c r="J10" s="4878"/>
      <c r="K10" s="4878"/>
      <c r="L10" s="4878"/>
      <c r="M10" s="4875"/>
      <c r="N10" s="4875"/>
      <c r="O10" s="4875"/>
      <c r="P10" s="4875"/>
      <c r="Q10" s="4875"/>
      <c r="R10" s="4875"/>
      <c r="S10" s="4875"/>
      <c r="T10" s="4875"/>
      <c r="U10" s="4890"/>
      <c r="V10" s="4878"/>
      <c r="W10" s="4878"/>
      <c r="X10" s="4878"/>
      <c r="Y10" s="4878"/>
      <c r="Z10" s="4878"/>
      <c r="AA10" s="4875"/>
      <c r="AB10" s="4875"/>
      <c r="AC10" s="4875"/>
      <c r="AD10" s="4875"/>
      <c r="AE10" s="4875"/>
      <c r="AF10" s="4875"/>
      <c r="AG10" s="4875"/>
      <c r="AH10" s="4875"/>
      <c r="AI10" s="4875"/>
      <c r="AJ10" s="4875"/>
      <c r="AK10" s="4875"/>
      <c r="AL10" s="4893"/>
      <c r="AM10" s="4884"/>
      <c r="AN10" s="4884"/>
      <c r="AO10" s="4884"/>
      <c r="AP10" s="4885"/>
      <c r="AQ10" s="2775"/>
    </row>
    <row r="11" spans="2:43" s="2774" customFormat="1" ht="16.5" customHeight="1">
      <c r="C11" s="4883"/>
      <c r="D11" s="4884"/>
      <c r="E11" s="4884"/>
      <c r="F11" s="4884"/>
      <c r="G11" s="4885"/>
      <c r="H11" s="4878"/>
      <c r="I11" s="4878"/>
      <c r="J11" s="4878">
        <v>2014</v>
      </c>
      <c r="K11" s="4878">
        <v>2014</v>
      </c>
      <c r="L11" s="4878">
        <v>2014</v>
      </c>
      <c r="M11" s="4875">
        <v>2014</v>
      </c>
      <c r="N11" s="4875"/>
      <c r="O11" s="4875"/>
      <c r="P11" s="4875"/>
      <c r="Q11" s="4875"/>
      <c r="R11" s="4875"/>
      <c r="S11" s="4875"/>
      <c r="T11" s="4875"/>
      <c r="U11" s="4890"/>
      <c r="V11" s="4878"/>
      <c r="W11" s="4878"/>
      <c r="X11" s="4878"/>
      <c r="Y11" s="4878"/>
      <c r="Z11" s="4878"/>
      <c r="AA11" s="4875"/>
      <c r="AB11" s="4875"/>
      <c r="AC11" s="4875"/>
      <c r="AD11" s="4875"/>
      <c r="AE11" s="4875"/>
      <c r="AF11" s="4875"/>
      <c r="AG11" s="4875"/>
      <c r="AH11" s="4875"/>
      <c r="AI11" s="4875"/>
      <c r="AJ11" s="4875"/>
      <c r="AK11" s="4875"/>
      <c r="AL11" s="4893"/>
      <c r="AM11" s="4884"/>
      <c r="AN11" s="4884"/>
      <c r="AO11" s="4884"/>
      <c r="AP11" s="4885"/>
      <c r="AQ11" s="2775"/>
    </row>
    <row r="12" spans="2:43" s="2774" customFormat="1" ht="16.5" customHeight="1">
      <c r="C12" s="4883"/>
      <c r="D12" s="4884"/>
      <c r="E12" s="4884"/>
      <c r="F12" s="4884"/>
      <c r="G12" s="4885"/>
      <c r="H12" s="4878"/>
      <c r="I12" s="4878"/>
      <c r="J12" s="4878"/>
      <c r="K12" s="4878"/>
      <c r="L12" s="4878"/>
      <c r="M12" s="4875"/>
      <c r="N12" s="4875"/>
      <c r="O12" s="4875"/>
      <c r="P12" s="4875"/>
      <c r="Q12" s="4875"/>
      <c r="R12" s="4875"/>
      <c r="S12" s="4875"/>
      <c r="T12" s="4875"/>
      <c r="U12" s="4890"/>
      <c r="V12" s="4878"/>
      <c r="W12" s="4878"/>
      <c r="X12" s="4878"/>
      <c r="Y12" s="4878"/>
      <c r="Z12" s="4878"/>
      <c r="AA12" s="4875"/>
      <c r="AB12" s="4875"/>
      <c r="AC12" s="4875"/>
      <c r="AD12" s="4875"/>
      <c r="AE12" s="4875"/>
      <c r="AF12" s="4875"/>
      <c r="AG12" s="4875"/>
      <c r="AH12" s="4875"/>
      <c r="AI12" s="4875"/>
      <c r="AJ12" s="4875"/>
      <c r="AK12" s="4875"/>
      <c r="AL12" s="4893"/>
      <c r="AM12" s="4884"/>
      <c r="AN12" s="4884"/>
      <c r="AO12" s="4884"/>
      <c r="AP12" s="4885"/>
      <c r="AQ12" s="2775"/>
    </row>
    <row r="13" spans="2:43" s="2774" customFormat="1" ht="16.5" customHeight="1">
      <c r="C13" s="4883"/>
      <c r="D13" s="4884"/>
      <c r="E13" s="4884"/>
      <c r="F13" s="4884"/>
      <c r="G13" s="4885"/>
      <c r="H13" s="4878"/>
      <c r="I13" s="4878"/>
      <c r="J13" s="4878"/>
      <c r="K13" s="4878"/>
      <c r="L13" s="4878"/>
      <c r="M13" s="4875"/>
      <c r="N13" s="4875"/>
      <c r="O13" s="4875"/>
      <c r="P13" s="4875"/>
      <c r="Q13" s="4875"/>
      <c r="R13" s="4875"/>
      <c r="S13" s="4875"/>
      <c r="T13" s="4875"/>
      <c r="U13" s="4890"/>
      <c r="V13" s="4878"/>
      <c r="W13" s="4878"/>
      <c r="X13" s="4878"/>
      <c r="Y13" s="4878"/>
      <c r="Z13" s="4878"/>
      <c r="AA13" s="4875"/>
      <c r="AB13" s="4875"/>
      <c r="AC13" s="4875"/>
      <c r="AD13" s="4875"/>
      <c r="AE13" s="4875"/>
      <c r="AF13" s="4875"/>
      <c r="AG13" s="4875"/>
      <c r="AH13" s="4875"/>
      <c r="AI13" s="4875"/>
      <c r="AJ13" s="4875"/>
      <c r="AK13" s="4875"/>
      <c r="AL13" s="4893"/>
      <c r="AM13" s="4884"/>
      <c r="AN13" s="4884"/>
      <c r="AO13" s="4884"/>
      <c r="AP13" s="4885"/>
      <c r="AQ13" s="2775"/>
    </row>
    <row r="14" spans="2:43" s="2774" customFormat="1" ht="16.5" customHeight="1">
      <c r="C14" s="4883"/>
      <c r="D14" s="4884"/>
      <c r="E14" s="4884"/>
      <c r="F14" s="4884"/>
      <c r="G14" s="4885"/>
      <c r="H14" s="4878"/>
      <c r="I14" s="4878"/>
      <c r="J14" s="4878"/>
      <c r="K14" s="4878"/>
      <c r="L14" s="4878"/>
      <c r="M14" s="4875"/>
      <c r="N14" s="4875"/>
      <c r="O14" s="4875"/>
      <c r="P14" s="4875"/>
      <c r="Q14" s="4875"/>
      <c r="R14" s="4875"/>
      <c r="S14" s="4875"/>
      <c r="T14" s="4875"/>
      <c r="U14" s="4890"/>
      <c r="V14" s="4878"/>
      <c r="W14" s="4878"/>
      <c r="X14" s="4878"/>
      <c r="Y14" s="4878"/>
      <c r="Z14" s="4878"/>
      <c r="AA14" s="4875"/>
      <c r="AB14" s="4875"/>
      <c r="AC14" s="4875"/>
      <c r="AD14" s="4875"/>
      <c r="AE14" s="4875"/>
      <c r="AF14" s="4875"/>
      <c r="AG14" s="4875"/>
      <c r="AH14" s="4875"/>
      <c r="AI14" s="4875"/>
      <c r="AJ14" s="4875"/>
      <c r="AK14" s="4875"/>
      <c r="AL14" s="4893"/>
      <c r="AM14" s="4884"/>
      <c r="AN14" s="4884"/>
      <c r="AO14" s="4884"/>
      <c r="AP14" s="4885"/>
      <c r="AQ14" s="2775"/>
    </row>
    <row r="15" spans="2:43" s="2774" customFormat="1" ht="16.5" customHeight="1">
      <c r="C15" s="4886"/>
      <c r="D15" s="4887"/>
      <c r="E15" s="4887"/>
      <c r="F15" s="4887"/>
      <c r="G15" s="4888"/>
      <c r="H15" s="4879"/>
      <c r="I15" s="4879"/>
      <c r="J15" s="4879"/>
      <c r="K15" s="4879"/>
      <c r="L15" s="4879"/>
      <c r="M15" s="4876"/>
      <c r="N15" s="4876"/>
      <c r="O15" s="4876"/>
      <c r="P15" s="4876"/>
      <c r="Q15" s="4876"/>
      <c r="R15" s="4876"/>
      <c r="S15" s="4876"/>
      <c r="T15" s="4876"/>
      <c r="U15" s="4891"/>
      <c r="V15" s="4879"/>
      <c r="W15" s="4879"/>
      <c r="X15" s="4879"/>
      <c r="Y15" s="4879"/>
      <c r="Z15" s="4879"/>
      <c r="AA15" s="4876"/>
      <c r="AB15" s="4876"/>
      <c r="AC15" s="4876"/>
      <c r="AD15" s="4876"/>
      <c r="AE15" s="4876"/>
      <c r="AF15" s="4876"/>
      <c r="AG15" s="4876"/>
      <c r="AH15" s="4876"/>
      <c r="AI15" s="4876"/>
      <c r="AJ15" s="4876"/>
      <c r="AK15" s="4876"/>
      <c r="AL15" s="4894"/>
      <c r="AM15" s="4887"/>
      <c r="AN15" s="4887"/>
      <c r="AO15" s="4887"/>
      <c r="AP15" s="4888"/>
      <c r="AQ15" s="2775"/>
    </row>
    <row r="16" spans="2:43" ht="41.25" customHeight="1">
      <c r="B16" s="1963"/>
      <c r="C16" s="2776"/>
      <c r="D16" s="2777" t="s">
        <v>930</v>
      </c>
      <c r="E16" s="2778"/>
      <c r="F16" s="2778"/>
      <c r="G16" s="2779"/>
      <c r="H16" s="4139">
        <v>6303.1</v>
      </c>
      <c r="I16" s="1733">
        <f>I17+I20+I33+I34+I35</f>
        <v>5616.3</v>
      </c>
      <c r="J16" s="1733">
        <f>J17+J20+J33+J34+J35</f>
        <v>5882.5</v>
      </c>
      <c r="K16" s="1733">
        <f>K17+K20+K33+K34+K35</f>
        <v>5724</v>
      </c>
      <c r="L16" s="1733">
        <f>L17+L20+L33+L34+L35</f>
        <v>5515.4</v>
      </c>
      <c r="M16" s="1128">
        <f>M17+M20+M33+M34+M35</f>
        <v>5032.2</v>
      </c>
      <c r="N16" s="1128">
        <v>4936.2</v>
      </c>
      <c r="O16" s="1733">
        <f>O17+O20+O33+O34+O35</f>
        <v>4327.92</v>
      </c>
      <c r="P16" s="1594">
        <f>P17+P20+P33+P34+P35</f>
        <v>3871.9199999999996</v>
      </c>
      <c r="Q16" s="1594">
        <f>Q17+Q20+Q33+Q34+Q35</f>
        <v>3985.6000000000004</v>
      </c>
      <c r="R16" s="1594">
        <v>3766</v>
      </c>
      <c r="S16" s="1594">
        <f>S17+S20+S33+S34+S35</f>
        <v>3537.2</v>
      </c>
      <c r="T16" s="1594">
        <f>T17+T20+T33+T34+T35</f>
        <v>5150.3999999999996</v>
      </c>
      <c r="U16" s="1594">
        <f>U17+U20+U33+U34+U35</f>
        <v>5080.6000000000004</v>
      </c>
      <c r="V16" s="1594">
        <f>V17+V20+V33+V34+V35</f>
        <v>4948.9000000000005</v>
      </c>
      <c r="W16" s="1594">
        <v>5341.9</v>
      </c>
      <c r="X16" s="1594">
        <v>5310.5</v>
      </c>
      <c r="Y16" s="1594">
        <v>5032.7</v>
      </c>
      <c r="Z16" s="1594">
        <v>4634.8999999999996</v>
      </c>
      <c r="AA16" s="1594">
        <v>4669</v>
      </c>
      <c r="AB16" s="1594">
        <v>4868.2</v>
      </c>
      <c r="AC16" s="1594">
        <v>4698.8</v>
      </c>
      <c r="AD16" s="1594">
        <v>4276.1000000000004</v>
      </c>
      <c r="AE16" s="1594">
        <v>4404.3</v>
      </c>
      <c r="AF16" s="1594">
        <v>4150</v>
      </c>
      <c r="AG16" s="1594">
        <v>4004.7</v>
      </c>
      <c r="AH16" s="1594">
        <v>3752.7</v>
      </c>
      <c r="AI16" s="1594">
        <v>4178.1436999999996</v>
      </c>
      <c r="AJ16" s="1594">
        <v>4500.1000000000004</v>
      </c>
      <c r="AK16" s="1734">
        <v>4503.3999999999996</v>
      </c>
      <c r="AL16" s="2780"/>
      <c r="AM16" s="2780"/>
      <c r="AN16" s="2780"/>
      <c r="AO16" s="2781" t="s">
        <v>931</v>
      </c>
      <c r="AP16" s="2782"/>
    </row>
    <row r="17" spans="2:42" ht="41.25" customHeight="1">
      <c r="B17" s="1963"/>
      <c r="C17" s="2783"/>
      <c r="D17" s="2784" t="s">
        <v>932</v>
      </c>
      <c r="E17" s="2784"/>
      <c r="F17" s="2785"/>
      <c r="G17" s="2786"/>
      <c r="H17" s="1595">
        <v>365.4</v>
      </c>
      <c r="I17" s="1595">
        <f>I18+I19</f>
        <v>358.2</v>
      </c>
      <c r="J17" s="1595">
        <f>J18+J19</f>
        <v>386.40000000000003</v>
      </c>
      <c r="K17" s="1455">
        <v>393.3</v>
      </c>
      <c r="L17" s="1455">
        <v>421.8</v>
      </c>
      <c r="M17" s="1129">
        <v>455.4</v>
      </c>
      <c r="N17" s="1129">
        <v>467.77</v>
      </c>
      <c r="O17" s="1455">
        <v>472.92</v>
      </c>
      <c r="P17" s="1595">
        <v>490.32</v>
      </c>
      <c r="Q17" s="1595">
        <f t="shared" ref="Q17:V17" si="0">Q18+Q19</f>
        <v>474.40000000000003</v>
      </c>
      <c r="R17" s="1595">
        <f t="shared" si="0"/>
        <v>385.5</v>
      </c>
      <c r="S17" s="1595">
        <f t="shared" si="0"/>
        <v>390.7</v>
      </c>
      <c r="T17" s="1595">
        <f t="shared" si="0"/>
        <v>382.1</v>
      </c>
      <c r="U17" s="1595">
        <f t="shared" si="0"/>
        <v>360.90000000000003</v>
      </c>
      <c r="V17" s="1595">
        <f t="shared" si="0"/>
        <v>339.5</v>
      </c>
      <c r="W17" s="1595">
        <v>305.10000000000002</v>
      </c>
      <c r="X17" s="1595">
        <v>290.60000000000002</v>
      </c>
      <c r="Y17" s="1595">
        <v>265.7</v>
      </c>
      <c r="Z17" s="1595">
        <v>265.60000000000002</v>
      </c>
      <c r="AA17" s="1595">
        <v>216.9</v>
      </c>
      <c r="AB17" s="1595">
        <v>217.9</v>
      </c>
      <c r="AC17" s="1595">
        <v>251.6</v>
      </c>
      <c r="AD17" s="1595">
        <v>251</v>
      </c>
      <c r="AE17" s="1595">
        <v>251.9</v>
      </c>
      <c r="AF17" s="1595">
        <v>253.6</v>
      </c>
      <c r="AG17" s="1595">
        <v>249.6</v>
      </c>
      <c r="AH17" s="1595">
        <v>281</v>
      </c>
      <c r="AI17" s="1595">
        <v>278.2</v>
      </c>
      <c r="AJ17" s="1595">
        <v>284.5</v>
      </c>
      <c r="AK17" s="2787">
        <v>281.3</v>
      </c>
      <c r="AL17" s="2788"/>
      <c r="AM17" s="2788"/>
      <c r="AN17" s="2788"/>
      <c r="AO17" s="2788" t="s">
        <v>933</v>
      </c>
      <c r="AP17" s="2789"/>
    </row>
    <row r="18" spans="2:42" ht="41.25" customHeight="1">
      <c r="C18" s="2790"/>
      <c r="D18" s="2778"/>
      <c r="E18" s="2777" t="s">
        <v>934</v>
      </c>
      <c r="F18" s="2777"/>
      <c r="G18" s="2779"/>
      <c r="H18" s="4139">
        <v>0</v>
      </c>
      <c r="I18" s="1733">
        <v>0.9</v>
      </c>
      <c r="J18" s="1733">
        <v>2.6</v>
      </c>
      <c r="K18" s="1733">
        <v>4.3</v>
      </c>
      <c r="L18" s="1733">
        <v>6</v>
      </c>
      <c r="M18" s="1128">
        <v>8</v>
      </c>
      <c r="N18" s="1128">
        <v>10.199999999999999</v>
      </c>
      <c r="O18" s="1733">
        <v>12.1</v>
      </c>
      <c r="P18" s="1594">
        <v>14.1</v>
      </c>
      <c r="Q18" s="1594">
        <v>15.8</v>
      </c>
      <c r="R18" s="1594">
        <v>17.3</v>
      </c>
      <c r="S18" s="1594">
        <v>18.899999999999999</v>
      </c>
      <c r="T18" s="1594">
        <v>19.100000000000001</v>
      </c>
      <c r="U18" s="1594">
        <v>18.100000000000001</v>
      </c>
      <c r="V18" s="1594">
        <v>17.8</v>
      </c>
      <c r="W18" s="1594">
        <v>17.7</v>
      </c>
      <c r="X18" s="1594">
        <v>0</v>
      </c>
      <c r="Y18" s="1594">
        <v>0</v>
      </c>
      <c r="Z18" s="1594">
        <v>0</v>
      </c>
      <c r="AA18" s="1594">
        <v>0</v>
      </c>
      <c r="AB18" s="1594">
        <v>0</v>
      </c>
      <c r="AC18" s="1594">
        <v>31.9</v>
      </c>
      <c r="AD18" s="1594">
        <v>31.9</v>
      </c>
      <c r="AE18" s="1594">
        <v>31.9</v>
      </c>
      <c r="AF18" s="1594">
        <v>31.9</v>
      </c>
      <c r="AG18" s="1594">
        <v>31.6</v>
      </c>
      <c r="AH18" s="1594">
        <v>33.299999999999997</v>
      </c>
      <c r="AI18" s="1594">
        <v>32.799999999999997</v>
      </c>
      <c r="AJ18" s="1594">
        <v>30.4</v>
      </c>
      <c r="AK18" s="1734">
        <v>29.9</v>
      </c>
      <c r="AL18" s="2780"/>
      <c r="AM18" s="2780"/>
      <c r="AN18" s="2781" t="s">
        <v>935</v>
      </c>
      <c r="AO18" s="2791"/>
      <c r="AP18" s="2792"/>
    </row>
    <row r="19" spans="2:42" ht="41.25" customHeight="1">
      <c r="C19" s="2793"/>
      <c r="D19" s="2785"/>
      <c r="E19" s="2784" t="s">
        <v>936</v>
      </c>
      <c r="F19" s="2784"/>
      <c r="G19" s="2786"/>
      <c r="H19" s="1455">
        <v>365.4</v>
      </c>
      <c r="I19" s="1455">
        <v>357.3</v>
      </c>
      <c r="J19" s="1455">
        <v>383.8</v>
      </c>
      <c r="K19" s="1455">
        <v>389.1</v>
      </c>
      <c r="L19" s="1455">
        <v>415.8</v>
      </c>
      <c r="M19" s="1129">
        <v>447.4</v>
      </c>
      <c r="N19" s="1129">
        <v>457.6</v>
      </c>
      <c r="O19" s="1455">
        <v>460.9</v>
      </c>
      <c r="P19" s="1595">
        <v>476.2</v>
      </c>
      <c r="Q19" s="1595">
        <v>458.6</v>
      </c>
      <c r="R19" s="1595">
        <v>368.2</v>
      </c>
      <c r="S19" s="1595">
        <v>371.8</v>
      </c>
      <c r="T19" s="1595">
        <v>363</v>
      </c>
      <c r="U19" s="1595">
        <v>342.8</v>
      </c>
      <c r="V19" s="1595">
        <v>321.7</v>
      </c>
      <c r="W19" s="1595">
        <v>287.39999999999998</v>
      </c>
      <c r="X19" s="1595">
        <v>290.60000000000002</v>
      </c>
      <c r="Y19" s="1595">
        <v>265.7</v>
      </c>
      <c r="Z19" s="1595">
        <v>265.60000000000002</v>
      </c>
      <c r="AA19" s="1595">
        <v>216.9</v>
      </c>
      <c r="AB19" s="1595">
        <v>217.9</v>
      </c>
      <c r="AC19" s="1595">
        <v>219.7</v>
      </c>
      <c r="AD19" s="1595">
        <v>219.1</v>
      </c>
      <c r="AE19" s="1595">
        <v>220</v>
      </c>
      <c r="AF19" s="1595">
        <v>221.7</v>
      </c>
      <c r="AG19" s="1595">
        <v>218</v>
      </c>
      <c r="AH19" s="1595">
        <v>247.7</v>
      </c>
      <c r="AI19" s="1595">
        <v>245.4</v>
      </c>
      <c r="AJ19" s="1595">
        <v>254.1</v>
      </c>
      <c r="AK19" s="2787">
        <v>251.4</v>
      </c>
      <c r="AL19" s="2788"/>
      <c r="AM19" s="2788"/>
      <c r="AN19" s="2794" t="s">
        <v>937</v>
      </c>
      <c r="AO19" s="2795"/>
      <c r="AP19" s="2796"/>
    </row>
    <row r="20" spans="2:42" ht="41.25" customHeight="1">
      <c r="C20" s="2776"/>
      <c r="D20" s="2777" t="s">
        <v>938</v>
      </c>
      <c r="E20" s="2777"/>
      <c r="F20" s="2778"/>
      <c r="G20" s="2779"/>
      <c r="H20" s="4139">
        <v>1927.7</v>
      </c>
      <c r="I20" s="1733">
        <v>1809.7</v>
      </c>
      <c r="J20" s="1733">
        <f>J21+J26</f>
        <v>1834</v>
      </c>
      <c r="K20" s="1733">
        <f>K21+K26</f>
        <v>1494</v>
      </c>
      <c r="L20" s="1733">
        <f>L21+L26</f>
        <v>1317.6000000000001</v>
      </c>
      <c r="M20" s="1128">
        <f>M21+M26</f>
        <v>1217.5</v>
      </c>
      <c r="N20" s="1128">
        <v>1376.6</v>
      </c>
      <c r="O20" s="1733">
        <f>O21+O26</f>
        <v>1559</v>
      </c>
      <c r="P20" s="1594">
        <f t="shared" ref="P20:V20" si="1">P21+P26</f>
        <v>1584.8999999999999</v>
      </c>
      <c r="Q20" s="1594">
        <f t="shared" si="1"/>
        <v>1661.7</v>
      </c>
      <c r="R20" s="1594">
        <f t="shared" si="1"/>
        <v>1659.9</v>
      </c>
      <c r="S20" s="1594">
        <f t="shared" si="1"/>
        <v>1705.7</v>
      </c>
      <c r="T20" s="1594">
        <f t="shared" si="1"/>
        <v>3263.2</v>
      </c>
      <c r="U20" s="1594">
        <f t="shared" si="1"/>
        <v>3174.3999999999996</v>
      </c>
      <c r="V20" s="1594">
        <f t="shared" si="1"/>
        <v>3045</v>
      </c>
      <c r="W20" s="1594">
        <v>3375.9</v>
      </c>
      <c r="X20" s="1594">
        <v>3228.8</v>
      </c>
      <c r="Y20" s="1594">
        <v>2925</v>
      </c>
      <c r="Z20" s="1594">
        <v>2669.9</v>
      </c>
      <c r="AA20" s="1594">
        <v>2791.7</v>
      </c>
      <c r="AB20" s="1594">
        <v>2938</v>
      </c>
      <c r="AC20" s="1594">
        <v>2867.6</v>
      </c>
      <c r="AD20" s="1594">
        <v>2639.6</v>
      </c>
      <c r="AE20" s="1594">
        <v>2813.3</v>
      </c>
      <c r="AF20" s="1594">
        <v>2784.3</v>
      </c>
      <c r="AG20" s="1594">
        <v>2839.3</v>
      </c>
      <c r="AH20" s="1594">
        <v>2640.4</v>
      </c>
      <c r="AI20" s="1594">
        <v>2451.1999999999998</v>
      </c>
      <c r="AJ20" s="1594">
        <v>2277.9</v>
      </c>
      <c r="AK20" s="1734">
        <v>2243.4</v>
      </c>
      <c r="AL20" s="2780"/>
      <c r="AM20" s="2780"/>
      <c r="AN20" s="2780"/>
      <c r="AO20" s="2780" t="s">
        <v>939</v>
      </c>
      <c r="AP20" s="2797"/>
    </row>
    <row r="21" spans="2:42" ht="41.25" customHeight="1">
      <c r="B21" s="1963"/>
      <c r="C21" s="2798"/>
      <c r="D21" s="2799"/>
      <c r="E21" s="1461" t="s">
        <v>940</v>
      </c>
      <c r="F21" s="1461"/>
      <c r="G21" s="2800"/>
      <c r="H21" s="4138">
        <v>1901.2</v>
      </c>
      <c r="I21" s="1735">
        <v>1773.4</v>
      </c>
      <c r="J21" s="1735">
        <v>1783.4</v>
      </c>
      <c r="K21" s="1735">
        <v>1435.3</v>
      </c>
      <c r="L21" s="1735">
        <v>1247.7</v>
      </c>
      <c r="M21" s="1130">
        <v>1134.5</v>
      </c>
      <c r="N21" s="1130">
        <v>1278.4000000000001</v>
      </c>
      <c r="O21" s="1735">
        <v>1438.8</v>
      </c>
      <c r="P21" s="1596">
        <v>1444.8</v>
      </c>
      <c r="Q21" s="1596">
        <v>1509.4</v>
      </c>
      <c r="R21" s="1596">
        <v>1500.7</v>
      </c>
      <c r="S21" s="1596">
        <v>1539.5</v>
      </c>
      <c r="T21" s="1596">
        <v>1437.9</v>
      </c>
      <c r="U21" s="1596">
        <v>1431.8</v>
      </c>
      <c r="V21" s="1596">
        <v>1426.1</v>
      </c>
      <c r="W21" s="1596">
        <v>1618.1</v>
      </c>
      <c r="X21" s="1596">
        <v>1593.4</v>
      </c>
      <c r="Y21" s="1596">
        <v>1403</v>
      </c>
      <c r="Z21" s="1596">
        <v>1309.0999999999999</v>
      </c>
      <c r="AA21" s="1596">
        <v>1457.3</v>
      </c>
      <c r="AB21" s="1596">
        <v>1651.8</v>
      </c>
      <c r="AC21" s="1596">
        <v>1555.5</v>
      </c>
      <c r="AD21" s="1596">
        <v>1379.1</v>
      </c>
      <c r="AE21" s="1596">
        <v>1486.9</v>
      </c>
      <c r="AF21" s="1596">
        <v>1514.4</v>
      </c>
      <c r="AG21" s="1596">
        <v>1449.6</v>
      </c>
      <c r="AH21" s="1596">
        <v>1428.3</v>
      </c>
      <c r="AI21" s="1596">
        <v>1378.6</v>
      </c>
      <c r="AJ21" s="1596">
        <v>1227.3</v>
      </c>
      <c r="AK21" s="1736">
        <v>877.1</v>
      </c>
      <c r="AL21" s="2801"/>
      <c r="AM21" s="2801"/>
      <c r="AN21" s="2802" t="s">
        <v>941</v>
      </c>
      <c r="AO21" s="2803"/>
      <c r="AP21" s="2804"/>
    </row>
    <row r="22" spans="2:42" ht="41.25" customHeight="1">
      <c r="C22" s="2790"/>
      <c r="D22" s="2778"/>
      <c r="E22" s="2778"/>
      <c r="F22" s="2778"/>
      <c r="G22" s="2805" t="s">
        <v>942</v>
      </c>
      <c r="H22" s="1456">
        <v>452.1</v>
      </c>
      <c r="I22" s="1456">
        <v>329.5</v>
      </c>
      <c r="J22" s="1456">
        <v>335</v>
      </c>
      <c r="K22" s="1456">
        <v>233.5</v>
      </c>
      <c r="L22" s="1456">
        <v>224.7</v>
      </c>
      <c r="M22" s="1131">
        <v>235.6</v>
      </c>
      <c r="N22" s="1131">
        <v>260.2</v>
      </c>
      <c r="O22" s="1456">
        <v>251</v>
      </c>
      <c r="P22" s="1597">
        <v>248.2</v>
      </c>
      <c r="Q22" s="1597">
        <v>254.1</v>
      </c>
      <c r="R22" s="1597">
        <v>266.2</v>
      </c>
      <c r="S22" s="1597">
        <v>266.10000000000002</v>
      </c>
      <c r="T22" s="1597">
        <v>303.8</v>
      </c>
      <c r="U22" s="1597">
        <v>302.5</v>
      </c>
      <c r="V22" s="1597">
        <v>277.5</v>
      </c>
      <c r="W22" s="1597">
        <v>323.3</v>
      </c>
      <c r="X22" s="1597">
        <v>332.5</v>
      </c>
      <c r="Y22" s="1597">
        <v>259.10000000000002</v>
      </c>
      <c r="Z22" s="1597">
        <v>204.9</v>
      </c>
      <c r="AA22" s="1597">
        <v>218.9</v>
      </c>
      <c r="AB22" s="1597">
        <v>259.2</v>
      </c>
      <c r="AC22" s="1597">
        <v>304.3</v>
      </c>
      <c r="AD22" s="1597">
        <v>275</v>
      </c>
      <c r="AE22" s="1597">
        <v>300.89999999999998</v>
      </c>
      <c r="AF22" s="1597">
        <v>297</v>
      </c>
      <c r="AG22" s="1597">
        <v>299.89999999999998</v>
      </c>
      <c r="AH22" s="1597">
        <v>260.8</v>
      </c>
      <c r="AI22" s="1597">
        <v>255.5</v>
      </c>
      <c r="AJ22" s="1597">
        <v>222.1</v>
      </c>
      <c r="AK22" s="2806">
        <v>235.6</v>
      </c>
      <c r="AL22" s="2791" t="s">
        <v>943</v>
      </c>
      <c r="AM22" s="2791"/>
      <c r="AN22" s="2791"/>
      <c r="AO22" s="2791"/>
      <c r="AP22" s="2792"/>
    </row>
    <row r="23" spans="2:42" ht="41.25" customHeight="1">
      <c r="C23" s="2798"/>
      <c r="D23" s="2799"/>
      <c r="E23" s="2799"/>
      <c r="F23" s="2799"/>
      <c r="G23" s="2807" t="s">
        <v>944</v>
      </c>
      <c r="H23" s="1457">
        <v>607.4</v>
      </c>
      <c r="I23" s="1457">
        <v>618</v>
      </c>
      <c r="J23" s="1457">
        <v>567.1</v>
      </c>
      <c r="K23" s="1457">
        <v>415.1</v>
      </c>
      <c r="L23" s="1457">
        <v>254.8</v>
      </c>
      <c r="M23" s="1132">
        <v>203.6</v>
      </c>
      <c r="N23" s="1132">
        <v>231.7</v>
      </c>
      <c r="O23" s="1457">
        <v>177.1</v>
      </c>
      <c r="P23" s="1598">
        <v>87.4</v>
      </c>
      <c r="Q23" s="1598">
        <v>91.4</v>
      </c>
      <c r="R23" s="1598">
        <v>100</v>
      </c>
      <c r="S23" s="1598">
        <v>62.9</v>
      </c>
      <c r="T23" s="1598">
        <v>72.5</v>
      </c>
      <c r="U23" s="1598">
        <v>70.5</v>
      </c>
      <c r="V23" s="1598">
        <v>68.599999999999994</v>
      </c>
      <c r="W23" s="1598">
        <v>83.8</v>
      </c>
      <c r="X23" s="1598">
        <v>76.7</v>
      </c>
      <c r="Y23" s="1598">
        <v>63.7</v>
      </c>
      <c r="Z23" s="1598">
        <v>53.9</v>
      </c>
      <c r="AA23" s="1598">
        <v>58.8</v>
      </c>
      <c r="AB23" s="1598">
        <v>81.3</v>
      </c>
      <c r="AC23" s="1598">
        <v>89.9</v>
      </c>
      <c r="AD23" s="1598">
        <v>79.900000000000006</v>
      </c>
      <c r="AE23" s="1598">
        <v>86.6</v>
      </c>
      <c r="AF23" s="1598">
        <v>76.5</v>
      </c>
      <c r="AG23" s="1598">
        <v>59.7</v>
      </c>
      <c r="AH23" s="1598">
        <v>48.1</v>
      </c>
      <c r="AI23" s="1598">
        <v>49.2</v>
      </c>
      <c r="AJ23" s="1598">
        <v>32.700000000000003</v>
      </c>
      <c r="AK23" s="2808">
        <v>26.5</v>
      </c>
      <c r="AL23" s="2803" t="s">
        <v>945</v>
      </c>
      <c r="AM23" s="2803"/>
      <c r="AN23" s="2803"/>
      <c r="AO23" s="2803"/>
      <c r="AP23" s="2804"/>
    </row>
    <row r="24" spans="2:42" ht="41.25" customHeight="1">
      <c r="C24" s="2790"/>
      <c r="D24" s="2778"/>
      <c r="E24" s="2778"/>
      <c r="F24" s="2778"/>
      <c r="G24" s="2805" t="s">
        <v>946</v>
      </c>
      <c r="H24" s="1456">
        <v>733.8</v>
      </c>
      <c r="I24" s="1456">
        <v>712</v>
      </c>
      <c r="J24" s="1456">
        <v>758.8</v>
      </c>
      <c r="K24" s="1456">
        <v>668.6</v>
      </c>
      <c r="L24" s="1456">
        <v>643.6</v>
      </c>
      <c r="M24" s="1131">
        <v>562.20000000000005</v>
      </c>
      <c r="N24" s="1131">
        <v>639</v>
      </c>
      <c r="O24" s="1456">
        <v>858.6</v>
      </c>
      <c r="P24" s="1597">
        <v>951.4</v>
      </c>
      <c r="Q24" s="1597">
        <v>997.6</v>
      </c>
      <c r="R24" s="1597">
        <v>958.6</v>
      </c>
      <c r="S24" s="1597">
        <v>1035.8</v>
      </c>
      <c r="T24" s="1597">
        <v>884.3</v>
      </c>
      <c r="U24" s="1597">
        <v>887.6</v>
      </c>
      <c r="V24" s="1597">
        <v>930.4</v>
      </c>
      <c r="W24" s="1597">
        <v>1079.2</v>
      </c>
      <c r="X24" s="1597">
        <v>1074.7</v>
      </c>
      <c r="Y24" s="1597">
        <v>974.7</v>
      </c>
      <c r="Z24" s="1597">
        <v>912.6</v>
      </c>
      <c r="AA24" s="1597">
        <v>1046</v>
      </c>
      <c r="AB24" s="1597">
        <v>1175.7</v>
      </c>
      <c r="AC24" s="1597">
        <v>1033.2</v>
      </c>
      <c r="AD24" s="1597">
        <v>903.4</v>
      </c>
      <c r="AE24" s="1597">
        <v>955.4</v>
      </c>
      <c r="AF24" s="1597">
        <v>1011</v>
      </c>
      <c r="AG24" s="1597">
        <v>945.6</v>
      </c>
      <c r="AH24" s="1597">
        <v>797.4</v>
      </c>
      <c r="AI24" s="1597">
        <v>665.6</v>
      </c>
      <c r="AJ24" s="1597">
        <v>525.4</v>
      </c>
      <c r="AK24" s="2806">
        <v>230</v>
      </c>
      <c r="AL24" s="2791" t="s">
        <v>947</v>
      </c>
      <c r="AM24" s="2791"/>
      <c r="AN24" s="2791"/>
      <c r="AO24" s="2791"/>
      <c r="AP24" s="2792"/>
    </row>
    <row r="25" spans="2:42" ht="41.25" customHeight="1">
      <c r="C25" s="2798"/>
      <c r="D25" s="2799"/>
      <c r="E25" s="2799"/>
      <c r="F25" s="2799"/>
      <c r="G25" s="2807" t="s">
        <v>948</v>
      </c>
      <c r="H25" s="1457">
        <v>31.6</v>
      </c>
      <c r="I25" s="1457">
        <v>34.700000000000003</v>
      </c>
      <c r="J25" s="1457">
        <v>38.6</v>
      </c>
      <c r="K25" s="1457">
        <v>42.4</v>
      </c>
      <c r="L25" s="1457">
        <v>47.2</v>
      </c>
      <c r="M25" s="1132">
        <v>51.9</v>
      </c>
      <c r="N25" s="1132">
        <v>56.7</v>
      </c>
      <c r="O25" s="1457">
        <v>61.5</v>
      </c>
      <c r="P25" s="1598">
        <v>66.2</v>
      </c>
      <c r="Q25" s="1598">
        <v>71</v>
      </c>
      <c r="R25" s="1598">
        <v>75.2</v>
      </c>
      <c r="S25" s="1598">
        <v>79.400000000000006</v>
      </c>
      <c r="T25" s="1598">
        <v>83.1</v>
      </c>
      <c r="U25" s="1598">
        <v>86.4</v>
      </c>
      <c r="V25" s="1598">
        <v>75.3</v>
      </c>
      <c r="W25" s="1598">
        <v>64.400000000000006</v>
      </c>
      <c r="X25" s="1598">
        <v>53.5</v>
      </c>
      <c r="Y25" s="1598">
        <v>56.6</v>
      </c>
      <c r="Z25" s="1598">
        <v>59.7</v>
      </c>
      <c r="AA25" s="1598">
        <v>61.8</v>
      </c>
      <c r="AB25" s="1598">
        <v>61.8</v>
      </c>
      <c r="AC25" s="1598">
        <v>49.5</v>
      </c>
      <c r="AD25" s="1598">
        <v>49.4</v>
      </c>
      <c r="AE25" s="1598">
        <v>74.599999999999994</v>
      </c>
      <c r="AF25" s="1598">
        <v>64.400000000000006</v>
      </c>
      <c r="AG25" s="1598">
        <v>92.4</v>
      </c>
      <c r="AH25" s="1598">
        <v>228.7</v>
      </c>
      <c r="AI25" s="1598">
        <v>319.3</v>
      </c>
      <c r="AJ25" s="1598">
        <v>307.60000000000002</v>
      </c>
      <c r="AK25" s="2808">
        <v>311.89999999999998</v>
      </c>
      <c r="AL25" s="2803" t="s">
        <v>949</v>
      </c>
      <c r="AM25" s="2803"/>
      <c r="AN25" s="2803"/>
      <c r="AO25" s="2803"/>
      <c r="AP25" s="2804"/>
    </row>
    <row r="26" spans="2:42" ht="41.25" customHeight="1">
      <c r="C26" s="2776"/>
      <c r="D26" s="2777"/>
      <c r="E26" s="2777" t="s">
        <v>950</v>
      </c>
      <c r="F26" s="2778"/>
      <c r="G26" s="2779"/>
      <c r="H26" s="4139">
        <v>26.5</v>
      </c>
      <c r="I26" s="1733">
        <v>36.200000000000003</v>
      </c>
      <c r="J26" s="1733">
        <v>50.6</v>
      </c>
      <c r="K26" s="1733">
        <v>58.7</v>
      </c>
      <c r="L26" s="1733">
        <v>69.900000000000006</v>
      </c>
      <c r="M26" s="1128">
        <v>83</v>
      </c>
      <c r="N26" s="1128">
        <v>98.1</v>
      </c>
      <c r="O26" s="1733">
        <v>120.2</v>
      </c>
      <c r="P26" s="1594">
        <v>140.1</v>
      </c>
      <c r="Q26" s="1594">
        <v>152.30000000000001</v>
      </c>
      <c r="R26" s="1594">
        <v>159.19999999999999</v>
      </c>
      <c r="S26" s="1594">
        <v>166.2</v>
      </c>
      <c r="T26" s="1594">
        <v>1825.3</v>
      </c>
      <c r="U26" s="1594">
        <v>1742.6</v>
      </c>
      <c r="V26" s="1594">
        <v>1618.9</v>
      </c>
      <c r="W26" s="1594">
        <v>1757.8</v>
      </c>
      <c r="X26" s="1594">
        <v>1635.4</v>
      </c>
      <c r="Y26" s="1594">
        <v>1522</v>
      </c>
      <c r="Z26" s="1594">
        <v>1360.8</v>
      </c>
      <c r="AA26" s="1594">
        <v>1334.4</v>
      </c>
      <c r="AB26" s="1594">
        <v>1286.2</v>
      </c>
      <c r="AC26" s="1594">
        <v>1312.1</v>
      </c>
      <c r="AD26" s="1594">
        <v>1260.5</v>
      </c>
      <c r="AE26" s="1594">
        <v>1326.4</v>
      </c>
      <c r="AF26" s="1594">
        <v>1269.9000000000001</v>
      </c>
      <c r="AG26" s="1594">
        <v>1389.7</v>
      </c>
      <c r="AH26" s="1594">
        <v>1212.0999999999999</v>
      </c>
      <c r="AI26" s="1594">
        <v>1072.5999999999999</v>
      </c>
      <c r="AJ26" s="1594">
        <v>1050.5999999999999</v>
      </c>
      <c r="AK26" s="1734">
        <v>1366.3</v>
      </c>
      <c r="AL26" s="2780"/>
      <c r="AM26" s="2780"/>
      <c r="AN26" s="2781" t="s">
        <v>951</v>
      </c>
      <c r="AO26" s="2780"/>
      <c r="AP26" s="2797"/>
    </row>
    <row r="27" spans="2:42" ht="41.25" customHeight="1">
      <c r="C27" s="2798"/>
      <c r="D27" s="2799"/>
      <c r="E27" s="1461" t="s">
        <v>952</v>
      </c>
      <c r="F27" s="1461"/>
      <c r="G27" s="2800"/>
      <c r="H27" s="1461"/>
      <c r="I27" s="1735"/>
      <c r="J27" s="1735"/>
      <c r="K27" s="1735"/>
      <c r="L27" s="1735"/>
      <c r="M27" s="1130"/>
      <c r="N27" s="1130"/>
      <c r="O27" s="1735"/>
      <c r="P27" s="1596"/>
      <c r="Q27" s="1596"/>
      <c r="R27" s="1596"/>
      <c r="S27" s="1596"/>
      <c r="T27" s="1596"/>
      <c r="U27" s="1596"/>
      <c r="V27" s="1596"/>
      <c r="W27" s="1596"/>
      <c r="X27" s="1596"/>
      <c r="Y27" s="1596"/>
      <c r="Z27" s="1596"/>
      <c r="AA27" s="1596"/>
      <c r="AB27" s="1596"/>
      <c r="AC27" s="1596"/>
      <c r="AD27" s="1596"/>
      <c r="AE27" s="1596"/>
      <c r="AF27" s="1596"/>
      <c r="AG27" s="1596"/>
      <c r="AH27" s="1596"/>
      <c r="AI27" s="1596"/>
      <c r="AJ27" s="1596"/>
      <c r="AK27" s="1736"/>
      <c r="AL27" s="2801"/>
      <c r="AM27" s="2801"/>
      <c r="AN27" s="2801"/>
      <c r="AO27" s="2803"/>
      <c r="AP27" s="2804"/>
    </row>
    <row r="28" spans="2:42" ht="41.25" customHeight="1">
      <c r="C28" s="2790"/>
      <c r="D28" s="2778"/>
      <c r="E28" s="2778"/>
      <c r="F28" s="2778"/>
      <c r="G28" s="2805" t="s">
        <v>942</v>
      </c>
      <c r="H28" s="1456">
        <v>0</v>
      </c>
      <c r="I28" s="1456">
        <v>0</v>
      </c>
      <c r="J28" s="1456">
        <v>0</v>
      </c>
      <c r="K28" s="1456">
        <v>0</v>
      </c>
      <c r="L28" s="1456">
        <v>0</v>
      </c>
      <c r="M28" s="1131">
        <v>0</v>
      </c>
      <c r="N28" s="1131">
        <v>0</v>
      </c>
      <c r="O28" s="1456">
        <v>0</v>
      </c>
      <c r="P28" s="1597">
        <v>0</v>
      </c>
      <c r="Q28" s="1597">
        <v>0</v>
      </c>
      <c r="R28" s="1597">
        <v>0</v>
      </c>
      <c r="S28" s="1597">
        <v>0</v>
      </c>
      <c r="T28" s="1597">
        <v>23.5</v>
      </c>
      <c r="U28" s="1597">
        <v>21</v>
      </c>
      <c r="V28" s="1597">
        <v>18.399999999999999</v>
      </c>
      <c r="W28" s="1597">
        <v>20.3</v>
      </c>
      <c r="X28" s="1597">
        <v>17.899999999999999</v>
      </c>
      <c r="Y28" s="1597">
        <v>13.9</v>
      </c>
      <c r="Z28" s="1597">
        <v>14.4</v>
      </c>
      <c r="AA28" s="1597">
        <v>14.4</v>
      </c>
      <c r="AB28" s="1597">
        <v>11.3</v>
      </c>
      <c r="AC28" s="1597">
        <v>12.3</v>
      </c>
      <c r="AD28" s="1597">
        <v>11.4</v>
      </c>
      <c r="AE28" s="1597">
        <v>15.1</v>
      </c>
      <c r="AF28" s="1597">
        <v>15.4</v>
      </c>
      <c r="AG28" s="1597">
        <v>14.2</v>
      </c>
      <c r="AH28" s="1597">
        <v>12.3</v>
      </c>
      <c r="AI28" s="1597">
        <v>13.2</v>
      </c>
      <c r="AJ28" s="1597">
        <v>16.100000000000001</v>
      </c>
      <c r="AK28" s="2806">
        <v>12.9</v>
      </c>
      <c r="AL28" s="2791" t="s">
        <v>943</v>
      </c>
      <c r="AM28" s="2791"/>
      <c r="AN28" s="2791"/>
      <c r="AO28" s="2791"/>
      <c r="AP28" s="2792"/>
    </row>
    <row r="29" spans="2:42" ht="41.25" customHeight="1">
      <c r="C29" s="2798"/>
      <c r="D29" s="2799"/>
      <c r="E29" s="2799"/>
      <c r="F29" s="2799"/>
      <c r="G29" s="2807" t="s">
        <v>944</v>
      </c>
      <c r="H29" s="1457">
        <v>0</v>
      </c>
      <c r="I29" s="1457">
        <v>0</v>
      </c>
      <c r="J29" s="1457">
        <v>0</v>
      </c>
      <c r="K29" s="1457">
        <v>0</v>
      </c>
      <c r="L29" s="1457">
        <v>0</v>
      </c>
      <c r="M29" s="1132">
        <v>0</v>
      </c>
      <c r="N29" s="1132">
        <v>0</v>
      </c>
      <c r="O29" s="1457">
        <v>0</v>
      </c>
      <c r="P29" s="1598">
        <v>0</v>
      </c>
      <c r="Q29" s="1598">
        <v>0</v>
      </c>
      <c r="R29" s="1598">
        <v>0</v>
      </c>
      <c r="S29" s="1598">
        <v>0</v>
      </c>
      <c r="T29" s="1598">
        <v>660.8</v>
      </c>
      <c r="U29" s="1598">
        <v>598.4</v>
      </c>
      <c r="V29" s="1598">
        <v>533.70000000000005</v>
      </c>
      <c r="W29" s="1598">
        <v>600</v>
      </c>
      <c r="X29" s="1598">
        <v>540.4</v>
      </c>
      <c r="Y29" s="1598">
        <v>431.8</v>
      </c>
      <c r="Z29" s="1598">
        <v>354.4</v>
      </c>
      <c r="AA29" s="1598">
        <v>351.6</v>
      </c>
      <c r="AB29" s="1598">
        <v>397.6</v>
      </c>
      <c r="AC29" s="1598">
        <v>443.3</v>
      </c>
      <c r="AD29" s="1598">
        <v>413.1</v>
      </c>
      <c r="AE29" s="1598">
        <v>449.6</v>
      </c>
      <c r="AF29" s="1598">
        <v>443</v>
      </c>
      <c r="AG29" s="1598">
        <v>405.4</v>
      </c>
      <c r="AH29" s="1598">
        <v>344.5</v>
      </c>
      <c r="AI29" s="1598">
        <v>347.4</v>
      </c>
      <c r="AJ29" s="1598">
        <v>305.10000000000002</v>
      </c>
      <c r="AK29" s="2808">
        <v>635.5</v>
      </c>
      <c r="AL29" s="2803" t="s">
        <v>945</v>
      </c>
      <c r="AM29" s="2803"/>
      <c r="AN29" s="2803"/>
      <c r="AO29" s="2803"/>
      <c r="AP29" s="2804"/>
    </row>
    <row r="30" spans="2:42" ht="41.25" customHeight="1">
      <c r="C30" s="2790"/>
      <c r="D30" s="2778"/>
      <c r="E30" s="2778"/>
      <c r="F30" s="2778"/>
      <c r="G30" s="2805" t="s">
        <v>946</v>
      </c>
      <c r="H30" s="1456">
        <v>17.3</v>
      </c>
      <c r="I30" s="1456">
        <v>24.4</v>
      </c>
      <c r="J30" s="1456">
        <v>35.9</v>
      </c>
      <c r="K30" s="1456">
        <v>45.7</v>
      </c>
      <c r="L30" s="1456">
        <v>55.4</v>
      </c>
      <c r="M30" s="1131">
        <v>65.400000000000006</v>
      </c>
      <c r="N30" s="1131">
        <v>77.3</v>
      </c>
      <c r="O30" s="1456">
        <v>96.4</v>
      </c>
      <c r="P30" s="1597">
        <v>113</v>
      </c>
      <c r="Q30" s="1597">
        <v>121.6</v>
      </c>
      <c r="R30" s="1597">
        <v>125</v>
      </c>
      <c r="S30" s="1597">
        <v>132.6</v>
      </c>
      <c r="T30" s="1597">
        <v>128.5</v>
      </c>
      <c r="U30" s="1597">
        <v>130.1</v>
      </c>
      <c r="V30" s="1597">
        <v>134</v>
      </c>
      <c r="W30" s="1597">
        <v>159.4</v>
      </c>
      <c r="X30" s="1597">
        <v>184.3</v>
      </c>
      <c r="Y30" s="1597">
        <v>188.6</v>
      </c>
      <c r="Z30" s="1597">
        <v>193.2</v>
      </c>
      <c r="AA30" s="1597">
        <v>224.4</v>
      </c>
      <c r="AB30" s="1597">
        <v>262.89999999999998</v>
      </c>
      <c r="AC30" s="1597">
        <v>237.2</v>
      </c>
      <c r="AD30" s="1597">
        <v>217.6</v>
      </c>
      <c r="AE30" s="1597">
        <v>236.4</v>
      </c>
      <c r="AF30" s="1597">
        <v>226.1</v>
      </c>
      <c r="AG30" s="1597">
        <v>159.6</v>
      </c>
      <c r="AH30" s="1597">
        <v>147.5</v>
      </c>
      <c r="AI30" s="1597">
        <v>132.6</v>
      </c>
      <c r="AJ30" s="1597">
        <v>96</v>
      </c>
      <c r="AK30" s="2806">
        <v>102.1</v>
      </c>
      <c r="AL30" s="2791" t="s">
        <v>947</v>
      </c>
      <c r="AM30" s="2791"/>
      <c r="AN30" s="2791"/>
      <c r="AO30" s="2791"/>
      <c r="AP30" s="2792"/>
    </row>
    <row r="31" spans="2:42" ht="41.25" customHeight="1">
      <c r="C31" s="2798"/>
      <c r="D31" s="2799"/>
      <c r="E31" s="2799"/>
      <c r="F31" s="2799"/>
      <c r="G31" s="2807" t="s">
        <v>953</v>
      </c>
      <c r="H31" s="1457">
        <v>0</v>
      </c>
      <c r="I31" s="1457">
        <v>0</v>
      </c>
      <c r="J31" s="1457">
        <v>0</v>
      </c>
      <c r="K31" s="1457">
        <v>0</v>
      </c>
      <c r="L31" s="1457">
        <v>0</v>
      </c>
      <c r="M31" s="1132">
        <v>0</v>
      </c>
      <c r="N31" s="1132">
        <v>0</v>
      </c>
      <c r="O31" s="1457">
        <v>0</v>
      </c>
      <c r="P31" s="1598">
        <v>0</v>
      </c>
      <c r="Q31" s="1598">
        <v>0</v>
      </c>
      <c r="R31" s="1598">
        <v>0</v>
      </c>
      <c r="S31" s="1598">
        <v>0</v>
      </c>
      <c r="T31" s="1598">
        <v>491.7</v>
      </c>
      <c r="U31" s="1598">
        <v>479.5</v>
      </c>
      <c r="V31" s="1598">
        <v>428.8</v>
      </c>
      <c r="W31" s="1598">
        <v>461.6</v>
      </c>
      <c r="X31" s="1598">
        <v>415.8</v>
      </c>
      <c r="Y31" s="1598">
        <v>439.8</v>
      </c>
      <c r="Z31" s="1598">
        <v>382.6</v>
      </c>
      <c r="AA31" s="1598">
        <v>397.7</v>
      </c>
      <c r="AB31" s="1598">
        <v>417.7</v>
      </c>
      <c r="AC31" s="1598">
        <v>408.7</v>
      </c>
      <c r="AD31" s="1598">
        <v>398.1</v>
      </c>
      <c r="AE31" s="1598">
        <v>394.3</v>
      </c>
      <c r="AF31" s="1598">
        <v>354.3</v>
      </c>
      <c r="AG31" s="1598">
        <v>342.7</v>
      </c>
      <c r="AH31" s="1598">
        <v>295.60000000000002</v>
      </c>
      <c r="AI31" s="1598">
        <v>280.10000000000002</v>
      </c>
      <c r="AJ31" s="1598">
        <v>312.39999999999998</v>
      </c>
      <c r="AK31" s="2808">
        <v>272.3</v>
      </c>
      <c r="AL31" s="2803" t="s">
        <v>954</v>
      </c>
      <c r="AM31" s="2803"/>
      <c r="AN31" s="2803"/>
      <c r="AO31" s="2803"/>
      <c r="AP31" s="2804"/>
    </row>
    <row r="32" spans="2:42" ht="41.25" customHeight="1">
      <c r="C32" s="2790"/>
      <c r="D32" s="2778"/>
      <c r="E32" s="2778"/>
      <c r="F32" s="2778"/>
      <c r="G32" s="2805" t="s">
        <v>948</v>
      </c>
      <c r="H32" s="1456">
        <v>3.4</v>
      </c>
      <c r="I32" s="1456">
        <v>6</v>
      </c>
      <c r="J32" s="1456">
        <v>8.3000000000000007</v>
      </c>
      <c r="K32" s="1456">
        <v>10.8</v>
      </c>
      <c r="L32" s="1456">
        <v>13.3</v>
      </c>
      <c r="M32" s="1131">
        <v>15.7</v>
      </c>
      <c r="N32" s="1131">
        <v>17.899999999999999</v>
      </c>
      <c r="O32" s="1456">
        <v>20</v>
      </c>
      <c r="P32" s="1597">
        <v>22</v>
      </c>
      <c r="Q32" s="1597">
        <v>23.9</v>
      </c>
      <c r="R32" s="1597">
        <v>25.7</v>
      </c>
      <c r="S32" s="1597">
        <v>27.4</v>
      </c>
      <c r="T32" s="1597">
        <v>285.5</v>
      </c>
      <c r="U32" s="1597">
        <v>285.7</v>
      </c>
      <c r="V32" s="1597">
        <v>284</v>
      </c>
      <c r="W32" s="1597">
        <v>284.10000000000002</v>
      </c>
      <c r="X32" s="1597">
        <v>252.8</v>
      </c>
      <c r="Y32" s="1597">
        <v>234.4</v>
      </c>
      <c r="Z32" s="1597">
        <v>221.1</v>
      </c>
      <c r="AA32" s="1597">
        <v>171</v>
      </c>
      <c r="AB32" s="1597">
        <v>25.3</v>
      </c>
      <c r="AC32" s="1597">
        <v>39.700000000000003</v>
      </c>
      <c r="AD32" s="1597">
        <v>60.2</v>
      </c>
      <c r="AE32" s="1597">
        <v>56.7</v>
      </c>
      <c r="AF32" s="1597">
        <v>53.6</v>
      </c>
      <c r="AG32" s="1597">
        <v>307.10000000000002</v>
      </c>
      <c r="AH32" s="1597">
        <v>258.5</v>
      </c>
      <c r="AI32" s="1597">
        <v>140.9</v>
      </c>
      <c r="AJ32" s="1597">
        <v>134.30000000000001</v>
      </c>
      <c r="AK32" s="2806">
        <v>138.5</v>
      </c>
      <c r="AL32" s="2791" t="s">
        <v>949</v>
      </c>
      <c r="AM32" s="2791"/>
      <c r="AN32" s="2791"/>
      <c r="AO32" s="2791"/>
      <c r="AP32" s="2792"/>
    </row>
    <row r="33" spans="3:43" ht="41.25" customHeight="1">
      <c r="C33" s="2809"/>
      <c r="D33" s="1461" t="s">
        <v>2915</v>
      </c>
      <c r="E33" s="1461"/>
      <c r="F33" s="1461"/>
      <c r="G33" s="2800"/>
      <c r="H33" s="4138">
        <v>187.5</v>
      </c>
      <c r="I33" s="1735">
        <v>185.8</v>
      </c>
      <c r="J33" s="1735">
        <v>188.5</v>
      </c>
      <c r="K33" s="1735">
        <v>172.9</v>
      </c>
      <c r="L33" s="1735">
        <v>156</v>
      </c>
      <c r="M33" s="1130">
        <v>137.19999999999999</v>
      </c>
      <c r="N33" s="1130">
        <v>123.7</v>
      </c>
      <c r="O33" s="1735">
        <v>112.5</v>
      </c>
      <c r="P33" s="1596">
        <v>88.7</v>
      </c>
      <c r="Q33" s="1596">
        <v>53.3</v>
      </c>
      <c r="R33" s="1596">
        <v>46.3</v>
      </c>
      <c r="S33" s="1596">
        <v>45.1</v>
      </c>
      <c r="T33" s="1596">
        <v>38.6</v>
      </c>
      <c r="U33" s="1596">
        <v>38.299999999999997</v>
      </c>
      <c r="V33" s="1596">
        <v>36.799999999999997</v>
      </c>
      <c r="W33" s="1596">
        <v>31.6</v>
      </c>
      <c r="X33" s="1596">
        <v>31.1</v>
      </c>
      <c r="Y33" s="1596">
        <v>31.3</v>
      </c>
      <c r="Z33" s="1596">
        <v>27.9</v>
      </c>
      <c r="AA33" s="1596">
        <v>27.9</v>
      </c>
      <c r="AB33" s="1596">
        <v>23.6</v>
      </c>
      <c r="AC33" s="1596">
        <v>23.4</v>
      </c>
      <c r="AD33" s="1596">
        <v>23.1</v>
      </c>
      <c r="AE33" s="1596">
        <v>26.2</v>
      </c>
      <c r="AF33" s="1596">
        <v>26</v>
      </c>
      <c r="AG33" s="1596">
        <v>24.4</v>
      </c>
      <c r="AH33" s="1596">
        <v>31.4</v>
      </c>
      <c r="AI33" s="1596">
        <v>70.620199999999997</v>
      </c>
      <c r="AJ33" s="1596">
        <v>415.5</v>
      </c>
      <c r="AK33" s="1736">
        <v>400.7</v>
      </c>
      <c r="AL33" s="2801"/>
      <c r="AM33" s="2801"/>
      <c r="AN33" s="2801"/>
      <c r="AO33" s="2801" t="s">
        <v>2916</v>
      </c>
      <c r="AP33" s="2810"/>
      <c r="AQ33" s="1801"/>
    </row>
    <row r="34" spans="3:43" ht="41.25" customHeight="1">
      <c r="C34" s="2776"/>
      <c r="D34" s="2777" t="s">
        <v>955</v>
      </c>
      <c r="E34" s="2777"/>
      <c r="F34" s="2778"/>
      <c r="G34" s="2779"/>
      <c r="H34" s="4139">
        <v>106.5</v>
      </c>
      <c r="I34" s="1733">
        <v>0</v>
      </c>
      <c r="J34" s="1733">
        <v>55</v>
      </c>
      <c r="K34" s="1733">
        <v>119.6</v>
      </c>
      <c r="L34" s="1733">
        <v>175.4</v>
      </c>
      <c r="M34" s="1128">
        <v>185</v>
      </c>
      <c r="N34" s="1128">
        <v>185</v>
      </c>
      <c r="O34" s="1733">
        <v>185</v>
      </c>
      <c r="P34" s="1594">
        <v>7.5</v>
      </c>
      <c r="Q34" s="1594">
        <v>7.5</v>
      </c>
      <c r="R34" s="1594">
        <v>0.1</v>
      </c>
      <c r="S34" s="1594">
        <v>0.1</v>
      </c>
      <c r="T34" s="1594">
        <v>0.2</v>
      </c>
      <c r="U34" s="1594">
        <v>1.1000000000000001</v>
      </c>
      <c r="V34" s="1594">
        <v>1.9</v>
      </c>
      <c r="W34" s="1594">
        <v>10.1</v>
      </c>
      <c r="X34" s="1594">
        <v>17.8</v>
      </c>
      <c r="Y34" s="1594">
        <v>24.9</v>
      </c>
      <c r="Z34" s="1594">
        <v>28.4</v>
      </c>
      <c r="AA34" s="1594">
        <v>35.5</v>
      </c>
      <c r="AB34" s="1594">
        <v>42.5</v>
      </c>
      <c r="AC34" s="1594">
        <v>49.6</v>
      </c>
      <c r="AD34" s="1594">
        <v>73.400000000000006</v>
      </c>
      <c r="AE34" s="1594">
        <v>102.9</v>
      </c>
      <c r="AF34" s="1594">
        <v>135.30000000000001</v>
      </c>
      <c r="AG34" s="1594">
        <v>157.1</v>
      </c>
      <c r="AH34" s="1594">
        <v>183.4</v>
      </c>
      <c r="AI34" s="1594">
        <v>800.52350000000001</v>
      </c>
      <c r="AJ34" s="1594">
        <v>928.9</v>
      </c>
      <c r="AK34" s="1734">
        <v>996.5</v>
      </c>
      <c r="AL34" s="2780"/>
      <c r="AM34" s="2780"/>
      <c r="AN34" s="2780"/>
      <c r="AO34" s="2780" t="s">
        <v>956</v>
      </c>
      <c r="AP34" s="2797"/>
      <c r="AQ34" s="1801"/>
    </row>
    <row r="35" spans="3:43" ht="41.25" customHeight="1">
      <c r="C35" s="2811"/>
      <c r="D35" s="2812" t="s">
        <v>957</v>
      </c>
      <c r="E35" s="1461"/>
      <c r="F35" s="1461"/>
      <c r="G35" s="2800"/>
      <c r="H35" s="4138">
        <v>3716</v>
      </c>
      <c r="I35" s="1735">
        <v>3262.6</v>
      </c>
      <c r="J35" s="1735">
        <v>3418.6</v>
      </c>
      <c r="K35" s="1735">
        <v>3544.2</v>
      </c>
      <c r="L35" s="1735">
        <v>3444.6</v>
      </c>
      <c r="M35" s="1130">
        <v>3037.1</v>
      </c>
      <c r="N35" s="1130">
        <v>2783.2</v>
      </c>
      <c r="O35" s="1735">
        <v>1998.5</v>
      </c>
      <c r="P35" s="1596">
        <v>1700.5</v>
      </c>
      <c r="Q35" s="1596">
        <v>1788.7</v>
      </c>
      <c r="R35" s="1596">
        <v>1674.3</v>
      </c>
      <c r="S35" s="1596">
        <v>1395.6</v>
      </c>
      <c r="T35" s="1596">
        <v>1466.3</v>
      </c>
      <c r="U35" s="1596">
        <v>1505.9</v>
      </c>
      <c r="V35" s="1596">
        <v>1525.7</v>
      </c>
      <c r="W35" s="1596">
        <v>1619.2</v>
      </c>
      <c r="X35" s="1596">
        <v>1742.2</v>
      </c>
      <c r="Y35" s="1596">
        <v>1785.8</v>
      </c>
      <c r="Z35" s="1596">
        <v>1643.1</v>
      </c>
      <c r="AA35" s="1596">
        <v>1597</v>
      </c>
      <c r="AB35" s="1596">
        <v>1646.2</v>
      </c>
      <c r="AC35" s="1596">
        <v>1506.6</v>
      </c>
      <c r="AD35" s="1596">
        <v>1289</v>
      </c>
      <c r="AE35" s="1596">
        <v>1210</v>
      </c>
      <c r="AF35" s="1596">
        <v>950.8</v>
      </c>
      <c r="AG35" s="1596">
        <v>734.3</v>
      </c>
      <c r="AH35" s="1596">
        <v>616.5</v>
      </c>
      <c r="AI35" s="1596">
        <v>577.6</v>
      </c>
      <c r="AJ35" s="1596">
        <v>593.29999999999995</v>
      </c>
      <c r="AK35" s="1736">
        <v>581.5</v>
      </c>
      <c r="AL35" s="2801"/>
      <c r="AM35" s="2801"/>
      <c r="AN35" s="2801"/>
      <c r="AO35" s="2801" t="s">
        <v>958</v>
      </c>
      <c r="AP35" s="2810"/>
    </row>
    <row r="36" spans="3:43" ht="41.25" customHeight="1">
      <c r="C36" s="2790"/>
      <c r="D36" s="2778"/>
      <c r="E36" s="2778"/>
      <c r="F36" s="2778"/>
      <c r="G36" s="2805" t="s">
        <v>959</v>
      </c>
      <c r="H36" s="1456">
        <v>358.5</v>
      </c>
      <c r="I36" s="1456">
        <v>536.6</v>
      </c>
      <c r="J36" s="1456">
        <v>901.4</v>
      </c>
      <c r="K36" s="1456">
        <v>1137.4000000000001</v>
      </c>
      <c r="L36" s="1456">
        <v>1310.5</v>
      </c>
      <c r="M36" s="1131">
        <v>964.3</v>
      </c>
      <c r="N36" s="1131">
        <v>745.7</v>
      </c>
      <c r="O36" s="1456">
        <v>279.10000000000002</v>
      </c>
      <c r="P36" s="1597">
        <v>5.5</v>
      </c>
      <c r="Q36" s="1597">
        <v>5.5</v>
      </c>
      <c r="R36" s="1597">
        <v>8.5</v>
      </c>
      <c r="S36" s="1597">
        <v>19.600000000000001</v>
      </c>
      <c r="T36" s="1597">
        <v>62.2</v>
      </c>
      <c r="U36" s="1597">
        <v>112.4</v>
      </c>
      <c r="V36" s="1597">
        <v>167.7</v>
      </c>
      <c r="W36" s="1597">
        <v>239</v>
      </c>
      <c r="X36" s="1597">
        <v>299.2</v>
      </c>
      <c r="Y36" s="1597">
        <v>340.6</v>
      </c>
      <c r="Z36" s="1597">
        <v>307.10000000000002</v>
      </c>
      <c r="AA36" s="1597">
        <v>328.1</v>
      </c>
      <c r="AB36" s="1597">
        <v>353.4</v>
      </c>
      <c r="AC36" s="1597">
        <v>332.5</v>
      </c>
      <c r="AD36" s="1597">
        <v>286.8</v>
      </c>
      <c r="AE36" s="1597">
        <v>240.3</v>
      </c>
      <c r="AF36" s="1597">
        <v>178.3</v>
      </c>
      <c r="AG36" s="1597">
        <v>101.2</v>
      </c>
      <c r="AH36" s="1597">
        <v>54</v>
      </c>
      <c r="AI36" s="1597">
        <v>81.3</v>
      </c>
      <c r="AJ36" s="1597">
        <v>60.7</v>
      </c>
      <c r="AK36" s="2806">
        <v>62.2</v>
      </c>
      <c r="AL36" s="2791" t="s">
        <v>960</v>
      </c>
      <c r="AM36" s="2791"/>
      <c r="AN36" s="2791"/>
      <c r="AO36" s="2791"/>
      <c r="AP36" s="2792"/>
    </row>
    <row r="37" spans="3:43" ht="41.25" customHeight="1">
      <c r="C37" s="2798"/>
      <c r="D37" s="2799"/>
      <c r="E37" s="2799"/>
      <c r="F37" s="2799"/>
      <c r="G37" s="2807" t="s">
        <v>961</v>
      </c>
      <c r="H37" s="1457">
        <v>2119.3000000000002</v>
      </c>
      <c r="I37" s="1457">
        <v>1599.1</v>
      </c>
      <c r="J37" s="1457">
        <v>1332.2</v>
      </c>
      <c r="K37" s="1457">
        <v>1318.6</v>
      </c>
      <c r="L37" s="1457">
        <v>1100.2</v>
      </c>
      <c r="M37" s="1132">
        <v>990.5</v>
      </c>
      <c r="N37" s="1132">
        <v>812</v>
      </c>
      <c r="O37" s="1457">
        <v>790.5</v>
      </c>
      <c r="P37" s="1598">
        <v>670.3</v>
      </c>
      <c r="Q37" s="1598">
        <v>728.9</v>
      </c>
      <c r="R37" s="1598">
        <v>777.8</v>
      </c>
      <c r="S37" s="1598">
        <v>608.1</v>
      </c>
      <c r="T37" s="1598">
        <v>640.1</v>
      </c>
      <c r="U37" s="1598">
        <v>669.2</v>
      </c>
      <c r="V37" s="1598">
        <v>696.7</v>
      </c>
      <c r="W37" s="1598">
        <v>716.3</v>
      </c>
      <c r="X37" s="1598">
        <v>755.7</v>
      </c>
      <c r="Y37" s="1598">
        <v>778.6</v>
      </c>
      <c r="Z37" s="1598">
        <v>705.6</v>
      </c>
      <c r="AA37" s="1598">
        <v>633.5</v>
      </c>
      <c r="AB37" s="1598">
        <v>647.9</v>
      </c>
      <c r="AC37" s="1598">
        <v>580.1</v>
      </c>
      <c r="AD37" s="1598">
        <v>540.20000000000005</v>
      </c>
      <c r="AE37" s="1598">
        <v>575.5</v>
      </c>
      <c r="AF37" s="1598">
        <v>505.8</v>
      </c>
      <c r="AG37" s="1598">
        <v>423.1</v>
      </c>
      <c r="AH37" s="1598">
        <v>392.1</v>
      </c>
      <c r="AI37" s="1598">
        <v>338</v>
      </c>
      <c r="AJ37" s="1598">
        <v>334.7</v>
      </c>
      <c r="AK37" s="2808">
        <v>330.6</v>
      </c>
      <c r="AL37" s="2803" t="s">
        <v>962</v>
      </c>
      <c r="AM37" s="2803"/>
      <c r="AN37" s="2803"/>
      <c r="AO37" s="2803"/>
      <c r="AP37" s="2804"/>
    </row>
    <row r="38" spans="3:43" ht="41.25" customHeight="1">
      <c r="C38" s="2790"/>
      <c r="D38" s="2778"/>
      <c r="E38" s="2778"/>
      <c r="F38" s="2778"/>
      <c r="G38" s="2805" t="s">
        <v>963</v>
      </c>
      <c r="H38" s="1456">
        <v>91.6</v>
      </c>
      <c r="I38" s="1456">
        <v>82.3</v>
      </c>
      <c r="J38" s="1456">
        <v>75.7</v>
      </c>
      <c r="K38" s="1456">
        <v>76.2</v>
      </c>
      <c r="L38" s="1456">
        <v>84.3</v>
      </c>
      <c r="M38" s="1131">
        <v>93</v>
      </c>
      <c r="N38" s="1131">
        <v>104.4</v>
      </c>
      <c r="O38" s="1456">
        <v>120.2</v>
      </c>
      <c r="P38" s="1597">
        <v>141.4</v>
      </c>
      <c r="Q38" s="1597">
        <v>159.6</v>
      </c>
      <c r="R38" s="1597">
        <v>172.2</v>
      </c>
      <c r="S38" s="1597">
        <v>144.6</v>
      </c>
      <c r="T38" s="1597">
        <v>149.80000000000001</v>
      </c>
      <c r="U38" s="1597">
        <v>145.4</v>
      </c>
      <c r="V38" s="1597">
        <v>136.69999999999999</v>
      </c>
      <c r="W38" s="1597">
        <v>164.2</v>
      </c>
      <c r="X38" s="1597">
        <v>196.8</v>
      </c>
      <c r="Y38" s="1597">
        <v>187.9</v>
      </c>
      <c r="Z38" s="1597">
        <v>164.4</v>
      </c>
      <c r="AA38" s="1597">
        <v>162.5</v>
      </c>
      <c r="AB38" s="1597">
        <v>154.6</v>
      </c>
      <c r="AC38" s="1597">
        <v>163.69999999999999</v>
      </c>
      <c r="AD38" s="1597">
        <v>90.9</v>
      </c>
      <c r="AE38" s="1597">
        <v>91.2</v>
      </c>
      <c r="AF38" s="1597">
        <v>70.7</v>
      </c>
      <c r="AG38" s="1597">
        <v>60.2</v>
      </c>
      <c r="AH38" s="1597">
        <v>56</v>
      </c>
      <c r="AI38" s="1597">
        <v>50.9</v>
      </c>
      <c r="AJ38" s="1597">
        <v>49.5</v>
      </c>
      <c r="AK38" s="2806">
        <v>48.8</v>
      </c>
      <c r="AL38" s="2791" t="s">
        <v>964</v>
      </c>
      <c r="AM38" s="2791"/>
      <c r="AN38" s="2791"/>
      <c r="AO38" s="2791"/>
      <c r="AP38" s="2792"/>
    </row>
    <row r="39" spans="3:43" ht="41.25" customHeight="1">
      <c r="C39" s="2798"/>
      <c r="D39" s="2799"/>
      <c r="E39" s="2799"/>
      <c r="F39" s="2799"/>
      <c r="G39" s="2807" t="s">
        <v>965</v>
      </c>
      <c r="H39" s="1457">
        <v>109.3</v>
      </c>
      <c r="I39" s="1457">
        <v>77.2</v>
      </c>
      <c r="J39" s="1457">
        <v>70.099999999999994</v>
      </c>
      <c r="K39" s="1457">
        <v>76</v>
      </c>
      <c r="L39" s="1457">
        <v>83.9</v>
      </c>
      <c r="M39" s="1132">
        <v>91.3</v>
      </c>
      <c r="N39" s="1132">
        <v>101.2</v>
      </c>
      <c r="O39" s="1457">
        <v>105.4</v>
      </c>
      <c r="P39" s="1598">
        <v>102.2</v>
      </c>
      <c r="Q39" s="1598">
        <v>100.3</v>
      </c>
      <c r="R39" s="1598">
        <v>93.2</v>
      </c>
      <c r="S39" s="1598">
        <v>77.400000000000006</v>
      </c>
      <c r="T39" s="1598">
        <v>77.8</v>
      </c>
      <c r="U39" s="1598">
        <v>77.3</v>
      </c>
      <c r="V39" s="1598">
        <v>66.7</v>
      </c>
      <c r="W39" s="1598">
        <v>65.2</v>
      </c>
      <c r="X39" s="1598">
        <v>63.9</v>
      </c>
      <c r="Y39" s="1598">
        <v>73.400000000000006</v>
      </c>
      <c r="Z39" s="1598">
        <v>72.099999999999994</v>
      </c>
      <c r="AA39" s="1598">
        <v>81.7</v>
      </c>
      <c r="AB39" s="1598">
        <v>87.1</v>
      </c>
      <c r="AC39" s="1598">
        <v>88.3</v>
      </c>
      <c r="AD39" s="1598">
        <v>86.5</v>
      </c>
      <c r="AE39" s="1598">
        <v>77.099999999999994</v>
      </c>
      <c r="AF39" s="1598">
        <v>51.7</v>
      </c>
      <c r="AG39" s="1598">
        <v>33.1</v>
      </c>
      <c r="AH39" s="1598">
        <v>22.2</v>
      </c>
      <c r="AI39" s="1598">
        <v>22.5</v>
      </c>
      <c r="AJ39" s="1598">
        <v>19.100000000000001</v>
      </c>
      <c r="AK39" s="2808">
        <v>25.8</v>
      </c>
      <c r="AL39" s="2803" t="s">
        <v>966</v>
      </c>
      <c r="AM39" s="2803"/>
      <c r="AN39" s="2803"/>
      <c r="AO39" s="2803"/>
      <c r="AP39" s="2804"/>
    </row>
    <row r="40" spans="3:43" ht="41.25" customHeight="1">
      <c r="C40" s="2790"/>
      <c r="D40" s="2778"/>
      <c r="E40" s="2778"/>
      <c r="F40" s="2778"/>
      <c r="G40" s="2805" t="s">
        <v>967</v>
      </c>
      <c r="H40" s="1456">
        <v>126.3</v>
      </c>
      <c r="I40" s="1456">
        <v>167.6</v>
      </c>
      <c r="J40" s="1456">
        <v>203.1</v>
      </c>
      <c r="K40" s="1456">
        <v>191.8</v>
      </c>
      <c r="L40" s="1456">
        <v>151.19999999999999</v>
      </c>
      <c r="M40" s="1131">
        <v>151.19999999999999</v>
      </c>
      <c r="N40" s="1131">
        <v>154.4</v>
      </c>
      <c r="O40" s="1456">
        <v>120.6</v>
      </c>
      <c r="P40" s="1597">
        <v>164</v>
      </c>
      <c r="Q40" s="1597">
        <v>168.5</v>
      </c>
      <c r="R40" s="1597">
        <v>101.1</v>
      </c>
      <c r="S40" s="1597">
        <v>0</v>
      </c>
      <c r="T40" s="1597">
        <v>0</v>
      </c>
      <c r="U40" s="1597">
        <v>0</v>
      </c>
      <c r="V40" s="1597">
        <v>0</v>
      </c>
      <c r="W40" s="1597">
        <v>6.9</v>
      </c>
      <c r="X40" s="1597">
        <v>14.8</v>
      </c>
      <c r="Y40" s="1597">
        <v>19.8</v>
      </c>
      <c r="Z40" s="1597">
        <v>28.8</v>
      </c>
      <c r="AA40" s="1597">
        <v>29</v>
      </c>
      <c r="AB40" s="1597">
        <v>43</v>
      </c>
      <c r="AC40" s="1597">
        <v>54.5</v>
      </c>
      <c r="AD40" s="1597">
        <v>45.9</v>
      </c>
      <c r="AE40" s="1597">
        <v>28.4</v>
      </c>
      <c r="AF40" s="1597">
        <v>25.2</v>
      </c>
      <c r="AG40" s="1597">
        <v>12.2</v>
      </c>
      <c r="AH40" s="1597">
        <v>3.9</v>
      </c>
      <c r="AI40" s="1597">
        <v>7.7</v>
      </c>
      <c r="AJ40" s="1597">
        <v>14.8</v>
      </c>
      <c r="AK40" s="2806">
        <v>19.2</v>
      </c>
      <c r="AL40" s="2791" t="s">
        <v>968</v>
      </c>
      <c r="AM40" s="2791"/>
      <c r="AN40" s="2791"/>
      <c r="AO40" s="2791"/>
      <c r="AP40" s="2792"/>
    </row>
    <row r="41" spans="3:43" ht="41.25" customHeight="1">
      <c r="C41" s="2798"/>
      <c r="D41" s="2799"/>
      <c r="E41" s="2799"/>
      <c r="F41" s="2799"/>
      <c r="G41" s="2807" t="s">
        <v>969</v>
      </c>
      <c r="H41" s="4284"/>
      <c r="I41" s="1457"/>
      <c r="J41" s="1457"/>
      <c r="K41" s="1457"/>
      <c r="L41" s="1457"/>
      <c r="M41" s="1132"/>
      <c r="N41" s="1132"/>
      <c r="O41" s="1457"/>
      <c r="P41" s="1598"/>
      <c r="Q41" s="1598"/>
      <c r="R41" s="1598"/>
      <c r="S41" s="1598"/>
      <c r="T41" s="1598"/>
      <c r="U41" s="1598"/>
      <c r="V41" s="1598"/>
      <c r="W41" s="1598"/>
      <c r="X41" s="1598"/>
      <c r="Y41" s="1598"/>
      <c r="Z41" s="1598"/>
      <c r="AA41" s="1598"/>
      <c r="AB41" s="1598"/>
      <c r="AC41" s="1598"/>
      <c r="AD41" s="1598"/>
      <c r="AE41" s="1598"/>
      <c r="AF41" s="1598"/>
      <c r="AG41" s="1598"/>
      <c r="AH41" s="1598"/>
      <c r="AI41" s="1598"/>
      <c r="AJ41" s="1598"/>
      <c r="AK41" s="2808"/>
      <c r="AL41" s="2803" t="s">
        <v>970</v>
      </c>
      <c r="AM41" s="2803"/>
      <c r="AN41" s="2803"/>
      <c r="AO41" s="2803"/>
      <c r="AP41" s="2804"/>
    </row>
    <row r="42" spans="3:43" ht="41.25" customHeight="1">
      <c r="C42" s="2790"/>
      <c r="D42" s="2778"/>
      <c r="E42" s="2778"/>
      <c r="F42" s="2778"/>
      <c r="G42" s="2805" t="s">
        <v>971</v>
      </c>
      <c r="H42" s="1456">
        <v>440.6</v>
      </c>
      <c r="I42" s="1456">
        <v>472.1</v>
      </c>
      <c r="J42" s="1456">
        <v>506.4</v>
      </c>
      <c r="K42" s="1456">
        <v>517.9</v>
      </c>
      <c r="L42" s="1456">
        <v>557.20000000000005</v>
      </c>
      <c r="M42" s="1131">
        <v>580.70000000000005</v>
      </c>
      <c r="N42" s="1131">
        <v>599.70000000000005</v>
      </c>
      <c r="O42" s="1456">
        <v>553.1</v>
      </c>
      <c r="P42" s="1597">
        <v>583.20000000000005</v>
      </c>
      <c r="Q42" s="1597">
        <v>589.9</v>
      </c>
      <c r="R42" s="1597">
        <v>486.4</v>
      </c>
      <c r="S42" s="1597">
        <v>510.5</v>
      </c>
      <c r="T42" s="1597">
        <v>503.3</v>
      </c>
      <c r="U42" s="1597">
        <v>468.4</v>
      </c>
      <c r="V42" s="1597">
        <v>425.9</v>
      </c>
      <c r="W42" s="1597">
        <v>392.6</v>
      </c>
      <c r="X42" s="1597">
        <v>380.3</v>
      </c>
      <c r="Y42" s="1597">
        <v>357</v>
      </c>
      <c r="Z42" s="1597">
        <v>341.7</v>
      </c>
      <c r="AA42" s="1597">
        <v>339.3</v>
      </c>
      <c r="AB42" s="1597">
        <v>337.7</v>
      </c>
      <c r="AC42" s="1597">
        <v>266.39999999999998</v>
      </c>
      <c r="AD42" s="1597">
        <v>218.1</v>
      </c>
      <c r="AE42" s="1597">
        <v>174.3</v>
      </c>
      <c r="AF42" s="1597">
        <v>94</v>
      </c>
      <c r="AG42" s="1597">
        <v>82.5</v>
      </c>
      <c r="AH42" s="1597">
        <v>66.5</v>
      </c>
      <c r="AI42" s="1597">
        <v>56.2</v>
      </c>
      <c r="AJ42" s="1597">
        <v>79.5</v>
      </c>
      <c r="AK42" s="2806">
        <v>62.4</v>
      </c>
      <c r="AL42" s="2791" t="s">
        <v>972</v>
      </c>
      <c r="AM42" s="2791"/>
      <c r="AN42" s="2791"/>
      <c r="AO42" s="2791"/>
      <c r="AP42" s="2792"/>
    </row>
    <row r="43" spans="3:43" ht="41.25" customHeight="1">
      <c r="C43" s="2809"/>
      <c r="D43" s="1461" t="s">
        <v>973</v>
      </c>
      <c r="E43" s="2799"/>
      <c r="F43" s="2799"/>
      <c r="G43" s="2800"/>
      <c r="H43" s="4138">
        <v>0</v>
      </c>
      <c r="I43" s="1735">
        <v>0</v>
      </c>
      <c r="J43" s="1735">
        <v>0</v>
      </c>
      <c r="K43" s="1735">
        <v>0</v>
      </c>
      <c r="L43" s="1735">
        <v>0</v>
      </c>
      <c r="M43" s="1130">
        <v>0</v>
      </c>
      <c r="N43" s="1130">
        <v>0</v>
      </c>
      <c r="O43" s="1596">
        <v>0</v>
      </c>
      <c r="P43" s="1596">
        <v>0</v>
      </c>
      <c r="Q43" s="1596">
        <v>0</v>
      </c>
      <c r="R43" s="1596">
        <v>0</v>
      </c>
      <c r="S43" s="1596">
        <v>0</v>
      </c>
      <c r="T43" s="1596">
        <v>0</v>
      </c>
      <c r="U43" s="1596">
        <v>0</v>
      </c>
      <c r="V43" s="1596">
        <v>0</v>
      </c>
      <c r="W43" s="1596">
        <v>0</v>
      </c>
      <c r="X43" s="1596">
        <v>0</v>
      </c>
      <c r="Y43" s="1596">
        <v>0</v>
      </c>
      <c r="Z43" s="1596">
        <v>0</v>
      </c>
      <c r="AA43" s="1596">
        <v>0</v>
      </c>
      <c r="AB43" s="1596">
        <v>0</v>
      </c>
      <c r="AC43" s="1596">
        <v>0</v>
      </c>
      <c r="AD43" s="1596">
        <v>0</v>
      </c>
      <c r="AE43" s="1596">
        <v>0</v>
      </c>
      <c r="AF43" s="1596">
        <v>0</v>
      </c>
      <c r="AG43" s="1596">
        <v>0</v>
      </c>
      <c r="AH43" s="1596">
        <v>0</v>
      </c>
      <c r="AI43" s="1596">
        <v>0</v>
      </c>
      <c r="AJ43" s="1596">
        <v>11</v>
      </c>
      <c r="AK43" s="1736">
        <v>26.6</v>
      </c>
      <c r="AL43" s="2801"/>
      <c r="AM43" s="2801"/>
      <c r="AN43" s="2801"/>
      <c r="AO43" s="2802" t="s">
        <v>974</v>
      </c>
      <c r="AP43" s="2813"/>
    </row>
    <row r="44" spans="3:43" ht="41.25" customHeight="1">
      <c r="C44" s="2776"/>
      <c r="D44" s="2777" t="s">
        <v>975</v>
      </c>
      <c r="E44" s="2777"/>
      <c r="F44" s="2778"/>
      <c r="G44" s="2779"/>
      <c r="H44" s="4139">
        <v>0</v>
      </c>
      <c r="I44" s="1733">
        <v>10.3</v>
      </c>
      <c r="J44" s="1733">
        <v>20.6</v>
      </c>
      <c r="K44" s="1733">
        <v>30.9</v>
      </c>
      <c r="L44" s="1733">
        <v>41.2</v>
      </c>
      <c r="M44" s="1128">
        <v>51.5</v>
      </c>
      <c r="N44" s="1128">
        <v>61.8</v>
      </c>
      <c r="O44" s="1733">
        <v>72.099999999999994</v>
      </c>
      <c r="P44" s="1594">
        <v>82.4</v>
      </c>
      <c r="Q44" s="1594">
        <v>92.7</v>
      </c>
      <c r="R44" s="1594">
        <v>103</v>
      </c>
      <c r="S44" s="1594">
        <v>103</v>
      </c>
      <c r="T44" s="1594">
        <v>103</v>
      </c>
      <c r="U44" s="1594">
        <v>103</v>
      </c>
      <c r="V44" s="1594">
        <v>103</v>
      </c>
      <c r="W44" s="1594">
        <v>0</v>
      </c>
      <c r="X44" s="1594">
        <v>34.6</v>
      </c>
      <c r="Y44" s="1594">
        <v>35.6</v>
      </c>
      <c r="Z44" s="1594">
        <v>36.5</v>
      </c>
      <c r="AA44" s="1594">
        <v>37.4</v>
      </c>
      <c r="AB44" s="1594">
        <v>214.5</v>
      </c>
      <c r="AC44" s="1594">
        <v>193.8</v>
      </c>
      <c r="AD44" s="1594">
        <v>175.2</v>
      </c>
      <c r="AE44" s="1594">
        <v>158.6</v>
      </c>
      <c r="AF44" s="1594">
        <v>141.9</v>
      </c>
      <c r="AG44" s="1594">
        <v>127.3</v>
      </c>
      <c r="AH44" s="1594">
        <v>174.6</v>
      </c>
      <c r="AI44" s="1594">
        <v>152.64189999999996</v>
      </c>
      <c r="AJ44" s="1594">
        <v>163.6</v>
      </c>
      <c r="AK44" s="1734">
        <v>169.9</v>
      </c>
      <c r="AL44" s="2780"/>
      <c r="AM44" s="2780"/>
      <c r="AN44" s="2780"/>
      <c r="AO44" s="2781" t="s">
        <v>976</v>
      </c>
      <c r="AP44" s="2797"/>
    </row>
    <row r="45" spans="3:43" ht="41.25" customHeight="1">
      <c r="C45" s="2809"/>
      <c r="D45" s="1461" t="s">
        <v>977</v>
      </c>
      <c r="E45" s="1461"/>
      <c r="F45" s="2799"/>
      <c r="G45" s="2800"/>
      <c r="H45" s="4138">
        <v>0</v>
      </c>
      <c r="I45" s="1735">
        <v>0</v>
      </c>
      <c r="J45" s="1735">
        <v>0</v>
      </c>
      <c r="K45" s="1735">
        <v>0</v>
      </c>
      <c r="L45" s="1735">
        <v>0</v>
      </c>
      <c r="M45" s="1130">
        <v>0</v>
      </c>
      <c r="N45" s="1130">
        <v>0</v>
      </c>
      <c r="O45" s="1735">
        <v>0</v>
      </c>
      <c r="P45" s="1596">
        <v>0</v>
      </c>
      <c r="Q45" s="1596">
        <v>0</v>
      </c>
      <c r="R45" s="1596">
        <v>0</v>
      </c>
      <c r="S45" s="1596">
        <v>0</v>
      </c>
      <c r="T45" s="1596">
        <v>0</v>
      </c>
      <c r="U45" s="1596">
        <v>2.8</v>
      </c>
      <c r="V45" s="1596">
        <v>4.9000000000000004</v>
      </c>
      <c r="W45" s="1596">
        <v>6.9</v>
      </c>
      <c r="X45" s="1596">
        <v>46.7</v>
      </c>
      <c r="Y45" s="1596">
        <v>55.2</v>
      </c>
      <c r="Z45" s="1596">
        <v>71.400000000000006</v>
      </c>
      <c r="AA45" s="1596">
        <v>88.3</v>
      </c>
      <c r="AB45" s="1596">
        <v>103.5</v>
      </c>
      <c r="AC45" s="1596">
        <v>117.2</v>
      </c>
      <c r="AD45" s="1596">
        <v>129.30000000000001</v>
      </c>
      <c r="AE45" s="1596">
        <v>160</v>
      </c>
      <c r="AF45" s="1596">
        <v>174</v>
      </c>
      <c r="AG45" s="1596">
        <v>206.8</v>
      </c>
      <c r="AH45" s="1596">
        <v>302.3</v>
      </c>
      <c r="AI45" s="1596">
        <v>246.82519999999997</v>
      </c>
      <c r="AJ45" s="1596">
        <v>284</v>
      </c>
      <c r="AK45" s="1736">
        <v>364.4</v>
      </c>
      <c r="AL45" s="2801"/>
      <c r="AM45" s="2801"/>
      <c r="AN45" s="2801"/>
      <c r="AO45" s="2802" t="s">
        <v>978</v>
      </c>
      <c r="AP45" s="2813"/>
    </row>
    <row r="46" spans="3:43" ht="41.25" customHeight="1">
      <c r="C46" s="2776"/>
      <c r="D46" s="2777" t="s">
        <v>979</v>
      </c>
      <c r="E46" s="2777"/>
      <c r="F46" s="2778"/>
      <c r="G46" s="2779"/>
      <c r="H46" s="1458">
        <v>6035</v>
      </c>
      <c r="I46" s="1458">
        <v>6461</v>
      </c>
      <c r="J46" s="1458">
        <v>5964</v>
      </c>
      <c r="K46" s="1458">
        <v>4544</v>
      </c>
      <c r="L46" s="1458">
        <v>3834</v>
      </c>
      <c r="M46" s="1133">
        <v>2946.5</v>
      </c>
      <c r="N46" s="1133">
        <v>2236.5</v>
      </c>
      <c r="O46" s="1458">
        <v>532.5</v>
      </c>
      <c r="P46" s="1458">
        <v>532.5</v>
      </c>
      <c r="Q46" s="1458">
        <v>532.5</v>
      </c>
      <c r="R46" s="2814">
        <v>0</v>
      </c>
      <c r="S46" s="1594">
        <v>0</v>
      </c>
      <c r="T46" s="1594">
        <v>0</v>
      </c>
      <c r="U46" s="1594">
        <v>0</v>
      </c>
      <c r="V46" s="1594">
        <v>0</v>
      </c>
      <c r="W46" s="1594">
        <v>0</v>
      </c>
      <c r="X46" s="1594">
        <v>0</v>
      </c>
      <c r="Y46" s="1594">
        <v>0</v>
      </c>
      <c r="Z46" s="1594">
        <v>0</v>
      </c>
      <c r="AA46" s="1594">
        <v>0</v>
      </c>
      <c r="AB46" s="1594">
        <v>0</v>
      </c>
      <c r="AC46" s="1594">
        <v>0</v>
      </c>
      <c r="AD46" s="1594">
        <v>0</v>
      </c>
      <c r="AE46" s="1594">
        <v>0</v>
      </c>
      <c r="AF46" s="1594">
        <v>0</v>
      </c>
      <c r="AG46" s="1594">
        <v>0</v>
      </c>
      <c r="AH46" s="1594">
        <v>0</v>
      </c>
      <c r="AI46" s="1594">
        <v>0</v>
      </c>
      <c r="AJ46" s="1594">
        <v>0</v>
      </c>
      <c r="AK46" s="1734">
        <v>0</v>
      </c>
      <c r="AL46" s="2780"/>
      <c r="AM46" s="2780"/>
      <c r="AN46" s="2780"/>
      <c r="AO46" s="2781" t="s">
        <v>980</v>
      </c>
      <c r="AP46" s="2782"/>
    </row>
    <row r="47" spans="3:43" ht="41.25" customHeight="1">
      <c r="C47" s="2815"/>
      <c r="D47" s="1459" t="s">
        <v>981</v>
      </c>
      <c r="E47" s="1459"/>
      <c r="F47" s="2816"/>
      <c r="G47" s="2817"/>
      <c r="H47" s="1459"/>
      <c r="I47" s="1459"/>
      <c r="J47" s="1459"/>
      <c r="K47" s="1459"/>
      <c r="L47" s="1459"/>
      <c r="M47" s="1134"/>
      <c r="N47" s="1134"/>
      <c r="O47" s="1599"/>
      <c r="P47" s="1599"/>
      <c r="Q47" s="1599"/>
      <c r="R47" s="1599"/>
      <c r="S47" s="1599"/>
      <c r="T47" s="1599"/>
      <c r="U47" s="1599"/>
      <c r="V47" s="1599"/>
      <c r="W47" s="1599"/>
      <c r="X47" s="1599"/>
      <c r="Y47" s="1599"/>
      <c r="Z47" s="1599"/>
      <c r="AA47" s="1599"/>
      <c r="AB47" s="1599"/>
      <c r="AC47" s="1599"/>
      <c r="AD47" s="1599"/>
      <c r="AE47" s="1599"/>
      <c r="AF47" s="1599"/>
      <c r="AG47" s="1599"/>
      <c r="AH47" s="1599"/>
      <c r="AI47" s="1599"/>
      <c r="AJ47" s="1599"/>
      <c r="AK47" s="2818"/>
      <c r="AL47" s="2819"/>
      <c r="AM47" s="2819"/>
      <c r="AN47" s="2819"/>
      <c r="AO47" s="2819" t="s">
        <v>982</v>
      </c>
      <c r="AP47" s="2820"/>
    </row>
    <row r="48" spans="3:43" ht="41.25" customHeight="1">
      <c r="C48" s="2809"/>
      <c r="D48" s="1461" t="s">
        <v>983</v>
      </c>
      <c r="E48" s="1461"/>
      <c r="F48" s="2799"/>
      <c r="G48" s="2800"/>
      <c r="H48" s="1130">
        <v>12338.2</v>
      </c>
      <c r="I48" s="1130">
        <v>12087.5</v>
      </c>
      <c r="J48" s="1130">
        <v>11867.2</v>
      </c>
      <c r="K48" s="1735">
        <v>10299</v>
      </c>
      <c r="L48" s="1735">
        <v>9390.5</v>
      </c>
      <c r="M48" s="1130">
        <v>8030.1</v>
      </c>
      <c r="N48" s="1130">
        <f t="shared" ref="N48:AJ48" si="2">N16+N44+N45+N46+N43</f>
        <v>7234.5</v>
      </c>
      <c r="O48" s="1596">
        <v>4932.3999999999996</v>
      </c>
      <c r="P48" s="1596">
        <f t="shared" si="2"/>
        <v>4486.82</v>
      </c>
      <c r="Q48" s="1596">
        <f t="shared" si="2"/>
        <v>4610.8</v>
      </c>
      <c r="R48" s="1596">
        <f t="shared" si="2"/>
        <v>3869</v>
      </c>
      <c r="S48" s="1596">
        <f t="shared" si="2"/>
        <v>3640.2</v>
      </c>
      <c r="T48" s="1596">
        <f t="shared" si="2"/>
        <v>5253.4</v>
      </c>
      <c r="U48" s="1596">
        <f t="shared" si="2"/>
        <v>5186.4000000000005</v>
      </c>
      <c r="V48" s="1596">
        <f t="shared" si="2"/>
        <v>5056.8</v>
      </c>
      <c r="W48" s="1596">
        <f t="shared" si="2"/>
        <v>5348.7999999999993</v>
      </c>
      <c r="X48" s="1596">
        <f t="shared" si="2"/>
        <v>5391.8</v>
      </c>
      <c r="Y48" s="1596">
        <f t="shared" si="2"/>
        <v>5123.5</v>
      </c>
      <c r="Z48" s="1596">
        <f t="shared" si="2"/>
        <v>4742.7999999999993</v>
      </c>
      <c r="AA48" s="1596">
        <f t="shared" si="2"/>
        <v>4794.7</v>
      </c>
      <c r="AB48" s="1596">
        <f t="shared" si="2"/>
        <v>5186.2</v>
      </c>
      <c r="AC48" s="1596">
        <f t="shared" si="2"/>
        <v>5009.8</v>
      </c>
      <c r="AD48" s="1596">
        <f t="shared" si="2"/>
        <v>4580.6000000000004</v>
      </c>
      <c r="AE48" s="1596">
        <f t="shared" si="2"/>
        <v>4722.9000000000005</v>
      </c>
      <c r="AF48" s="1596">
        <f t="shared" si="2"/>
        <v>4465.8999999999996</v>
      </c>
      <c r="AG48" s="1596">
        <f t="shared" si="2"/>
        <v>4338.8</v>
      </c>
      <c r="AH48" s="1596">
        <f t="shared" si="2"/>
        <v>4229.5999999999995</v>
      </c>
      <c r="AI48" s="1596">
        <f t="shared" si="2"/>
        <v>4577.6107999999995</v>
      </c>
      <c r="AJ48" s="1596">
        <f t="shared" si="2"/>
        <v>4958.7000000000007</v>
      </c>
      <c r="AK48" s="1736">
        <f>AK16+AK44+AK45+AK46+AK43</f>
        <v>5064.2999999999993</v>
      </c>
      <c r="AL48" s="2801"/>
      <c r="AM48" s="2801"/>
      <c r="AN48" s="2802" t="s">
        <v>984</v>
      </c>
      <c r="AO48" s="2801"/>
      <c r="AP48" s="2810"/>
    </row>
    <row r="49" spans="3:64" ht="41.25" customHeight="1">
      <c r="C49" s="2821"/>
      <c r="D49" s="2822" t="s">
        <v>985</v>
      </c>
      <c r="E49" s="2822"/>
      <c r="F49" s="2823"/>
      <c r="G49" s="2824"/>
      <c r="H49" s="1460">
        <v>0</v>
      </c>
      <c r="I49" s="1460">
        <v>0</v>
      </c>
      <c r="J49" s="1460">
        <v>0</v>
      </c>
      <c r="K49" s="1460">
        <v>0</v>
      </c>
      <c r="L49" s="1460">
        <v>0</v>
      </c>
      <c r="M49" s="1135">
        <v>0</v>
      </c>
      <c r="N49" s="1135">
        <v>0</v>
      </c>
      <c r="O49" s="1460">
        <v>0</v>
      </c>
      <c r="P49" s="1460">
        <v>0</v>
      </c>
      <c r="Q49" s="1460">
        <v>0</v>
      </c>
      <c r="R49" s="1460">
        <v>0</v>
      </c>
      <c r="S49" s="1460">
        <v>0</v>
      </c>
      <c r="T49" s="1460">
        <v>0</v>
      </c>
      <c r="U49" s="1460">
        <v>0</v>
      </c>
      <c r="V49" s="1460">
        <v>0</v>
      </c>
      <c r="W49" s="1460">
        <v>0</v>
      </c>
      <c r="X49" s="1460">
        <v>0</v>
      </c>
      <c r="Y49" s="1460">
        <v>227</v>
      </c>
      <c r="Z49" s="1460">
        <v>227</v>
      </c>
      <c r="AA49" s="1460">
        <v>248.8</v>
      </c>
      <c r="AB49" s="1460">
        <v>323.89999999999998</v>
      </c>
      <c r="AC49" s="1460">
        <v>323.89999999999998</v>
      </c>
      <c r="AD49" s="1460">
        <v>417.5</v>
      </c>
      <c r="AE49" s="1460">
        <v>441.4</v>
      </c>
      <c r="AF49" s="1460">
        <v>445.9</v>
      </c>
      <c r="AG49" s="1460">
        <v>381.7</v>
      </c>
      <c r="AH49" s="1460" t="s">
        <v>726</v>
      </c>
      <c r="AI49" s="1460" t="s">
        <v>726</v>
      </c>
      <c r="AJ49" s="1460" t="s">
        <v>726</v>
      </c>
      <c r="AK49" s="2825" t="s">
        <v>726</v>
      </c>
      <c r="AL49" s="2826"/>
      <c r="AM49" s="2826"/>
      <c r="AN49" s="2826"/>
      <c r="AO49" s="2826" t="s">
        <v>986</v>
      </c>
      <c r="AP49" s="2827"/>
    </row>
    <row r="50" spans="3:64" ht="41.25" customHeight="1">
      <c r="C50" s="2809"/>
      <c r="D50" s="1461" t="s">
        <v>981</v>
      </c>
      <c r="E50" s="2799"/>
      <c r="F50" s="2799"/>
      <c r="G50" s="2800"/>
      <c r="H50" s="1461"/>
      <c r="I50" s="1461"/>
      <c r="J50" s="1461"/>
      <c r="K50" s="1461"/>
      <c r="L50" s="1461"/>
      <c r="M50" s="1136"/>
      <c r="N50" s="1136"/>
      <c r="O50" s="1600"/>
      <c r="P50" s="1596"/>
      <c r="Q50" s="1596"/>
      <c r="R50" s="1596"/>
      <c r="S50" s="1596"/>
      <c r="T50" s="1596"/>
      <c r="U50" s="1596"/>
      <c r="V50" s="1596"/>
      <c r="W50" s="1596"/>
      <c r="X50" s="1596"/>
      <c r="Y50" s="1596"/>
      <c r="Z50" s="1596"/>
      <c r="AA50" s="1596"/>
      <c r="AB50" s="1596"/>
      <c r="AC50" s="1596"/>
      <c r="AD50" s="1596"/>
      <c r="AE50" s="1596"/>
      <c r="AF50" s="1596"/>
      <c r="AG50" s="1596"/>
      <c r="AH50" s="1596"/>
      <c r="AI50" s="1596"/>
      <c r="AJ50" s="1596"/>
      <c r="AK50" s="1736"/>
      <c r="AL50" s="2801"/>
      <c r="AM50" s="2801"/>
      <c r="AN50" s="2801"/>
      <c r="AO50" s="2801" t="s">
        <v>982</v>
      </c>
      <c r="AP50" s="2810"/>
    </row>
    <row r="51" spans="3:64" s="1801" customFormat="1" ht="41.25" customHeight="1">
      <c r="C51" s="2790"/>
      <c r="D51" s="2777" t="s">
        <v>987</v>
      </c>
      <c r="E51" s="2777"/>
      <c r="F51" s="2778"/>
      <c r="G51" s="2828"/>
      <c r="H51" s="1128">
        <v>12338.2</v>
      </c>
      <c r="I51" s="1128">
        <v>12087.5</v>
      </c>
      <c r="J51" s="1128">
        <v>11867.2</v>
      </c>
      <c r="K51" s="1733">
        <v>10299</v>
      </c>
      <c r="L51" s="1733">
        <v>9390.5</v>
      </c>
      <c r="M51" s="1128">
        <v>8030.1</v>
      </c>
      <c r="N51" s="1128">
        <f>N16+N43+N44+N45+N46+N49</f>
        <v>7234.5</v>
      </c>
      <c r="O51" s="1733">
        <v>4932.3999999999996</v>
      </c>
      <c r="P51" s="1733">
        <f>P16+P43+P44+P45+P46+P49</f>
        <v>4486.82</v>
      </c>
      <c r="Q51" s="1733">
        <f>Q16+Q43+Q44+Q45+Q46+Q49</f>
        <v>4610.8</v>
      </c>
      <c r="R51" s="1733">
        <f t="shared" ref="R51:AG51" si="3">R16+R43+R44+R45+R46+R49</f>
        <v>3869</v>
      </c>
      <c r="S51" s="1733">
        <f t="shared" si="3"/>
        <v>3640.2</v>
      </c>
      <c r="T51" s="1733">
        <f t="shared" si="3"/>
        <v>5253.4</v>
      </c>
      <c r="U51" s="1733">
        <f t="shared" si="3"/>
        <v>5186.4000000000005</v>
      </c>
      <c r="V51" s="1733">
        <f t="shared" si="3"/>
        <v>5056.8</v>
      </c>
      <c r="W51" s="1733">
        <f t="shared" si="3"/>
        <v>5348.7999999999993</v>
      </c>
      <c r="X51" s="1733">
        <f t="shared" si="3"/>
        <v>5391.8</v>
      </c>
      <c r="Y51" s="1733">
        <f t="shared" si="3"/>
        <v>5350.5</v>
      </c>
      <c r="Z51" s="1733">
        <f t="shared" si="3"/>
        <v>4969.7999999999993</v>
      </c>
      <c r="AA51" s="1733">
        <f t="shared" si="3"/>
        <v>5043.5</v>
      </c>
      <c r="AB51" s="1733">
        <f t="shared" si="3"/>
        <v>5510.0999999999995</v>
      </c>
      <c r="AC51" s="1733">
        <f t="shared" si="3"/>
        <v>5333.7</v>
      </c>
      <c r="AD51" s="1733">
        <f t="shared" si="3"/>
        <v>4998.1000000000004</v>
      </c>
      <c r="AE51" s="1733">
        <f t="shared" si="3"/>
        <v>5164.3</v>
      </c>
      <c r="AF51" s="1733">
        <f t="shared" si="3"/>
        <v>4911.7999999999993</v>
      </c>
      <c r="AG51" s="1733">
        <f t="shared" si="3"/>
        <v>4720.5</v>
      </c>
      <c r="AH51" s="1733">
        <v>4229.6000000000004</v>
      </c>
      <c r="AI51" s="1733">
        <v>4577.6000000000004</v>
      </c>
      <c r="AJ51" s="1733">
        <v>4958.7</v>
      </c>
      <c r="AK51" s="1734">
        <v>5064.3</v>
      </c>
      <c r="AL51" s="2780"/>
      <c r="AM51" s="2780"/>
      <c r="AN51" s="2781" t="s">
        <v>988</v>
      </c>
      <c r="AO51" s="2780"/>
      <c r="AP51" s="2797"/>
    </row>
    <row r="52" spans="3:64" ht="5.25" customHeight="1">
      <c r="C52" s="2829"/>
      <c r="D52" s="2329"/>
      <c r="E52" s="2830"/>
      <c r="F52" s="2329"/>
      <c r="G52" s="2831"/>
      <c r="H52" s="1417"/>
      <c r="I52" s="1417"/>
      <c r="J52" s="1417"/>
      <c r="K52" s="1417"/>
      <c r="L52" s="1417"/>
      <c r="M52" s="1137"/>
      <c r="N52" s="1137"/>
      <c r="O52" s="1417"/>
      <c r="P52" s="1417"/>
      <c r="Q52" s="1417"/>
      <c r="R52" s="1417"/>
      <c r="S52" s="1417"/>
      <c r="T52" s="1417"/>
      <c r="U52" s="1417"/>
      <c r="V52" s="1417"/>
      <c r="W52" s="1417"/>
      <c r="X52" s="1651"/>
      <c r="Y52" s="1651"/>
      <c r="Z52" s="1651"/>
      <c r="AA52" s="1651"/>
      <c r="AB52" s="1651"/>
      <c r="AC52" s="1651"/>
      <c r="AD52" s="1651"/>
      <c r="AE52" s="1651"/>
      <c r="AF52" s="1651"/>
      <c r="AG52" s="1651"/>
      <c r="AH52" s="1651"/>
      <c r="AI52" s="1651"/>
      <c r="AJ52" s="1651"/>
      <c r="AK52" s="1346"/>
      <c r="AL52" s="2832"/>
      <c r="AM52" s="2832"/>
      <c r="AN52" s="2833"/>
      <c r="AO52" s="2832"/>
      <c r="AP52" s="2834"/>
      <c r="AQ52" s="1801"/>
      <c r="AR52" s="1801"/>
      <c r="AS52" s="1801"/>
      <c r="AT52" s="1801"/>
      <c r="AU52" s="1801"/>
      <c r="AV52" s="1801"/>
      <c r="AW52" s="1801"/>
      <c r="AX52" s="1801"/>
      <c r="AY52" s="1801"/>
      <c r="AZ52" s="1801"/>
      <c r="BA52" s="1801"/>
      <c r="BB52" s="1801"/>
      <c r="BC52" s="1801"/>
      <c r="BD52" s="1801"/>
      <c r="BE52" s="1801"/>
      <c r="BF52" s="1801"/>
      <c r="BG52" s="1801"/>
      <c r="BH52" s="1801"/>
      <c r="BI52" s="1801"/>
      <c r="BJ52" s="1801"/>
      <c r="BK52" s="1801"/>
      <c r="BL52" s="1801"/>
    </row>
    <row r="53" spans="3:64" ht="6.95" customHeight="1">
      <c r="C53" s="1462"/>
      <c r="D53" s="1979"/>
      <c r="E53" s="1798"/>
      <c r="F53" s="2078"/>
      <c r="G53" s="1462"/>
      <c r="H53" s="1462"/>
      <c r="I53" s="1462"/>
      <c r="J53" s="1462"/>
      <c r="K53" s="1462"/>
      <c r="L53" s="1462"/>
      <c r="M53" s="1462"/>
      <c r="N53" s="1462"/>
      <c r="O53" s="1462"/>
      <c r="P53" s="1462"/>
      <c r="Q53" s="1462"/>
      <c r="R53" s="2835"/>
      <c r="S53" s="1462"/>
      <c r="T53" s="1462"/>
      <c r="U53" s="1462"/>
      <c r="V53" s="1462"/>
      <c r="W53" s="1462"/>
      <c r="X53" s="1462"/>
      <c r="Y53" s="1462"/>
      <c r="Z53" s="1462"/>
      <c r="AA53" s="1462"/>
      <c r="AB53" s="1462"/>
      <c r="AC53" s="1462"/>
      <c r="AD53" s="1462"/>
      <c r="AE53" s="1462"/>
      <c r="AF53" s="1798"/>
      <c r="AG53" s="1798"/>
      <c r="AH53" s="1798"/>
      <c r="AI53" s="1798"/>
      <c r="AJ53" s="1798"/>
      <c r="AK53" s="1798"/>
      <c r="AL53" s="2836"/>
      <c r="AM53" s="2837"/>
      <c r="AN53" s="2837"/>
      <c r="AO53" s="2263"/>
      <c r="AP53" s="2837"/>
      <c r="AQ53" s="1801"/>
      <c r="AR53" s="1801"/>
      <c r="AS53" s="1801"/>
      <c r="AT53" s="1801"/>
      <c r="AU53" s="1801"/>
      <c r="AV53" s="1801"/>
      <c r="AW53" s="1801"/>
      <c r="AX53" s="1801"/>
      <c r="AY53" s="1801"/>
      <c r="AZ53" s="1801"/>
      <c r="BA53" s="1801"/>
      <c r="BB53" s="1801"/>
      <c r="BC53" s="1801"/>
      <c r="BD53" s="1801"/>
      <c r="BE53" s="1801"/>
      <c r="BF53" s="1801"/>
      <c r="BG53" s="1801"/>
      <c r="BH53" s="1801"/>
      <c r="BI53" s="1801"/>
      <c r="BJ53" s="1801"/>
      <c r="BK53" s="1801"/>
      <c r="BL53" s="1801"/>
    </row>
    <row r="54" spans="3:64" s="1191" customFormat="1" ht="21" customHeight="1">
      <c r="C54" s="1979"/>
      <c r="D54" s="1979" t="s">
        <v>989</v>
      </c>
      <c r="E54" s="1274"/>
      <c r="F54" s="1268"/>
      <c r="G54" s="1979"/>
      <c r="H54" s="4136"/>
      <c r="I54" s="1979"/>
      <c r="J54" s="1979"/>
      <c r="K54" s="1979"/>
      <c r="L54" s="1979"/>
      <c r="M54" s="1979"/>
      <c r="N54" s="1979"/>
      <c r="O54" s="1979"/>
      <c r="P54" s="1979"/>
      <c r="Q54" s="1979"/>
      <c r="R54" s="1275"/>
      <c r="S54" s="1979"/>
      <c r="T54" s="1979"/>
      <c r="U54" s="1979"/>
      <c r="V54" s="1979"/>
      <c r="W54" s="1979"/>
      <c r="X54" s="1979"/>
      <c r="Y54" s="1979"/>
      <c r="Z54" s="1979"/>
      <c r="AA54" s="1979"/>
      <c r="AB54" s="1979"/>
      <c r="AC54" s="1979"/>
      <c r="AD54" s="1979"/>
      <c r="AE54" s="1979"/>
      <c r="AF54" s="1274"/>
      <c r="AG54" s="1274"/>
      <c r="AH54" s="1274"/>
      <c r="AI54" s="1274"/>
      <c r="AJ54" s="1274"/>
      <c r="AK54" s="1274"/>
      <c r="AL54" s="2838"/>
      <c r="AM54" s="2263"/>
      <c r="AN54" s="2263"/>
      <c r="AO54" s="2263" t="s">
        <v>990</v>
      </c>
      <c r="AP54" s="2837"/>
    </row>
    <row r="55" spans="3:64" s="1191" customFormat="1" ht="21" customHeight="1">
      <c r="C55" s="1979"/>
      <c r="D55" s="1979" t="s">
        <v>991</v>
      </c>
      <c r="E55" s="1274"/>
      <c r="F55" s="1268"/>
      <c r="G55" s="1979"/>
      <c r="H55" s="4136"/>
      <c r="I55" s="1979"/>
      <c r="J55" s="1979"/>
      <c r="K55" s="1979"/>
      <c r="L55" s="1979"/>
      <c r="M55" s="1979"/>
      <c r="N55" s="1979"/>
      <c r="O55" s="1979"/>
      <c r="P55" s="1979"/>
      <c r="Q55" s="1979"/>
      <c r="R55" s="1275"/>
      <c r="S55" s="1979"/>
      <c r="T55" s="1979"/>
      <c r="U55" s="1979"/>
      <c r="V55" s="1979"/>
      <c r="W55" s="1979"/>
      <c r="X55" s="1979"/>
      <c r="Y55" s="1979"/>
      <c r="Z55" s="1979"/>
      <c r="AA55" s="1979"/>
      <c r="AB55" s="1979"/>
      <c r="AC55" s="1979"/>
      <c r="AD55" s="1979"/>
      <c r="AE55" s="1979"/>
      <c r="AF55" s="1274"/>
      <c r="AG55" s="1274"/>
      <c r="AH55" s="1274"/>
      <c r="AI55" s="1274"/>
      <c r="AJ55" s="1274"/>
      <c r="AK55" s="1274"/>
      <c r="AL55" s="2839"/>
      <c r="AM55" s="2263"/>
      <c r="AN55" s="2263"/>
      <c r="AO55" s="2838" t="s">
        <v>992</v>
      </c>
      <c r="AP55" s="2837"/>
    </row>
    <row r="56" spans="3:64" s="1191" customFormat="1" ht="21" customHeight="1">
      <c r="C56" s="1274"/>
      <c r="D56" s="2745" t="s">
        <v>993</v>
      </c>
      <c r="E56" s="1274"/>
      <c r="F56" s="1274"/>
      <c r="G56" s="1979"/>
      <c r="H56" s="4136"/>
      <c r="I56" s="1979"/>
      <c r="J56" s="1979"/>
      <c r="K56" s="1979"/>
      <c r="L56" s="1979"/>
      <c r="M56" s="1979"/>
      <c r="N56" s="1979"/>
      <c r="O56" s="1979"/>
      <c r="P56" s="1979"/>
      <c r="Q56" s="1979"/>
      <c r="R56" s="1275"/>
      <c r="S56" s="1979"/>
      <c r="T56" s="1979"/>
      <c r="U56" s="1979"/>
      <c r="V56" s="1979"/>
      <c r="W56" s="1979"/>
      <c r="X56" s="1979"/>
      <c r="Y56" s="1979"/>
      <c r="Z56" s="1979"/>
      <c r="AA56" s="1979"/>
      <c r="AB56" s="1979"/>
      <c r="AC56" s="1979"/>
      <c r="AD56" s="1979"/>
      <c r="AE56" s="1979"/>
      <c r="AF56" s="1274"/>
      <c r="AG56" s="1274"/>
      <c r="AH56" s="1274"/>
      <c r="AI56" s="1274"/>
      <c r="AJ56" s="1274"/>
      <c r="AK56" s="1274"/>
      <c r="AL56" s="2839"/>
      <c r="AM56" s="2263"/>
      <c r="AN56" s="2263"/>
      <c r="AO56" s="2840" t="s">
        <v>994</v>
      </c>
      <c r="AP56" s="1397"/>
    </row>
    <row r="57" spans="3:64" s="1191" customFormat="1" ht="21" customHeight="1">
      <c r="C57" s="2841"/>
      <c r="D57" s="2745" t="s">
        <v>995</v>
      </c>
      <c r="E57" s="1274"/>
      <c r="F57" s="1268"/>
      <c r="G57" s="1979"/>
      <c r="H57" s="4136"/>
      <c r="I57" s="1979"/>
      <c r="J57" s="1979"/>
      <c r="K57" s="1979"/>
      <c r="L57" s="1979"/>
      <c r="M57" s="1979"/>
      <c r="N57" s="1979"/>
      <c r="O57" s="1979"/>
      <c r="P57" s="1979"/>
      <c r="Q57" s="1979"/>
      <c r="R57" s="1275"/>
      <c r="S57" s="1979"/>
      <c r="T57" s="1979"/>
      <c r="U57" s="1979"/>
      <c r="V57" s="1979"/>
      <c r="W57" s="1979"/>
      <c r="X57" s="1979"/>
      <c r="Y57" s="1979"/>
      <c r="Z57" s="1979"/>
      <c r="AA57" s="1979"/>
      <c r="AB57" s="1979"/>
      <c r="AC57" s="1979"/>
      <c r="AD57" s="1979"/>
      <c r="AE57" s="1979"/>
      <c r="AF57" s="1318"/>
      <c r="AG57" s="1318"/>
      <c r="AH57" s="1318"/>
      <c r="AI57" s="1318"/>
      <c r="AJ57" s="1318"/>
      <c r="AK57" s="1318"/>
      <c r="AL57" s="2839"/>
      <c r="AM57" s="2263"/>
      <c r="AN57" s="2842"/>
      <c r="AO57" s="2840" t="s">
        <v>996</v>
      </c>
      <c r="AP57" s="2843"/>
    </row>
    <row r="58" spans="3:64" s="1191" customFormat="1" ht="15.75">
      <c r="C58" s="1398"/>
      <c r="D58" s="1398" t="s">
        <v>997</v>
      </c>
      <c r="E58" s="1398"/>
      <c r="F58" s="1398"/>
      <c r="G58" s="1463"/>
      <c r="H58" s="1463"/>
      <c r="I58" s="1463"/>
      <c r="J58" s="1463"/>
      <c r="K58" s="1463"/>
      <c r="L58" s="1463"/>
      <c r="M58" s="1463"/>
      <c r="N58" s="1463"/>
      <c r="O58" s="1463"/>
      <c r="P58" s="1463"/>
      <c r="Q58" s="1463"/>
      <c r="R58" s="2844"/>
      <c r="S58" s="1463"/>
      <c r="T58" s="1463"/>
      <c r="U58" s="1463"/>
      <c r="V58" s="1463"/>
      <c r="W58" s="1463"/>
      <c r="X58" s="1463"/>
      <c r="Y58" s="1463"/>
      <c r="Z58" s="1463"/>
      <c r="AA58" s="1463"/>
      <c r="AB58" s="1463"/>
      <c r="AC58" s="1463"/>
      <c r="AD58" s="1463"/>
      <c r="AE58" s="1463"/>
      <c r="AF58" s="1398"/>
      <c r="AG58" s="1398"/>
      <c r="AH58" s="1398"/>
      <c r="AI58" s="1398"/>
      <c r="AJ58" s="1398"/>
      <c r="AK58" s="1398"/>
      <c r="AL58" s="2845"/>
      <c r="AM58" s="1399"/>
      <c r="AN58" s="1399"/>
      <c r="AO58" s="1398" t="s">
        <v>998</v>
      </c>
      <c r="AP58" s="1398"/>
    </row>
    <row r="59" spans="3:64" s="1191" customFormat="1" ht="15.75">
      <c r="C59" s="1398"/>
      <c r="D59" s="1398"/>
      <c r="E59" s="1398"/>
      <c r="F59" s="1398"/>
      <c r="G59" s="1398"/>
      <c r="H59" s="1398"/>
      <c r="I59" s="1398"/>
      <c r="J59" s="1398"/>
      <c r="K59" s="1398"/>
      <c r="L59" s="1398"/>
      <c r="M59" s="1398"/>
      <c r="N59" s="1398"/>
      <c r="O59" s="1398"/>
      <c r="P59" s="1398"/>
      <c r="Q59" s="1398"/>
      <c r="R59" s="2846"/>
      <c r="S59" s="1398"/>
      <c r="T59" s="1398"/>
      <c r="U59" s="1398"/>
      <c r="V59" s="2631"/>
      <c r="W59" s="2631"/>
      <c r="X59" s="2631"/>
      <c r="Y59" s="2631"/>
      <c r="Z59" s="2631"/>
      <c r="AA59" s="2631"/>
      <c r="AB59" s="2631"/>
      <c r="AC59" s="2631"/>
      <c r="AD59" s="2631"/>
      <c r="AE59" s="2631"/>
      <c r="AF59" s="2631"/>
      <c r="AG59" s="2631"/>
      <c r="AH59" s="2631"/>
      <c r="AI59" s="2631"/>
      <c r="AJ59" s="2631"/>
      <c r="AK59" s="2631"/>
      <c r="AL59" s="1399"/>
      <c r="AM59" s="1399"/>
      <c r="AN59" s="1399"/>
      <c r="AO59" s="1398"/>
      <c r="AP59" s="1398"/>
    </row>
    <row r="60" spans="3:64">
      <c r="N60" s="1843"/>
      <c r="O60" s="1843"/>
      <c r="P60" s="1843"/>
      <c r="Q60" s="1843"/>
      <c r="R60" s="2095"/>
      <c r="S60" s="1843"/>
      <c r="T60" s="1843"/>
      <c r="U60" s="1843"/>
      <c r="V60" s="1843"/>
      <c r="W60" s="1843"/>
      <c r="X60" s="1843"/>
      <c r="Y60" s="1843"/>
      <c r="Z60" s="1843"/>
      <c r="AA60" s="1843"/>
      <c r="AB60" s="1843"/>
      <c r="AC60" s="1843"/>
      <c r="AD60" s="1843"/>
      <c r="AE60" s="1843"/>
      <c r="AF60" s="1843"/>
      <c r="AG60" s="1843"/>
      <c r="AH60" s="1843"/>
      <c r="AI60" s="1843"/>
      <c r="AJ60" s="1843"/>
      <c r="AK60" s="1843"/>
    </row>
    <row r="61" spans="3:64">
      <c r="N61" s="1843"/>
      <c r="O61" s="1843"/>
      <c r="P61" s="1843"/>
      <c r="Q61" s="1843"/>
      <c r="R61" s="2095"/>
      <c r="S61" s="1843"/>
      <c r="T61" s="1843"/>
      <c r="U61" s="1843"/>
      <c r="V61" s="1843"/>
      <c r="W61" s="1843"/>
      <c r="X61" s="1843"/>
      <c r="Y61" s="1843"/>
      <c r="Z61" s="1843"/>
      <c r="AA61" s="1843"/>
      <c r="AB61" s="1843"/>
      <c r="AC61" s="1843"/>
      <c r="AD61" s="1843"/>
      <c r="AE61" s="1843"/>
      <c r="AF61" s="1843"/>
      <c r="AG61" s="1843"/>
      <c r="AH61" s="1843"/>
      <c r="AI61" s="1843"/>
      <c r="AJ61" s="1843"/>
      <c r="AK61" s="1843"/>
    </row>
  </sheetData>
  <mergeCells count="36">
    <mergeCell ref="V3:AP3"/>
    <mergeCell ref="C4:U4"/>
    <mergeCell ref="V4:AP4"/>
    <mergeCell ref="C7:G15"/>
    <mergeCell ref="I7:I15"/>
    <mergeCell ref="L7:L15"/>
    <mergeCell ref="AB7:AB15"/>
    <mergeCell ref="T7:T15"/>
    <mergeCell ref="U7:U15"/>
    <mergeCell ref="J7:J15"/>
    <mergeCell ref="K7:K15"/>
    <mergeCell ref="V7:V15"/>
    <mergeCell ref="AL7:AP15"/>
    <mergeCell ref="AC7:AC15"/>
    <mergeCell ref="W7:W15"/>
    <mergeCell ref="N7:N15"/>
    <mergeCell ref="O7:O15"/>
    <mergeCell ref="P7:P15"/>
    <mergeCell ref="Q7:Q15"/>
    <mergeCell ref="C3:U3"/>
    <mergeCell ref="H7:H15"/>
    <mergeCell ref="R7:R15"/>
    <mergeCell ref="M7:M15"/>
    <mergeCell ref="AD7:AD15"/>
    <mergeCell ref="S7:S15"/>
    <mergeCell ref="AK7:AK15"/>
    <mergeCell ref="Z7:Z15"/>
    <mergeCell ref="AA7:AA15"/>
    <mergeCell ref="AJ7:AJ15"/>
    <mergeCell ref="AE7:AE15"/>
    <mergeCell ref="AF7:AF15"/>
    <mergeCell ref="AI7:AI15"/>
    <mergeCell ref="X7:X15"/>
    <mergeCell ref="Y7:Y15"/>
    <mergeCell ref="AG7:AG15"/>
    <mergeCell ref="AH7:AH15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36" orientation="portrait" horizontalDpi="300" verticalDpi="300" r:id="rId1"/>
  <headerFooter alignWithMargins="0">
    <oddFooter xml:space="preserve">&amp;C&amp;"Times New Roman (Arabic),Regular"&amp;22-33-
 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I130"/>
  <sheetViews>
    <sheetView topLeftCell="C1" zoomScale="65" zoomScaleNormal="65" workbookViewId="0">
      <selection activeCell="G8" sqref="G8:G50"/>
    </sheetView>
  </sheetViews>
  <sheetFormatPr defaultColWidth="9.42578125" defaultRowHeight="17.100000000000001" customHeight="1"/>
  <cols>
    <col min="1" max="1" width="13.7109375" style="1986" customWidth="1"/>
    <col min="2" max="2" width="17.140625" style="1986" customWidth="1"/>
    <col min="3" max="3" width="3" style="1307" customWidth="1"/>
    <col min="4" max="4" width="8.28515625" style="1307" customWidth="1"/>
    <col min="5" max="5" width="3.28515625" style="1307" customWidth="1"/>
    <col min="6" max="6" width="50" style="1464" customWidth="1"/>
    <col min="7" max="7" width="15.28515625" style="4140" customWidth="1"/>
    <col min="8" max="28" width="13.7109375" style="1464" customWidth="1"/>
    <col min="29" max="29" width="33.140625" style="2847" customWidth="1"/>
    <col min="30" max="30" width="4.28515625" style="2847" customWidth="1"/>
    <col min="31" max="31" width="3.42578125" style="2847" customWidth="1"/>
    <col min="32" max="32" width="2.28515625" style="2847" customWidth="1"/>
    <col min="33" max="33" width="4.42578125" style="1262" customWidth="1"/>
    <col min="34" max="34" width="7.140625" style="1986" customWidth="1"/>
    <col min="35" max="35" width="7.28515625" style="1986" customWidth="1"/>
    <col min="36" max="36" width="14.42578125" style="1986" bestFit="1" customWidth="1"/>
    <col min="37" max="37" width="6.140625" style="1986" customWidth="1"/>
    <col min="38" max="38" width="18.5703125" style="1986" bestFit="1" customWidth="1"/>
    <col min="39" max="39" width="7.5703125" style="1986" customWidth="1"/>
    <col min="40" max="41" width="7.28515625" style="1986" customWidth="1"/>
    <col min="42" max="42" width="8.28515625" style="1986" customWidth="1"/>
    <col min="43" max="43" width="9.42578125" style="1986" customWidth="1"/>
    <col min="44" max="44" width="9.140625" style="1986" customWidth="1"/>
    <col min="45" max="46" width="7.28515625" style="1986" customWidth="1"/>
    <col min="47" max="47" width="9" style="1986" customWidth="1"/>
    <col min="48" max="48" width="9.42578125" style="1986" customWidth="1"/>
    <col min="49" max="49" width="6" style="1986" customWidth="1"/>
    <col min="50" max="50" width="9.42578125" style="1986" customWidth="1"/>
    <col min="51" max="51" width="7.7109375" style="1986" customWidth="1"/>
    <col min="52" max="54" width="9.42578125" style="1986" customWidth="1"/>
    <col min="55" max="55" width="9.42578125" style="2869" customWidth="1"/>
    <col min="56" max="59" width="9.42578125" style="1986" customWidth="1"/>
    <col min="60" max="60" width="13.85546875" style="1986" customWidth="1"/>
    <col min="61" max="61" width="12.28515625" style="1986" customWidth="1"/>
    <col min="62" max="257" width="9.42578125" style="1986"/>
    <col min="258" max="258" width="13.7109375" style="1986" customWidth="1"/>
    <col min="259" max="259" width="17.140625" style="1986" customWidth="1"/>
    <col min="260" max="260" width="3" style="1986" customWidth="1"/>
    <col min="261" max="261" width="8.28515625" style="1986" customWidth="1"/>
    <col min="262" max="262" width="3.28515625" style="1986" customWidth="1"/>
    <col min="263" max="263" width="50" style="1986" customWidth="1"/>
    <col min="264" max="284" width="13.7109375" style="1986" customWidth="1"/>
    <col min="285" max="285" width="33.140625" style="1986" customWidth="1"/>
    <col min="286" max="286" width="4.28515625" style="1986" customWidth="1"/>
    <col min="287" max="287" width="3.42578125" style="1986" customWidth="1"/>
    <col min="288" max="288" width="2.28515625" style="1986" customWidth="1"/>
    <col min="289" max="289" width="4.42578125" style="1986" customWidth="1"/>
    <col min="290" max="290" width="7.140625" style="1986" customWidth="1"/>
    <col min="291" max="291" width="7.28515625" style="1986" customWidth="1"/>
    <col min="292" max="292" width="14.42578125" style="1986" bestFit="1" customWidth="1"/>
    <col min="293" max="293" width="6.140625" style="1986" customWidth="1"/>
    <col min="294" max="294" width="18.5703125" style="1986" bestFit="1" customWidth="1"/>
    <col min="295" max="295" width="7.5703125" style="1986" customWidth="1"/>
    <col min="296" max="297" width="7.28515625" style="1986" customWidth="1"/>
    <col min="298" max="298" width="8.28515625" style="1986" customWidth="1"/>
    <col min="299" max="299" width="9.42578125" style="1986" customWidth="1"/>
    <col min="300" max="300" width="9.140625" style="1986" customWidth="1"/>
    <col min="301" max="302" width="7.28515625" style="1986" customWidth="1"/>
    <col min="303" max="303" width="9" style="1986" customWidth="1"/>
    <col min="304" max="304" width="9.42578125" style="1986" customWidth="1"/>
    <col min="305" max="305" width="6" style="1986" customWidth="1"/>
    <col min="306" max="306" width="9.42578125" style="1986" customWidth="1"/>
    <col min="307" max="307" width="7.7109375" style="1986" customWidth="1"/>
    <col min="308" max="315" width="9.42578125" style="1986" customWidth="1"/>
    <col min="316" max="316" width="13.85546875" style="1986" customWidth="1"/>
    <col min="317" max="317" width="12.28515625" style="1986" customWidth="1"/>
    <col min="318" max="513" width="9.42578125" style="1986"/>
    <col min="514" max="514" width="13.7109375" style="1986" customWidth="1"/>
    <col min="515" max="515" width="17.140625" style="1986" customWidth="1"/>
    <col min="516" max="516" width="3" style="1986" customWidth="1"/>
    <col min="517" max="517" width="8.28515625" style="1986" customWidth="1"/>
    <col min="518" max="518" width="3.28515625" style="1986" customWidth="1"/>
    <col min="519" max="519" width="50" style="1986" customWidth="1"/>
    <col min="520" max="540" width="13.7109375" style="1986" customWidth="1"/>
    <col min="541" max="541" width="33.140625" style="1986" customWidth="1"/>
    <col min="542" max="542" width="4.28515625" style="1986" customWidth="1"/>
    <col min="543" max="543" width="3.42578125" style="1986" customWidth="1"/>
    <col min="544" max="544" width="2.28515625" style="1986" customWidth="1"/>
    <col min="545" max="545" width="4.42578125" style="1986" customWidth="1"/>
    <col min="546" max="546" width="7.140625" style="1986" customWidth="1"/>
    <col min="547" max="547" width="7.28515625" style="1986" customWidth="1"/>
    <col min="548" max="548" width="14.42578125" style="1986" bestFit="1" customWidth="1"/>
    <col min="549" max="549" width="6.140625" style="1986" customWidth="1"/>
    <col min="550" max="550" width="18.5703125" style="1986" bestFit="1" customWidth="1"/>
    <col min="551" max="551" width="7.5703125" style="1986" customWidth="1"/>
    <col min="552" max="553" width="7.28515625" style="1986" customWidth="1"/>
    <col min="554" max="554" width="8.28515625" style="1986" customWidth="1"/>
    <col min="555" max="555" width="9.42578125" style="1986" customWidth="1"/>
    <col min="556" max="556" width="9.140625" style="1986" customWidth="1"/>
    <col min="557" max="558" width="7.28515625" style="1986" customWidth="1"/>
    <col min="559" max="559" width="9" style="1986" customWidth="1"/>
    <col min="560" max="560" width="9.42578125" style="1986" customWidth="1"/>
    <col min="561" max="561" width="6" style="1986" customWidth="1"/>
    <col min="562" max="562" width="9.42578125" style="1986" customWidth="1"/>
    <col min="563" max="563" width="7.7109375" style="1986" customWidth="1"/>
    <col min="564" max="571" width="9.42578125" style="1986" customWidth="1"/>
    <col min="572" max="572" width="13.85546875" style="1986" customWidth="1"/>
    <col min="573" max="573" width="12.28515625" style="1986" customWidth="1"/>
    <col min="574" max="769" width="9.42578125" style="1986"/>
    <col min="770" max="770" width="13.7109375" style="1986" customWidth="1"/>
    <col min="771" max="771" width="17.140625" style="1986" customWidth="1"/>
    <col min="772" max="772" width="3" style="1986" customWidth="1"/>
    <col min="773" max="773" width="8.28515625" style="1986" customWidth="1"/>
    <col min="774" max="774" width="3.28515625" style="1986" customWidth="1"/>
    <col min="775" max="775" width="50" style="1986" customWidth="1"/>
    <col min="776" max="796" width="13.7109375" style="1986" customWidth="1"/>
    <col min="797" max="797" width="33.140625" style="1986" customWidth="1"/>
    <col min="798" max="798" width="4.28515625" style="1986" customWidth="1"/>
    <col min="799" max="799" width="3.42578125" style="1986" customWidth="1"/>
    <col min="800" max="800" width="2.28515625" style="1986" customWidth="1"/>
    <col min="801" max="801" width="4.42578125" style="1986" customWidth="1"/>
    <col min="802" max="802" width="7.140625" style="1986" customWidth="1"/>
    <col min="803" max="803" width="7.28515625" style="1986" customWidth="1"/>
    <col min="804" max="804" width="14.42578125" style="1986" bestFit="1" customWidth="1"/>
    <col min="805" max="805" width="6.140625" style="1986" customWidth="1"/>
    <col min="806" max="806" width="18.5703125" style="1986" bestFit="1" customWidth="1"/>
    <col min="807" max="807" width="7.5703125" style="1986" customWidth="1"/>
    <col min="808" max="809" width="7.28515625" style="1986" customWidth="1"/>
    <col min="810" max="810" width="8.28515625" style="1986" customWidth="1"/>
    <col min="811" max="811" width="9.42578125" style="1986" customWidth="1"/>
    <col min="812" max="812" width="9.140625" style="1986" customWidth="1"/>
    <col min="813" max="814" width="7.28515625" style="1986" customWidth="1"/>
    <col min="815" max="815" width="9" style="1986" customWidth="1"/>
    <col min="816" max="816" width="9.42578125" style="1986" customWidth="1"/>
    <col min="817" max="817" width="6" style="1986" customWidth="1"/>
    <col min="818" max="818" width="9.42578125" style="1986" customWidth="1"/>
    <col min="819" max="819" width="7.7109375" style="1986" customWidth="1"/>
    <col min="820" max="827" width="9.42578125" style="1986" customWidth="1"/>
    <col min="828" max="828" width="13.85546875" style="1986" customWidth="1"/>
    <col min="829" max="829" width="12.28515625" style="1986" customWidth="1"/>
    <col min="830" max="1025" width="9.42578125" style="1986"/>
    <col min="1026" max="1026" width="13.7109375" style="1986" customWidth="1"/>
    <col min="1027" max="1027" width="17.140625" style="1986" customWidth="1"/>
    <col min="1028" max="1028" width="3" style="1986" customWidth="1"/>
    <col min="1029" max="1029" width="8.28515625" style="1986" customWidth="1"/>
    <col min="1030" max="1030" width="3.28515625" style="1986" customWidth="1"/>
    <col min="1031" max="1031" width="50" style="1986" customWidth="1"/>
    <col min="1032" max="1052" width="13.7109375" style="1986" customWidth="1"/>
    <col min="1053" max="1053" width="33.140625" style="1986" customWidth="1"/>
    <col min="1054" max="1054" width="4.28515625" style="1986" customWidth="1"/>
    <col min="1055" max="1055" width="3.42578125" style="1986" customWidth="1"/>
    <col min="1056" max="1056" width="2.28515625" style="1986" customWidth="1"/>
    <col min="1057" max="1057" width="4.42578125" style="1986" customWidth="1"/>
    <col min="1058" max="1058" width="7.140625" style="1986" customWidth="1"/>
    <col min="1059" max="1059" width="7.28515625" style="1986" customWidth="1"/>
    <col min="1060" max="1060" width="14.42578125" style="1986" bestFit="1" customWidth="1"/>
    <col min="1061" max="1061" width="6.140625" style="1986" customWidth="1"/>
    <col min="1062" max="1062" width="18.5703125" style="1986" bestFit="1" customWidth="1"/>
    <col min="1063" max="1063" width="7.5703125" style="1986" customWidth="1"/>
    <col min="1064" max="1065" width="7.28515625" style="1986" customWidth="1"/>
    <col min="1066" max="1066" width="8.28515625" style="1986" customWidth="1"/>
    <col min="1067" max="1067" width="9.42578125" style="1986" customWidth="1"/>
    <col min="1068" max="1068" width="9.140625" style="1986" customWidth="1"/>
    <col min="1069" max="1070" width="7.28515625" style="1986" customWidth="1"/>
    <col min="1071" max="1071" width="9" style="1986" customWidth="1"/>
    <col min="1072" max="1072" width="9.42578125" style="1986" customWidth="1"/>
    <col min="1073" max="1073" width="6" style="1986" customWidth="1"/>
    <col min="1074" max="1074" width="9.42578125" style="1986" customWidth="1"/>
    <col min="1075" max="1075" width="7.7109375" style="1986" customWidth="1"/>
    <col min="1076" max="1083" width="9.42578125" style="1986" customWidth="1"/>
    <col min="1084" max="1084" width="13.85546875" style="1986" customWidth="1"/>
    <col min="1085" max="1085" width="12.28515625" style="1986" customWidth="1"/>
    <col min="1086" max="1281" width="9.42578125" style="1986"/>
    <col min="1282" max="1282" width="13.7109375" style="1986" customWidth="1"/>
    <col min="1283" max="1283" width="17.140625" style="1986" customWidth="1"/>
    <col min="1284" max="1284" width="3" style="1986" customWidth="1"/>
    <col min="1285" max="1285" width="8.28515625" style="1986" customWidth="1"/>
    <col min="1286" max="1286" width="3.28515625" style="1986" customWidth="1"/>
    <col min="1287" max="1287" width="50" style="1986" customWidth="1"/>
    <col min="1288" max="1308" width="13.7109375" style="1986" customWidth="1"/>
    <col min="1309" max="1309" width="33.140625" style="1986" customWidth="1"/>
    <col min="1310" max="1310" width="4.28515625" style="1986" customWidth="1"/>
    <col min="1311" max="1311" width="3.42578125" style="1986" customWidth="1"/>
    <col min="1312" max="1312" width="2.28515625" style="1986" customWidth="1"/>
    <col min="1313" max="1313" width="4.42578125" style="1986" customWidth="1"/>
    <col min="1314" max="1314" width="7.140625" style="1986" customWidth="1"/>
    <col min="1315" max="1315" width="7.28515625" style="1986" customWidth="1"/>
    <col min="1316" max="1316" width="14.42578125" style="1986" bestFit="1" customWidth="1"/>
    <col min="1317" max="1317" width="6.140625" style="1986" customWidth="1"/>
    <col min="1318" max="1318" width="18.5703125" style="1986" bestFit="1" customWidth="1"/>
    <col min="1319" max="1319" width="7.5703125" style="1986" customWidth="1"/>
    <col min="1320" max="1321" width="7.28515625" style="1986" customWidth="1"/>
    <col min="1322" max="1322" width="8.28515625" style="1986" customWidth="1"/>
    <col min="1323" max="1323" width="9.42578125" style="1986" customWidth="1"/>
    <col min="1324" max="1324" width="9.140625" style="1986" customWidth="1"/>
    <col min="1325" max="1326" width="7.28515625" style="1986" customWidth="1"/>
    <col min="1327" max="1327" width="9" style="1986" customWidth="1"/>
    <col min="1328" max="1328" width="9.42578125" style="1986" customWidth="1"/>
    <col min="1329" max="1329" width="6" style="1986" customWidth="1"/>
    <col min="1330" max="1330" width="9.42578125" style="1986" customWidth="1"/>
    <col min="1331" max="1331" width="7.7109375" style="1986" customWidth="1"/>
    <col min="1332" max="1339" width="9.42578125" style="1986" customWidth="1"/>
    <col min="1340" max="1340" width="13.85546875" style="1986" customWidth="1"/>
    <col min="1341" max="1341" width="12.28515625" style="1986" customWidth="1"/>
    <col min="1342" max="1537" width="9.42578125" style="1986"/>
    <col min="1538" max="1538" width="13.7109375" style="1986" customWidth="1"/>
    <col min="1539" max="1539" width="17.140625" style="1986" customWidth="1"/>
    <col min="1540" max="1540" width="3" style="1986" customWidth="1"/>
    <col min="1541" max="1541" width="8.28515625" style="1986" customWidth="1"/>
    <col min="1542" max="1542" width="3.28515625" style="1986" customWidth="1"/>
    <col min="1543" max="1543" width="50" style="1986" customWidth="1"/>
    <col min="1544" max="1564" width="13.7109375" style="1986" customWidth="1"/>
    <col min="1565" max="1565" width="33.140625" style="1986" customWidth="1"/>
    <col min="1566" max="1566" width="4.28515625" style="1986" customWidth="1"/>
    <col min="1567" max="1567" width="3.42578125" style="1986" customWidth="1"/>
    <col min="1568" max="1568" width="2.28515625" style="1986" customWidth="1"/>
    <col min="1569" max="1569" width="4.42578125" style="1986" customWidth="1"/>
    <col min="1570" max="1570" width="7.140625" style="1986" customWidth="1"/>
    <col min="1571" max="1571" width="7.28515625" style="1986" customWidth="1"/>
    <col min="1572" max="1572" width="14.42578125" style="1986" bestFit="1" customWidth="1"/>
    <col min="1573" max="1573" width="6.140625" style="1986" customWidth="1"/>
    <col min="1574" max="1574" width="18.5703125" style="1986" bestFit="1" customWidth="1"/>
    <col min="1575" max="1575" width="7.5703125" style="1986" customWidth="1"/>
    <col min="1576" max="1577" width="7.28515625" style="1986" customWidth="1"/>
    <col min="1578" max="1578" width="8.28515625" style="1986" customWidth="1"/>
    <col min="1579" max="1579" width="9.42578125" style="1986" customWidth="1"/>
    <col min="1580" max="1580" width="9.140625" style="1986" customWidth="1"/>
    <col min="1581" max="1582" width="7.28515625" style="1986" customWidth="1"/>
    <col min="1583" max="1583" width="9" style="1986" customWidth="1"/>
    <col min="1584" max="1584" width="9.42578125" style="1986" customWidth="1"/>
    <col min="1585" max="1585" width="6" style="1986" customWidth="1"/>
    <col min="1586" max="1586" width="9.42578125" style="1986" customWidth="1"/>
    <col min="1587" max="1587" width="7.7109375" style="1986" customWidth="1"/>
    <col min="1588" max="1595" width="9.42578125" style="1986" customWidth="1"/>
    <col min="1596" max="1596" width="13.85546875" style="1986" customWidth="1"/>
    <col min="1597" max="1597" width="12.28515625" style="1986" customWidth="1"/>
    <col min="1598" max="1793" width="9.42578125" style="1986"/>
    <col min="1794" max="1794" width="13.7109375" style="1986" customWidth="1"/>
    <col min="1795" max="1795" width="17.140625" style="1986" customWidth="1"/>
    <col min="1796" max="1796" width="3" style="1986" customWidth="1"/>
    <col min="1797" max="1797" width="8.28515625" style="1986" customWidth="1"/>
    <col min="1798" max="1798" width="3.28515625" style="1986" customWidth="1"/>
    <col min="1799" max="1799" width="50" style="1986" customWidth="1"/>
    <col min="1800" max="1820" width="13.7109375" style="1986" customWidth="1"/>
    <col min="1821" max="1821" width="33.140625" style="1986" customWidth="1"/>
    <col min="1822" max="1822" width="4.28515625" style="1986" customWidth="1"/>
    <col min="1823" max="1823" width="3.42578125" style="1986" customWidth="1"/>
    <col min="1824" max="1824" width="2.28515625" style="1986" customWidth="1"/>
    <col min="1825" max="1825" width="4.42578125" style="1986" customWidth="1"/>
    <col min="1826" max="1826" width="7.140625" style="1986" customWidth="1"/>
    <col min="1827" max="1827" width="7.28515625" style="1986" customWidth="1"/>
    <col min="1828" max="1828" width="14.42578125" style="1986" bestFit="1" customWidth="1"/>
    <col min="1829" max="1829" width="6.140625" style="1986" customWidth="1"/>
    <col min="1830" max="1830" width="18.5703125" style="1986" bestFit="1" customWidth="1"/>
    <col min="1831" max="1831" width="7.5703125" style="1986" customWidth="1"/>
    <col min="1832" max="1833" width="7.28515625" style="1986" customWidth="1"/>
    <col min="1834" max="1834" width="8.28515625" style="1986" customWidth="1"/>
    <col min="1835" max="1835" width="9.42578125" style="1986" customWidth="1"/>
    <col min="1836" max="1836" width="9.140625" style="1986" customWidth="1"/>
    <col min="1837" max="1838" width="7.28515625" style="1986" customWidth="1"/>
    <col min="1839" max="1839" width="9" style="1986" customWidth="1"/>
    <col min="1840" max="1840" width="9.42578125" style="1986" customWidth="1"/>
    <col min="1841" max="1841" width="6" style="1986" customWidth="1"/>
    <col min="1842" max="1842" width="9.42578125" style="1986" customWidth="1"/>
    <col min="1843" max="1843" width="7.7109375" style="1986" customWidth="1"/>
    <col min="1844" max="1851" width="9.42578125" style="1986" customWidth="1"/>
    <col min="1852" max="1852" width="13.85546875" style="1986" customWidth="1"/>
    <col min="1853" max="1853" width="12.28515625" style="1986" customWidth="1"/>
    <col min="1854" max="2049" width="9.42578125" style="1986"/>
    <col min="2050" max="2050" width="13.7109375" style="1986" customWidth="1"/>
    <col min="2051" max="2051" width="17.140625" style="1986" customWidth="1"/>
    <col min="2052" max="2052" width="3" style="1986" customWidth="1"/>
    <col min="2053" max="2053" width="8.28515625" style="1986" customWidth="1"/>
    <col min="2054" max="2054" width="3.28515625" style="1986" customWidth="1"/>
    <col min="2055" max="2055" width="50" style="1986" customWidth="1"/>
    <col min="2056" max="2076" width="13.7109375" style="1986" customWidth="1"/>
    <col min="2077" max="2077" width="33.140625" style="1986" customWidth="1"/>
    <col min="2078" max="2078" width="4.28515625" style="1986" customWidth="1"/>
    <col min="2079" max="2079" width="3.42578125" style="1986" customWidth="1"/>
    <col min="2080" max="2080" width="2.28515625" style="1986" customWidth="1"/>
    <col min="2081" max="2081" width="4.42578125" style="1986" customWidth="1"/>
    <col min="2082" max="2082" width="7.140625" style="1986" customWidth="1"/>
    <col min="2083" max="2083" width="7.28515625" style="1986" customWidth="1"/>
    <col min="2084" max="2084" width="14.42578125" style="1986" bestFit="1" customWidth="1"/>
    <col min="2085" max="2085" width="6.140625" style="1986" customWidth="1"/>
    <col min="2086" max="2086" width="18.5703125" style="1986" bestFit="1" customWidth="1"/>
    <col min="2087" max="2087" width="7.5703125" style="1986" customWidth="1"/>
    <col min="2088" max="2089" width="7.28515625" style="1986" customWidth="1"/>
    <col min="2090" max="2090" width="8.28515625" style="1986" customWidth="1"/>
    <col min="2091" max="2091" width="9.42578125" style="1986" customWidth="1"/>
    <col min="2092" max="2092" width="9.140625" style="1986" customWidth="1"/>
    <col min="2093" max="2094" width="7.28515625" style="1986" customWidth="1"/>
    <col min="2095" max="2095" width="9" style="1986" customWidth="1"/>
    <col min="2096" max="2096" width="9.42578125" style="1986" customWidth="1"/>
    <col min="2097" max="2097" width="6" style="1986" customWidth="1"/>
    <col min="2098" max="2098" width="9.42578125" style="1986" customWidth="1"/>
    <col min="2099" max="2099" width="7.7109375" style="1986" customWidth="1"/>
    <col min="2100" max="2107" width="9.42578125" style="1986" customWidth="1"/>
    <col min="2108" max="2108" width="13.85546875" style="1986" customWidth="1"/>
    <col min="2109" max="2109" width="12.28515625" style="1986" customWidth="1"/>
    <col min="2110" max="2305" width="9.42578125" style="1986"/>
    <col min="2306" max="2306" width="13.7109375" style="1986" customWidth="1"/>
    <col min="2307" max="2307" width="17.140625" style="1986" customWidth="1"/>
    <col min="2308" max="2308" width="3" style="1986" customWidth="1"/>
    <col min="2309" max="2309" width="8.28515625" style="1986" customWidth="1"/>
    <col min="2310" max="2310" width="3.28515625" style="1986" customWidth="1"/>
    <col min="2311" max="2311" width="50" style="1986" customWidth="1"/>
    <col min="2312" max="2332" width="13.7109375" style="1986" customWidth="1"/>
    <col min="2333" max="2333" width="33.140625" style="1986" customWidth="1"/>
    <col min="2334" max="2334" width="4.28515625" style="1986" customWidth="1"/>
    <col min="2335" max="2335" width="3.42578125" style="1986" customWidth="1"/>
    <col min="2336" max="2336" width="2.28515625" style="1986" customWidth="1"/>
    <col min="2337" max="2337" width="4.42578125" style="1986" customWidth="1"/>
    <col min="2338" max="2338" width="7.140625" style="1986" customWidth="1"/>
    <col min="2339" max="2339" width="7.28515625" style="1986" customWidth="1"/>
    <col min="2340" max="2340" width="14.42578125" style="1986" bestFit="1" customWidth="1"/>
    <col min="2341" max="2341" width="6.140625" style="1986" customWidth="1"/>
    <col min="2342" max="2342" width="18.5703125" style="1986" bestFit="1" customWidth="1"/>
    <col min="2343" max="2343" width="7.5703125" style="1986" customWidth="1"/>
    <col min="2344" max="2345" width="7.28515625" style="1986" customWidth="1"/>
    <col min="2346" max="2346" width="8.28515625" style="1986" customWidth="1"/>
    <col min="2347" max="2347" width="9.42578125" style="1986" customWidth="1"/>
    <col min="2348" max="2348" width="9.140625" style="1986" customWidth="1"/>
    <col min="2349" max="2350" width="7.28515625" style="1986" customWidth="1"/>
    <col min="2351" max="2351" width="9" style="1986" customWidth="1"/>
    <col min="2352" max="2352" width="9.42578125" style="1986" customWidth="1"/>
    <col min="2353" max="2353" width="6" style="1986" customWidth="1"/>
    <col min="2354" max="2354" width="9.42578125" style="1986" customWidth="1"/>
    <col min="2355" max="2355" width="7.7109375" style="1986" customWidth="1"/>
    <col min="2356" max="2363" width="9.42578125" style="1986" customWidth="1"/>
    <col min="2364" max="2364" width="13.85546875" style="1986" customWidth="1"/>
    <col min="2365" max="2365" width="12.28515625" style="1986" customWidth="1"/>
    <col min="2366" max="2561" width="9.42578125" style="1986"/>
    <col min="2562" max="2562" width="13.7109375" style="1986" customWidth="1"/>
    <col min="2563" max="2563" width="17.140625" style="1986" customWidth="1"/>
    <col min="2564" max="2564" width="3" style="1986" customWidth="1"/>
    <col min="2565" max="2565" width="8.28515625" style="1986" customWidth="1"/>
    <col min="2566" max="2566" width="3.28515625" style="1986" customWidth="1"/>
    <col min="2567" max="2567" width="50" style="1986" customWidth="1"/>
    <col min="2568" max="2588" width="13.7109375" style="1986" customWidth="1"/>
    <col min="2589" max="2589" width="33.140625" style="1986" customWidth="1"/>
    <col min="2590" max="2590" width="4.28515625" style="1986" customWidth="1"/>
    <col min="2591" max="2591" width="3.42578125" style="1986" customWidth="1"/>
    <col min="2592" max="2592" width="2.28515625" style="1986" customWidth="1"/>
    <col min="2593" max="2593" width="4.42578125" style="1986" customWidth="1"/>
    <col min="2594" max="2594" width="7.140625" style="1986" customWidth="1"/>
    <col min="2595" max="2595" width="7.28515625" style="1986" customWidth="1"/>
    <col min="2596" max="2596" width="14.42578125" style="1986" bestFit="1" customWidth="1"/>
    <col min="2597" max="2597" width="6.140625" style="1986" customWidth="1"/>
    <col min="2598" max="2598" width="18.5703125" style="1986" bestFit="1" customWidth="1"/>
    <col min="2599" max="2599" width="7.5703125" style="1986" customWidth="1"/>
    <col min="2600" max="2601" width="7.28515625" style="1986" customWidth="1"/>
    <col min="2602" max="2602" width="8.28515625" style="1986" customWidth="1"/>
    <col min="2603" max="2603" width="9.42578125" style="1986" customWidth="1"/>
    <col min="2604" max="2604" width="9.140625" style="1986" customWidth="1"/>
    <col min="2605" max="2606" width="7.28515625" style="1986" customWidth="1"/>
    <col min="2607" max="2607" width="9" style="1986" customWidth="1"/>
    <col min="2608" max="2608" width="9.42578125" style="1986" customWidth="1"/>
    <col min="2609" max="2609" width="6" style="1986" customWidth="1"/>
    <col min="2610" max="2610" width="9.42578125" style="1986" customWidth="1"/>
    <col min="2611" max="2611" width="7.7109375" style="1986" customWidth="1"/>
    <col min="2612" max="2619" width="9.42578125" style="1986" customWidth="1"/>
    <col min="2620" max="2620" width="13.85546875" style="1986" customWidth="1"/>
    <col min="2621" max="2621" width="12.28515625" style="1986" customWidth="1"/>
    <col min="2622" max="2817" width="9.42578125" style="1986"/>
    <col min="2818" max="2818" width="13.7109375" style="1986" customWidth="1"/>
    <col min="2819" max="2819" width="17.140625" style="1986" customWidth="1"/>
    <col min="2820" max="2820" width="3" style="1986" customWidth="1"/>
    <col min="2821" max="2821" width="8.28515625" style="1986" customWidth="1"/>
    <col min="2822" max="2822" width="3.28515625" style="1986" customWidth="1"/>
    <col min="2823" max="2823" width="50" style="1986" customWidth="1"/>
    <col min="2824" max="2844" width="13.7109375" style="1986" customWidth="1"/>
    <col min="2845" max="2845" width="33.140625" style="1986" customWidth="1"/>
    <col min="2846" max="2846" width="4.28515625" style="1986" customWidth="1"/>
    <col min="2847" max="2847" width="3.42578125" style="1986" customWidth="1"/>
    <col min="2848" max="2848" width="2.28515625" style="1986" customWidth="1"/>
    <col min="2849" max="2849" width="4.42578125" style="1986" customWidth="1"/>
    <col min="2850" max="2850" width="7.140625" style="1986" customWidth="1"/>
    <col min="2851" max="2851" width="7.28515625" style="1986" customWidth="1"/>
    <col min="2852" max="2852" width="14.42578125" style="1986" bestFit="1" customWidth="1"/>
    <col min="2853" max="2853" width="6.140625" style="1986" customWidth="1"/>
    <col min="2854" max="2854" width="18.5703125" style="1986" bestFit="1" customWidth="1"/>
    <col min="2855" max="2855" width="7.5703125" style="1986" customWidth="1"/>
    <col min="2856" max="2857" width="7.28515625" style="1986" customWidth="1"/>
    <col min="2858" max="2858" width="8.28515625" style="1986" customWidth="1"/>
    <col min="2859" max="2859" width="9.42578125" style="1986" customWidth="1"/>
    <col min="2860" max="2860" width="9.140625" style="1986" customWidth="1"/>
    <col min="2861" max="2862" width="7.28515625" style="1986" customWidth="1"/>
    <col min="2863" max="2863" width="9" style="1986" customWidth="1"/>
    <col min="2864" max="2864" width="9.42578125" style="1986" customWidth="1"/>
    <col min="2865" max="2865" width="6" style="1986" customWidth="1"/>
    <col min="2866" max="2866" width="9.42578125" style="1986" customWidth="1"/>
    <col min="2867" max="2867" width="7.7109375" style="1986" customWidth="1"/>
    <col min="2868" max="2875" width="9.42578125" style="1986" customWidth="1"/>
    <col min="2876" max="2876" width="13.85546875" style="1986" customWidth="1"/>
    <col min="2877" max="2877" width="12.28515625" style="1986" customWidth="1"/>
    <col min="2878" max="3073" width="9.42578125" style="1986"/>
    <col min="3074" max="3074" width="13.7109375" style="1986" customWidth="1"/>
    <col min="3075" max="3075" width="17.140625" style="1986" customWidth="1"/>
    <col min="3076" max="3076" width="3" style="1986" customWidth="1"/>
    <col min="3077" max="3077" width="8.28515625" style="1986" customWidth="1"/>
    <col min="3078" max="3078" width="3.28515625" style="1986" customWidth="1"/>
    <col min="3079" max="3079" width="50" style="1986" customWidth="1"/>
    <col min="3080" max="3100" width="13.7109375" style="1986" customWidth="1"/>
    <col min="3101" max="3101" width="33.140625" style="1986" customWidth="1"/>
    <col min="3102" max="3102" width="4.28515625" style="1986" customWidth="1"/>
    <col min="3103" max="3103" width="3.42578125" style="1986" customWidth="1"/>
    <col min="3104" max="3104" width="2.28515625" style="1986" customWidth="1"/>
    <col min="3105" max="3105" width="4.42578125" style="1986" customWidth="1"/>
    <col min="3106" max="3106" width="7.140625" style="1986" customWidth="1"/>
    <col min="3107" max="3107" width="7.28515625" style="1986" customWidth="1"/>
    <col min="3108" max="3108" width="14.42578125" style="1986" bestFit="1" customWidth="1"/>
    <col min="3109" max="3109" width="6.140625" style="1986" customWidth="1"/>
    <col min="3110" max="3110" width="18.5703125" style="1986" bestFit="1" customWidth="1"/>
    <col min="3111" max="3111" width="7.5703125" style="1986" customWidth="1"/>
    <col min="3112" max="3113" width="7.28515625" style="1986" customWidth="1"/>
    <col min="3114" max="3114" width="8.28515625" style="1986" customWidth="1"/>
    <col min="3115" max="3115" width="9.42578125" style="1986" customWidth="1"/>
    <col min="3116" max="3116" width="9.140625" style="1986" customWidth="1"/>
    <col min="3117" max="3118" width="7.28515625" style="1986" customWidth="1"/>
    <col min="3119" max="3119" width="9" style="1986" customWidth="1"/>
    <col min="3120" max="3120" width="9.42578125" style="1986" customWidth="1"/>
    <col min="3121" max="3121" width="6" style="1986" customWidth="1"/>
    <col min="3122" max="3122" width="9.42578125" style="1986" customWidth="1"/>
    <col min="3123" max="3123" width="7.7109375" style="1986" customWidth="1"/>
    <col min="3124" max="3131" width="9.42578125" style="1986" customWidth="1"/>
    <col min="3132" max="3132" width="13.85546875" style="1986" customWidth="1"/>
    <col min="3133" max="3133" width="12.28515625" style="1986" customWidth="1"/>
    <col min="3134" max="3329" width="9.42578125" style="1986"/>
    <col min="3330" max="3330" width="13.7109375" style="1986" customWidth="1"/>
    <col min="3331" max="3331" width="17.140625" style="1986" customWidth="1"/>
    <col min="3332" max="3332" width="3" style="1986" customWidth="1"/>
    <col min="3333" max="3333" width="8.28515625" style="1986" customWidth="1"/>
    <col min="3334" max="3334" width="3.28515625" style="1986" customWidth="1"/>
    <col min="3335" max="3335" width="50" style="1986" customWidth="1"/>
    <col min="3336" max="3356" width="13.7109375" style="1986" customWidth="1"/>
    <col min="3357" max="3357" width="33.140625" style="1986" customWidth="1"/>
    <col min="3358" max="3358" width="4.28515625" style="1986" customWidth="1"/>
    <col min="3359" max="3359" width="3.42578125" style="1986" customWidth="1"/>
    <col min="3360" max="3360" width="2.28515625" style="1986" customWidth="1"/>
    <col min="3361" max="3361" width="4.42578125" style="1986" customWidth="1"/>
    <col min="3362" max="3362" width="7.140625" style="1986" customWidth="1"/>
    <col min="3363" max="3363" width="7.28515625" style="1986" customWidth="1"/>
    <col min="3364" max="3364" width="14.42578125" style="1986" bestFit="1" customWidth="1"/>
    <col min="3365" max="3365" width="6.140625" style="1986" customWidth="1"/>
    <col min="3366" max="3366" width="18.5703125" style="1986" bestFit="1" customWidth="1"/>
    <col min="3367" max="3367" width="7.5703125" style="1986" customWidth="1"/>
    <col min="3368" max="3369" width="7.28515625" style="1986" customWidth="1"/>
    <col min="3370" max="3370" width="8.28515625" style="1986" customWidth="1"/>
    <col min="3371" max="3371" width="9.42578125" style="1986" customWidth="1"/>
    <col min="3372" max="3372" width="9.140625" style="1986" customWidth="1"/>
    <col min="3373" max="3374" width="7.28515625" style="1986" customWidth="1"/>
    <col min="3375" max="3375" width="9" style="1986" customWidth="1"/>
    <col min="3376" max="3376" width="9.42578125" style="1986" customWidth="1"/>
    <col min="3377" max="3377" width="6" style="1986" customWidth="1"/>
    <col min="3378" max="3378" width="9.42578125" style="1986" customWidth="1"/>
    <col min="3379" max="3379" width="7.7109375" style="1986" customWidth="1"/>
    <col min="3380" max="3387" width="9.42578125" style="1986" customWidth="1"/>
    <col min="3388" max="3388" width="13.85546875" style="1986" customWidth="1"/>
    <col min="3389" max="3389" width="12.28515625" style="1986" customWidth="1"/>
    <col min="3390" max="3585" width="9.42578125" style="1986"/>
    <col min="3586" max="3586" width="13.7109375" style="1986" customWidth="1"/>
    <col min="3587" max="3587" width="17.140625" style="1986" customWidth="1"/>
    <col min="3588" max="3588" width="3" style="1986" customWidth="1"/>
    <col min="3589" max="3589" width="8.28515625" style="1986" customWidth="1"/>
    <col min="3590" max="3590" width="3.28515625" style="1986" customWidth="1"/>
    <col min="3591" max="3591" width="50" style="1986" customWidth="1"/>
    <col min="3592" max="3612" width="13.7109375" style="1986" customWidth="1"/>
    <col min="3613" max="3613" width="33.140625" style="1986" customWidth="1"/>
    <col min="3614" max="3614" width="4.28515625" style="1986" customWidth="1"/>
    <col min="3615" max="3615" width="3.42578125" style="1986" customWidth="1"/>
    <col min="3616" max="3616" width="2.28515625" style="1986" customWidth="1"/>
    <col min="3617" max="3617" width="4.42578125" style="1986" customWidth="1"/>
    <col min="3618" max="3618" width="7.140625" style="1986" customWidth="1"/>
    <col min="3619" max="3619" width="7.28515625" style="1986" customWidth="1"/>
    <col min="3620" max="3620" width="14.42578125" style="1986" bestFit="1" customWidth="1"/>
    <col min="3621" max="3621" width="6.140625" style="1986" customWidth="1"/>
    <col min="3622" max="3622" width="18.5703125" style="1986" bestFit="1" customWidth="1"/>
    <col min="3623" max="3623" width="7.5703125" style="1986" customWidth="1"/>
    <col min="3624" max="3625" width="7.28515625" style="1986" customWidth="1"/>
    <col min="3626" max="3626" width="8.28515625" style="1986" customWidth="1"/>
    <col min="3627" max="3627" width="9.42578125" style="1986" customWidth="1"/>
    <col min="3628" max="3628" width="9.140625" style="1986" customWidth="1"/>
    <col min="3629" max="3630" width="7.28515625" style="1986" customWidth="1"/>
    <col min="3631" max="3631" width="9" style="1986" customWidth="1"/>
    <col min="3632" max="3632" width="9.42578125" style="1986" customWidth="1"/>
    <col min="3633" max="3633" width="6" style="1986" customWidth="1"/>
    <col min="3634" max="3634" width="9.42578125" style="1986" customWidth="1"/>
    <col min="3635" max="3635" width="7.7109375" style="1986" customWidth="1"/>
    <col min="3636" max="3643" width="9.42578125" style="1986" customWidth="1"/>
    <col min="3644" max="3644" width="13.85546875" style="1986" customWidth="1"/>
    <col min="3645" max="3645" width="12.28515625" style="1986" customWidth="1"/>
    <col min="3646" max="3841" width="9.42578125" style="1986"/>
    <col min="3842" max="3842" width="13.7109375" style="1986" customWidth="1"/>
    <col min="3843" max="3843" width="17.140625" style="1986" customWidth="1"/>
    <col min="3844" max="3844" width="3" style="1986" customWidth="1"/>
    <col min="3845" max="3845" width="8.28515625" style="1986" customWidth="1"/>
    <col min="3846" max="3846" width="3.28515625" style="1986" customWidth="1"/>
    <col min="3847" max="3847" width="50" style="1986" customWidth="1"/>
    <col min="3848" max="3868" width="13.7109375" style="1986" customWidth="1"/>
    <col min="3869" max="3869" width="33.140625" style="1986" customWidth="1"/>
    <col min="3870" max="3870" width="4.28515625" style="1986" customWidth="1"/>
    <col min="3871" max="3871" width="3.42578125" style="1986" customWidth="1"/>
    <col min="3872" max="3872" width="2.28515625" style="1986" customWidth="1"/>
    <col min="3873" max="3873" width="4.42578125" style="1986" customWidth="1"/>
    <col min="3874" max="3874" width="7.140625" style="1986" customWidth="1"/>
    <col min="3875" max="3875" width="7.28515625" style="1986" customWidth="1"/>
    <col min="3876" max="3876" width="14.42578125" style="1986" bestFit="1" customWidth="1"/>
    <col min="3877" max="3877" width="6.140625" style="1986" customWidth="1"/>
    <col min="3878" max="3878" width="18.5703125" style="1986" bestFit="1" customWidth="1"/>
    <col min="3879" max="3879" width="7.5703125" style="1986" customWidth="1"/>
    <col min="3880" max="3881" width="7.28515625" style="1986" customWidth="1"/>
    <col min="3882" max="3882" width="8.28515625" style="1986" customWidth="1"/>
    <col min="3883" max="3883" width="9.42578125" style="1986" customWidth="1"/>
    <col min="3884" max="3884" width="9.140625" style="1986" customWidth="1"/>
    <col min="3885" max="3886" width="7.28515625" style="1986" customWidth="1"/>
    <col min="3887" max="3887" width="9" style="1986" customWidth="1"/>
    <col min="3888" max="3888" width="9.42578125" style="1986" customWidth="1"/>
    <col min="3889" max="3889" width="6" style="1986" customWidth="1"/>
    <col min="3890" max="3890" width="9.42578125" style="1986" customWidth="1"/>
    <col min="3891" max="3891" width="7.7109375" style="1986" customWidth="1"/>
    <col min="3892" max="3899" width="9.42578125" style="1986" customWidth="1"/>
    <col min="3900" max="3900" width="13.85546875" style="1986" customWidth="1"/>
    <col min="3901" max="3901" width="12.28515625" style="1986" customWidth="1"/>
    <col min="3902" max="4097" width="9.42578125" style="1986"/>
    <col min="4098" max="4098" width="13.7109375" style="1986" customWidth="1"/>
    <col min="4099" max="4099" width="17.140625" style="1986" customWidth="1"/>
    <col min="4100" max="4100" width="3" style="1986" customWidth="1"/>
    <col min="4101" max="4101" width="8.28515625" style="1986" customWidth="1"/>
    <col min="4102" max="4102" width="3.28515625" style="1986" customWidth="1"/>
    <col min="4103" max="4103" width="50" style="1986" customWidth="1"/>
    <col min="4104" max="4124" width="13.7109375" style="1986" customWidth="1"/>
    <col min="4125" max="4125" width="33.140625" style="1986" customWidth="1"/>
    <col min="4126" max="4126" width="4.28515625" style="1986" customWidth="1"/>
    <col min="4127" max="4127" width="3.42578125" style="1986" customWidth="1"/>
    <col min="4128" max="4128" width="2.28515625" style="1986" customWidth="1"/>
    <col min="4129" max="4129" width="4.42578125" style="1986" customWidth="1"/>
    <col min="4130" max="4130" width="7.140625" style="1986" customWidth="1"/>
    <col min="4131" max="4131" width="7.28515625" style="1986" customWidth="1"/>
    <col min="4132" max="4132" width="14.42578125" style="1986" bestFit="1" customWidth="1"/>
    <col min="4133" max="4133" width="6.140625" style="1986" customWidth="1"/>
    <col min="4134" max="4134" width="18.5703125" style="1986" bestFit="1" customWidth="1"/>
    <col min="4135" max="4135" width="7.5703125" style="1986" customWidth="1"/>
    <col min="4136" max="4137" width="7.28515625" style="1986" customWidth="1"/>
    <col min="4138" max="4138" width="8.28515625" style="1986" customWidth="1"/>
    <col min="4139" max="4139" width="9.42578125" style="1986" customWidth="1"/>
    <col min="4140" max="4140" width="9.140625" style="1986" customWidth="1"/>
    <col min="4141" max="4142" width="7.28515625" style="1986" customWidth="1"/>
    <col min="4143" max="4143" width="9" style="1986" customWidth="1"/>
    <col min="4144" max="4144" width="9.42578125" style="1986" customWidth="1"/>
    <col min="4145" max="4145" width="6" style="1986" customWidth="1"/>
    <col min="4146" max="4146" width="9.42578125" style="1986" customWidth="1"/>
    <col min="4147" max="4147" width="7.7109375" style="1986" customWidth="1"/>
    <col min="4148" max="4155" width="9.42578125" style="1986" customWidth="1"/>
    <col min="4156" max="4156" width="13.85546875" style="1986" customWidth="1"/>
    <col min="4157" max="4157" width="12.28515625" style="1986" customWidth="1"/>
    <col min="4158" max="4353" width="9.42578125" style="1986"/>
    <col min="4354" max="4354" width="13.7109375" style="1986" customWidth="1"/>
    <col min="4355" max="4355" width="17.140625" style="1986" customWidth="1"/>
    <col min="4356" max="4356" width="3" style="1986" customWidth="1"/>
    <col min="4357" max="4357" width="8.28515625" style="1986" customWidth="1"/>
    <col min="4358" max="4358" width="3.28515625" style="1986" customWidth="1"/>
    <col min="4359" max="4359" width="50" style="1986" customWidth="1"/>
    <col min="4360" max="4380" width="13.7109375" style="1986" customWidth="1"/>
    <col min="4381" max="4381" width="33.140625" style="1986" customWidth="1"/>
    <col min="4382" max="4382" width="4.28515625" style="1986" customWidth="1"/>
    <col min="4383" max="4383" width="3.42578125" style="1986" customWidth="1"/>
    <col min="4384" max="4384" width="2.28515625" style="1986" customWidth="1"/>
    <col min="4385" max="4385" width="4.42578125" style="1986" customWidth="1"/>
    <col min="4386" max="4386" width="7.140625" style="1986" customWidth="1"/>
    <col min="4387" max="4387" width="7.28515625" style="1986" customWidth="1"/>
    <col min="4388" max="4388" width="14.42578125" style="1986" bestFit="1" customWidth="1"/>
    <col min="4389" max="4389" width="6.140625" style="1986" customWidth="1"/>
    <col min="4390" max="4390" width="18.5703125" style="1986" bestFit="1" customWidth="1"/>
    <col min="4391" max="4391" width="7.5703125" style="1986" customWidth="1"/>
    <col min="4392" max="4393" width="7.28515625" style="1986" customWidth="1"/>
    <col min="4394" max="4394" width="8.28515625" style="1986" customWidth="1"/>
    <col min="4395" max="4395" width="9.42578125" style="1986" customWidth="1"/>
    <col min="4396" max="4396" width="9.140625" style="1986" customWidth="1"/>
    <col min="4397" max="4398" width="7.28515625" style="1986" customWidth="1"/>
    <col min="4399" max="4399" width="9" style="1986" customWidth="1"/>
    <col min="4400" max="4400" width="9.42578125" style="1986" customWidth="1"/>
    <col min="4401" max="4401" width="6" style="1986" customWidth="1"/>
    <col min="4402" max="4402" width="9.42578125" style="1986" customWidth="1"/>
    <col min="4403" max="4403" width="7.7109375" style="1986" customWidth="1"/>
    <col min="4404" max="4411" width="9.42578125" style="1986" customWidth="1"/>
    <col min="4412" max="4412" width="13.85546875" style="1986" customWidth="1"/>
    <col min="4413" max="4413" width="12.28515625" style="1986" customWidth="1"/>
    <col min="4414" max="4609" width="9.42578125" style="1986"/>
    <col min="4610" max="4610" width="13.7109375" style="1986" customWidth="1"/>
    <col min="4611" max="4611" width="17.140625" style="1986" customWidth="1"/>
    <col min="4612" max="4612" width="3" style="1986" customWidth="1"/>
    <col min="4613" max="4613" width="8.28515625" style="1986" customWidth="1"/>
    <col min="4614" max="4614" width="3.28515625" style="1986" customWidth="1"/>
    <col min="4615" max="4615" width="50" style="1986" customWidth="1"/>
    <col min="4616" max="4636" width="13.7109375" style="1986" customWidth="1"/>
    <col min="4637" max="4637" width="33.140625" style="1986" customWidth="1"/>
    <col min="4638" max="4638" width="4.28515625" style="1986" customWidth="1"/>
    <col min="4639" max="4639" width="3.42578125" style="1986" customWidth="1"/>
    <col min="4640" max="4640" width="2.28515625" style="1986" customWidth="1"/>
    <col min="4641" max="4641" width="4.42578125" style="1986" customWidth="1"/>
    <col min="4642" max="4642" width="7.140625" style="1986" customWidth="1"/>
    <col min="4643" max="4643" width="7.28515625" style="1986" customWidth="1"/>
    <col min="4644" max="4644" width="14.42578125" style="1986" bestFit="1" customWidth="1"/>
    <col min="4645" max="4645" width="6.140625" style="1986" customWidth="1"/>
    <col min="4646" max="4646" width="18.5703125" style="1986" bestFit="1" customWidth="1"/>
    <col min="4647" max="4647" width="7.5703125" style="1986" customWidth="1"/>
    <col min="4648" max="4649" width="7.28515625" style="1986" customWidth="1"/>
    <col min="4650" max="4650" width="8.28515625" style="1986" customWidth="1"/>
    <col min="4651" max="4651" width="9.42578125" style="1986" customWidth="1"/>
    <col min="4652" max="4652" width="9.140625" style="1986" customWidth="1"/>
    <col min="4653" max="4654" width="7.28515625" style="1986" customWidth="1"/>
    <col min="4655" max="4655" width="9" style="1986" customWidth="1"/>
    <col min="4656" max="4656" width="9.42578125" style="1986" customWidth="1"/>
    <col min="4657" max="4657" width="6" style="1986" customWidth="1"/>
    <col min="4658" max="4658" width="9.42578125" style="1986" customWidth="1"/>
    <col min="4659" max="4659" width="7.7109375" style="1986" customWidth="1"/>
    <col min="4660" max="4667" width="9.42578125" style="1986" customWidth="1"/>
    <col min="4668" max="4668" width="13.85546875" style="1986" customWidth="1"/>
    <col min="4669" max="4669" width="12.28515625" style="1986" customWidth="1"/>
    <col min="4670" max="4865" width="9.42578125" style="1986"/>
    <col min="4866" max="4866" width="13.7109375" style="1986" customWidth="1"/>
    <col min="4867" max="4867" width="17.140625" style="1986" customWidth="1"/>
    <col min="4868" max="4868" width="3" style="1986" customWidth="1"/>
    <col min="4869" max="4869" width="8.28515625" style="1986" customWidth="1"/>
    <col min="4870" max="4870" width="3.28515625" style="1986" customWidth="1"/>
    <col min="4871" max="4871" width="50" style="1986" customWidth="1"/>
    <col min="4872" max="4892" width="13.7109375" style="1986" customWidth="1"/>
    <col min="4893" max="4893" width="33.140625" style="1986" customWidth="1"/>
    <col min="4894" max="4894" width="4.28515625" style="1986" customWidth="1"/>
    <col min="4895" max="4895" width="3.42578125" style="1986" customWidth="1"/>
    <col min="4896" max="4896" width="2.28515625" style="1986" customWidth="1"/>
    <col min="4897" max="4897" width="4.42578125" style="1986" customWidth="1"/>
    <col min="4898" max="4898" width="7.140625" style="1986" customWidth="1"/>
    <col min="4899" max="4899" width="7.28515625" style="1986" customWidth="1"/>
    <col min="4900" max="4900" width="14.42578125" style="1986" bestFit="1" customWidth="1"/>
    <col min="4901" max="4901" width="6.140625" style="1986" customWidth="1"/>
    <col min="4902" max="4902" width="18.5703125" style="1986" bestFit="1" customWidth="1"/>
    <col min="4903" max="4903" width="7.5703125" style="1986" customWidth="1"/>
    <col min="4904" max="4905" width="7.28515625" style="1986" customWidth="1"/>
    <col min="4906" max="4906" width="8.28515625" style="1986" customWidth="1"/>
    <col min="4907" max="4907" width="9.42578125" style="1986" customWidth="1"/>
    <col min="4908" max="4908" width="9.140625" style="1986" customWidth="1"/>
    <col min="4909" max="4910" width="7.28515625" style="1986" customWidth="1"/>
    <col min="4911" max="4911" width="9" style="1986" customWidth="1"/>
    <col min="4912" max="4912" width="9.42578125" style="1986" customWidth="1"/>
    <col min="4913" max="4913" width="6" style="1986" customWidth="1"/>
    <col min="4914" max="4914" width="9.42578125" style="1986" customWidth="1"/>
    <col min="4915" max="4915" width="7.7109375" style="1986" customWidth="1"/>
    <col min="4916" max="4923" width="9.42578125" style="1986" customWidth="1"/>
    <col min="4924" max="4924" width="13.85546875" style="1986" customWidth="1"/>
    <col min="4925" max="4925" width="12.28515625" style="1986" customWidth="1"/>
    <col min="4926" max="5121" width="9.42578125" style="1986"/>
    <col min="5122" max="5122" width="13.7109375" style="1986" customWidth="1"/>
    <col min="5123" max="5123" width="17.140625" style="1986" customWidth="1"/>
    <col min="5124" max="5124" width="3" style="1986" customWidth="1"/>
    <col min="5125" max="5125" width="8.28515625" style="1986" customWidth="1"/>
    <col min="5126" max="5126" width="3.28515625" style="1986" customWidth="1"/>
    <col min="5127" max="5127" width="50" style="1986" customWidth="1"/>
    <col min="5128" max="5148" width="13.7109375" style="1986" customWidth="1"/>
    <col min="5149" max="5149" width="33.140625" style="1986" customWidth="1"/>
    <col min="5150" max="5150" width="4.28515625" style="1986" customWidth="1"/>
    <col min="5151" max="5151" width="3.42578125" style="1986" customWidth="1"/>
    <col min="5152" max="5152" width="2.28515625" style="1986" customWidth="1"/>
    <col min="5153" max="5153" width="4.42578125" style="1986" customWidth="1"/>
    <col min="5154" max="5154" width="7.140625" style="1986" customWidth="1"/>
    <col min="5155" max="5155" width="7.28515625" style="1986" customWidth="1"/>
    <col min="5156" max="5156" width="14.42578125" style="1986" bestFit="1" customWidth="1"/>
    <col min="5157" max="5157" width="6.140625" style="1986" customWidth="1"/>
    <col min="5158" max="5158" width="18.5703125" style="1986" bestFit="1" customWidth="1"/>
    <col min="5159" max="5159" width="7.5703125" style="1986" customWidth="1"/>
    <col min="5160" max="5161" width="7.28515625" style="1986" customWidth="1"/>
    <col min="5162" max="5162" width="8.28515625" style="1986" customWidth="1"/>
    <col min="5163" max="5163" width="9.42578125" style="1986" customWidth="1"/>
    <col min="5164" max="5164" width="9.140625" style="1986" customWidth="1"/>
    <col min="5165" max="5166" width="7.28515625" style="1986" customWidth="1"/>
    <col min="5167" max="5167" width="9" style="1986" customWidth="1"/>
    <col min="5168" max="5168" width="9.42578125" style="1986" customWidth="1"/>
    <col min="5169" max="5169" width="6" style="1986" customWidth="1"/>
    <col min="5170" max="5170" width="9.42578125" style="1986" customWidth="1"/>
    <col min="5171" max="5171" width="7.7109375" style="1986" customWidth="1"/>
    <col min="5172" max="5179" width="9.42578125" style="1986" customWidth="1"/>
    <col min="5180" max="5180" width="13.85546875" style="1986" customWidth="1"/>
    <col min="5181" max="5181" width="12.28515625" style="1986" customWidth="1"/>
    <col min="5182" max="5377" width="9.42578125" style="1986"/>
    <col min="5378" max="5378" width="13.7109375" style="1986" customWidth="1"/>
    <col min="5379" max="5379" width="17.140625" style="1986" customWidth="1"/>
    <col min="5380" max="5380" width="3" style="1986" customWidth="1"/>
    <col min="5381" max="5381" width="8.28515625" style="1986" customWidth="1"/>
    <col min="5382" max="5382" width="3.28515625" style="1986" customWidth="1"/>
    <col min="5383" max="5383" width="50" style="1986" customWidth="1"/>
    <col min="5384" max="5404" width="13.7109375" style="1986" customWidth="1"/>
    <col min="5405" max="5405" width="33.140625" style="1986" customWidth="1"/>
    <col min="5406" max="5406" width="4.28515625" style="1986" customWidth="1"/>
    <col min="5407" max="5407" width="3.42578125" style="1986" customWidth="1"/>
    <col min="5408" max="5408" width="2.28515625" style="1986" customWidth="1"/>
    <col min="5409" max="5409" width="4.42578125" style="1986" customWidth="1"/>
    <col min="5410" max="5410" width="7.140625" style="1986" customWidth="1"/>
    <col min="5411" max="5411" width="7.28515625" style="1986" customWidth="1"/>
    <col min="5412" max="5412" width="14.42578125" style="1986" bestFit="1" customWidth="1"/>
    <col min="5413" max="5413" width="6.140625" style="1986" customWidth="1"/>
    <col min="5414" max="5414" width="18.5703125" style="1986" bestFit="1" customWidth="1"/>
    <col min="5415" max="5415" width="7.5703125" style="1986" customWidth="1"/>
    <col min="5416" max="5417" width="7.28515625" style="1986" customWidth="1"/>
    <col min="5418" max="5418" width="8.28515625" style="1986" customWidth="1"/>
    <col min="5419" max="5419" width="9.42578125" style="1986" customWidth="1"/>
    <col min="5420" max="5420" width="9.140625" style="1986" customWidth="1"/>
    <col min="5421" max="5422" width="7.28515625" style="1986" customWidth="1"/>
    <col min="5423" max="5423" width="9" style="1986" customWidth="1"/>
    <col min="5424" max="5424" width="9.42578125" style="1986" customWidth="1"/>
    <col min="5425" max="5425" width="6" style="1986" customWidth="1"/>
    <col min="5426" max="5426" width="9.42578125" style="1986" customWidth="1"/>
    <col min="5427" max="5427" width="7.7109375" style="1986" customWidth="1"/>
    <col min="5428" max="5435" width="9.42578125" style="1986" customWidth="1"/>
    <col min="5436" max="5436" width="13.85546875" style="1986" customWidth="1"/>
    <col min="5437" max="5437" width="12.28515625" style="1986" customWidth="1"/>
    <col min="5438" max="5633" width="9.42578125" style="1986"/>
    <col min="5634" max="5634" width="13.7109375" style="1986" customWidth="1"/>
    <col min="5635" max="5635" width="17.140625" style="1986" customWidth="1"/>
    <col min="5636" max="5636" width="3" style="1986" customWidth="1"/>
    <col min="5637" max="5637" width="8.28515625" style="1986" customWidth="1"/>
    <col min="5638" max="5638" width="3.28515625" style="1986" customWidth="1"/>
    <col min="5639" max="5639" width="50" style="1986" customWidth="1"/>
    <col min="5640" max="5660" width="13.7109375" style="1986" customWidth="1"/>
    <col min="5661" max="5661" width="33.140625" style="1986" customWidth="1"/>
    <col min="5662" max="5662" width="4.28515625" style="1986" customWidth="1"/>
    <col min="5663" max="5663" width="3.42578125" style="1986" customWidth="1"/>
    <col min="5664" max="5664" width="2.28515625" style="1986" customWidth="1"/>
    <col min="5665" max="5665" width="4.42578125" style="1986" customWidth="1"/>
    <col min="5666" max="5666" width="7.140625" style="1986" customWidth="1"/>
    <col min="5667" max="5667" width="7.28515625" style="1986" customWidth="1"/>
    <col min="5668" max="5668" width="14.42578125" style="1986" bestFit="1" customWidth="1"/>
    <col min="5669" max="5669" width="6.140625" style="1986" customWidth="1"/>
    <col min="5670" max="5670" width="18.5703125" style="1986" bestFit="1" customWidth="1"/>
    <col min="5671" max="5671" width="7.5703125" style="1986" customWidth="1"/>
    <col min="5672" max="5673" width="7.28515625" style="1986" customWidth="1"/>
    <col min="5674" max="5674" width="8.28515625" style="1986" customWidth="1"/>
    <col min="5675" max="5675" width="9.42578125" style="1986" customWidth="1"/>
    <col min="5676" max="5676" width="9.140625" style="1986" customWidth="1"/>
    <col min="5677" max="5678" width="7.28515625" style="1986" customWidth="1"/>
    <col min="5679" max="5679" width="9" style="1986" customWidth="1"/>
    <col min="5680" max="5680" width="9.42578125" style="1986" customWidth="1"/>
    <col min="5681" max="5681" width="6" style="1986" customWidth="1"/>
    <col min="5682" max="5682" width="9.42578125" style="1986" customWidth="1"/>
    <col min="5683" max="5683" width="7.7109375" style="1986" customWidth="1"/>
    <col min="5684" max="5691" width="9.42578125" style="1986" customWidth="1"/>
    <col min="5692" max="5692" width="13.85546875" style="1986" customWidth="1"/>
    <col min="5693" max="5693" width="12.28515625" style="1986" customWidth="1"/>
    <col min="5694" max="5889" width="9.42578125" style="1986"/>
    <col min="5890" max="5890" width="13.7109375" style="1986" customWidth="1"/>
    <col min="5891" max="5891" width="17.140625" style="1986" customWidth="1"/>
    <col min="5892" max="5892" width="3" style="1986" customWidth="1"/>
    <col min="5893" max="5893" width="8.28515625" style="1986" customWidth="1"/>
    <col min="5894" max="5894" width="3.28515625" style="1986" customWidth="1"/>
    <col min="5895" max="5895" width="50" style="1986" customWidth="1"/>
    <col min="5896" max="5916" width="13.7109375" style="1986" customWidth="1"/>
    <col min="5917" max="5917" width="33.140625" style="1986" customWidth="1"/>
    <col min="5918" max="5918" width="4.28515625" style="1986" customWidth="1"/>
    <col min="5919" max="5919" width="3.42578125" style="1986" customWidth="1"/>
    <col min="5920" max="5920" width="2.28515625" style="1986" customWidth="1"/>
    <col min="5921" max="5921" width="4.42578125" style="1986" customWidth="1"/>
    <col min="5922" max="5922" width="7.140625" style="1986" customWidth="1"/>
    <col min="5923" max="5923" width="7.28515625" style="1986" customWidth="1"/>
    <col min="5924" max="5924" width="14.42578125" style="1986" bestFit="1" customWidth="1"/>
    <col min="5925" max="5925" width="6.140625" style="1986" customWidth="1"/>
    <col min="5926" max="5926" width="18.5703125" style="1986" bestFit="1" customWidth="1"/>
    <col min="5927" max="5927" width="7.5703125" style="1986" customWidth="1"/>
    <col min="5928" max="5929" width="7.28515625" style="1986" customWidth="1"/>
    <col min="5930" max="5930" width="8.28515625" style="1986" customWidth="1"/>
    <col min="5931" max="5931" width="9.42578125" style="1986" customWidth="1"/>
    <col min="5932" max="5932" width="9.140625" style="1986" customWidth="1"/>
    <col min="5933" max="5934" width="7.28515625" style="1986" customWidth="1"/>
    <col min="5935" max="5935" width="9" style="1986" customWidth="1"/>
    <col min="5936" max="5936" width="9.42578125" style="1986" customWidth="1"/>
    <col min="5937" max="5937" width="6" style="1986" customWidth="1"/>
    <col min="5938" max="5938" width="9.42578125" style="1986" customWidth="1"/>
    <col min="5939" max="5939" width="7.7109375" style="1986" customWidth="1"/>
    <col min="5940" max="5947" width="9.42578125" style="1986" customWidth="1"/>
    <col min="5948" max="5948" width="13.85546875" style="1986" customWidth="1"/>
    <col min="5949" max="5949" width="12.28515625" style="1986" customWidth="1"/>
    <col min="5950" max="6145" width="9.42578125" style="1986"/>
    <col min="6146" max="6146" width="13.7109375" style="1986" customWidth="1"/>
    <col min="6147" max="6147" width="17.140625" style="1986" customWidth="1"/>
    <col min="6148" max="6148" width="3" style="1986" customWidth="1"/>
    <col min="6149" max="6149" width="8.28515625" style="1986" customWidth="1"/>
    <col min="6150" max="6150" width="3.28515625" style="1986" customWidth="1"/>
    <col min="6151" max="6151" width="50" style="1986" customWidth="1"/>
    <col min="6152" max="6172" width="13.7109375" style="1986" customWidth="1"/>
    <col min="6173" max="6173" width="33.140625" style="1986" customWidth="1"/>
    <col min="6174" max="6174" width="4.28515625" style="1986" customWidth="1"/>
    <col min="6175" max="6175" width="3.42578125" style="1986" customWidth="1"/>
    <col min="6176" max="6176" width="2.28515625" style="1986" customWidth="1"/>
    <col min="6177" max="6177" width="4.42578125" style="1986" customWidth="1"/>
    <col min="6178" max="6178" width="7.140625" style="1986" customWidth="1"/>
    <col min="6179" max="6179" width="7.28515625" style="1986" customWidth="1"/>
    <col min="6180" max="6180" width="14.42578125" style="1986" bestFit="1" customWidth="1"/>
    <col min="6181" max="6181" width="6.140625" style="1986" customWidth="1"/>
    <col min="6182" max="6182" width="18.5703125" style="1986" bestFit="1" customWidth="1"/>
    <col min="6183" max="6183" width="7.5703125" style="1986" customWidth="1"/>
    <col min="6184" max="6185" width="7.28515625" style="1986" customWidth="1"/>
    <col min="6186" max="6186" width="8.28515625" style="1986" customWidth="1"/>
    <col min="6187" max="6187" width="9.42578125" style="1986" customWidth="1"/>
    <col min="6188" max="6188" width="9.140625" style="1986" customWidth="1"/>
    <col min="6189" max="6190" width="7.28515625" style="1986" customWidth="1"/>
    <col min="6191" max="6191" width="9" style="1986" customWidth="1"/>
    <col min="6192" max="6192" width="9.42578125" style="1986" customWidth="1"/>
    <col min="6193" max="6193" width="6" style="1986" customWidth="1"/>
    <col min="6194" max="6194" width="9.42578125" style="1986" customWidth="1"/>
    <col min="6195" max="6195" width="7.7109375" style="1986" customWidth="1"/>
    <col min="6196" max="6203" width="9.42578125" style="1986" customWidth="1"/>
    <col min="6204" max="6204" width="13.85546875" style="1986" customWidth="1"/>
    <col min="6205" max="6205" width="12.28515625" style="1986" customWidth="1"/>
    <col min="6206" max="6401" width="9.42578125" style="1986"/>
    <col min="6402" max="6402" width="13.7109375" style="1986" customWidth="1"/>
    <col min="6403" max="6403" width="17.140625" style="1986" customWidth="1"/>
    <col min="6404" max="6404" width="3" style="1986" customWidth="1"/>
    <col min="6405" max="6405" width="8.28515625" style="1986" customWidth="1"/>
    <col min="6406" max="6406" width="3.28515625" style="1986" customWidth="1"/>
    <col min="6407" max="6407" width="50" style="1986" customWidth="1"/>
    <col min="6408" max="6428" width="13.7109375" style="1986" customWidth="1"/>
    <col min="6429" max="6429" width="33.140625" style="1986" customWidth="1"/>
    <col min="6430" max="6430" width="4.28515625" style="1986" customWidth="1"/>
    <col min="6431" max="6431" width="3.42578125" style="1986" customWidth="1"/>
    <col min="6432" max="6432" width="2.28515625" style="1986" customWidth="1"/>
    <col min="6433" max="6433" width="4.42578125" style="1986" customWidth="1"/>
    <col min="6434" max="6434" width="7.140625" style="1986" customWidth="1"/>
    <col min="6435" max="6435" width="7.28515625" style="1986" customWidth="1"/>
    <col min="6436" max="6436" width="14.42578125" style="1986" bestFit="1" customWidth="1"/>
    <col min="6437" max="6437" width="6.140625" style="1986" customWidth="1"/>
    <col min="6438" max="6438" width="18.5703125" style="1986" bestFit="1" customWidth="1"/>
    <col min="6439" max="6439" width="7.5703125" style="1986" customWidth="1"/>
    <col min="6440" max="6441" width="7.28515625" style="1986" customWidth="1"/>
    <col min="6442" max="6442" width="8.28515625" style="1986" customWidth="1"/>
    <col min="6443" max="6443" width="9.42578125" style="1986" customWidth="1"/>
    <col min="6444" max="6444" width="9.140625" style="1986" customWidth="1"/>
    <col min="6445" max="6446" width="7.28515625" style="1986" customWidth="1"/>
    <col min="6447" max="6447" width="9" style="1986" customWidth="1"/>
    <col min="6448" max="6448" width="9.42578125" style="1986" customWidth="1"/>
    <col min="6449" max="6449" width="6" style="1986" customWidth="1"/>
    <col min="6450" max="6450" width="9.42578125" style="1986" customWidth="1"/>
    <col min="6451" max="6451" width="7.7109375" style="1986" customWidth="1"/>
    <col min="6452" max="6459" width="9.42578125" style="1986" customWidth="1"/>
    <col min="6460" max="6460" width="13.85546875" style="1986" customWidth="1"/>
    <col min="6461" max="6461" width="12.28515625" style="1986" customWidth="1"/>
    <col min="6462" max="6657" width="9.42578125" style="1986"/>
    <col min="6658" max="6658" width="13.7109375" style="1986" customWidth="1"/>
    <col min="6659" max="6659" width="17.140625" style="1986" customWidth="1"/>
    <col min="6660" max="6660" width="3" style="1986" customWidth="1"/>
    <col min="6661" max="6661" width="8.28515625" style="1986" customWidth="1"/>
    <col min="6662" max="6662" width="3.28515625" style="1986" customWidth="1"/>
    <col min="6663" max="6663" width="50" style="1986" customWidth="1"/>
    <col min="6664" max="6684" width="13.7109375" style="1986" customWidth="1"/>
    <col min="6685" max="6685" width="33.140625" style="1986" customWidth="1"/>
    <col min="6686" max="6686" width="4.28515625" style="1986" customWidth="1"/>
    <col min="6687" max="6687" width="3.42578125" style="1986" customWidth="1"/>
    <col min="6688" max="6688" width="2.28515625" style="1986" customWidth="1"/>
    <col min="6689" max="6689" width="4.42578125" style="1986" customWidth="1"/>
    <col min="6690" max="6690" width="7.140625" style="1986" customWidth="1"/>
    <col min="6691" max="6691" width="7.28515625" style="1986" customWidth="1"/>
    <col min="6692" max="6692" width="14.42578125" style="1986" bestFit="1" customWidth="1"/>
    <col min="6693" max="6693" width="6.140625" style="1986" customWidth="1"/>
    <col min="6694" max="6694" width="18.5703125" style="1986" bestFit="1" customWidth="1"/>
    <col min="6695" max="6695" width="7.5703125" style="1986" customWidth="1"/>
    <col min="6696" max="6697" width="7.28515625" style="1986" customWidth="1"/>
    <col min="6698" max="6698" width="8.28515625" style="1986" customWidth="1"/>
    <col min="6699" max="6699" width="9.42578125" style="1986" customWidth="1"/>
    <col min="6700" max="6700" width="9.140625" style="1986" customWidth="1"/>
    <col min="6701" max="6702" width="7.28515625" style="1986" customWidth="1"/>
    <col min="6703" max="6703" width="9" style="1986" customWidth="1"/>
    <col min="6704" max="6704" width="9.42578125" style="1986" customWidth="1"/>
    <col min="6705" max="6705" width="6" style="1986" customWidth="1"/>
    <col min="6706" max="6706" width="9.42578125" style="1986" customWidth="1"/>
    <col min="6707" max="6707" width="7.7109375" style="1986" customWidth="1"/>
    <col min="6708" max="6715" width="9.42578125" style="1986" customWidth="1"/>
    <col min="6716" max="6716" width="13.85546875" style="1986" customWidth="1"/>
    <col min="6717" max="6717" width="12.28515625" style="1986" customWidth="1"/>
    <col min="6718" max="6913" width="9.42578125" style="1986"/>
    <col min="6914" max="6914" width="13.7109375" style="1986" customWidth="1"/>
    <col min="6915" max="6915" width="17.140625" style="1986" customWidth="1"/>
    <col min="6916" max="6916" width="3" style="1986" customWidth="1"/>
    <col min="6917" max="6917" width="8.28515625" style="1986" customWidth="1"/>
    <col min="6918" max="6918" width="3.28515625" style="1986" customWidth="1"/>
    <col min="6919" max="6919" width="50" style="1986" customWidth="1"/>
    <col min="6920" max="6940" width="13.7109375" style="1986" customWidth="1"/>
    <col min="6941" max="6941" width="33.140625" style="1986" customWidth="1"/>
    <col min="6942" max="6942" width="4.28515625" style="1986" customWidth="1"/>
    <col min="6943" max="6943" width="3.42578125" style="1986" customWidth="1"/>
    <col min="6944" max="6944" width="2.28515625" style="1986" customWidth="1"/>
    <col min="6945" max="6945" width="4.42578125" style="1986" customWidth="1"/>
    <col min="6946" max="6946" width="7.140625" style="1986" customWidth="1"/>
    <col min="6947" max="6947" width="7.28515625" style="1986" customWidth="1"/>
    <col min="6948" max="6948" width="14.42578125" style="1986" bestFit="1" customWidth="1"/>
    <col min="6949" max="6949" width="6.140625" style="1986" customWidth="1"/>
    <col min="6950" max="6950" width="18.5703125" style="1986" bestFit="1" customWidth="1"/>
    <col min="6951" max="6951" width="7.5703125" style="1986" customWidth="1"/>
    <col min="6952" max="6953" width="7.28515625" style="1986" customWidth="1"/>
    <col min="6954" max="6954" width="8.28515625" style="1986" customWidth="1"/>
    <col min="6955" max="6955" width="9.42578125" style="1986" customWidth="1"/>
    <col min="6956" max="6956" width="9.140625" style="1986" customWidth="1"/>
    <col min="6957" max="6958" width="7.28515625" style="1986" customWidth="1"/>
    <col min="6959" max="6959" width="9" style="1986" customWidth="1"/>
    <col min="6960" max="6960" width="9.42578125" style="1986" customWidth="1"/>
    <col min="6961" max="6961" width="6" style="1986" customWidth="1"/>
    <col min="6962" max="6962" width="9.42578125" style="1986" customWidth="1"/>
    <col min="6963" max="6963" width="7.7109375" style="1986" customWidth="1"/>
    <col min="6964" max="6971" width="9.42578125" style="1986" customWidth="1"/>
    <col min="6972" max="6972" width="13.85546875" style="1986" customWidth="1"/>
    <col min="6973" max="6973" width="12.28515625" style="1986" customWidth="1"/>
    <col min="6974" max="7169" width="9.42578125" style="1986"/>
    <col min="7170" max="7170" width="13.7109375" style="1986" customWidth="1"/>
    <col min="7171" max="7171" width="17.140625" style="1986" customWidth="1"/>
    <col min="7172" max="7172" width="3" style="1986" customWidth="1"/>
    <col min="7173" max="7173" width="8.28515625" style="1986" customWidth="1"/>
    <col min="7174" max="7174" width="3.28515625" style="1986" customWidth="1"/>
    <col min="7175" max="7175" width="50" style="1986" customWidth="1"/>
    <col min="7176" max="7196" width="13.7109375" style="1986" customWidth="1"/>
    <col min="7197" max="7197" width="33.140625" style="1986" customWidth="1"/>
    <col min="7198" max="7198" width="4.28515625" style="1986" customWidth="1"/>
    <col min="7199" max="7199" width="3.42578125" style="1986" customWidth="1"/>
    <col min="7200" max="7200" width="2.28515625" style="1986" customWidth="1"/>
    <col min="7201" max="7201" width="4.42578125" style="1986" customWidth="1"/>
    <col min="7202" max="7202" width="7.140625" style="1986" customWidth="1"/>
    <col min="7203" max="7203" width="7.28515625" style="1986" customWidth="1"/>
    <col min="7204" max="7204" width="14.42578125" style="1986" bestFit="1" customWidth="1"/>
    <col min="7205" max="7205" width="6.140625" style="1986" customWidth="1"/>
    <col min="7206" max="7206" width="18.5703125" style="1986" bestFit="1" customWidth="1"/>
    <col min="7207" max="7207" width="7.5703125" style="1986" customWidth="1"/>
    <col min="7208" max="7209" width="7.28515625" style="1986" customWidth="1"/>
    <col min="7210" max="7210" width="8.28515625" style="1986" customWidth="1"/>
    <col min="7211" max="7211" width="9.42578125" style="1986" customWidth="1"/>
    <col min="7212" max="7212" width="9.140625" style="1986" customWidth="1"/>
    <col min="7213" max="7214" width="7.28515625" style="1986" customWidth="1"/>
    <col min="7215" max="7215" width="9" style="1986" customWidth="1"/>
    <col min="7216" max="7216" width="9.42578125" style="1986" customWidth="1"/>
    <col min="7217" max="7217" width="6" style="1986" customWidth="1"/>
    <col min="7218" max="7218" width="9.42578125" style="1986" customWidth="1"/>
    <col min="7219" max="7219" width="7.7109375" style="1986" customWidth="1"/>
    <col min="7220" max="7227" width="9.42578125" style="1986" customWidth="1"/>
    <col min="7228" max="7228" width="13.85546875" style="1986" customWidth="1"/>
    <col min="7229" max="7229" width="12.28515625" style="1986" customWidth="1"/>
    <col min="7230" max="7425" width="9.42578125" style="1986"/>
    <col min="7426" max="7426" width="13.7109375" style="1986" customWidth="1"/>
    <col min="7427" max="7427" width="17.140625" style="1986" customWidth="1"/>
    <col min="7428" max="7428" width="3" style="1986" customWidth="1"/>
    <col min="7429" max="7429" width="8.28515625" style="1986" customWidth="1"/>
    <col min="7430" max="7430" width="3.28515625" style="1986" customWidth="1"/>
    <col min="7431" max="7431" width="50" style="1986" customWidth="1"/>
    <col min="7432" max="7452" width="13.7109375" style="1986" customWidth="1"/>
    <col min="7453" max="7453" width="33.140625" style="1986" customWidth="1"/>
    <col min="7454" max="7454" width="4.28515625" style="1986" customWidth="1"/>
    <col min="7455" max="7455" width="3.42578125" style="1986" customWidth="1"/>
    <col min="7456" max="7456" width="2.28515625" style="1986" customWidth="1"/>
    <col min="7457" max="7457" width="4.42578125" style="1986" customWidth="1"/>
    <col min="7458" max="7458" width="7.140625" style="1986" customWidth="1"/>
    <col min="7459" max="7459" width="7.28515625" style="1986" customWidth="1"/>
    <col min="7460" max="7460" width="14.42578125" style="1986" bestFit="1" customWidth="1"/>
    <col min="7461" max="7461" width="6.140625" style="1986" customWidth="1"/>
    <col min="7462" max="7462" width="18.5703125" style="1986" bestFit="1" customWidth="1"/>
    <col min="7463" max="7463" width="7.5703125" style="1986" customWidth="1"/>
    <col min="7464" max="7465" width="7.28515625" style="1986" customWidth="1"/>
    <col min="7466" max="7466" width="8.28515625" style="1986" customWidth="1"/>
    <col min="7467" max="7467" width="9.42578125" style="1986" customWidth="1"/>
    <col min="7468" max="7468" width="9.140625" style="1986" customWidth="1"/>
    <col min="7469" max="7470" width="7.28515625" style="1986" customWidth="1"/>
    <col min="7471" max="7471" width="9" style="1986" customWidth="1"/>
    <col min="7472" max="7472" width="9.42578125" style="1986" customWidth="1"/>
    <col min="7473" max="7473" width="6" style="1986" customWidth="1"/>
    <col min="7474" max="7474" width="9.42578125" style="1986" customWidth="1"/>
    <col min="7475" max="7475" width="7.7109375" style="1986" customWidth="1"/>
    <col min="7476" max="7483" width="9.42578125" style="1986" customWidth="1"/>
    <col min="7484" max="7484" width="13.85546875" style="1986" customWidth="1"/>
    <col min="7485" max="7485" width="12.28515625" style="1986" customWidth="1"/>
    <col min="7486" max="7681" width="9.42578125" style="1986"/>
    <col min="7682" max="7682" width="13.7109375" style="1986" customWidth="1"/>
    <col min="7683" max="7683" width="17.140625" style="1986" customWidth="1"/>
    <col min="7684" max="7684" width="3" style="1986" customWidth="1"/>
    <col min="7685" max="7685" width="8.28515625" style="1986" customWidth="1"/>
    <col min="7686" max="7686" width="3.28515625" style="1986" customWidth="1"/>
    <col min="7687" max="7687" width="50" style="1986" customWidth="1"/>
    <col min="7688" max="7708" width="13.7109375" style="1986" customWidth="1"/>
    <col min="7709" max="7709" width="33.140625" style="1986" customWidth="1"/>
    <col min="7710" max="7710" width="4.28515625" style="1986" customWidth="1"/>
    <col min="7711" max="7711" width="3.42578125" style="1986" customWidth="1"/>
    <col min="7712" max="7712" width="2.28515625" style="1986" customWidth="1"/>
    <col min="7713" max="7713" width="4.42578125" style="1986" customWidth="1"/>
    <col min="7714" max="7714" width="7.140625" style="1986" customWidth="1"/>
    <col min="7715" max="7715" width="7.28515625" style="1986" customWidth="1"/>
    <col min="7716" max="7716" width="14.42578125" style="1986" bestFit="1" customWidth="1"/>
    <col min="7717" max="7717" width="6.140625" style="1986" customWidth="1"/>
    <col min="7718" max="7718" width="18.5703125" style="1986" bestFit="1" customWidth="1"/>
    <col min="7719" max="7719" width="7.5703125" style="1986" customWidth="1"/>
    <col min="7720" max="7721" width="7.28515625" style="1986" customWidth="1"/>
    <col min="7722" max="7722" width="8.28515625" style="1986" customWidth="1"/>
    <col min="7723" max="7723" width="9.42578125" style="1986" customWidth="1"/>
    <col min="7724" max="7724" width="9.140625" style="1986" customWidth="1"/>
    <col min="7725" max="7726" width="7.28515625" style="1986" customWidth="1"/>
    <col min="7727" max="7727" width="9" style="1986" customWidth="1"/>
    <col min="7728" max="7728" width="9.42578125" style="1986" customWidth="1"/>
    <col min="7729" max="7729" width="6" style="1986" customWidth="1"/>
    <col min="7730" max="7730" width="9.42578125" style="1986" customWidth="1"/>
    <col min="7731" max="7731" width="7.7109375" style="1986" customWidth="1"/>
    <col min="7732" max="7739" width="9.42578125" style="1986" customWidth="1"/>
    <col min="7740" max="7740" width="13.85546875" style="1986" customWidth="1"/>
    <col min="7741" max="7741" width="12.28515625" style="1986" customWidth="1"/>
    <col min="7742" max="7937" width="9.42578125" style="1986"/>
    <col min="7938" max="7938" width="13.7109375" style="1986" customWidth="1"/>
    <col min="7939" max="7939" width="17.140625" style="1986" customWidth="1"/>
    <col min="7940" max="7940" width="3" style="1986" customWidth="1"/>
    <col min="7941" max="7941" width="8.28515625" style="1986" customWidth="1"/>
    <col min="7942" max="7942" width="3.28515625" style="1986" customWidth="1"/>
    <col min="7943" max="7943" width="50" style="1986" customWidth="1"/>
    <col min="7944" max="7964" width="13.7109375" style="1986" customWidth="1"/>
    <col min="7965" max="7965" width="33.140625" style="1986" customWidth="1"/>
    <col min="7966" max="7966" width="4.28515625" style="1986" customWidth="1"/>
    <col min="7967" max="7967" width="3.42578125" style="1986" customWidth="1"/>
    <col min="7968" max="7968" width="2.28515625" style="1986" customWidth="1"/>
    <col min="7969" max="7969" width="4.42578125" style="1986" customWidth="1"/>
    <col min="7970" max="7970" width="7.140625" style="1986" customWidth="1"/>
    <col min="7971" max="7971" width="7.28515625" style="1986" customWidth="1"/>
    <col min="7972" max="7972" width="14.42578125" style="1986" bestFit="1" customWidth="1"/>
    <col min="7973" max="7973" width="6.140625" style="1986" customWidth="1"/>
    <col min="7974" max="7974" width="18.5703125" style="1986" bestFit="1" customWidth="1"/>
    <col min="7975" max="7975" width="7.5703125" style="1986" customWidth="1"/>
    <col min="7976" max="7977" width="7.28515625" style="1986" customWidth="1"/>
    <col min="7978" max="7978" width="8.28515625" style="1986" customWidth="1"/>
    <col min="7979" max="7979" width="9.42578125" style="1986" customWidth="1"/>
    <col min="7980" max="7980" width="9.140625" style="1986" customWidth="1"/>
    <col min="7981" max="7982" width="7.28515625" style="1986" customWidth="1"/>
    <col min="7983" max="7983" width="9" style="1986" customWidth="1"/>
    <col min="7984" max="7984" width="9.42578125" style="1986" customWidth="1"/>
    <col min="7985" max="7985" width="6" style="1986" customWidth="1"/>
    <col min="7986" max="7986" width="9.42578125" style="1986" customWidth="1"/>
    <col min="7987" max="7987" width="7.7109375" style="1986" customWidth="1"/>
    <col min="7988" max="7995" width="9.42578125" style="1986" customWidth="1"/>
    <col min="7996" max="7996" width="13.85546875" style="1986" customWidth="1"/>
    <col min="7997" max="7997" width="12.28515625" style="1986" customWidth="1"/>
    <col min="7998" max="8193" width="9.42578125" style="1986"/>
    <col min="8194" max="8194" width="13.7109375" style="1986" customWidth="1"/>
    <col min="8195" max="8195" width="17.140625" style="1986" customWidth="1"/>
    <col min="8196" max="8196" width="3" style="1986" customWidth="1"/>
    <col min="8197" max="8197" width="8.28515625" style="1986" customWidth="1"/>
    <col min="8198" max="8198" width="3.28515625" style="1986" customWidth="1"/>
    <col min="8199" max="8199" width="50" style="1986" customWidth="1"/>
    <col min="8200" max="8220" width="13.7109375" style="1986" customWidth="1"/>
    <col min="8221" max="8221" width="33.140625" style="1986" customWidth="1"/>
    <col min="8222" max="8222" width="4.28515625" style="1986" customWidth="1"/>
    <col min="8223" max="8223" width="3.42578125" style="1986" customWidth="1"/>
    <col min="8224" max="8224" width="2.28515625" style="1986" customWidth="1"/>
    <col min="8225" max="8225" width="4.42578125" style="1986" customWidth="1"/>
    <col min="8226" max="8226" width="7.140625" style="1986" customWidth="1"/>
    <col min="8227" max="8227" width="7.28515625" style="1986" customWidth="1"/>
    <col min="8228" max="8228" width="14.42578125" style="1986" bestFit="1" customWidth="1"/>
    <col min="8229" max="8229" width="6.140625" style="1986" customWidth="1"/>
    <col min="8230" max="8230" width="18.5703125" style="1986" bestFit="1" customWidth="1"/>
    <col min="8231" max="8231" width="7.5703125" style="1986" customWidth="1"/>
    <col min="8232" max="8233" width="7.28515625" style="1986" customWidth="1"/>
    <col min="8234" max="8234" width="8.28515625" style="1986" customWidth="1"/>
    <col min="8235" max="8235" width="9.42578125" style="1986" customWidth="1"/>
    <col min="8236" max="8236" width="9.140625" style="1986" customWidth="1"/>
    <col min="8237" max="8238" width="7.28515625" style="1986" customWidth="1"/>
    <col min="8239" max="8239" width="9" style="1986" customWidth="1"/>
    <col min="8240" max="8240" width="9.42578125" style="1986" customWidth="1"/>
    <col min="8241" max="8241" width="6" style="1986" customWidth="1"/>
    <col min="8242" max="8242" width="9.42578125" style="1986" customWidth="1"/>
    <col min="8243" max="8243" width="7.7109375" style="1986" customWidth="1"/>
    <col min="8244" max="8251" width="9.42578125" style="1986" customWidth="1"/>
    <col min="8252" max="8252" width="13.85546875" style="1986" customWidth="1"/>
    <col min="8253" max="8253" width="12.28515625" style="1986" customWidth="1"/>
    <col min="8254" max="8449" width="9.42578125" style="1986"/>
    <col min="8450" max="8450" width="13.7109375" style="1986" customWidth="1"/>
    <col min="8451" max="8451" width="17.140625" style="1986" customWidth="1"/>
    <col min="8452" max="8452" width="3" style="1986" customWidth="1"/>
    <col min="8453" max="8453" width="8.28515625" style="1986" customWidth="1"/>
    <col min="8454" max="8454" width="3.28515625" style="1986" customWidth="1"/>
    <col min="8455" max="8455" width="50" style="1986" customWidth="1"/>
    <col min="8456" max="8476" width="13.7109375" style="1986" customWidth="1"/>
    <col min="8477" max="8477" width="33.140625" style="1986" customWidth="1"/>
    <col min="8478" max="8478" width="4.28515625" style="1986" customWidth="1"/>
    <col min="8479" max="8479" width="3.42578125" style="1986" customWidth="1"/>
    <col min="8480" max="8480" width="2.28515625" style="1986" customWidth="1"/>
    <col min="8481" max="8481" width="4.42578125" style="1986" customWidth="1"/>
    <col min="8482" max="8482" width="7.140625" style="1986" customWidth="1"/>
    <col min="8483" max="8483" width="7.28515625" style="1986" customWidth="1"/>
    <col min="8484" max="8484" width="14.42578125" style="1986" bestFit="1" customWidth="1"/>
    <col min="8485" max="8485" width="6.140625" style="1986" customWidth="1"/>
    <col min="8486" max="8486" width="18.5703125" style="1986" bestFit="1" customWidth="1"/>
    <col min="8487" max="8487" width="7.5703125" style="1986" customWidth="1"/>
    <col min="8488" max="8489" width="7.28515625" style="1986" customWidth="1"/>
    <col min="8490" max="8490" width="8.28515625" style="1986" customWidth="1"/>
    <col min="8491" max="8491" width="9.42578125" style="1986" customWidth="1"/>
    <col min="8492" max="8492" width="9.140625" style="1986" customWidth="1"/>
    <col min="8493" max="8494" width="7.28515625" style="1986" customWidth="1"/>
    <col min="8495" max="8495" width="9" style="1986" customWidth="1"/>
    <col min="8496" max="8496" width="9.42578125" style="1986" customWidth="1"/>
    <col min="8497" max="8497" width="6" style="1986" customWidth="1"/>
    <col min="8498" max="8498" width="9.42578125" style="1986" customWidth="1"/>
    <col min="8499" max="8499" width="7.7109375" style="1986" customWidth="1"/>
    <col min="8500" max="8507" width="9.42578125" style="1986" customWidth="1"/>
    <col min="8508" max="8508" width="13.85546875" style="1986" customWidth="1"/>
    <col min="8509" max="8509" width="12.28515625" style="1986" customWidth="1"/>
    <col min="8510" max="8705" width="9.42578125" style="1986"/>
    <col min="8706" max="8706" width="13.7109375" style="1986" customWidth="1"/>
    <col min="8707" max="8707" width="17.140625" style="1986" customWidth="1"/>
    <col min="8708" max="8708" width="3" style="1986" customWidth="1"/>
    <col min="8709" max="8709" width="8.28515625" style="1986" customWidth="1"/>
    <col min="8710" max="8710" width="3.28515625" style="1986" customWidth="1"/>
    <col min="8711" max="8711" width="50" style="1986" customWidth="1"/>
    <col min="8712" max="8732" width="13.7109375" style="1986" customWidth="1"/>
    <col min="8733" max="8733" width="33.140625" style="1986" customWidth="1"/>
    <col min="8734" max="8734" width="4.28515625" style="1986" customWidth="1"/>
    <col min="8735" max="8735" width="3.42578125" style="1986" customWidth="1"/>
    <col min="8736" max="8736" width="2.28515625" style="1986" customWidth="1"/>
    <col min="8737" max="8737" width="4.42578125" style="1986" customWidth="1"/>
    <col min="8738" max="8738" width="7.140625" style="1986" customWidth="1"/>
    <col min="8739" max="8739" width="7.28515625" style="1986" customWidth="1"/>
    <col min="8740" max="8740" width="14.42578125" style="1986" bestFit="1" customWidth="1"/>
    <col min="8741" max="8741" width="6.140625" style="1986" customWidth="1"/>
    <col min="8742" max="8742" width="18.5703125" style="1986" bestFit="1" customWidth="1"/>
    <col min="8743" max="8743" width="7.5703125" style="1986" customWidth="1"/>
    <col min="8744" max="8745" width="7.28515625" style="1986" customWidth="1"/>
    <col min="8746" max="8746" width="8.28515625" style="1986" customWidth="1"/>
    <col min="8747" max="8747" width="9.42578125" style="1986" customWidth="1"/>
    <col min="8748" max="8748" width="9.140625" style="1986" customWidth="1"/>
    <col min="8749" max="8750" width="7.28515625" style="1986" customWidth="1"/>
    <col min="8751" max="8751" width="9" style="1986" customWidth="1"/>
    <col min="8752" max="8752" width="9.42578125" style="1986" customWidth="1"/>
    <col min="8753" max="8753" width="6" style="1986" customWidth="1"/>
    <col min="8754" max="8754" width="9.42578125" style="1986" customWidth="1"/>
    <col min="8755" max="8755" width="7.7109375" style="1986" customWidth="1"/>
    <col min="8756" max="8763" width="9.42578125" style="1986" customWidth="1"/>
    <col min="8764" max="8764" width="13.85546875" style="1986" customWidth="1"/>
    <col min="8765" max="8765" width="12.28515625" style="1986" customWidth="1"/>
    <col min="8766" max="8961" width="9.42578125" style="1986"/>
    <col min="8962" max="8962" width="13.7109375" style="1986" customWidth="1"/>
    <col min="8963" max="8963" width="17.140625" style="1986" customWidth="1"/>
    <col min="8964" max="8964" width="3" style="1986" customWidth="1"/>
    <col min="8965" max="8965" width="8.28515625" style="1986" customWidth="1"/>
    <col min="8966" max="8966" width="3.28515625" style="1986" customWidth="1"/>
    <col min="8967" max="8967" width="50" style="1986" customWidth="1"/>
    <col min="8968" max="8988" width="13.7109375" style="1986" customWidth="1"/>
    <col min="8989" max="8989" width="33.140625" style="1986" customWidth="1"/>
    <col min="8990" max="8990" width="4.28515625" style="1986" customWidth="1"/>
    <col min="8991" max="8991" width="3.42578125" style="1986" customWidth="1"/>
    <col min="8992" max="8992" width="2.28515625" style="1986" customWidth="1"/>
    <col min="8993" max="8993" width="4.42578125" style="1986" customWidth="1"/>
    <col min="8994" max="8994" width="7.140625" style="1986" customWidth="1"/>
    <col min="8995" max="8995" width="7.28515625" style="1986" customWidth="1"/>
    <col min="8996" max="8996" width="14.42578125" style="1986" bestFit="1" customWidth="1"/>
    <col min="8997" max="8997" width="6.140625" style="1986" customWidth="1"/>
    <col min="8998" max="8998" width="18.5703125" style="1986" bestFit="1" customWidth="1"/>
    <col min="8999" max="8999" width="7.5703125" style="1986" customWidth="1"/>
    <col min="9000" max="9001" width="7.28515625" style="1986" customWidth="1"/>
    <col min="9002" max="9002" width="8.28515625" style="1986" customWidth="1"/>
    <col min="9003" max="9003" width="9.42578125" style="1986" customWidth="1"/>
    <col min="9004" max="9004" width="9.140625" style="1986" customWidth="1"/>
    <col min="9005" max="9006" width="7.28515625" style="1986" customWidth="1"/>
    <col min="9007" max="9007" width="9" style="1986" customWidth="1"/>
    <col min="9008" max="9008" width="9.42578125" style="1986" customWidth="1"/>
    <col min="9009" max="9009" width="6" style="1986" customWidth="1"/>
    <col min="9010" max="9010" width="9.42578125" style="1986" customWidth="1"/>
    <col min="9011" max="9011" width="7.7109375" style="1986" customWidth="1"/>
    <col min="9012" max="9019" width="9.42578125" style="1986" customWidth="1"/>
    <col min="9020" max="9020" width="13.85546875" style="1986" customWidth="1"/>
    <col min="9021" max="9021" width="12.28515625" style="1986" customWidth="1"/>
    <col min="9022" max="9217" width="9.42578125" style="1986"/>
    <col min="9218" max="9218" width="13.7109375" style="1986" customWidth="1"/>
    <col min="9219" max="9219" width="17.140625" style="1986" customWidth="1"/>
    <col min="9220" max="9220" width="3" style="1986" customWidth="1"/>
    <col min="9221" max="9221" width="8.28515625" style="1986" customWidth="1"/>
    <col min="9222" max="9222" width="3.28515625" style="1986" customWidth="1"/>
    <col min="9223" max="9223" width="50" style="1986" customWidth="1"/>
    <col min="9224" max="9244" width="13.7109375" style="1986" customWidth="1"/>
    <col min="9245" max="9245" width="33.140625" style="1986" customWidth="1"/>
    <col min="9246" max="9246" width="4.28515625" style="1986" customWidth="1"/>
    <col min="9247" max="9247" width="3.42578125" style="1986" customWidth="1"/>
    <col min="9248" max="9248" width="2.28515625" style="1986" customWidth="1"/>
    <col min="9249" max="9249" width="4.42578125" style="1986" customWidth="1"/>
    <col min="9250" max="9250" width="7.140625" style="1986" customWidth="1"/>
    <col min="9251" max="9251" width="7.28515625" style="1986" customWidth="1"/>
    <col min="9252" max="9252" width="14.42578125" style="1986" bestFit="1" customWidth="1"/>
    <col min="9253" max="9253" width="6.140625" style="1986" customWidth="1"/>
    <col min="9254" max="9254" width="18.5703125" style="1986" bestFit="1" customWidth="1"/>
    <col min="9255" max="9255" width="7.5703125" style="1986" customWidth="1"/>
    <col min="9256" max="9257" width="7.28515625" style="1986" customWidth="1"/>
    <col min="9258" max="9258" width="8.28515625" style="1986" customWidth="1"/>
    <col min="9259" max="9259" width="9.42578125" style="1986" customWidth="1"/>
    <col min="9260" max="9260" width="9.140625" style="1986" customWidth="1"/>
    <col min="9261" max="9262" width="7.28515625" style="1986" customWidth="1"/>
    <col min="9263" max="9263" width="9" style="1986" customWidth="1"/>
    <col min="9264" max="9264" width="9.42578125" style="1986" customWidth="1"/>
    <col min="9265" max="9265" width="6" style="1986" customWidth="1"/>
    <col min="9266" max="9266" width="9.42578125" style="1986" customWidth="1"/>
    <col min="9267" max="9267" width="7.7109375" style="1986" customWidth="1"/>
    <col min="9268" max="9275" width="9.42578125" style="1986" customWidth="1"/>
    <col min="9276" max="9276" width="13.85546875" style="1986" customWidth="1"/>
    <col min="9277" max="9277" width="12.28515625" style="1986" customWidth="1"/>
    <col min="9278" max="9473" width="9.42578125" style="1986"/>
    <col min="9474" max="9474" width="13.7109375" style="1986" customWidth="1"/>
    <col min="9475" max="9475" width="17.140625" style="1986" customWidth="1"/>
    <col min="9476" max="9476" width="3" style="1986" customWidth="1"/>
    <col min="9477" max="9477" width="8.28515625" style="1986" customWidth="1"/>
    <col min="9478" max="9478" width="3.28515625" style="1986" customWidth="1"/>
    <col min="9479" max="9479" width="50" style="1986" customWidth="1"/>
    <col min="9480" max="9500" width="13.7109375" style="1986" customWidth="1"/>
    <col min="9501" max="9501" width="33.140625" style="1986" customWidth="1"/>
    <col min="9502" max="9502" width="4.28515625" style="1986" customWidth="1"/>
    <col min="9503" max="9503" width="3.42578125" style="1986" customWidth="1"/>
    <col min="9504" max="9504" width="2.28515625" style="1986" customWidth="1"/>
    <col min="9505" max="9505" width="4.42578125" style="1986" customWidth="1"/>
    <col min="9506" max="9506" width="7.140625" style="1986" customWidth="1"/>
    <col min="9507" max="9507" width="7.28515625" style="1986" customWidth="1"/>
    <col min="9508" max="9508" width="14.42578125" style="1986" bestFit="1" customWidth="1"/>
    <col min="9509" max="9509" width="6.140625" style="1986" customWidth="1"/>
    <col min="9510" max="9510" width="18.5703125" style="1986" bestFit="1" customWidth="1"/>
    <col min="9511" max="9511" width="7.5703125" style="1986" customWidth="1"/>
    <col min="9512" max="9513" width="7.28515625" style="1986" customWidth="1"/>
    <col min="9514" max="9514" width="8.28515625" style="1986" customWidth="1"/>
    <col min="9515" max="9515" width="9.42578125" style="1986" customWidth="1"/>
    <col min="9516" max="9516" width="9.140625" style="1986" customWidth="1"/>
    <col min="9517" max="9518" width="7.28515625" style="1986" customWidth="1"/>
    <col min="9519" max="9519" width="9" style="1986" customWidth="1"/>
    <col min="9520" max="9520" width="9.42578125" style="1986" customWidth="1"/>
    <col min="9521" max="9521" width="6" style="1986" customWidth="1"/>
    <col min="9522" max="9522" width="9.42578125" style="1986" customWidth="1"/>
    <col min="9523" max="9523" width="7.7109375" style="1986" customWidth="1"/>
    <col min="9524" max="9531" width="9.42578125" style="1986" customWidth="1"/>
    <col min="9532" max="9532" width="13.85546875" style="1986" customWidth="1"/>
    <col min="9533" max="9533" width="12.28515625" style="1986" customWidth="1"/>
    <col min="9534" max="9729" width="9.42578125" style="1986"/>
    <col min="9730" max="9730" width="13.7109375" style="1986" customWidth="1"/>
    <col min="9731" max="9731" width="17.140625" style="1986" customWidth="1"/>
    <col min="9732" max="9732" width="3" style="1986" customWidth="1"/>
    <col min="9733" max="9733" width="8.28515625" style="1986" customWidth="1"/>
    <col min="9734" max="9734" width="3.28515625" style="1986" customWidth="1"/>
    <col min="9735" max="9735" width="50" style="1986" customWidth="1"/>
    <col min="9736" max="9756" width="13.7109375" style="1986" customWidth="1"/>
    <col min="9757" max="9757" width="33.140625" style="1986" customWidth="1"/>
    <col min="9758" max="9758" width="4.28515625" style="1986" customWidth="1"/>
    <col min="9759" max="9759" width="3.42578125" style="1986" customWidth="1"/>
    <col min="9760" max="9760" width="2.28515625" style="1986" customWidth="1"/>
    <col min="9761" max="9761" width="4.42578125" style="1986" customWidth="1"/>
    <col min="9762" max="9762" width="7.140625" style="1986" customWidth="1"/>
    <col min="9763" max="9763" width="7.28515625" style="1986" customWidth="1"/>
    <col min="9764" max="9764" width="14.42578125" style="1986" bestFit="1" customWidth="1"/>
    <col min="9765" max="9765" width="6.140625" style="1986" customWidth="1"/>
    <col min="9766" max="9766" width="18.5703125" style="1986" bestFit="1" customWidth="1"/>
    <col min="9767" max="9767" width="7.5703125" style="1986" customWidth="1"/>
    <col min="9768" max="9769" width="7.28515625" style="1986" customWidth="1"/>
    <col min="9770" max="9770" width="8.28515625" style="1986" customWidth="1"/>
    <col min="9771" max="9771" width="9.42578125" style="1986" customWidth="1"/>
    <col min="9772" max="9772" width="9.140625" style="1986" customWidth="1"/>
    <col min="9773" max="9774" width="7.28515625" style="1986" customWidth="1"/>
    <col min="9775" max="9775" width="9" style="1986" customWidth="1"/>
    <col min="9776" max="9776" width="9.42578125" style="1986" customWidth="1"/>
    <col min="9777" max="9777" width="6" style="1986" customWidth="1"/>
    <col min="9778" max="9778" width="9.42578125" style="1986" customWidth="1"/>
    <col min="9779" max="9779" width="7.7109375" style="1986" customWidth="1"/>
    <col min="9780" max="9787" width="9.42578125" style="1986" customWidth="1"/>
    <col min="9788" max="9788" width="13.85546875" style="1986" customWidth="1"/>
    <col min="9789" max="9789" width="12.28515625" style="1986" customWidth="1"/>
    <col min="9790" max="9985" width="9.42578125" style="1986"/>
    <col min="9986" max="9986" width="13.7109375" style="1986" customWidth="1"/>
    <col min="9987" max="9987" width="17.140625" style="1986" customWidth="1"/>
    <col min="9988" max="9988" width="3" style="1986" customWidth="1"/>
    <col min="9989" max="9989" width="8.28515625" style="1986" customWidth="1"/>
    <col min="9990" max="9990" width="3.28515625" style="1986" customWidth="1"/>
    <col min="9991" max="9991" width="50" style="1986" customWidth="1"/>
    <col min="9992" max="10012" width="13.7109375" style="1986" customWidth="1"/>
    <col min="10013" max="10013" width="33.140625" style="1986" customWidth="1"/>
    <col min="10014" max="10014" width="4.28515625" style="1986" customWidth="1"/>
    <col min="10015" max="10015" width="3.42578125" style="1986" customWidth="1"/>
    <col min="10016" max="10016" width="2.28515625" style="1986" customWidth="1"/>
    <col min="10017" max="10017" width="4.42578125" style="1986" customWidth="1"/>
    <col min="10018" max="10018" width="7.140625" style="1986" customWidth="1"/>
    <col min="10019" max="10019" width="7.28515625" style="1986" customWidth="1"/>
    <col min="10020" max="10020" width="14.42578125" style="1986" bestFit="1" customWidth="1"/>
    <col min="10021" max="10021" width="6.140625" style="1986" customWidth="1"/>
    <col min="10022" max="10022" width="18.5703125" style="1986" bestFit="1" customWidth="1"/>
    <col min="10023" max="10023" width="7.5703125" style="1986" customWidth="1"/>
    <col min="10024" max="10025" width="7.28515625" style="1986" customWidth="1"/>
    <col min="10026" max="10026" width="8.28515625" style="1986" customWidth="1"/>
    <col min="10027" max="10027" width="9.42578125" style="1986" customWidth="1"/>
    <col min="10028" max="10028" width="9.140625" style="1986" customWidth="1"/>
    <col min="10029" max="10030" width="7.28515625" style="1986" customWidth="1"/>
    <col min="10031" max="10031" width="9" style="1986" customWidth="1"/>
    <col min="10032" max="10032" width="9.42578125" style="1986" customWidth="1"/>
    <col min="10033" max="10033" width="6" style="1986" customWidth="1"/>
    <col min="10034" max="10034" width="9.42578125" style="1986" customWidth="1"/>
    <col min="10035" max="10035" width="7.7109375" style="1986" customWidth="1"/>
    <col min="10036" max="10043" width="9.42578125" style="1986" customWidth="1"/>
    <col min="10044" max="10044" width="13.85546875" style="1986" customWidth="1"/>
    <col min="10045" max="10045" width="12.28515625" style="1986" customWidth="1"/>
    <col min="10046" max="10241" width="9.42578125" style="1986"/>
    <col min="10242" max="10242" width="13.7109375" style="1986" customWidth="1"/>
    <col min="10243" max="10243" width="17.140625" style="1986" customWidth="1"/>
    <col min="10244" max="10244" width="3" style="1986" customWidth="1"/>
    <col min="10245" max="10245" width="8.28515625" style="1986" customWidth="1"/>
    <col min="10246" max="10246" width="3.28515625" style="1986" customWidth="1"/>
    <col min="10247" max="10247" width="50" style="1986" customWidth="1"/>
    <col min="10248" max="10268" width="13.7109375" style="1986" customWidth="1"/>
    <col min="10269" max="10269" width="33.140625" style="1986" customWidth="1"/>
    <col min="10270" max="10270" width="4.28515625" style="1986" customWidth="1"/>
    <col min="10271" max="10271" width="3.42578125" style="1986" customWidth="1"/>
    <col min="10272" max="10272" width="2.28515625" style="1986" customWidth="1"/>
    <col min="10273" max="10273" width="4.42578125" style="1986" customWidth="1"/>
    <col min="10274" max="10274" width="7.140625" style="1986" customWidth="1"/>
    <col min="10275" max="10275" width="7.28515625" style="1986" customWidth="1"/>
    <col min="10276" max="10276" width="14.42578125" style="1986" bestFit="1" customWidth="1"/>
    <col min="10277" max="10277" width="6.140625" style="1986" customWidth="1"/>
    <col min="10278" max="10278" width="18.5703125" style="1986" bestFit="1" customWidth="1"/>
    <col min="10279" max="10279" width="7.5703125" style="1986" customWidth="1"/>
    <col min="10280" max="10281" width="7.28515625" style="1986" customWidth="1"/>
    <col min="10282" max="10282" width="8.28515625" style="1986" customWidth="1"/>
    <col min="10283" max="10283" width="9.42578125" style="1986" customWidth="1"/>
    <col min="10284" max="10284" width="9.140625" style="1986" customWidth="1"/>
    <col min="10285" max="10286" width="7.28515625" style="1986" customWidth="1"/>
    <col min="10287" max="10287" width="9" style="1986" customWidth="1"/>
    <col min="10288" max="10288" width="9.42578125" style="1986" customWidth="1"/>
    <col min="10289" max="10289" width="6" style="1986" customWidth="1"/>
    <col min="10290" max="10290" width="9.42578125" style="1986" customWidth="1"/>
    <col min="10291" max="10291" width="7.7109375" style="1986" customWidth="1"/>
    <col min="10292" max="10299" width="9.42578125" style="1986" customWidth="1"/>
    <col min="10300" max="10300" width="13.85546875" style="1986" customWidth="1"/>
    <col min="10301" max="10301" width="12.28515625" style="1986" customWidth="1"/>
    <col min="10302" max="10497" width="9.42578125" style="1986"/>
    <col min="10498" max="10498" width="13.7109375" style="1986" customWidth="1"/>
    <col min="10499" max="10499" width="17.140625" style="1986" customWidth="1"/>
    <col min="10500" max="10500" width="3" style="1986" customWidth="1"/>
    <col min="10501" max="10501" width="8.28515625" style="1986" customWidth="1"/>
    <col min="10502" max="10502" width="3.28515625" style="1986" customWidth="1"/>
    <col min="10503" max="10503" width="50" style="1986" customWidth="1"/>
    <col min="10504" max="10524" width="13.7109375" style="1986" customWidth="1"/>
    <col min="10525" max="10525" width="33.140625" style="1986" customWidth="1"/>
    <col min="10526" max="10526" width="4.28515625" style="1986" customWidth="1"/>
    <col min="10527" max="10527" width="3.42578125" style="1986" customWidth="1"/>
    <col min="10528" max="10528" width="2.28515625" style="1986" customWidth="1"/>
    <col min="10529" max="10529" width="4.42578125" style="1986" customWidth="1"/>
    <col min="10530" max="10530" width="7.140625" style="1986" customWidth="1"/>
    <col min="10531" max="10531" width="7.28515625" style="1986" customWidth="1"/>
    <col min="10532" max="10532" width="14.42578125" style="1986" bestFit="1" customWidth="1"/>
    <col min="10533" max="10533" width="6.140625" style="1986" customWidth="1"/>
    <col min="10534" max="10534" width="18.5703125" style="1986" bestFit="1" customWidth="1"/>
    <col min="10535" max="10535" width="7.5703125" style="1986" customWidth="1"/>
    <col min="10536" max="10537" width="7.28515625" style="1986" customWidth="1"/>
    <col min="10538" max="10538" width="8.28515625" style="1986" customWidth="1"/>
    <col min="10539" max="10539" width="9.42578125" style="1986" customWidth="1"/>
    <col min="10540" max="10540" width="9.140625" style="1986" customWidth="1"/>
    <col min="10541" max="10542" width="7.28515625" style="1986" customWidth="1"/>
    <col min="10543" max="10543" width="9" style="1986" customWidth="1"/>
    <col min="10544" max="10544" width="9.42578125" style="1986" customWidth="1"/>
    <col min="10545" max="10545" width="6" style="1986" customWidth="1"/>
    <col min="10546" max="10546" width="9.42578125" style="1986" customWidth="1"/>
    <col min="10547" max="10547" width="7.7109375" style="1986" customWidth="1"/>
    <col min="10548" max="10555" width="9.42578125" style="1986" customWidth="1"/>
    <col min="10556" max="10556" width="13.85546875" style="1986" customWidth="1"/>
    <col min="10557" max="10557" width="12.28515625" style="1986" customWidth="1"/>
    <col min="10558" max="10753" width="9.42578125" style="1986"/>
    <col min="10754" max="10754" width="13.7109375" style="1986" customWidth="1"/>
    <col min="10755" max="10755" width="17.140625" style="1986" customWidth="1"/>
    <col min="10756" max="10756" width="3" style="1986" customWidth="1"/>
    <col min="10757" max="10757" width="8.28515625" style="1986" customWidth="1"/>
    <col min="10758" max="10758" width="3.28515625" style="1986" customWidth="1"/>
    <col min="10759" max="10759" width="50" style="1986" customWidth="1"/>
    <col min="10760" max="10780" width="13.7109375" style="1986" customWidth="1"/>
    <col min="10781" max="10781" width="33.140625" style="1986" customWidth="1"/>
    <col min="10782" max="10782" width="4.28515625" style="1986" customWidth="1"/>
    <col min="10783" max="10783" width="3.42578125" style="1986" customWidth="1"/>
    <col min="10784" max="10784" width="2.28515625" style="1986" customWidth="1"/>
    <col min="10785" max="10785" width="4.42578125" style="1986" customWidth="1"/>
    <col min="10786" max="10786" width="7.140625" style="1986" customWidth="1"/>
    <col min="10787" max="10787" width="7.28515625" style="1986" customWidth="1"/>
    <col min="10788" max="10788" width="14.42578125" style="1986" bestFit="1" customWidth="1"/>
    <col min="10789" max="10789" width="6.140625" style="1986" customWidth="1"/>
    <col min="10790" max="10790" width="18.5703125" style="1986" bestFit="1" customWidth="1"/>
    <col min="10791" max="10791" width="7.5703125" style="1986" customWidth="1"/>
    <col min="10792" max="10793" width="7.28515625" style="1986" customWidth="1"/>
    <col min="10794" max="10794" width="8.28515625" style="1986" customWidth="1"/>
    <col min="10795" max="10795" width="9.42578125" style="1986" customWidth="1"/>
    <col min="10796" max="10796" width="9.140625" style="1986" customWidth="1"/>
    <col min="10797" max="10798" width="7.28515625" style="1986" customWidth="1"/>
    <col min="10799" max="10799" width="9" style="1986" customWidth="1"/>
    <col min="10800" max="10800" width="9.42578125" style="1986" customWidth="1"/>
    <col min="10801" max="10801" width="6" style="1986" customWidth="1"/>
    <col min="10802" max="10802" width="9.42578125" style="1986" customWidth="1"/>
    <col min="10803" max="10803" width="7.7109375" style="1986" customWidth="1"/>
    <col min="10804" max="10811" width="9.42578125" style="1986" customWidth="1"/>
    <col min="10812" max="10812" width="13.85546875" style="1986" customWidth="1"/>
    <col min="10813" max="10813" width="12.28515625" style="1986" customWidth="1"/>
    <col min="10814" max="11009" width="9.42578125" style="1986"/>
    <col min="11010" max="11010" width="13.7109375" style="1986" customWidth="1"/>
    <col min="11011" max="11011" width="17.140625" style="1986" customWidth="1"/>
    <col min="11012" max="11012" width="3" style="1986" customWidth="1"/>
    <col min="11013" max="11013" width="8.28515625" style="1986" customWidth="1"/>
    <col min="11014" max="11014" width="3.28515625" style="1986" customWidth="1"/>
    <col min="11015" max="11015" width="50" style="1986" customWidth="1"/>
    <col min="11016" max="11036" width="13.7109375" style="1986" customWidth="1"/>
    <col min="11037" max="11037" width="33.140625" style="1986" customWidth="1"/>
    <col min="11038" max="11038" width="4.28515625" style="1986" customWidth="1"/>
    <col min="11039" max="11039" width="3.42578125" style="1986" customWidth="1"/>
    <col min="11040" max="11040" width="2.28515625" style="1986" customWidth="1"/>
    <col min="11041" max="11041" width="4.42578125" style="1986" customWidth="1"/>
    <col min="11042" max="11042" width="7.140625" style="1986" customWidth="1"/>
    <col min="11043" max="11043" width="7.28515625" style="1986" customWidth="1"/>
    <col min="11044" max="11044" width="14.42578125" style="1986" bestFit="1" customWidth="1"/>
    <col min="11045" max="11045" width="6.140625" style="1986" customWidth="1"/>
    <col min="11046" max="11046" width="18.5703125" style="1986" bestFit="1" customWidth="1"/>
    <col min="11047" max="11047" width="7.5703125" style="1986" customWidth="1"/>
    <col min="11048" max="11049" width="7.28515625" style="1986" customWidth="1"/>
    <col min="11050" max="11050" width="8.28515625" style="1986" customWidth="1"/>
    <col min="11051" max="11051" width="9.42578125" style="1986" customWidth="1"/>
    <col min="11052" max="11052" width="9.140625" style="1986" customWidth="1"/>
    <col min="11053" max="11054" width="7.28515625" style="1986" customWidth="1"/>
    <col min="11055" max="11055" width="9" style="1986" customWidth="1"/>
    <col min="11056" max="11056" width="9.42578125" style="1986" customWidth="1"/>
    <col min="11057" max="11057" width="6" style="1986" customWidth="1"/>
    <col min="11058" max="11058" width="9.42578125" style="1986" customWidth="1"/>
    <col min="11059" max="11059" width="7.7109375" style="1986" customWidth="1"/>
    <col min="11060" max="11067" width="9.42578125" style="1986" customWidth="1"/>
    <col min="11068" max="11068" width="13.85546875" style="1986" customWidth="1"/>
    <col min="11069" max="11069" width="12.28515625" style="1986" customWidth="1"/>
    <col min="11070" max="11265" width="9.42578125" style="1986"/>
    <col min="11266" max="11266" width="13.7109375" style="1986" customWidth="1"/>
    <col min="11267" max="11267" width="17.140625" style="1986" customWidth="1"/>
    <col min="11268" max="11268" width="3" style="1986" customWidth="1"/>
    <col min="11269" max="11269" width="8.28515625" style="1986" customWidth="1"/>
    <col min="11270" max="11270" width="3.28515625" style="1986" customWidth="1"/>
    <col min="11271" max="11271" width="50" style="1986" customWidth="1"/>
    <col min="11272" max="11292" width="13.7109375" style="1986" customWidth="1"/>
    <col min="11293" max="11293" width="33.140625" style="1986" customWidth="1"/>
    <col min="11294" max="11294" width="4.28515625" style="1986" customWidth="1"/>
    <col min="11295" max="11295" width="3.42578125" style="1986" customWidth="1"/>
    <col min="11296" max="11296" width="2.28515625" style="1986" customWidth="1"/>
    <col min="11297" max="11297" width="4.42578125" style="1986" customWidth="1"/>
    <col min="11298" max="11298" width="7.140625" style="1986" customWidth="1"/>
    <col min="11299" max="11299" width="7.28515625" style="1986" customWidth="1"/>
    <col min="11300" max="11300" width="14.42578125" style="1986" bestFit="1" customWidth="1"/>
    <col min="11301" max="11301" width="6.140625" style="1986" customWidth="1"/>
    <col min="11302" max="11302" width="18.5703125" style="1986" bestFit="1" customWidth="1"/>
    <col min="11303" max="11303" width="7.5703125" style="1986" customWidth="1"/>
    <col min="11304" max="11305" width="7.28515625" style="1986" customWidth="1"/>
    <col min="11306" max="11306" width="8.28515625" style="1986" customWidth="1"/>
    <col min="11307" max="11307" width="9.42578125" style="1986" customWidth="1"/>
    <col min="11308" max="11308" width="9.140625" style="1986" customWidth="1"/>
    <col min="11309" max="11310" width="7.28515625" style="1986" customWidth="1"/>
    <col min="11311" max="11311" width="9" style="1986" customWidth="1"/>
    <col min="11312" max="11312" width="9.42578125" style="1986" customWidth="1"/>
    <col min="11313" max="11313" width="6" style="1986" customWidth="1"/>
    <col min="11314" max="11314" width="9.42578125" style="1986" customWidth="1"/>
    <col min="11315" max="11315" width="7.7109375" style="1986" customWidth="1"/>
    <col min="11316" max="11323" width="9.42578125" style="1986" customWidth="1"/>
    <col min="11324" max="11324" width="13.85546875" style="1986" customWidth="1"/>
    <col min="11325" max="11325" width="12.28515625" style="1986" customWidth="1"/>
    <col min="11326" max="11521" width="9.42578125" style="1986"/>
    <col min="11522" max="11522" width="13.7109375" style="1986" customWidth="1"/>
    <col min="11523" max="11523" width="17.140625" style="1986" customWidth="1"/>
    <col min="11524" max="11524" width="3" style="1986" customWidth="1"/>
    <col min="11525" max="11525" width="8.28515625" style="1986" customWidth="1"/>
    <col min="11526" max="11526" width="3.28515625" style="1986" customWidth="1"/>
    <col min="11527" max="11527" width="50" style="1986" customWidth="1"/>
    <col min="11528" max="11548" width="13.7109375" style="1986" customWidth="1"/>
    <col min="11549" max="11549" width="33.140625" style="1986" customWidth="1"/>
    <col min="11550" max="11550" width="4.28515625" style="1986" customWidth="1"/>
    <col min="11551" max="11551" width="3.42578125" style="1986" customWidth="1"/>
    <col min="11552" max="11552" width="2.28515625" style="1986" customWidth="1"/>
    <col min="11553" max="11553" width="4.42578125" style="1986" customWidth="1"/>
    <col min="11554" max="11554" width="7.140625" style="1986" customWidth="1"/>
    <col min="11555" max="11555" width="7.28515625" style="1986" customWidth="1"/>
    <col min="11556" max="11556" width="14.42578125" style="1986" bestFit="1" customWidth="1"/>
    <col min="11557" max="11557" width="6.140625" style="1986" customWidth="1"/>
    <col min="11558" max="11558" width="18.5703125" style="1986" bestFit="1" customWidth="1"/>
    <col min="11559" max="11559" width="7.5703125" style="1986" customWidth="1"/>
    <col min="11560" max="11561" width="7.28515625" style="1986" customWidth="1"/>
    <col min="11562" max="11562" width="8.28515625" style="1986" customWidth="1"/>
    <col min="11563" max="11563" width="9.42578125" style="1986" customWidth="1"/>
    <col min="11564" max="11564" width="9.140625" style="1986" customWidth="1"/>
    <col min="11565" max="11566" width="7.28515625" style="1986" customWidth="1"/>
    <col min="11567" max="11567" width="9" style="1986" customWidth="1"/>
    <col min="11568" max="11568" width="9.42578125" style="1986" customWidth="1"/>
    <col min="11569" max="11569" width="6" style="1986" customWidth="1"/>
    <col min="11570" max="11570" width="9.42578125" style="1986" customWidth="1"/>
    <col min="11571" max="11571" width="7.7109375" style="1986" customWidth="1"/>
    <col min="11572" max="11579" width="9.42578125" style="1986" customWidth="1"/>
    <col min="11580" max="11580" width="13.85546875" style="1986" customWidth="1"/>
    <col min="11581" max="11581" width="12.28515625" style="1986" customWidth="1"/>
    <col min="11582" max="11777" width="9.42578125" style="1986"/>
    <col min="11778" max="11778" width="13.7109375" style="1986" customWidth="1"/>
    <col min="11779" max="11779" width="17.140625" style="1986" customWidth="1"/>
    <col min="11780" max="11780" width="3" style="1986" customWidth="1"/>
    <col min="11781" max="11781" width="8.28515625" style="1986" customWidth="1"/>
    <col min="11782" max="11782" width="3.28515625" style="1986" customWidth="1"/>
    <col min="11783" max="11783" width="50" style="1986" customWidth="1"/>
    <col min="11784" max="11804" width="13.7109375" style="1986" customWidth="1"/>
    <col min="11805" max="11805" width="33.140625" style="1986" customWidth="1"/>
    <col min="11806" max="11806" width="4.28515625" style="1986" customWidth="1"/>
    <col min="11807" max="11807" width="3.42578125" style="1986" customWidth="1"/>
    <col min="11808" max="11808" width="2.28515625" style="1986" customWidth="1"/>
    <col min="11809" max="11809" width="4.42578125" style="1986" customWidth="1"/>
    <col min="11810" max="11810" width="7.140625" style="1986" customWidth="1"/>
    <col min="11811" max="11811" width="7.28515625" style="1986" customWidth="1"/>
    <col min="11812" max="11812" width="14.42578125" style="1986" bestFit="1" customWidth="1"/>
    <col min="11813" max="11813" width="6.140625" style="1986" customWidth="1"/>
    <col min="11814" max="11814" width="18.5703125" style="1986" bestFit="1" customWidth="1"/>
    <col min="11815" max="11815" width="7.5703125" style="1986" customWidth="1"/>
    <col min="11816" max="11817" width="7.28515625" style="1986" customWidth="1"/>
    <col min="11818" max="11818" width="8.28515625" style="1986" customWidth="1"/>
    <col min="11819" max="11819" width="9.42578125" style="1986" customWidth="1"/>
    <col min="11820" max="11820" width="9.140625" style="1986" customWidth="1"/>
    <col min="11821" max="11822" width="7.28515625" style="1986" customWidth="1"/>
    <col min="11823" max="11823" width="9" style="1986" customWidth="1"/>
    <col min="11824" max="11824" width="9.42578125" style="1986" customWidth="1"/>
    <col min="11825" max="11825" width="6" style="1986" customWidth="1"/>
    <col min="11826" max="11826" width="9.42578125" style="1986" customWidth="1"/>
    <col min="11827" max="11827" width="7.7109375" style="1986" customWidth="1"/>
    <col min="11828" max="11835" width="9.42578125" style="1986" customWidth="1"/>
    <col min="11836" max="11836" width="13.85546875" style="1986" customWidth="1"/>
    <col min="11837" max="11837" width="12.28515625" style="1986" customWidth="1"/>
    <col min="11838" max="12033" width="9.42578125" style="1986"/>
    <col min="12034" max="12034" width="13.7109375" style="1986" customWidth="1"/>
    <col min="12035" max="12035" width="17.140625" style="1986" customWidth="1"/>
    <col min="12036" max="12036" width="3" style="1986" customWidth="1"/>
    <col min="12037" max="12037" width="8.28515625" style="1986" customWidth="1"/>
    <col min="12038" max="12038" width="3.28515625" style="1986" customWidth="1"/>
    <col min="12039" max="12039" width="50" style="1986" customWidth="1"/>
    <col min="12040" max="12060" width="13.7109375" style="1986" customWidth="1"/>
    <col min="12061" max="12061" width="33.140625" style="1986" customWidth="1"/>
    <col min="12062" max="12062" width="4.28515625" style="1986" customWidth="1"/>
    <col min="12063" max="12063" width="3.42578125" style="1986" customWidth="1"/>
    <col min="12064" max="12064" width="2.28515625" style="1986" customWidth="1"/>
    <col min="12065" max="12065" width="4.42578125" style="1986" customWidth="1"/>
    <col min="12066" max="12066" width="7.140625" style="1986" customWidth="1"/>
    <col min="12067" max="12067" width="7.28515625" style="1986" customWidth="1"/>
    <col min="12068" max="12068" width="14.42578125" style="1986" bestFit="1" customWidth="1"/>
    <col min="12069" max="12069" width="6.140625" style="1986" customWidth="1"/>
    <col min="12070" max="12070" width="18.5703125" style="1986" bestFit="1" customWidth="1"/>
    <col min="12071" max="12071" width="7.5703125" style="1986" customWidth="1"/>
    <col min="12072" max="12073" width="7.28515625" style="1986" customWidth="1"/>
    <col min="12074" max="12074" width="8.28515625" style="1986" customWidth="1"/>
    <col min="12075" max="12075" width="9.42578125" style="1986" customWidth="1"/>
    <col min="12076" max="12076" width="9.140625" style="1986" customWidth="1"/>
    <col min="12077" max="12078" width="7.28515625" style="1986" customWidth="1"/>
    <col min="12079" max="12079" width="9" style="1986" customWidth="1"/>
    <col min="12080" max="12080" width="9.42578125" style="1986" customWidth="1"/>
    <col min="12081" max="12081" width="6" style="1986" customWidth="1"/>
    <col min="12082" max="12082" width="9.42578125" style="1986" customWidth="1"/>
    <col min="12083" max="12083" width="7.7109375" style="1986" customWidth="1"/>
    <col min="12084" max="12091" width="9.42578125" style="1986" customWidth="1"/>
    <col min="12092" max="12092" width="13.85546875" style="1986" customWidth="1"/>
    <col min="12093" max="12093" width="12.28515625" style="1986" customWidth="1"/>
    <col min="12094" max="12289" width="9.42578125" style="1986"/>
    <col min="12290" max="12290" width="13.7109375" style="1986" customWidth="1"/>
    <col min="12291" max="12291" width="17.140625" style="1986" customWidth="1"/>
    <col min="12292" max="12292" width="3" style="1986" customWidth="1"/>
    <col min="12293" max="12293" width="8.28515625" style="1986" customWidth="1"/>
    <col min="12294" max="12294" width="3.28515625" style="1986" customWidth="1"/>
    <col min="12295" max="12295" width="50" style="1986" customWidth="1"/>
    <col min="12296" max="12316" width="13.7109375" style="1986" customWidth="1"/>
    <col min="12317" max="12317" width="33.140625" style="1986" customWidth="1"/>
    <col min="12318" max="12318" width="4.28515625" style="1986" customWidth="1"/>
    <col min="12319" max="12319" width="3.42578125" style="1986" customWidth="1"/>
    <col min="12320" max="12320" width="2.28515625" style="1986" customWidth="1"/>
    <col min="12321" max="12321" width="4.42578125" style="1986" customWidth="1"/>
    <col min="12322" max="12322" width="7.140625" style="1986" customWidth="1"/>
    <col min="12323" max="12323" width="7.28515625" style="1986" customWidth="1"/>
    <col min="12324" max="12324" width="14.42578125" style="1986" bestFit="1" customWidth="1"/>
    <col min="12325" max="12325" width="6.140625" style="1986" customWidth="1"/>
    <col min="12326" max="12326" width="18.5703125" style="1986" bestFit="1" customWidth="1"/>
    <col min="12327" max="12327" width="7.5703125" style="1986" customWidth="1"/>
    <col min="12328" max="12329" width="7.28515625" style="1986" customWidth="1"/>
    <col min="12330" max="12330" width="8.28515625" style="1986" customWidth="1"/>
    <col min="12331" max="12331" width="9.42578125" style="1986" customWidth="1"/>
    <col min="12332" max="12332" width="9.140625" style="1986" customWidth="1"/>
    <col min="12333" max="12334" width="7.28515625" style="1986" customWidth="1"/>
    <col min="12335" max="12335" width="9" style="1986" customWidth="1"/>
    <col min="12336" max="12336" width="9.42578125" style="1986" customWidth="1"/>
    <col min="12337" max="12337" width="6" style="1986" customWidth="1"/>
    <col min="12338" max="12338" width="9.42578125" style="1986" customWidth="1"/>
    <col min="12339" max="12339" width="7.7109375" style="1986" customWidth="1"/>
    <col min="12340" max="12347" width="9.42578125" style="1986" customWidth="1"/>
    <col min="12348" max="12348" width="13.85546875" style="1986" customWidth="1"/>
    <col min="12349" max="12349" width="12.28515625" style="1986" customWidth="1"/>
    <col min="12350" max="12545" width="9.42578125" style="1986"/>
    <col min="12546" max="12546" width="13.7109375" style="1986" customWidth="1"/>
    <col min="12547" max="12547" width="17.140625" style="1986" customWidth="1"/>
    <col min="12548" max="12548" width="3" style="1986" customWidth="1"/>
    <col min="12549" max="12549" width="8.28515625" style="1986" customWidth="1"/>
    <col min="12550" max="12550" width="3.28515625" style="1986" customWidth="1"/>
    <col min="12551" max="12551" width="50" style="1986" customWidth="1"/>
    <col min="12552" max="12572" width="13.7109375" style="1986" customWidth="1"/>
    <col min="12573" max="12573" width="33.140625" style="1986" customWidth="1"/>
    <col min="12574" max="12574" width="4.28515625" style="1986" customWidth="1"/>
    <col min="12575" max="12575" width="3.42578125" style="1986" customWidth="1"/>
    <col min="12576" max="12576" width="2.28515625" style="1986" customWidth="1"/>
    <col min="12577" max="12577" width="4.42578125" style="1986" customWidth="1"/>
    <col min="12578" max="12578" width="7.140625" style="1986" customWidth="1"/>
    <col min="12579" max="12579" width="7.28515625" style="1986" customWidth="1"/>
    <col min="12580" max="12580" width="14.42578125" style="1986" bestFit="1" customWidth="1"/>
    <col min="12581" max="12581" width="6.140625" style="1986" customWidth="1"/>
    <col min="12582" max="12582" width="18.5703125" style="1986" bestFit="1" customWidth="1"/>
    <col min="12583" max="12583" width="7.5703125" style="1986" customWidth="1"/>
    <col min="12584" max="12585" width="7.28515625" style="1986" customWidth="1"/>
    <col min="12586" max="12586" width="8.28515625" style="1986" customWidth="1"/>
    <col min="12587" max="12587" width="9.42578125" style="1986" customWidth="1"/>
    <col min="12588" max="12588" width="9.140625" style="1986" customWidth="1"/>
    <col min="12589" max="12590" width="7.28515625" style="1986" customWidth="1"/>
    <col min="12591" max="12591" width="9" style="1986" customWidth="1"/>
    <col min="12592" max="12592" width="9.42578125" style="1986" customWidth="1"/>
    <col min="12593" max="12593" width="6" style="1986" customWidth="1"/>
    <col min="12594" max="12594" width="9.42578125" style="1986" customWidth="1"/>
    <col min="12595" max="12595" width="7.7109375" style="1986" customWidth="1"/>
    <col min="12596" max="12603" width="9.42578125" style="1986" customWidth="1"/>
    <col min="12604" max="12604" width="13.85546875" style="1986" customWidth="1"/>
    <col min="12605" max="12605" width="12.28515625" style="1986" customWidth="1"/>
    <col min="12606" max="12801" width="9.42578125" style="1986"/>
    <col min="12802" max="12802" width="13.7109375" style="1986" customWidth="1"/>
    <col min="12803" max="12803" width="17.140625" style="1986" customWidth="1"/>
    <col min="12804" max="12804" width="3" style="1986" customWidth="1"/>
    <col min="12805" max="12805" width="8.28515625" style="1986" customWidth="1"/>
    <col min="12806" max="12806" width="3.28515625" style="1986" customWidth="1"/>
    <col min="12807" max="12807" width="50" style="1986" customWidth="1"/>
    <col min="12808" max="12828" width="13.7109375" style="1986" customWidth="1"/>
    <col min="12829" max="12829" width="33.140625" style="1986" customWidth="1"/>
    <col min="12830" max="12830" width="4.28515625" style="1986" customWidth="1"/>
    <col min="12831" max="12831" width="3.42578125" style="1986" customWidth="1"/>
    <col min="12832" max="12832" width="2.28515625" style="1986" customWidth="1"/>
    <col min="12833" max="12833" width="4.42578125" style="1986" customWidth="1"/>
    <col min="12834" max="12834" width="7.140625" style="1986" customWidth="1"/>
    <col min="12835" max="12835" width="7.28515625" style="1986" customWidth="1"/>
    <col min="12836" max="12836" width="14.42578125" style="1986" bestFit="1" customWidth="1"/>
    <col min="12837" max="12837" width="6.140625" style="1986" customWidth="1"/>
    <col min="12838" max="12838" width="18.5703125" style="1986" bestFit="1" customWidth="1"/>
    <col min="12839" max="12839" width="7.5703125" style="1986" customWidth="1"/>
    <col min="12840" max="12841" width="7.28515625" style="1986" customWidth="1"/>
    <col min="12842" max="12842" width="8.28515625" style="1986" customWidth="1"/>
    <col min="12843" max="12843" width="9.42578125" style="1986" customWidth="1"/>
    <col min="12844" max="12844" width="9.140625" style="1986" customWidth="1"/>
    <col min="12845" max="12846" width="7.28515625" style="1986" customWidth="1"/>
    <col min="12847" max="12847" width="9" style="1986" customWidth="1"/>
    <col min="12848" max="12848" width="9.42578125" style="1986" customWidth="1"/>
    <col min="12849" max="12849" width="6" style="1986" customWidth="1"/>
    <col min="12850" max="12850" width="9.42578125" style="1986" customWidth="1"/>
    <col min="12851" max="12851" width="7.7109375" style="1986" customWidth="1"/>
    <col min="12852" max="12859" width="9.42578125" style="1986" customWidth="1"/>
    <col min="12860" max="12860" width="13.85546875" style="1986" customWidth="1"/>
    <col min="12861" max="12861" width="12.28515625" style="1986" customWidth="1"/>
    <col min="12862" max="13057" width="9.42578125" style="1986"/>
    <col min="13058" max="13058" width="13.7109375" style="1986" customWidth="1"/>
    <col min="13059" max="13059" width="17.140625" style="1986" customWidth="1"/>
    <col min="13060" max="13060" width="3" style="1986" customWidth="1"/>
    <col min="13061" max="13061" width="8.28515625" style="1986" customWidth="1"/>
    <col min="13062" max="13062" width="3.28515625" style="1986" customWidth="1"/>
    <col min="13063" max="13063" width="50" style="1986" customWidth="1"/>
    <col min="13064" max="13084" width="13.7109375" style="1986" customWidth="1"/>
    <col min="13085" max="13085" width="33.140625" style="1986" customWidth="1"/>
    <col min="13086" max="13086" width="4.28515625" style="1986" customWidth="1"/>
    <col min="13087" max="13087" width="3.42578125" style="1986" customWidth="1"/>
    <col min="13088" max="13088" width="2.28515625" style="1986" customWidth="1"/>
    <col min="13089" max="13089" width="4.42578125" style="1986" customWidth="1"/>
    <col min="13090" max="13090" width="7.140625" style="1986" customWidth="1"/>
    <col min="13091" max="13091" width="7.28515625" style="1986" customWidth="1"/>
    <col min="13092" max="13092" width="14.42578125" style="1986" bestFit="1" customWidth="1"/>
    <col min="13093" max="13093" width="6.140625" style="1986" customWidth="1"/>
    <col min="13094" max="13094" width="18.5703125" style="1986" bestFit="1" customWidth="1"/>
    <col min="13095" max="13095" width="7.5703125" style="1986" customWidth="1"/>
    <col min="13096" max="13097" width="7.28515625" style="1986" customWidth="1"/>
    <col min="13098" max="13098" width="8.28515625" style="1986" customWidth="1"/>
    <col min="13099" max="13099" width="9.42578125" style="1986" customWidth="1"/>
    <col min="13100" max="13100" width="9.140625" style="1986" customWidth="1"/>
    <col min="13101" max="13102" width="7.28515625" style="1986" customWidth="1"/>
    <col min="13103" max="13103" width="9" style="1986" customWidth="1"/>
    <col min="13104" max="13104" width="9.42578125" style="1986" customWidth="1"/>
    <col min="13105" max="13105" width="6" style="1986" customWidth="1"/>
    <col min="13106" max="13106" width="9.42578125" style="1986" customWidth="1"/>
    <col min="13107" max="13107" width="7.7109375" style="1986" customWidth="1"/>
    <col min="13108" max="13115" width="9.42578125" style="1986" customWidth="1"/>
    <col min="13116" max="13116" width="13.85546875" style="1986" customWidth="1"/>
    <col min="13117" max="13117" width="12.28515625" style="1986" customWidth="1"/>
    <col min="13118" max="13313" width="9.42578125" style="1986"/>
    <col min="13314" max="13314" width="13.7109375" style="1986" customWidth="1"/>
    <col min="13315" max="13315" width="17.140625" style="1986" customWidth="1"/>
    <col min="13316" max="13316" width="3" style="1986" customWidth="1"/>
    <col min="13317" max="13317" width="8.28515625" style="1986" customWidth="1"/>
    <col min="13318" max="13318" width="3.28515625" style="1986" customWidth="1"/>
    <col min="13319" max="13319" width="50" style="1986" customWidth="1"/>
    <col min="13320" max="13340" width="13.7109375" style="1986" customWidth="1"/>
    <col min="13341" max="13341" width="33.140625" style="1986" customWidth="1"/>
    <col min="13342" max="13342" width="4.28515625" style="1986" customWidth="1"/>
    <col min="13343" max="13343" width="3.42578125" style="1986" customWidth="1"/>
    <col min="13344" max="13344" width="2.28515625" style="1986" customWidth="1"/>
    <col min="13345" max="13345" width="4.42578125" style="1986" customWidth="1"/>
    <col min="13346" max="13346" width="7.140625" style="1986" customWidth="1"/>
    <col min="13347" max="13347" width="7.28515625" style="1986" customWidth="1"/>
    <col min="13348" max="13348" width="14.42578125" style="1986" bestFit="1" customWidth="1"/>
    <col min="13349" max="13349" width="6.140625" style="1986" customWidth="1"/>
    <col min="13350" max="13350" width="18.5703125" style="1986" bestFit="1" customWidth="1"/>
    <col min="13351" max="13351" width="7.5703125" style="1986" customWidth="1"/>
    <col min="13352" max="13353" width="7.28515625" style="1986" customWidth="1"/>
    <col min="13354" max="13354" width="8.28515625" style="1986" customWidth="1"/>
    <col min="13355" max="13355" width="9.42578125" style="1986" customWidth="1"/>
    <col min="13356" max="13356" width="9.140625" style="1986" customWidth="1"/>
    <col min="13357" max="13358" width="7.28515625" style="1986" customWidth="1"/>
    <col min="13359" max="13359" width="9" style="1986" customWidth="1"/>
    <col min="13360" max="13360" width="9.42578125" style="1986" customWidth="1"/>
    <col min="13361" max="13361" width="6" style="1986" customWidth="1"/>
    <col min="13362" max="13362" width="9.42578125" style="1986" customWidth="1"/>
    <col min="13363" max="13363" width="7.7109375" style="1986" customWidth="1"/>
    <col min="13364" max="13371" width="9.42578125" style="1986" customWidth="1"/>
    <col min="13372" max="13372" width="13.85546875" style="1986" customWidth="1"/>
    <col min="13373" max="13373" width="12.28515625" style="1986" customWidth="1"/>
    <col min="13374" max="13569" width="9.42578125" style="1986"/>
    <col min="13570" max="13570" width="13.7109375" style="1986" customWidth="1"/>
    <col min="13571" max="13571" width="17.140625" style="1986" customWidth="1"/>
    <col min="13572" max="13572" width="3" style="1986" customWidth="1"/>
    <col min="13573" max="13573" width="8.28515625" style="1986" customWidth="1"/>
    <col min="13574" max="13574" width="3.28515625" style="1986" customWidth="1"/>
    <col min="13575" max="13575" width="50" style="1986" customWidth="1"/>
    <col min="13576" max="13596" width="13.7109375" style="1986" customWidth="1"/>
    <col min="13597" max="13597" width="33.140625" style="1986" customWidth="1"/>
    <col min="13598" max="13598" width="4.28515625" style="1986" customWidth="1"/>
    <col min="13599" max="13599" width="3.42578125" style="1986" customWidth="1"/>
    <col min="13600" max="13600" width="2.28515625" style="1986" customWidth="1"/>
    <col min="13601" max="13601" width="4.42578125" style="1986" customWidth="1"/>
    <col min="13602" max="13602" width="7.140625" style="1986" customWidth="1"/>
    <col min="13603" max="13603" width="7.28515625" style="1986" customWidth="1"/>
    <col min="13604" max="13604" width="14.42578125" style="1986" bestFit="1" customWidth="1"/>
    <col min="13605" max="13605" width="6.140625" style="1986" customWidth="1"/>
    <col min="13606" max="13606" width="18.5703125" style="1986" bestFit="1" customWidth="1"/>
    <col min="13607" max="13607" width="7.5703125" style="1986" customWidth="1"/>
    <col min="13608" max="13609" width="7.28515625" style="1986" customWidth="1"/>
    <col min="13610" max="13610" width="8.28515625" style="1986" customWidth="1"/>
    <col min="13611" max="13611" width="9.42578125" style="1986" customWidth="1"/>
    <col min="13612" max="13612" width="9.140625" style="1986" customWidth="1"/>
    <col min="13613" max="13614" width="7.28515625" style="1986" customWidth="1"/>
    <col min="13615" max="13615" width="9" style="1986" customWidth="1"/>
    <col min="13616" max="13616" width="9.42578125" style="1986" customWidth="1"/>
    <col min="13617" max="13617" width="6" style="1986" customWidth="1"/>
    <col min="13618" max="13618" width="9.42578125" style="1986" customWidth="1"/>
    <col min="13619" max="13619" width="7.7109375" style="1986" customWidth="1"/>
    <col min="13620" max="13627" width="9.42578125" style="1986" customWidth="1"/>
    <col min="13628" max="13628" width="13.85546875" style="1986" customWidth="1"/>
    <col min="13629" max="13629" width="12.28515625" style="1986" customWidth="1"/>
    <col min="13630" max="13825" width="9.42578125" style="1986"/>
    <col min="13826" max="13826" width="13.7109375" style="1986" customWidth="1"/>
    <col min="13827" max="13827" width="17.140625" style="1986" customWidth="1"/>
    <col min="13828" max="13828" width="3" style="1986" customWidth="1"/>
    <col min="13829" max="13829" width="8.28515625" style="1986" customWidth="1"/>
    <col min="13830" max="13830" width="3.28515625" style="1986" customWidth="1"/>
    <col min="13831" max="13831" width="50" style="1986" customWidth="1"/>
    <col min="13832" max="13852" width="13.7109375" style="1986" customWidth="1"/>
    <col min="13853" max="13853" width="33.140625" style="1986" customWidth="1"/>
    <col min="13854" max="13854" width="4.28515625" style="1986" customWidth="1"/>
    <col min="13855" max="13855" width="3.42578125" style="1986" customWidth="1"/>
    <col min="13856" max="13856" width="2.28515625" style="1986" customWidth="1"/>
    <col min="13857" max="13857" width="4.42578125" style="1986" customWidth="1"/>
    <col min="13858" max="13858" width="7.140625" style="1986" customWidth="1"/>
    <col min="13859" max="13859" width="7.28515625" style="1986" customWidth="1"/>
    <col min="13860" max="13860" width="14.42578125" style="1986" bestFit="1" customWidth="1"/>
    <col min="13861" max="13861" width="6.140625" style="1986" customWidth="1"/>
    <col min="13862" max="13862" width="18.5703125" style="1986" bestFit="1" customWidth="1"/>
    <col min="13863" max="13863" width="7.5703125" style="1986" customWidth="1"/>
    <col min="13864" max="13865" width="7.28515625" style="1986" customWidth="1"/>
    <col min="13866" max="13866" width="8.28515625" style="1986" customWidth="1"/>
    <col min="13867" max="13867" width="9.42578125" style="1986" customWidth="1"/>
    <col min="13868" max="13868" width="9.140625" style="1986" customWidth="1"/>
    <col min="13869" max="13870" width="7.28515625" style="1986" customWidth="1"/>
    <col min="13871" max="13871" width="9" style="1986" customWidth="1"/>
    <col min="13872" max="13872" width="9.42578125" style="1986" customWidth="1"/>
    <col min="13873" max="13873" width="6" style="1986" customWidth="1"/>
    <col min="13874" max="13874" width="9.42578125" style="1986" customWidth="1"/>
    <col min="13875" max="13875" width="7.7109375" style="1986" customWidth="1"/>
    <col min="13876" max="13883" width="9.42578125" style="1986" customWidth="1"/>
    <col min="13884" max="13884" width="13.85546875" style="1986" customWidth="1"/>
    <col min="13885" max="13885" width="12.28515625" style="1986" customWidth="1"/>
    <col min="13886" max="14081" width="9.42578125" style="1986"/>
    <col min="14082" max="14082" width="13.7109375" style="1986" customWidth="1"/>
    <col min="14083" max="14083" width="17.140625" style="1986" customWidth="1"/>
    <col min="14084" max="14084" width="3" style="1986" customWidth="1"/>
    <col min="14085" max="14085" width="8.28515625" style="1986" customWidth="1"/>
    <col min="14086" max="14086" width="3.28515625" style="1986" customWidth="1"/>
    <col min="14087" max="14087" width="50" style="1986" customWidth="1"/>
    <col min="14088" max="14108" width="13.7109375" style="1986" customWidth="1"/>
    <col min="14109" max="14109" width="33.140625" style="1986" customWidth="1"/>
    <col min="14110" max="14110" width="4.28515625" style="1986" customWidth="1"/>
    <col min="14111" max="14111" width="3.42578125" style="1986" customWidth="1"/>
    <col min="14112" max="14112" width="2.28515625" style="1986" customWidth="1"/>
    <col min="14113" max="14113" width="4.42578125" style="1986" customWidth="1"/>
    <col min="14114" max="14114" width="7.140625" style="1986" customWidth="1"/>
    <col min="14115" max="14115" width="7.28515625" style="1986" customWidth="1"/>
    <col min="14116" max="14116" width="14.42578125" style="1986" bestFit="1" customWidth="1"/>
    <col min="14117" max="14117" width="6.140625" style="1986" customWidth="1"/>
    <col min="14118" max="14118" width="18.5703125" style="1986" bestFit="1" customWidth="1"/>
    <col min="14119" max="14119" width="7.5703125" style="1986" customWidth="1"/>
    <col min="14120" max="14121" width="7.28515625" style="1986" customWidth="1"/>
    <col min="14122" max="14122" width="8.28515625" style="1986" customWidth="1"/>
    <col min="14123" max="14123" width="9.42578125" style="1986" customWidth="1"/>
    <col min="14124" max="14124" width="9.140625" style="1986" customWidth="1"/>
    <col min="14125" max="14126" width="7.28515625" style="1986" customWidth="1"/>
    <col min="14127" max="14127" width="9" style="1986" customWidth="1"/>
    <col min="14128" max="14128" width="9.42578125" style="1986" customWidth="1"/>
    <col min="14129" max="14129" width="6" style="1986" customWidth="1"/>
    <col min="14130" max="14130" width="9.42578125" style="1986" customWidth="1"/>
    <col min="14131" max="14131" width="7.7109375" style="1986" customWidth="1"/>
    <col min="14132" max="14139" width="9.42578125" style="1986" customWidth="1"/>
    <col min="14140" max="14140" width="13.85546875" style="1986" customWidth="1"/>
    <col min="14141" max="14141" width="12.28515625" style="1986" customWidth="1"/>
    <col min="14142" max="14337" width="9.42578125" style="1986"/>
    <col min="14338" max="14338" width="13.7109375" style="1986" customWidth="1"/>
    <col min="14339" max="14339" width="17.140625" style="1986" customWidth="1"/>
    <col min="14340" max="14340" width="3" style="1986" customWidth="1"/>
    <col min="14341" max="14341" width="8.28515625" style="1986" customWidth="1"/>
    <col min="14342" max="14342" width="3.28515625" style="1986" customWidth="1"/>
    <col min="14343" max="14343" width="50" style="1986" customWidth="1"/>
    <col min="14344" max="14364" width="13.7109375" style="1986" customWidth="1"/>
    <col min="14365" max="14365" width="33.140625" style="1986" customWidth="1"/>
    <col min="14366" max="14366" width="4.28515625" style="1986" customWidth="1"/>
    <col min="14367" max="14367" width="3.42578125" style="1986" customWidth="1"/>
    <col min="14368" max="14368" width="2.28515625" style="1986" customWidth="1"/>
    <col min="14369" max="14369" width="4.42578125" style="1986" customWidth="1"/>
    <col min="14370" max="14370" width="7.140625" style="1986" customWidth="1"/>
    <col min="14371" max="14371" width="7.28515625" style="1986" customWidth="1"/>
    <col min="14372" max="14372" width="14.42578125" style="1986" bestFit="1" customWidth="1"/>
    <col min="14373" max="14373" width="6.140625" style="1986" customWidth="1"/>
    <col min="14374" max="14374" width="18.5703125" style="1986" bestFit="1" customWidth="1"/>
    <col min="14375" max="14375" width="7.5703125" style="1986" customWidth="1"/>
    <col min="14376" max="14377" width="7.28515625" style="1986" customWidth="1"/>
    <col min="14378" max="14378" width="8.28515625" style="1986" customWidth="1"/>
    <col min="14379" max="14379" width="9.42578125" style="1986" customWidth="1"/>
    <col min="14380" max="14380" width="9.140625" style="1986" customWidth="1"/>
    <col min="14381" max="14382" width="7.28515625" style="1986" customWidth="1"/>
    <col min="14383" max="14383" width="9" style="1986" customWidth="1"/>
    <col min="14384" max="14384" width="9.42578125" style="1986" customWidth="1"/>
    <col min="14385" max="14385" width="6" style="1986" customWidth="1"/>
    <col min="14386" max="14386" width="9.42578125" style="1986" customWidth="1"/>
    <col min="14387" max="14387" width="7.7109375" style="1986" customWidth="1"/>
    <col min="14388" max="14395" width="9.42578125" style="1986" customWidth="1"/>
    <col min="14396" max="14396" width="13.85546875" style="1986" customWidth="1"/>
    <col min="14397" max="14397" width="12.28515625" style="1986" customWidth="1"/>
    <col min="14398" max="14593" width="9.42578125" style="1986"/>
    <col min="14594" max="14594" width="13.7109375" style="1986" customWidth="1"/>
    <col min="14595" max="14595" width="17.140625" style="1986" customWidth="1"/>
    <col min="14596" max="14596" width="3" style="1986" customWidth="1"/>
    <col min="14597" max="14597" width="8.28515625" style="1986" customWidth="1"/>
    <col min="14598" max="14598" width="3.28515625" style="1986" customWidth="1"/>
    <col min="14599" max="14599" width="50" style="1986" customWidth="1"/>
    <col min="14600" max="14620" width="13.7109375" style="1986" customWidth="1"/>
    <col min="14621" max="14621" width="33.140625" style="1986" customWidth="1"/>
    <col min="14622" max="14622" width="4.28515625" style="1986" customWidth="1"/>
    <col min="14623" max="14623" width="3.42578125" style="1986" customWidth="1"/>
    <col min="14624" max="14624" width="2.28515625" style="1986" customWidth="1"/>
    <col min="14625" max="14625" width="4.42578125" style="1986" customWidth="1"/>
    <col min="14626" max="14626" width="7.140625" style="1986" customWidth="1"/>
    <col min="14627" max="14627" width="7.28515625" style="1986" customWidth="1"/>
    <col min="14628" max="14628" width="14.42578125" style="1986" bestFit="1" customWidth="1"/>
    <col min="14629" max="14629" width="6.140625" style="1986" customWidth="1"/>
    <col min="14630" max="14630" width="18.5703125" style="1986" bestFit="1" customWidth="1"/>
    <col min="14631" max="14631" width="7.5703125" style="1986" customWidth="1"/>
    <col min="14632" max="14633" width="7.28515625" style="1986" customWidth="1"/>
    <col min="14634" max="14634" width="8.28515625" style="1986" customWidth="1"/>
    <col min="14635" max="14635" width="9.42578125" style="1986" customWidth="1"/>
    <col min="14636" max="14636" width="9.140625" style="1986" customWidth="1"/>
    <col min="14637" max="14638" width="7.28515625" style="1986" customWidth="1"/>
    <col min="14639" max="14639" width="9" style="1986" customWidth="1"/>
    <col min="14640" max="14640" width="9.42578125" style="1986" customWidth="1"/>
    <col min="14641" max="14641" width="6" style="1986" customWidth="1"/>
    <col min="14642" max="14642" width="9.42578125" style="1986" customWidth="1"/>
    <col min="14643" max="14643" width="7.7109375" style="1986" customWidth="1"/>
    <col min="14644" max="14651" width="9.42578125" style="1986" customWidth="1"/>
    <col min="14652" max="14652" width="13.85546875" style="1986" customWidth="1"/>
    <col min="14653" max="14653" width="12.28515625" style="1986" customWidth="1"/>
    <col min="14654" max="14849" width="9.42578125" style="1986"/>
    <col min="14850" max="14850" width="13.7109375" style="1986" customWidth="1"/>
    <col min="14851" max="14851" width="17.140625" style="1986" customWidth="1"/>
    <col min="14852" max="14852" width="3" style="1986" customWidth="1"/>
    <col min="14853" max="14853" width="8.28515625" style="1986" customWidth="1"/>
    <col min="14854" max="14854" width="3.28515625" style="1986" customWidth="1"/>
    <col min="14855" max="14855" width="50" style="1986" customWidth="1"/>
    <col min="14856" max="14876" width="13.7109375" style="1986" customWidth="1"/>
    <col min="14877" max="14877" width="33.140625" style="1986" customWidth="1"/>
    <col min="14878" max="14878" width="4.28515625" style="1986" customWidth="1"/>
    <col min="14879" max="14879" width="3.42578125" style="1986" customWidth="1"/>
    <col min="14880" max="14880" width="2.28515625" style="1986" customWidth="1"/>
    <col min="14881" max="14881" width="4.42578125" style="1986" customWidth="1"/>
    <col min="14882" max="14882" width="7.140625" style="1986" customWidth="1"/>
    <col min="14883" max="14883" width="7.28515625" style="1986" customWidth="1"/>
    <col min="14884" max="14884" width="14.42578125" style="1986" bestFit="1" customWidth="1"/>
    <col min="14885" max="14885" width="6.140625" style="1986" customWidth="1"/>
    <col min="14886" max="14886" width="18.5703125" style="1986" bestFit="1" customWidth="1"/>
    <col min="14887" max="14887" width="7.5703125" style="1986" customWidth="1"/>
    <col min="14888" max="14889" width="7.28515625" style="1986" customWidth="1"/>
    <col min="14890" max="14890" width="8.28515625" style="1986" customWidth="1"/>
    <col min="14891" max="14891" width="9.42578125" style="1986" customWidth="1"/>
    <col min="14892" max="14892" width="9.140625" style="1986" customWidth="1"/>
    <col min="14893" max="14894" width="7.28515625" style="1986" customWidth="1"/>
    <col min="14895" max="14895" width="9" style="1986" customWidth="1"/>
    <col min="14896" max="14896" width="9.42578125" style="1986" customWidth="1"/>
    <col min="14897" max="14897" width="6" style="1986" customWidth="1"/>
    <col min="14898" max="14898" width="9.42578125" style="1986" customWidth="1"/>
    <col min="14899" max="14899" width="7.7109375" style="1986" customWidth="1"/>
    <col min="14900" max="14907" width="9.42578125" style="1986" customWidth="1"/>
    <col min="14908" max="14908" width="13.85546875" style="1986" customWidth="1"/>
    <col min="14909" max="14909" width="12.28515625" style="1986" customWidth="1"/>
    <col min="14910" max="15105" width="9.42578125" style="1986"/>
    <col min="15106" max="15106" width="13.7109375" style="1986" customWidth="1"/>
    <col min="15107" max="15107" width="17.140625" style="1986" customWidth="1"/>
    <col min="15108" max="15108" width="3" style="1986" customWidth="1"/>
    <col min="15109" max="15109" width="8.28515625" style="1986" customWidth="1"/>
    <col min="15110" max="15110" width="3.28515625" style="1986" customWidth="1"/>
    <col min="15111" max="15111" width="50" style="1986" customWidth="1"/>
    <col min="15112" max="15132" width="13.7109375" style="1986" customWidth="1"/>
    <col min="15133" max="15133" width="33.140625" style="1986" customWidth="1"/>
    <col min="15134" max="15134" width="4.28515625" style="1986" customWidth="1"/>
    <col min="15135" max="15135" width="3.42578125" style="1986" customWidth="1"/>
    <col min="15136" max="15136" width="2.28515625" style="1986" customWidth="1"/>
    <col min="15137" max="15137" width="4.42578125" style="1986" customWidth="1"/>
    <col min="15138" max="15138" width="7.140625" style="1986" customWidth="1"/>
    <col min="15139" max="15139" width="7.28515625" style="1986" customWidth="1"/>
    <col min="15140" max="15140" width="14.42578125" style="1986" bestFit="1" customWidth="1"/>
    <col min="15141" max="15141" width="6.140625" style="1986" customWidth="1"/>
    <col min="15142" max="15142" width="18.5703125" style="1986" bestFit="1" customWidth="1"/>
    <col min="15143" max="15143" width="7.5703125" style="1986" customWidth="1"/>
    <col min="15144" max="15145" width="7.28515625" style="1986" customWidth="1"/>
    <col min="15146" max="15146" width="8.28515625" style="1986" customWidth="1"/>
    <col min="15147" max="15147" width="9.42578125" style="1986" customWidth="1"/>
    <col min="15148" max="15148" width="9.140625" style="1986" customWidth="1"/>
    <col min="15149" max="15150" width="7.28515625" style="1986" customWidth="1"/>
    <col min="15151" max="15151" width="9" style="1986" customWidth="1"/>
    <col min="15152" max="15152" width="9.42578125" style="1986" customWidth="1"/>
    <col min="15153" max="15153" width="6" style="1986" customWidth="1"/>
    <col min="15154" max="15154" width="9.42578125" style="1986" customWidth="1"/>
    <col min="15155" max="15155" width="7.7109375" style="1986" customWidth="1"/>
    <col min="15156" max="15163" width="9.42578125" style="1986" customWidth="1"/>
    <col min="15164" max="15164" width="13.85546875" style="1986" customWidth="1"/>
    <col min="15165" max="15165" width="12.28515625" style="1986" customWidth="1"/>
    <col min="15166" max="15361" width="9.42578125" style="1986"/>
    <col min="15362" max="15362" width="13.7109375" style="1986" customWidth="1"/>
    <col min="15363" max="15363" width="17.140625" style="1986" customWidth="1"/>
    <col min="15364" max="15364" width="3" style="1986" customWidth="1"/>
    <col min="15365" max="15365" width="8.28515625" style="1986" customWidth="1"/>
    <col min="15366" max="15366" width="3.28515625" style="1986" customWidth="1"/>
    <col min="15367" max="15367" width="50" style="1986" customWidth="1"/>
    <col min="15368" max="15388" width="13.7109375" style="1986" customWidth="1"/>
    <col min="15389" max="15389" width="33.140625" style="1986" customWidth="1"/>
    <col min="15390" max="15390" width="4.28515625" style="1986" customWidth="1"/>
    <col min="15391" max="15391" width="3.42578125" style="1986" customWidth="1"/>
    <col min="15392" max="15392" width="2.28515625" style="1986" customWidth="1"/>
    <col min="15393" max="15393" width="4.42578125" style="1986" customWidth="1"/>
    <col min="15394" max="15394" width="7.140625" style="1986" customWidth="1"/>
    <col min="15395" max="15395" width="7.28515625" style="1986" customWidth="1"/>
    <col min="15396" max="15396" width="14.42578125" style="1986" bestFit="1" customWidth="1"/>
    <col min="15397" max="15397" width="6.140625" style="1986" customWidth="1"/>
    <col min="15398" max="15398" width="18.5703125" style="1986" bestFit="1" customWidth="1"/>
    <col min="15399" max="15399" width="7.5703125" style="1986" customWidth="1"/>
    <col min="15400" max="15401" width="7.28515625" style="1986" customWidth="1"/>
    <col min="15402" max="15402" width="8.28515625" style="1986" customWidth="1"/>
    <col min="15403" max="15403" width="9.42578125" style="1986" customWidth="1"/>
    <col min="15404" max="15404" width="9.140625" style="1986" customWidth="1"/>
    <col min="15405" max="15406" width="7.28515625" style="1986" customWidth="1"/>
    <col min="15407" max="15407" width="9" style="1986" customWidth="1"/>
    <col min="15408" max="15408" width="9.42578125" style="1986" customWidth="1"/>
    <col min="15409" max="15409" width="6" style="1986" customWidth="1"/>
    <col min="15410" max="15410" width="9.42578125" style="1986" customWidth="1"/>
    <col min="15411" max="15411" width="7.7109375" style="1986" customWidth="1"/>
    <col min="15412" max="15419" width="9.42578125" style="1986" customWidth="1"/>
    <col min="15420" max="15420" width="13.85546875" style="1986" customWidth="1"/>
    <col min="15421" max="15421" width="12.28515625" style="1986" customWidth="1"/>
    <col min="15422" max="15617" width="9.42578125" style="1986"/>
    <col min="15618" max="15618" width="13.7109375" style="1986" customWidth="1"/>
    <col min="15619" max="15619" width="17.140625" style="1986" customWidth="1"/>
    <col min="15620" max="15620" width="3" style="1986" customWidth="1"/>
    <col min="15621" max="15621" width="8.28515625" style="1986" customWidth="1"/>
    <col min="15622" max="15622" width="3.28515625" style="1986" customWidth="1"/>
    <col min="15623" max="15623" width="50" style="1986" customWidth="1"/>
    <col min="15624" max="15644" width="13.7109375" style="1986" customWidth="1"/>
    <col min="15645" max="15645" width="33.140625" style="1986" customWidth="1"/>
    <col min="15646" max="15646" width="4.28515625" style="1986" customWidth="1"/>
    <col min="15647" max="15647" width="3.42578125" style="1986" customWidth="1"/>
    <col min="15648" max="15648" width="2.28515625" style="1986" customWidth="1"/>
    <col min="15649" max="15649" width="4.42578125" style="1986" customWidth="1"/>
    <col min="15650" max="15650" width="7.140625" style="1986" customWidth="1"/>
    <col min="15651" max="15651" width="7.28515625" style="1986" customWidth="1"/>
    <col min="15652" max="15652" width="14.42578125" style="1986" bestFit="1" customWidth="1"/>
    <col min="15653" max="15653" width="6.140625" style="1986" customWidth="1"/>
    <col min="15654" max="15654" width="18.5703125" style="1986" bestFit="1" customWidth="1"/>
    <col min="15655" max="15655" width="7.5703125" style="1986" customWidth="1"/>
    <col min="15656" max="15657" width="7.28515625" style="1986" customWidth="1"/>
    <col min="15658" max="15658" width="8.28515625" style="1986" customWidth="1"/>
    <col min="15659" max="15659" width="9.42578125" style="1986" customWidth="1"/>
    <col min="15660" max="15660" width="9.140625" style="1986" customWidth="1"/>
    <col min="15661" max="15662" width="7.28515625" style="1986" customWidth="1"/>
    <col min="15663" max="15663" width="9" style="1986" customWidth="1"/>
    <col min="15664" max="15664" width="9.42578125" style="1986" customWidth="1"/>
    <col min="15665" max="15665" width="6" style="1986" customWidth="1"/>
    <col min="15666" max="15666" width="9.42578125" style="1986" customWidth="1"/>
    <col min="15667" max="15667" width="7.7109375" style="1986" customWidth="1"/>
    <col min="15668" max="15675" width="9.42578125" style="1986" customWidth="1"/>
    <col min="15676" max="15676" width="13.85546875" style="1986" customWidth="1"/>
    <col min="15677" max="15677" width="12.28515625" style="1986" customWidth="1"/>
    <col min="15678" max="15873" width="9.42578125" style="1986"/>
    <col min="15874" max="15874" width="13.7109375" style="1986" customWidth="1"/>
    <col min="15875" max="15875" width="17.140625" style="1986" customWidth="1"/>
    <col min="15876" max="15876" width="3" style="1986" customWidth="1"/>
    <col min="15877" max="15877" width="8.28515625" style="1986" customWidth="1"/>
    <col min="15878" max="15878" width="3.28515625" style="1986" customWidth="1"/>
    <col min="15879" max="15879" width="50" style="1986" customWidth="1"/>
    <col min="15880" max="15900" width="13.7109375" style="1986" customWidth="1"/>
    <col min="15901" max="15901" width="33.140625" style="1986" customWidth="1"/>
    <col min="15902" max="15902" width="4.28515625" style="1986" customWidth="1"/>
    <col min="15903" max="15903" width="3.42578125" style="1986" customWidth="1"/>
    <col min="15904" max="15904" width="2.28515625" style="1986" customWidth="1"/>
    <col min="15905" max="15905" width="4.42578125" style="1986" customWidth="1"/>
    <col min="15906" max="15906" width="7.140625" style="1986" customWidth="1"/>
    <col min="15907" max="15907" width="7.28515625" style="1986" customWidth="1"/>
    <col min="15908" max="15908" width="14.42578125" style="1986" bestFit="1" customWidth="1"/>
    <col min="15909" max="15909" width="6.140625" style="1986" customWidth="1"/>
    <col min="15910" max="15910" width="18.5703125" style="1986" bestFit="1" customWidth="1"/>
    <col min="15911" max="15911" width="7.5703125" style="1986" customWidth="1"/>
    <col min="15912" max="15913" width="7.28515625" style="1986" customWidth="1"/>
    <col min="15914" max="15914" width="8.28515625" style="1986" customWidth="1"/>
    <col min="15915" max="15915" width="9.42578125" style="1986" customWidth="1"/>
    <col min="15916" max="15916" width="9.140625" style="1986" customWidth="1"/>
    <col min="15917" max="15918" width="7.28515625" style="1986" customWidth="1"/>
    <col min="15919" max="15919" width="9" style="1986" customWidth="1"/>
    <col min="15920" max="15920" width="9.42578125" style="1986" customWidth="1"/>
    <col min="15921" max="15921" width="6" style="1986" customWidth="1"/>
    <col min="15922" max="15922" width="9.42578125" style="1986" customWidth="1"/>
    <col min="15923" max="15923" width="7.7109375" style="1986" customWidth="1"/>
    <col min="15924" max="15931" width="9.42578125" style="1986" customWidth="1"/>
    <col min="15932" max="15932" width="13.85546875" style="1986" customWidth="1"/>
    <col min="15933" max="15933" width="12.28515625" style="1986" customWidth="1"/>
    <col min="15934" max="16129" width="9.42578125" style="1986"/>
    <col min="16130" max="16130" width="13.7109375" style="1986" customWidth="1"/>
    <col min="16131" max="16131" width="17.140625" style="1986" customWidth="1"/>
    <col min="16132" max="16132" width="3" style="1986" customWidth="1"/>
    <col min="16133" max="16133" width="8.28515625" style="1986" customWidth="1"/>
    <col min="16134" max="16134" width="3.28515625" style="1986" customWidth="1"/>
    <col min="16135" max="16135" width="50" style="1986" customWidth="1"/>
    <col min="16136" max="16156" width="13.7109375" style="1986" customWidth="1"/>
    <col min="16157" max="16157" width="33.140625" style="1986" customWidth="1"/>
    <col min="16158" max="16158" width="4.28515625" style="1986" customWidth="1"/>
    <col min="16159" max="16159" width="3.42578125" style="1986" customWidth="1"/>
    <col min="16160" max="16160" width="2.28515625" style="1986" customWidth="1"/>
    <col min="16161" max="16161" width="4.42578125" style="1986" customWidth="1"/>
    <col min="16162" max="16162" width="7.140625" style="1986" customWidth="1"/>
    <col min="16163" max="16163" width="7.28515625" style="1986" customWidth="1"/>
    <col min="16164" max="16164" width="14.42578125" style="1986" bestFit="1" customWidth="1"/>
    <col min="16165" max="16165" width="6.140625" style="1986" customWidth="1"/>
    <col min="16166" max="16166" width="18.5703125" style="1986" bestFit="1" customWidth="1"/>
    <col min="16167" max="16167" width="7.5703125" style="1986" customWidth="1"/>
    <col min="16168" max="16169" width="7.28515625" style="1986" customWidth="1"/>
    <col min="16170" max="16170" width="8.28515625" style="1986" customWidth="1"/>
    <col min="16171" max="16171" width="9.42578125" style="1986" customWidth="1"/>
    <col min="16172" max="16172" width="9.140625" style="1986" customWidth="1"/>
    <col min="16173" max="16174" width="7.28515625" style="1986" customWidth="1"/>
    <col min="16175" max="16175" width="9" style="1986" customWidth="1"/>
    <col min="16176" max="16176" width="9.42578125" style="1986" customWidth="1"/>
    <col min="16177" max="16177" width="6" style="1986" customWidth="1"/>
    <col min="16178" max="16178" width="9.42578125" style="1986" customWidth="1"/>
    <col min="16179" max="16179" width="7.7109375" style="1986" customWidth="1"/>
    <col min="16180" max="16187" width="9.42578125" style="1986" customWidth="1"/>
    <col min="16188" max="16188" width="13.85546875" style="1986" customWidth="1"/>
    <col min="16189" max="16189" width="12.28515625" style="1986" customWidth="1"/>
    <col min="16190" max="16384" width="9.42578125" style="1986"/>
  </cols>
  <sheetData>
    <row r="1" spans="1:217" ht="35.1" customHeight="1">
      <c r="BC1" s="1999"/>
    </row>
    <row r="2" spans="1:217" ht="35.1" customHeight="1">
      <c r="BC2" s="1999"/>
    </row>
    <row r="3" spans="1:217" s="2848" customFormat="1" ht="35.1" customHeight="1">
      <c r="B3" s="2849"/>
      <c r="C3" s="4895" t="s">
        <v>999</v>
      </c>
      <c r="D3" s="4895"/>
      <c r="E3" s="4895"/>
      <c r="F3" s="4895"/>
      <c r="G3" s="4895"/>
      <c r="H3" s="4895"/>
      <c r="I3" s="4895"/>
      <c r="J3" s="4895"/>
      <c r="K3" s="4895"/>
      <c r="L3" s="4895"/>
      <c r="M3" s="4895"/>
      <c r="N3" s="4895"/>
      <c r="O3" s="4895"/>
      <c r="P3" s="4895"/>
      <c r="Q3" s="4895" t="s">
        <v>1000</v>
      </c>
      <c r="R3" s="4895"/>
      <c r="S3" s="4895"/>
      <c r="T3" s="4895"/>
      <c r="U3" s="4895"/>
      <c r="V3" s="4895"/>
      <c r="W3" s="4895"/>
      <c r="X3" s="4895"/>
      <c r="Y3" s="4895"/>
      <c r="Z3" s="4895"/>
      <c r="AA3" s="4895"/>
      <c r="AB3" s="4895"/>
      <c r="AC3" s="4895"/>
      <c r="AD3" s="4895"/>
      <c r="AE3" s="4895"/>
      <c r="AF3" s="4895"/>
      <c r="AG3" s="4895"/>
      <c r="AH3" s="1845"/>
      <c r="AI3" s="2850"/>
      <c r="AJ3" s="2851"/>
      <c r="AK3" s="2851"/>
      <c r="AM3" s="1845"/>
      <c r="AN3" s="2851"/>
      <c r="AO3" s="2851"/>
      <c r="AP3" s="2851"/>
      <c r="AQ3" s="2851"/>
      <c r="AR3" s="2851"/>
      <c r="AS3" s="2851"/>
      <c r="AT3" s="2851"/>
      <c r="AU3" s="2851"/>
      <c r="AV3" s="2851"/>
      <c r="AW3" s="2851"/>
      <c r="AX3" s="2852"/>
      <c r="AY3" s="2852"/>
      <c r="AZ3" s="2852"/>
      <c r="BA3" s="2852"/>
      <c r="BB3" s="2849"/>
      <c r="BC3" s="2849"/>
      <c r="BD3" s="2849"/>
      <c r="BE3" s="2849"/>
      <c r="BF3" s="2849"/>
      <c r="BG3" s="2849"/>
      <c r="BH3" s="2849"/>
      <c r="BI3" s="2849"/>
      <c r="BJ3" s="2849"/>
      <c r="BK3" s="2849"/>
      <c r="BL3" s="2849"/>
      <c r="BM3" s="2849"/>
      <c r="BN3" s="2849"/>
      <c r="BO3" s="2849"/>
      <c r="BP3" s="2849"/>
      <c r="BQ3" s="2849"/>
      <c r="BR3" s="2849"/>
      <c r="BS3" s="2849"/>
      <c r="BT3" s="2849"/>
      <c r="BU3" s="2849"/>
      <c r="BV3" s="2849"/>
      <c r="BW3" s="2849"/>
      <c r="BX3" s="2849"/>
      <c r="BY3" s="2849"/>
      <c r="BZ3" s="2849"/>
      <c r="CA3" s="2849"/>
      <c r="CB3" s="2849"/>
      <c r="CC3" s="2849"/>
      <c r="CD3" s="2849"/>
      <c r="CE3" s="2849"/>
      <c r="CF3" s="2849"/>
      <c r="CG3" s="2849"/>
      <c r="CH3" s="2849"/>
      <c r="CI3" s="2849"/>
      <c r="CJ3" s="2849"/>
      <c r="CK3" s="2849"/>
      <c r="CL3" s="2849"/>
      <c r="CM3" s="2849"/>
      <c r="CN3" s="2849"/>
      <c r="CO3" s="2849"/>
      <c r="CP3" s="2849"/>
      <c r="CQ3" s="2849"/>
      <c r="CR3" s="2849"/>
      <c r="CS3" s="2849"/>
      <c r="CT3" s="2849"/>
      <c r="CU3" s="2849"/>
      <c r="CV3" s="2849"/>
      <c r="CW3" s="2849"/>
      <c r="CX3" s="2849"/>
      <c r="CY3" s="2849"/>
      <c r="CZ3" s="2849"/>
      <c r="DA3" s="2849"/>
      <c r="DB3" s="2849"/>
      <c r="DC3" s="2849"/>
      <c r="DD3" s="2849"/>
      <c r="DE3" s="2849"/>
      <c r="DF3" s="2849"/>
      <c r="DG3" s="2849"/>
      <c r="DH3" s="2849"/>
      <c r="DI3" s="2849"/>
      <c r="DJ3" s="2849"/>
      <c r="DK3" s="2849"/>
      <c r="DL3" s="2849"/>
      <c r="DM3" s="2849"/>
      <c r="DN3" s="2849"/>
      <c r="DO3" s="2849"/>
      <c r="DP3" s="2849"/>
      <c r="DQ3" s="2849"/>
      <c r="DR3" s="2849"/>
      <c r="DS3" s="2849"/>
      <c r="DT3" s="2849"/>
      <c r="DU3" s="2849"/>
      <c r="DV3" s="2849"/>
      <c r="DW3" s="2849"/>
      <c r="DX3" s="2849"/>
      <c r="DY3" s="2849"/>
      <c r="DZ3" s="2849"/>
      <c r="EA3" s="2849"/>
      <c r="EB3" s="2849"/>
      <c r="EC3" s="2849"/>
      <c r="ED3" s="2849"/>
      <c r="EE3" s="2849"/>
      <c r="EF3" s="2849"/>
      <c r="EG3" s="2849"/>
      <c r="EH3" s="2849"/>
      <c r="EI3" s="2849"/>
      <c r="EJ3" s="2849"/>
      <c r="EK3" s="2849"/>
      <c r="EL3" s="2849"/>
      <c r="EM3" s="2849"/>
      <c r="EN3" s="2849"/>
      <c r="EO3" s="2849"/>
      <c r="EP3" s="2849"/>
      <c r="EQ3" s="2849"/>
      <c r="ER3" s="2849"/>
      <c r="ES3" s="2849"/>
      <c r="ET3" s="2849"/>
      <c r="EU3" s="2849"/>
      <c r="EV3" s="2849"/>
      <c r="EW3" s="2849"/>
      <c r="EX3" s="2849"/>
      <c r="EY3" s="2849"/>
      <c r="EZ3" s="2849"/>
      <c r="FA3" s="2849"/>
      <c r="FB3" s="2849"/>
      <c r="FC3" s="2849"/>
      <c r="FD3" s="2849"/>
      <c r="FE3" s="2849"/>
      <c r="FF3" s="2849"/>
      <c r="FG3" s="2849"/>
      <c r="FH3" s="2849"/>
      <c r="FI3" s="2849"/>
      <c r="FJ3" s="2849"/>
      <c r="FK3" s="2849"/>
      <c r="FL3" s="2849"/>
      <c r="FM3" s="2849"/>
      <c r="FN3" s="2849"/>
      <c r="FO3" s="2849"/>
      <c r="FP3" s="2849"/>
      <c r="FQ3" s="2849"/>
      <c r="FR3" s="2849"/>
      <c r="FS3" s="2849"/>
      <c r="FT3" s="2849"/>
      <c r="FU3" s="2849"/>
      <c r="FV3" s="2849"/>
      <c r="FW3" s="2849"/>
      <c r="FX3" s="2849"/>
      <c r="FY3" s="2849"/>
      <c r="FZ3" s="2849"/>
      <c r="GA3" s="2849"/>
      <c r="GB3" s="2849"/>
      <c r="GC3" s="2849"/>
      <c r="GD3" s="2849"/>
      <c r="GE3" s="2849"/>
      <c r="GF3" s="2849"/>
      <c r="GG3" s="2849"/>
      <c r="GH3" s="2849"/>
      <c r="GI3" s="2849"/>
      <c r="GJ3" s="2849"/>
      <c r="GK3" s="2849"/>
      <c r="GL3" s="2849"/>
      <c r="GM3" s="2849"/>
      <c r="GN3" s="2849"/>
      <c r="GO3" s="2849"/>
      <c r="GP3" s="2849"/>
      <c r="GQ3" s="2849"/>
      <c r="GR3" s="2849"/>
      <c r="GS3" s="2849"/>
      <c r="GT3" s="2849"/>
      <c r="GU3" s="2849"/>
      <c r="GV3" s="2849"/>
      <c r="GW3" s="2849"/>
      <c r="GX3" s="2849"/>
      <c r="GY3" s="2849"/>
      <c r="GZ3" s="2849"/>
      <c r="HA3" s="2849"/>
      <c r="HB3" s="2849"/>
      <c r="HC3" s="2849"/>
      <c r="HD3" s="2849"/>
      <c r="HE3" s="2849"/>
      <c r="HF3" s="2849"/>
      <c r="HG3" s="2849"/>
      <c r="HH3" s="2849"/>
      <c r="HI3" s="2849"/>
    </row>
    <row r="4" spans="1:217" s="2853" customFormat="1" ht="35.1" customHeight="1">
      <c r="B4" s="2366"/>
      <c r="C4" s="4713" t="s">
        <v>1001</v>
      </c>
      <c r="D4" s="4713"/>
      <c r="E4" s="4713"/>
      <c r="F4" s="4713"/>
      <c r="G4" s="4713"/>
      <c r="H4" s="4713"/>
      <c r="I4" s="4713"/>
      <c r="J4" s="4713"/>
      <c r="K4" s="4713"/>
      <c r="L4" s="4713"/>
      <c r="M4" s="4713"/>
      <c r="N4" s="4713"/>
      <c r="O4" s="4713"/>
      <c r="P4" s="4713"/>
      <c r="Q4" s="4713" t="s">
        <v>1001</v>
      </c>
      <c r="R4" s="4713"/>
      <c r="S4" s="4713"/>
      <c r="T4" s="4713"/>
      <c r="U4" s="4713"/>
      <c r="V4" s="4713"/>
      <c r="W4" s="4713"/>
      <c r="X4" s="4713"/>
      <c r="Y4" s="4713"/>
      <c r="Z4" s="4713"/>
      <c r="AA4" s="4713"/>
      <c r="AB4" s="4713"/>
      <c r="AC4" s="4713"/>
      <c r="AD4" s="4713"/>
      <c r="AE4" s="4713"/>
      <c r="AF4" s="4713"/>
      <c r="AG4" s="4713"/>
      <c r="AH4" s="2498"/>
      <c r="AI4" s="2854"/>
      <c r="AJ4" s="2854"/>
      <c r="AK4" s="2854"/>
      <c r="AM4" s="2498"/>
      <c r="AN4" s="2854"/>
      <c r="AO4" s="2854"/>
      <c r="AP4" s="2854"/>
      <c r="AQ4" s="2854"/>
      <c r="AR4" s="2855"/>
      <c r="AS4" s="2855"/>
      <c r="AT4" s="2855"/>
      <c r="AU4" s="2855"/>
      <c r="AV4" s="2855"/>
      <c r="AW4" s="2855"/>
      <c r="AX4" s="2856"/>
      <c r="AY4" s="2856"/>
      <c r="AZ4" s="2856"/>
      <c r="BA4" s="2856"/>
      <c r="BB4" s="2366"/>
      <c r="BC4" s="2366"/>
      <c r="BD4" s="2366"/>
      <c r="BE4" s="2366"/>
      <c r="BF4" s="2366"/>
      <c r="BG4" s="2366"/>
      <c r="BH4" s="2366"/>
      <c r="BI4" s="2366"/>
      <c r="BJ4" s="2366"/>
      <c r="BK4" s="2366"/>
      <c r="BL4" s="2366"/>
      <c r="BM4" s="2366"/>
      <c r="BN4" s="2366"/>
      <c r="BO4" s="2366"/>
      <c r="BP4" s="2366"/>
      <c r="BQ4" s="2366"/>
      <c r="BR4" s="2366"/>
      <c r="BS4" s="2366"/>
      <c r="BT4" s="2366"/>
      <c r="BU4" s="2366"/>
      <c r="BV4" s="2366"/>
      <c r="BW4" s="2366"/>
      <c r="BX4" s="2366"/>
      <c r="BY4" s="2366"/>
      <c r="BZ4" s="2366"/>
      <c r="CA4" s="2366"/>
      <c r="CB4" s="2366"/>
      <c r="CC4" s="2366"/>
      <c r="CD4" s="2366"/>
      <c r="CE4" s="2366"/>
      <c r="CF4" s="2366"/>
      <c r="CG4" s="2366"/>
      <c r="CH4" s="2366"/>
      <c r="CI4" s="2366"/>
      <c r="CJ4" s="2366"/>
      <c r="CK4" s="2366"/>
      <c r="CL4" s="2366"/>
      <c r="CM4" s="2366"/>
      <c r="CN4" s="2366"/>
      <c r="CO4" s="2366"/>
      <c r="CP4" s="2366"/>
      <c r="CQ4" s="2366"/>
      <c r="CR4" s="2366"/>
      <c r="CS4" s="2366"/>
      <c r="CT4" s="2366"/>
      <c r="CU4" s="2366"/>
      <c r="CV4" s="2366"/>
      <c r="CW4" s="2366"/>
      <c r="CX4" s="2366"/>
      <c r="CY4" s="2366"/>
      <c r="CZ4" s="2366"/>
      <c r="DA4" s="2366"/>
      <c r="DB4" s="2366"/>
      <c r="DC4" s="2366"/>
      <c r="DD4" s="2366"/>
      <c r="DE4" s="2366"/>
      <c r="DF4" s="2366"/>
      <c r="DG4" s="2366"/>
      <c r="DH4" s="2366"/>
      <c r="DI4" s="2366"/>
      <c r="DJ4" s="2366"/>
      <c r="DK4" s="2366"/>
      <c r="DL4" s="2366"/>
      <c r="DM4" s="2366"/>
      <c r="DN4" s="2366"/>
      <c r="DO4" s="2366"/>
      <c r="DP4" s="2366"/>
      <c r="DQ4" s="2366"/>
      <c r="DR4" s="2366"/>
      <c r="DS4" s="2366"/>
      <c r="DT4" s="2366"/>
      <c r="DU4" s="2366"/>
      <c r="DV4" s="2366"/>
      <c r="DW4" s="2366"/>
      <c r="DX4" s="2366"/>
      <c r="DY4" s="2366"/>
      <c r="DZ4" s="2366"/>
      <c r="EA4" s="2366"/>
      <c r="EB4" s="2366"/>
      <c r="EC4" s="2366"/>
      <c r="ED4" s="2366"/>
      <c r="EE4" s="2366"/>
      <c r="EF4" s="2366"/>
      <c r="EG4" s="2366"/>
      <c r="EH4" s="2366"/>
      <c r="EI4" s="2366"/>
      <c r="EJ4" s="2366"/>
      <c r="EK4" s="2366"/>
      <c r="EL4" s="2366"/>
      <c r="EM4" s="2366"/>
      <c r="EN4" s="2366"/>
      <c r="EO4" s="2366"/>
      <c r="EP4" s="2366"/>
      <c r="EQ4" s="2366"/>
      <c r="ER4" s="2366"/>
      <c r="ES4" s="2366"/>
      <c r="ET4" s="2366"/>
      <c r="EU4" s="2366"/>
      <c r="EV4" s="2366"/>
      <c r="EW4" s="2366"/>
      <c r="EX4" s="2366"/>
      <c r="EY4" s="2366"/>
      <c r="EZ4" s="2366"/>
      <c r="FA4" s="2366"/>
      <c r="FB4" s="2366"/>
      <c r="FC4" s="2366"/>
      <c r="FD4" s="2366"/>
      <c r="FE4" s="2366"/>
      <c r="FF4" s="2366"/>
      <c r="FG4" s="2366"/>
      <c r="FH4" s="2366"/>
      <c r="FI4" s="2366"/>
      <c r="FJ4" s="2366"/>
      <c r="FK4" s="2366"/>
      <c r="FL4" s="2366"/>
      <c r="FM4" s="2366"/>
      <c r="FN4" s="2366"/>
      <c r="FO4" s="2366"/>
      <c r="FP4" s="2366"/>
      <c r="FQ4" s="2366"/>
      <c r="FR4" s="2366"/>
      <c r="FS4" s="2366"/>
      <c r="FT4" s="2366"/>
      <c r="FU4" s="2366"/>
      <c r="FV4" s="2366"/>
      <c r="FW4" s="2366"/>
      <c r="FX4" s="2366"/>
      <c r="FY4" s="2366"/>
      <c r="FZ4" s="2366"/>
      <c r="GA4" s="2366"/>
      <c r="GB4" s="2366"/>
      <c r="GC4" s="2366"/>
      <c r="GD4" s="2366"/>
      <c r="GE4" s="2366"/>
      <c r="GF4" s="2366"/>
      <c r="GG4" s="2366"/>
      <c r="GH4" s="2366"/>
      <c r="GI4" s="2366"/>
      <c r="GJ4" s="2366"/>
      <c r="GK4" s="2366"/>
      <c r="GL4" s="2366"/>
      <c r="GM4" s="2366"/>
      <c r="GN4" s="2366"/>
      <c r="GO4" s="2366"/>
      <c r="GP4" s="2366"/>
      <c r="GQ4" s="2366"/>
      <c r="GR4" s="2366"/>
      <c r="GS4" s="2366"/>
      <c r="GT4" s="2366"/>
      <c r="GU4" s="2366"/>
      <c r="GV4" s="2366"/>
      <c r="GW4" s="2366"/>
      <c r="GX4" s="2366"/>
      <c r="GY4" s="2366"/>
      <c r="GZ4" s="2366"/>
      <c r="HA4" s="2366"/>
      <c r="HB4" s="2366"/>
      <c r="HC4" s="2366"/>
      <c r="HD4" s="2366"/>
      <c r="HE4" s="2366"/>
      <c r="HF4" s="2366"/>
      <c r="HG4" s="2366"/>
      <c r="HH4" s="2366"/>
      <c r="HI4" s="2366"/>
    </row>
    <row r="5" spans="1:217" s="2853" customFormat="1" ht="35.1" customHeight="1">
      <c r="B5" s="2366"/>
      <c r="C5" s="4713" t="s">
        <v>1002</v>
      </c>
      <c r="D5" s="4713"/>
      <c r="E5" s="4713"/>
      <c r="F5" s="4713"/>
      <c r="G5" s="4713"/>
      <c r="H5" s="4713"/>
      <c r="I5" s="4713"/>
      <c r="J5" s="4713"/>
      <c r="K5" s="4713"/>
      <c r="L5" s="4713"/>
      <c r="M5" s="4713"/>
      <c r="N5" s="4713"/>
      <c r="O5" s="4713"/>
      <c r="P5" s="4713"/>
      <c r="Q5" s="4713" t="s">
        <v>1003</v>
      </c>
      <c r="R5" s="4713"/>
      <c r="S5" s="4713"/>
      <c r="T5" s="4713"/>
      <c r="U5" s="4713"/>
      <c r="V5" s="4713"/>
      <c r="W5" s="4713"/>
      <c r="X5" s="4713"/>
      <c r="Y5" s="4713"/>
      <c r="Z5" s="4713"/>
      <c r="AA5" s="4713"/>
      <c r="AB5" s="4713"/>
      <c r="AC5" s="4713"/>
      <c r="AD5" s="4713"/>
      <c r="AE5" s="4713"/>
      <c r="AF5" s="4713"/>
      <c r="AG5" s="4713"/>
      <c r="AH5" s="2498"/>
      <c r="AI5" s="2854"/>
      <c r="AJ5" s="2854"/>
      <c r="AK5" s="2854"/>
      <c r="AM5" s="2498"/>
      <c r="AN5" s="2854"/>
      <c r="AO5" s="2854"/>
      <c r="AP5" s="2854"/>
      <c r="AQ5" s="2854"/>
      <c r="AR5" s="2855"/>
      <c r="AS5" s="2855"/>
      <c r="AT5" s="2855"/>
      <c r="AU5" s="2855"/>
      <c r="AV5" s="2855"/>
      <c r="AW5" s="2855"/>
      <c r="AX5" s="2856"/>
      <c r="AY5" s="2856"/>
      <c r="AZ5" s="2856"/>
      <c r="BA5" s="2856"/>
      <c r="BB5" s="2366"/>
      <c r="BC5" s="2366"/>
      <c r="BD5" s="2366"/>
      <c r="BE5" s="2366"/>
      <c r="BF5" s="2366"/>
      <c r="BG5" s="2366"/>
      <c r="BH5" s="2366"/>
      <c r="BI5" s="2366"/>
      <c r="BJ5" s="2366"/>
      <c r="BK5" s="2366"/>
      <c r="BL5" s="2366"/>
      <c r="BM5" s="2366"/>
      <c r="BN5" s="2366"/>
      <c r="BO5" s="2366"/>
      <c r="BP5" s="2366"/>
      <c r="BQ5" s="2366"/>
      <c r="BR5" s="2366"/>
      <c r="BS5" s="2366"/>
      <c r="BT5" s="2366"/>
      <c r="BU5" s="2366"/>
      <c r="BV5" s="2366"/>
      <c r="BW5" s="2366"/>
      <c r="BX5" s="2366"/>
      <c r="BY5" s="2366"/>
      <c r="BZ5" s="2366"/>
      <c r="CA5" s="2366"/>
      <c r="CB5" s="2366"/>
      <c r="CC5" s="2366"/>
      <c r="CD5" s="2366"/>
      <c r="CE5" s="2366"/>
      <c r="CF5" s="2366"/>
      <c r="CG5" s="2366"/>
      <c r="CH5" s="2366"/>
      <c r="CI5" s="2366"/>
      <c r="CJ5" s="2366"/>
      <c r="CK5" s="2366"/>
      <c r="CL5" s="2366"/>
      <c r="CM5" s="2366"/>
      <c r="CN5" s="2366"/>
      <c r="CO5" s="2366"/>
      <c r="CP5" s="2366"/>
      <c r="CQ5" s="2366"/>
      <c r="CR5" s="2366"/>
      <c r="CS5" s="2366"/>
      <c r="CT5" s="2366"/>
      <c r="CU5" s="2366"/>
      <c r="CV5" s="2366"/>
      <c r="CW5" s="2366"/>
      <c r="CX5" s="2366"/>
      <c r="CY5" s="2366"/>
      <c r="CZ5" s="2366"/>
      <c r="DA5" s="2366"/>
      <c r="DB5" s="2366"/>
      <c r="DC5" s="2366"/>
      <c r="DD5" s="2366"/>
      <c r="DE5" s="2366"/>
      <c r="DF5" s="2366"/>
      <c r="DG5" s="2366"/>
      <c r="DH5" s="2366"/>
      <c r="DI5" s="2366"/>
      <c r="DJ5" s="2366"/>
      <c r="DK5" s="2366"/>
      <c r="DL5" s="2366"/>
      <c r="DM5" s="2366"/>
      <c r="DN5" s="2366"/>
      <c r="DO5" s="2366"/>
      <c r="DP5" s="2366"/>
      <c r="DQ5" s="2366"/>
      <c r="DR5" s="2366"/>
      <c r="DS5" s="2366"/>
      <c r="DT5" s="2366"/>
      <c r="DU5" s="2366"/>
      <c r="DV5" s="2366"/>
      <c r="DW5" s="2366"/>
      <c r="DX5" s="2366"/>
      <c r="DY5" s="2366"/>
      <c r="DZ5" s="2366"/>
      <c r="EA5" s="2366"/>
      <c r="EB5" s="2366"/>
      <c r="EC5" s="2366"/>
      <c r="ED5" s="2366"/>
      <c r="EE5" s="2366"/>
      <c r="EF5" s="2366"/>
      <c r="EG5" s="2366"/>
      <c r="EH5" s="2366"/>
      <c r="EI5" s="2366"/>
      <c r="EJ5" s="2366"/>
      <c r="EK5" s="2366"/>
      <c r="EL5" s="2366"/>
      <c r="EM5" s="2366"/>
      <c r="EN5" s="2366"/>
      <c r="EO5" s="2366"/>
      <c r="EP5" s="2366"/>
      <c r="EQ5" s="2366"/>
      <c r="ER5" s="2366"/>
      <c r="ES5" s="2366"/>
      <c r="ET5" s="2366"/>
      <c r="EU5" s="2366"/>
      <c r="EV5" s="2366"/>
      <c r="EW5" s="2366"/>
      <c r="EX5" s="2366"/>
      <c r="EY5" s="2366"/>
      <c r="EZ5" s="2366"/>
      <c r="FA5" s="2366"/>
      <c r="FB5" s="2366"/>
      <c r="FC5" s="2366"/>
      <c r="FD5" s="2366"/>
      <c r="FE5" s="2366"/>
      <c r="FF5" s="2366"/>
      <c r="FG5" s="2366"/>
      <c r="FH5" s="2366"/>
      <c r="FI5" s="2366"/>
      <c r="FJ5" s="2366"/>
      <c r="FK5" s="2366"/>
      <c r="FL5" s="2366"/>
      <c r="FM5" s="2366"/>
      <c r="FN5" s="2366"/>
      <c r="FO5" s="2366"/>
      <c r="FP5" s="2366"/>
      <c r="FQ5" s="2366"/>
      <c r="FR5" s="2366"/>
      <c r="FS5" s="2366"/>
      <c r="FT5" s="2366"/>
      <c r="FU5" s="2366"/>
      <c r="FV5" s="2366"/>
      <c r="FW5" s="2366"/>
      <c r="FX5" s="2366"/>
      <c r="FY5" s="2366"/>
      <c r="FZ5" s="2366"/>
      <c r="GA5" s="2366"/>
      <c r="GB5" s="2366"/>
      <c r="GC5" s="2366"/>
      <c r="GD5" s="2366"/>
      <c r="GE5" s="2366"/>
      <c r="GF5" s="2366"/>
      <c r="GG5" s="2366"/>
      <c r="GH5" s="2366"/>
      <c r="GI5" s="2366"/>
      <c r="GJ5" s="2366"/>
      <c r="GK5" s="2366"/>
      <c r="GL5" s="2366"/>
      <c r="GM5" s="2366"/>
      <c r="GN5" s="2366"/>
      <c r="GO5" s="2366"/>
      <c r="GP5" s="2366"/>
      <c r="GQ5" s="2366"/>
      <c r="GR5" s="2366"/>
      <c r="GS5" s="2366"/>
      <c r="GT5" s="2366"/>
      <c r="GU5" s="2366"/>
      <c r="GV5" s="2366"/>
      <c r="GW5" s="2366"/>
      <c r="GX5" s="2366"/>
      <c r="GY5" s="2366"/>
      <c r="GZ5" s="2366"/>
      <c r="HA5" s="2366"/>
      <c r="HB5" s="2366"/>
      <c r="HC5" s="2366"/>
      <c r="HD5" s="2366"/>
      <c r="HE5" s="2366"/>
      <c r="HF5" s="2366"/>
      <c r="HG5" s="2366"/>
      <c r="HH5" s="2366"/>
      <c r="HI5" s="2366"/>
    </row>
    <row r="6" spans="1:217" s="2362" customFormat="1" ht="18" customHeight="1">
      <c r="B6" s="2355"/>
      <c r="C6" s="2500" t="s">
        <v>545</v>
      </c>
      <c r="D6" s="1977"/>
      <c r="E6" s="1977"/>
      <c r="F6" s="2030"/>
      <c r="G6" s="4137"/>
      <c r="H6" s="2030"/>
      <c r="I6" s="2030"/>
      <c r="J6" s="2030"/>
      <c r="K6" s="2030"/>
      <c r="L6" s="2030"/>
      <c r="M6" s="2030"/>
      <c r="N6" s="2030"/>
      <c r="O6" s="2030"/>
      <c r="P6" s="2030"/>
      <c r="Q6" s="2030"/>
      <c r="R6" s="2030"/>
      <c r="S6" s="2030"/>
      <c r="T6" s="2030"/>
      <c r="U6" s="2030"/>
      <c r="V6" s="2030"/>
      <c r="W6" s="2030"/>
      <c r="X6" s="2030"/>
      <c r="Y6" s="2030"/>
      <c r="Z6" s="2030"/>
      <c r="AA6" s="2030"/>
      <c r="AB6" s="2030"/>
      <c r="AC6" s="1318"/>
      <c r="AD6" s="1318"/>
      <c r="AE6" s="2857"/>
      <c r="AF6" s="2857"/>
      <c r="AG6" s="1276" t="s">
        <v>546</v>
      </c>
      <c r="AK6" s="2858"/>
      <c r="AR6" s="2355"/>
      <c r="AS6" s="2355"/>
      <c r="AT6" s="2355"/>
      <c r="AU6" s="2355"/>
      <c r="AV6" s="2355"/>
      <c r="AW6" s="1849"/>
      <c r="AX6" s="2859"/>
      <c r="AY6" s="2859"/>
      <c r="AZ6" s="2859"/>
      <c r="BA6" s="2859"/>
      <c r="BB6" s="2355"/>
      <c r="BC6" s="2355"/>
      <c r="BD6" s="2355"/>
      <c r="BE6" s="2355"/>
      <c r="BF6" s="2355"/>
      <c r="BG6" s="2355"/>
      <c r="BH6" s="2355"/>
      <c r="BI6" s="2355"/>
      <c r="BJ6" s="2355"/>
      <c r="BK6" s="2355"/>
      <c r="BL6" s="2355"/>
      <c r="BM6" s="2355"/>
      <c r="BN6" s="2355"/>
      <c r="BO6" s="2355"/>
      <c r="BP6" s="2355"/>
      <c r="BQ6" s="2355"/>
      <c r="BR6" s="2355"/>
      <c r="BS6" s="2355"/>
      <c r="BT6" s="2355"/>
      <c r="BU6" s="2355"/>
      <c r="BV6" s="2355"/>
      <c r="BW6" s="2355"/>
      <c r="BX6" s="2355"/>
      <c r="BY6" s="2355"/>
      <c r="BZ6" s="2355"/>
      <c r="CA6" s="2355"/>
      <c r="CB6" s="2355"/>
      <c r="CC6" s="2355"/>
      <c r="CD6" s="2355"/>
      <c r="CE6" s="2355"/>
      <c r="CF6" s="2355"/>
      <c r="CG6" s="2355"/>
      <c r="CH6" s="2355"/>
      <c r="CI6" s="2355"/>
      <c r="CJ6" s="2355"/>
      <c r="CK6" s="2355"/>
      <c r="CL6" s="2355"/>
      <c r="CM6" s="2355"/>
      <c r="CN6" s="2355"/>
      <c r="CO6" s="2355"/>
      <c r="CP6" s="2355"/>
      <c r="CQ6" s="2355"/>
      <c r="CR6" s="2355"/>
      <c r="CS6" s="2355"/>
      <c r="CT6" s="2355"/>
      <c r="CU6" s="2355"/>
      <c r="CV6" s="2355"/>
      <c r="CW6" s="2355"/>
      <c r="CX6" s="2355"/>
      <c r="CY6" s="2355"/>
      <c r="CZ6" s="2355"/>
      <c r="DA6" s="2355"/>
      <c r="DB6" s="2355"/>
      <c r="DC6" s="2355"/>
      <c r="DD6" s="2355"/>
      <c r="DE6" s="2355"/>
      <c r="DF6" s="2355"/>
      <c r="DG6" s="2355"/>
      <c r="DH6" s="2355"/>
      <c r="DI6" s="2355"/>
      <c r="DJ6" s="2355"/>
      <c r="DK6" s="2355"/>
      <c r="DL6" s="2355"/>
      <c r="DM6" s="2355"/>
      <c r="DN6" s="2355"/>
      <c r="DO6" s="2355"/>
      <c r="DP6" s="2355"/>
      <c r="DQ6" s="2355"/>
      <c r="DR6" s="2355"/>
      <c r="DS6" s="2355"/>
      <c r="DT6" s="2355"/>
      <c r="DU6" s="2355"/>
      <c r="DV6" s="2355"/>
      <c r="DW6" s="2355"/>
      <c r="DX6" s="2355"/>
      <c r="DY6" s="2355"/>
      <c r="DZ6" s="2355"/>
      <c r="EA6" s="2355"/>
      <c r="EB6" s="2355"/>
      <c r="EC6" s="2355"/>
      <c r="ED6" s="2355"/>
      <c r="EE6" s="2355"/>
      <c r="EF6" s="2355"/>
      <c r="EG6" s="2355"/>
      <c r="EH6" s="2355"/>
      <c r="EI6" s="2355"/>
      <c r="EJ6" s="2355"/>
      <c r="EK6" s="2355"/>
      <c r="EL6" s="2355"/>
      <c r="EM6" s="2355"/>
      <c r="EN6" s="2355"/>
      <c r="EO6" s="2355"/>
      <c r="EP6" s="2355"/>
      <c r="EQ6" s="2355"/>
      <c r="ER6" s="2355"/>
      <c r="ES6" s="2355"/>
      <c r="ET6" s="2355"/>
      <c r="EU6" s="2355"/>
      <c r="EV6" s="2355"/>
      <c r="EW6" s="2355"/>
      <c r="EX6" s="2355"/>
      <c r="EY6" s="2355"/>
      <c r="EZ6" s="2355"/>
      <c r="FA6" s="2355"/>
      <c r="FB6" s="2355"/>
      <c r="FC6" s="2355"/>
      <c r="FD6" s="2355"/>
      <c r="FE6" s="2355"/>
      <c r="FF6" s="2355"/>
      <c r="FG6" s="2355"/>
      <c r="FH6" s="2355"/>
      <c r="FI6" s="2355"/>
      <c r="FJ6" s="2355"/>
      <c r="FK6" s="2355"/>
      <c r="FL6" s="2355"/>
      <c r="FM6" s="2355"/>
      <c r="FN6" s="2355"/>
      <c r="FO6" s="2355"/>
      <c r="FP6" s="2355"/>
      <c r="FQ6" s="2355"/>
      <c r="FR6" s="2355"/>
      <c r="FS6" s="2355"/>
      <c r="FT6" s="2355"/>
      <c r="FU6" s="2355"/>
      <c r="FV6" s="2355"/>
      <c r="FW6" s="2355"/>
      <c r="FX6" s="2355"/>
      <c r="FY6" s="2355"/>
      <c r="FZ6" s="2355"/>
      <c r="GA6" s="2355"/>
      <c r="GB6" s="2355"/>
      <c r="GC6" s="2355"/>
      <c r="GD6" s="2355"/>
      <c r="GE6" s="2355"/>
      <c r="GF6" s="2355"/>
      <c r="GG6" s="2355"/>
      <c r="GH6" s="2355"/>
      <c r="GI6" s="2355"/>
      <c r="GJ6" s="2355"/>
      <c r="GK6" s="2355"/>
      <c r="GL6" s="2355"/>
      <c r="GM6" s="2355"/>
      <c r="GN6" s="2355"/>
      <c r="GO6" s="2355"/>
      <c r="GP6" s="2355"/>
      <c r="GQ6" s="2355"/>
      <c r="GR6" s="2355"/>
      <c r="GS6" s="2355"/>
      <c r="GT6" s="2355"/>
      <c r="GU6" s="2355"/>
      <c r="GV6" s="2355"/>
      <c r="GW6" s="2355"/>
      <c r="GX6" s="2355"/>
      <c r="GY6" s="2355"/>
      <c r="GZ6" s="2355"/>
      <c r="HA6" s="2355"/>
      <c r="HB6" s="2355"/>
      <c r="HC6" s="2355"/>
      <c r="HD6" s="2355"/>
      <c r="HE6" s="2355"/>
      <c r="HF6" s="2355"/>
      <c r="HG6" s="2355"/>
      <c r="HH6" s="2355"/>
      <c r="HI6" s="2355"/>
    </row>
    <row r="7" spans="1:217" s="2362" customFormat="1" ht="6" customHeight="1">
      <c r="B7" s="2355"/>
      <c r="C7" s="1977"/>
      <c r="D7" s="1977"/>
      <c r="E7" s="1977"/>
      <c r="F7" s="2030"/>
      <c r="G7" s="4137"/>
      <c r="H7" s="2030"/>
      <c r="I7" s="2030"/>
      <c r="J7" s="2030"/>
      <c r="K7" s="2030"/>
      <c r="L7" s="2030"/>
      <c r="M7" s="2030"/>
      <c r="N7" s="2030"/>
      <c r="O7" s="2030"/>
      <c r="P7" s="2030"/>
      <c r="Q7" s="2030"/>
      <c r="R7" s="2030"/>
      <c r="S7" s="2030"/>
      <c r="T7" s="2030"/>
      <c r="U7" s="2030"/>
      <c r="V7" s="2030"/>
      <c r="W7" s="2030"/>
      <c r="X7" s="2030"/>
      <c r="Y7" s="2030"/>
      <c r="Z7" s="2030"/>
      <c r="AA7" s="2030"/>
      <c r="AB7" s="2030"/>
      <c r="AC7" s="1318"/>
      <c r="AD7" s="1318"/>
      <c r="AE7" s="2857"/>
      <c r="AF7" s="2857"/>
      <c r="AG7" s="2857"/>
      <c r="AK7" s="2858"/>
      <c r="AR7" s="2355"/>
      <c r="AS7" s="2355"/>
      <c r="AT7" s="2355"/>
      <c r="AU7" s="2355"/>
      <c r="AV7" s="2355"/>
      <c r="AW7" s="1849"/>
      <c r="AX7" s="2859"/>
      <c r="AY7" s="2859"/>
      <c r="AZ7" s="2859"/>
      <c r="BA7" s="2859"/>
      <c r="BB7" s="2355"/>
      <c r="BC7" s="2355"/>
      <c r="BD7" s="2355"/>
      <c r="BE7" s="2355"/>
      <c r="BF7" s="2355"/>
      <c r="BG7" s="2355"/>
      <c r="BH7" s="2355"/>
      <c r="BI7" s="2355"/>
      <c r="BJ7" s="2355"/>
      <c r="BK7" s="2355"/>
      <c r="BL7" s="2355"/>
      <c r="BM7" s="2355"/>
      <c r="BN7" s="2355"/>
      <c r="BO7" s="2355"/>
      <c r="BP7" s="2355"/>
      <c r="BQ7" s="2355"/>
      <c r="BR7" s="2355"/>
      <c r="BS7" s="2355"/>
      <c r="BT7" s="2355"/>
      <c r="BU7" s="2355"/>
      <c r="BV7" s="2355"/>
      <c r="BW7" s="2355"/>
      <c r="BX7" s="2355"/>
      <c r="BY7" s="2355"/>
      <c r="BZ7" s="2355"/>
      <c r="CA7" s="2355"/>
      <c r="CB7" s="2355"/>
      <c r="CC7" s="2355"/>
      <c r="CD7" s="2355"/>
      <c r="CE7" s="2355"/>
      <c r="CF7" s="2355"/>
      <c r="CG7" s="2355"/>
      <c r="CH7" s="2355"/>
      <c r="CI7" s="2355"/>
      <c r="CJ7" s="2355"/>
      <c r="CK7" s="2355"/>
      <c r="CL7" s="2355"/>
      <c r="CM7" s="2355"/>
      <c r="CN7" s="2355"/>
      <c r="CO7" s="2355"/>
      <c r="CP7" s="2355"/>
      <c r="CQ7" s="2355"/>
      <c r="CR7" s="2355"/>
      <c r="CS7" s="2355"/>
      <c r="CT7" s="2355"/>
      <c r="CU7" s="2355"/>
      <c r="CV7" s="2355"/>
      <c r="CW7" s="2355"/>
      <c r="CX7" s="2355"/>
      <c r="CY7" s="2355"/>
      <c r="CZ7" s="2355"/>
      <c r="DA7" s="2355"/>
      <c r="DB7" s="2355"/>
      <c r="DC7" s="2355"/>
      <c r="DD7" s="2355"/>
      <c r="DE7" s="2355"/>
      <c r="DF7" s="2355"/>
      <c r="DG7" s="2355"/>
      <c r="DH7" s="2355"/>
      <c r="DI7" s="2355"/>
      <c r="DJ7" s="2355"/>
      <c r="DK7" s="2355"/>
      <c r="DL7" s="2355"/>
      <c r="DM7" s="2355"/>
      <c r="DN7" s="2355"/>
      <c r="DO7" s="2355"/>
      <c r="DP7" s="2355"/>
      <c r="DQ7" s="2355"/>
      <c r="DR7" s="2355"/>
      <c r="DS7" s="2355"/>
      <c r="DT7" s="2355"/>
      <c r="DU7" s="2355"/>
      <c r="DV7" s="2355"/>
      <c r="DW7" s="2355"/>
      <c r="DX7" s="2355"/>
      <c r="DY7" s="2355"/>
      <c r="DZ7" s="2355"/>
      <c r="EA7" s="2355"/>
      <c r="EB7" s="2355"/>
      <c r="EC7" s="2355"/>
      <c r="ED7" s="2355"/>
      <c r="EE7" s="2355"/>
      <c r="EF7" s="2355"/>
      <c r="EG7" s="2355"/>
      <c r="EH7" s="2355"/>
      <c r="EI7" s="2355"/>
      <c r="EJ7" s="2355"/>
      <c r="EK7" s="2355"/>
      <c r="EL7" s="2355"/>
      <c r="EM7" s="2355"/>
      <c r="EN7" s="2355"/>
      <c r="EO7" s="2355"/>
      <c r="EP7" s="2355"/>
      <c r="EQ7" s="2355"/>
      <c r="ER7" s="2355"/>
      <c r="ES7" s="2355"/>
      <c r="ET7" s="2355"/>
      <c r="EU7" s="2355"/>
      <c r="EV7" s="2355"/>
      <c r="EW7" s="2355"/>
      <c r="EX7" s="2355"/>
      <c r="EY7" s="2355"/>
      <c r="EZ7" s="2355"/>
      <c r="FA7" s="2355"/>
      <c r="FB7" s="2355"/>
      <c r="FC7" s="2355"/>
      <c r="FD7" s="2355"/>
      <c r="FE7" s="2355"/>
      <c r="FF7" s="2355"/>
      <c r="FG7" s="2355"/>
      <c r="FH7" s="2355"/>
      <c r="FI7" s="2355"/>
      <c r="FJ7" s="2355"/>
      <c r="FK7" s="2355"/>
      <c r="FL7" s="2355"/>
      <c r="FM7" s="2355"/>
      <c r="FN7" s="2355"/>
      <c r="FO7" s="2355"/>
      <c r="FP7" s="2355"/>
      <c r="FQ7" s="2355"/>
      <c r="FR7" s="2355"/>
      <c r="FS7" s="2355"/>
      <c r="FT7" s="2355"/>
      <c r="FU7" s="2355"/>
      <c r="FV7" s="2355"/>
      <c r="FW7" s="2355"/>
      <c r="FX7" s="2355"/>
      <c r="FY7" s="2355"/>
      <c r="FZ7" s="2355"/>
      <c r="GA7" s="2355"/>
      <c r="GB7" s="2355"/>
      <c r="GC7" s="2355"/>
      <c r="GD7" s="2355"/>
      <c r="GE7" s="2355"/>
      <c r="GF7" s="2355"/>
      <c r="GG7" s="2355"/>
      <c r="GH7" s="2355"/>
      <c r="GI7" s="2355"/>
      <c r="GJ7" s="2355"/>
      <c r="GK7" s="2355"/>
      <c r="GL7" s="2355"/>
      <c r="GM7" s="2355"/>
      <c r="GN7" s="2355"/>
      <c r="GO7" s="2355"/>
      <c r="GP7" s="2355"/>
      <c r="GQ7" s="2355"/>
      <c r="GR7" s="2355"/>
      <c r="GS7" s="2355"/>
      <c r="GT7" s="2355"/>
      <c r="GU7" s="2355"/>
      <c r="GV7" s="2355"/>
      <c r="GW7" s="2355"/>
      <c r="GX7" s="2355"/>
      <c r="GY7" s="2355"/>
      <c r="GZ7" s="2355"/>
      <c r="HA7" s="2355"/>
      <c r="HB7" s="2355"/>
      <c r="HC7" s="2355"/>
      <c r="HD7" s="2355"/>
      <c r="HE7" s="2355"/>
      <c r="HF7" s="2355"/>
      <c r="HG7" s="2355"/>
      <c r="HH7" s="2355"/>
      <c r="HI7" s="2355"/>
    </row>
    <row r="8" spans="1:217" ht="4.5" customHeight="1">
      <c r="B8" s="1999"/>
      <c r="C8" s="4901" t="s">
        <v>547</v>
      </c>
      <c r="D8" s="4902"/>
      <c r="E8" s="4902"/>
      <c r="F8" s="4902"/>
      <c r="G8" s="4902">
        <v>2019</v>
      </c>
      <c r="H8" s="4902">
        <v>2018</v>
      </c>
      <c r="I8" s="1465"/>
      <c r="J8" s="1465"/>
      <c r="K8" s="1465"/>
      <c r="L8" s="1465"/>
      <c r="M8" s="1465"/>
      <c r="N8" s="1465"/>
      <c r="O8" s="1465"/>
      <c r="P8" s="2860"/>
      <c r="Q8" s="2861"/>
      <c r="R8" s="2861"/>
      <c r="S8" s="2861"/>
      <c r="T8" s="2861"/>
      <c r="U8" s="2861"/>
      <c r="V8" s="1465"/>
      <c r="W8" s="2048"/>
      <c r="X8" s="2048"/>
      <c r="Y8" s="2048"/>
      <c r="Z8" s="2862"/>
      <c r="AA8" s="2862"/>
      <c r="AB8" s="4896">
        <v>1998</v>
      </c>
      <c r="AC8" s="4767" t="s">
        <v>1004</v>
      </c>
      <c r="AD8" s="4767"/>
      <c r="AE8" s="4767"/>
      <c r="AF8" s="4767"/>
      <c r="AG8" s="4899"/>
      <c r="AK8" s="1742"/>
      <c r="AR8" s="1999"/>
      <c r="AS8" s="1999"/>
      <c r="AT8" s="1999"/>
      <c r="AU8" s="1999"/>
      <c r="AV8" s="1999"/>
      <c r="AW8" s="1174"/>
      <c r="AX8" s="2863"/>
      <c r="AY8" s="2863"/>
      <c r="AZ8" s="2863"/>
      <c r="BA8" s="2863"/>
      <c r="BB8" s="1999"/>
      <c r="BC8" s="1999"/>
      <c r="BD8" s="1999"/>
      <c r="BE8" s="1999"/>
      <c r="BF8" s="1999"/>
      <c r="BG8" s="1999"/>
      <c r="BH8" s="1999"/>
      <c r="BI8" s="1999"/>
      <c r="BJ8" s="1999"/>
      <c r="BK8" s="1999"/>
      <c r="BL8" s="1999"/>
      <c r="BM8" s="1999"/>
      <c r="BN8" s="1999"/>
      <c r="BO8" s="1999"/>
      <c r="BP8" s="1999"/>
      <c r="BQ8" s="1999"/>
      <c r="BR8" s="1999"/>
      <c r="BS8" s="1999"/>
      <c r="BT8" s="1999"/>
      <c r="BU8" s="1999"/>
      <c r="BV8" s="1999"/>
      <c r="BW8" s="1999"/>
      <c r="BX8" s="1999"/>
      <c r="BY8" s="1999"/>
      <c r="BZ8" s="1999"/>
      <c r="CA8" s="1999"/>
      <c r="CB8" s="1999"/>
      <c r="CC8" s="1999"/>
      <c r="CD8" s="1999"/>
      <c r="CE8" s="1999"/>
      <c r="CF8" s="1999"/>
      <c r="CG8" s="1999"/>
      <c r="CH8" s="1999"/>
      <c r="CI8" s="1999"/>
      <c r="CJ8" s="1999"/>
      <c r="CK8" s="1999"/>
      <c r="CL8" s="1999"/>
      <c r="CM8" s="1999"/>
      <c r="CN8" s="1999"/>
      <c r="CO8" s="1999"/>
      <c r="CP8" s="1999"/>
      <c r="CQ8" s="1999"/>
      <c r="CR8" s="1999"/>
      <c r="CS8" s="1999"/>
      <c r="CT8" s="1999"/>
      <c r="CU8" s="1999"/>
      <c r="CV8" s="1999"/>
      <c r="CW8" s="1999"/>
      <c r="CX8" s="1999"/>
      <c r="CY8" s="1999"/>
      <c r="CZ8" s="1999"/>
      <c r="DA8" s="1999"/>
      <c r="DB8" s="1999"/>
      <c r="DC8" s="1999"/>
      <c r="DD8" s="1999"/>
      <c r="DE8" s="1999"/>
      <c r="DF8" s="1999"/>
      <c r="DG8" s="1999"/>
      <c r="DH8" s="1999"/>
      <c r="DI8" s="1999"/>
      <c r="DJ8" s="1999"/>
      <c r="DK8" s="1999"/>
      <c r="DL8" s="1999"/>
      <c r="DM8" s="1999"/>
      <c r="DN8" s="1999"/>
      <c r="DO8" s="1999"/>
      <c r="DP8" s="1999"/>
      <c r="DQ8" s="1999"/>
      <c r="DR8" s="1999"/>
      <c r="DS8" s="1999"/>
      <c r="DT8" s="1999"/>
      <c r="DU8" s="1999"/>
      <c r="DV8" s="1999"/>
      <c r="DW8" s="1999"/>
      <c r="DX8" s="1999"/>
      <c r="DY8" s="1999"/>
      <c r="DZ8" s="1999"/>
      <c r="EA8" s="1999"/>
      <c r="EB8" s="1999"/>
      <c r="EC8" s="1999"/>
      <c r="ED8" s="1999"/>
      <c r="EE8" s="1999"/>
      <c r="EF8" s="1999"/>
      <c r="EG8" s="1999"/>
      <c r="EH8" s="1999"/>
      <c r="EI8" s="1999"/>
      <c r="EJ8" s="1999"/>
      <c r="EK8" s="1999"/>
      <c r="EL8" s="1999"/>
      <c r="EM8" s="1999"/>
      <c r="EN8" s="1999"/>
      <c r="EO8" s="1999"/>
      <c r="EP8" s="1999"/>
      <c r="EQ8" s="1999"/>
      <c r="ER8" s="1999"/>
      <c r="ES8" s="1999"/>
      <c r="ET8" s="1999"/>
      <c r="EU8" s="1999"/>
      <c r="EV8" s="1999"/>
      <c r="EW8" s="1999"/>
      <c r="EX8" s="1999"/>
      <c r="EY8" s="1999"/>
      <c r="EZ8" s="1999"/>
      <c r="FA8" s="1999"/>
      <c r="FB8" s="1999"/>
      <c r="FC8" s="1999"/>
      <c r="FD8" s="1999"/>
      <c r="FE8" s="1999"/>
      <c r="FF8" s="1999"/>
      <c r="FG8" s="1999"/>
      <c r="FH8" s="1999"/>
      <c r="FI8" s="1999"/>
      <c r="FJ8" s="1999"/>
      <c r="FK8" s="1999"/>
      <c r="FL8" s="1999"/>
      <c r="FM8" s="1999"/>
      <c r="FN8" s="1999"/>
      <c r="FO8" s="1999"/>
      <c r="FP8" s="1999"/>
      <c r="FQ8" s="1999"/>
      <c r="FR8" s="1999"/>
      <c r="FS8" s="1999"/>
      <c r="FT8" s="1999"/>
      <c r="FU8" s="1999"/>
      <c r="FV8" s="1999"/>
      <c r="FW8" s="1999"/>
      <c r="FX8" s="1999"/>
      <c r="FY8" s="1999"/>
      <c r="FZ8" s="1999"/>
      <c r="GA8" s="1999"/>
      <c r="GB8" s="1999"/>
      <c r="GC8" s="1999"/>
      <c r="GD8" s="1999"/>
      <c r="GE8" s="1999"/>
      <c r="GF8" s="1999"/>
      <c r="GG8" s="1999"/>
      <c r="GH8" s="1999"/>
      <c r="GI8" s="1999"/>
      <c r="GJ8" s="1999"/>
      <c r="GK8" s="1999"/>
      <c r="GL8" s="1999"/>
      <c r="GM8" s="1999"/>
      <c r="GN8" s="1999"/>
      <c r="GO8" s="1999"/>
      <c r="GP8" s="1999"/>
      <c r="GQ8" s="1999"/>
      <c r="GR8" s="1999"/>
      <c r="GS8" s="1999"/>
      <c r="GT8" s="1999"/>
      <c r="GU8" s="1999"/>
      <c r="GV8" s="1999"/>
      <c r="GW8" s="1999"/>
      <c r="GX8" s="1999"/>
      <c r="GY8" s="1999"/>
      <c r="GZ8" s="1999"/>
      <c r="HA8" s="1999"/>
      <c r="HB8" s="1999"/>
      <c r="HC8" s="1999"/>
      <c r="HD8" s="1999"/>
      <c r="HE8" s="1999"/>
      <c r="HF8" s="1999"/>
      <c r="HG8" s="1999"/>
      <c r="HH8" s="1999"/>
      <c r="HI8" s="1999"/>
    </row>
    <row r="9" spans="1:217" ht="30" customHeight="1">
      <c r="C9" s="4903"/>
      <c r="D9" s="4904"/>
      <c r="E9" s="4904"/>
      <c r="F9" s="4904"/>
      <c r="G9" s="4904"/>
      <c r="H9" s="4904"/>
      <c r="I9" s="4682">
        <v>2017</v>
      </c>
      <c r="J9" s="4682">
        <v>2016</v>
      </c>
      <c r="K9" s="4682">
        <v>2015</v>
      </c>
      <c r="L9" s="4682">
        <v>2014</v>
      </c>
      <c r="M9" s="4682">
        <v>2013</v>
      </c>
      <c r="N9" s="4682">
        <v>2012</v>
      </c>
      <c r="O9" s="4682">
        <v>2011</v>
      </c>
      <c r="P9" s="4683">
        <v>2010</v>
      </c>
      <c r="Q9" s="4685">
        <v>2009</v>
      </c>
      <c r="R9" s="4685">
        <v>2008</v>
      </c>
      <c r="S9" s="4685">
        <v>2007</v>
      </c>
      <c r="T9" s="4685">
        <v>2006</v>
      </c>
      <c r="U9" s="4685">
        <v>2005</v>
      </c>
      <c r="V9" s="4682">
        <v>2004</v>
      </c>
      <c r="W9" s="4682">
        <v>2003</v>
      </c>
      <c r="X9" s="4682">
        <v>2002</v>
      </c>
      <c r="Y9" s="4682">
        <v>2001</v>
      </c>
      <c r="Z9" s="4897">
        <v>2000</v>
      </c>
      <c r="AA9" s="4897">
        <v>1999</v>
      </c>
      <c r="AB9" s="4897"/>
      <c r="AC9" s="4682"/>
      <c r="AD9" s="4682"/>
      <c r="AE9" s="4682"/>
      <c r="AF9" s="4682"/>
      <c r="AG9" s="4747"/>
      <c r="AH9" s="2864"/>
      <c r="AI9" s="2864"/>
      <c r="AJ9" s="2864"/>
      <c r="AK9" s="2865"/>
      <c r="AP9" s="2866"/>
      <c r="AQ9" s="2866"/>
      <c r="AR9" s="2867"/>
      <c r="AS9" s="2867"/>
      <c r="AT9" s="2868"/>
      <c r="AU9" s="1174"/>
      <c r="AV9" s="1174"/>
      <c r="AW9" s="1174"/>
    </row>
    <row r="10" spans="1:217" ht="22.5" customHeight="1">
      <c r="C10" s="4903"/>
      <c r="D10" s="4904"/>
      <c r="E10" s="4904"/>
      <c r="F10" s="4904"/>
      <c r="G10" s="4904"/>
      <c r="H10" s="4904"/>
      <c r="I10" s="4682"/>
      <c r="J10" s="4682"/>
      <c r="K10" s="4682"/>
      <c r="L10" s="4682"/>
      <c r="M10" s="4682"/>
      <c r="N10" s="4682"/>
      <c r="O10" s="4682"/>
      <c r="P10" s="4683"/>
      <c r="Q10" s="4685"/>
      <c r="R10" s="4685"/>
      <c r="S10" s="4685"/>
      <c r="T10" s="4685"/>
      <c r="U10" s="4685"/>
      <c r="V10" s="4682"/>
      <c r="W10" s="4682"/>
      <c r="X10" s="4682"/>
      <c r="Y10" s="4682"/>
      <c r="Z10" s="4897"/>
      <c r="AA10" s="4897"/>
      <c r="AB10" s="4897"/>
      <c r="AC10" s="4682"/>
      <c r="AD10" s="4682"/>
      <c r="AE10" s="4682"/>
      <c r="AF10" s="4682"/>
      <c r="AG10" s="4747"/>
      <c r="AH10" s="2864"/>
      <c r="AI10" s="2864"/>
      <c r="AJ10" s="2864"/>
      <c r="AK10" s="2865"/>
      <c r="AP10" s="2866"/>
      <c r="AQ10" s="2866"/>
      <c r="AR10" s="2867"/>
      <c r="AS10" s="2867"/>
      <c r="AT10" s="2868"/>
      <c r="AU10" s="1174"/>
      <c r="AV10" s="1174"/>
      <c r="AW10" s="1174"/>
    </row>
    <row r="11" spans="1:217" ht="21.75" customHeight="1">
      <c r="C11" s="4903"/>
      <c r="D11" s="4904"/>
      <c r="E11" s="4904"/>
      <c r="F11" s="4904"/>
      <c r="G11" s="4904"/>
      <c r="H11" s="4904"/>
      <c r="I11" s="4682"/>
      <c r="J11" s="4682"/>
      <c r="K11" s="4682"/>
      <c r="L11" s="4682"/>
      <c r="M11" s="4682"/>
      <c r="N11" s="4682"/>
      <c r="O11" s="4682"/>
      <c r="P11" s="4683"/>
      <c r="Q11" s="4685"/>
      <c r="R11" s="4685"/>
      <c r="S11" s="4685"/>
      <c r="T11" s="4685"/>
      <c r="U11" s="4685"/>
      <c r="V11" s="4682"/>
      <c r="W11" s="4682"/>
      <c r="X11" s="4682"/>
      <c r="Y11" s="4682"/>
      <c r="Z11" s="4897"/>
      <c r="AA11" s="4897"/>
      <c r="AB11" s="4897"/>
      <c r="AC11" s="4682"/>
      <c r="AD11" s="4682"/>
      <c r="AE11" s="4682"/>
      <c r="AF11" s="4682"/>
      <c r="AG11" s="4747"/>
    </row>
    <row r="12" spans="1:217" ht="42.75" customHeight="1">
      <c r="A12" s="1999"/>
      <c r="B12" s="1956"/>
      <c r="C12" s="4903"/>
      <c r="D12" s="4904"/>
      <c r="E12" s="4904"/>
      <c r="F12" s="4904"/>
      <c r="G12" s="4904"/>
      <c r="H12" s="4904"/>
      <c r="I12" s="4682"/>
      <c r="J12" s="4682"/>
      <c r="K12" s="4682"/>
      <c r="L12" s="4682"/>
      <c r="M12" s="4682"/>
      <c r="N12" s="4682"/>
      <c r="O12" s="4682"/>
      <c r="P12" s="4683"/>
      <c r="Q12" s="4685"/>
      <c r="R12" s="4685"/>
      <c r="S12" s="4685"/>
      <c r="T12" s="4685"/>
      <c r="U12" s="4685"/>
      <c r="V12" s="4682"/>
      <c r="W12" s="4682"/>
      <c r="X12" s="4682"/>
      <c r="Y12" s="4682"/>
      <c r="Z12" s="4897"/>
      <c r="AA12" s="4897"/>
      <c r="AB12" s="4897"/>
      <c r="AC12" s="4682"/>
      <c r="AD12" s="4682"/>
      <c r="AE12" s="4682"/>
      <c r="AF12" s="4682"/>
      <c r="AG12" s="4747"/>
    </row>
    <row r="13" spans="1:217" ht="18" customHeight="1">
      <c r="C13" s="4903"/>
      <c r="D13" s="4904"/>
      <c r="E13" s="4904"/>
      <c r="F13" s="4904"/>
      <c r="G13" s="4904"/>
      <c r="H13" s="4904"/>
      <c r="I13" s="4682"/>
      <c r="J13" s="4682"/>
      <c r="K13" s="4682"/>
      <c r="L13" s="4682"/>
      <c r="M13" s="4682"/>
      <c r="N13" s="4682"/>
      <c r="O13" s="4682"/>
      <c r="P13" s="4683"/>
      <c r="Q13" s="4685"/>
      <c r="R13" s="4685"/>
      <c r="S13" s="4685"/>
      <c r="T13" s="4685"/>
      <c r="U13" s="4685"/>
      <c r="V13" s="4682"/>
      <c r="W13" s="4682"/>
      <c r="X13" s="4682"/>
      <c r="Y13" s="4682"/>
      <c r="Z13" s="4897"/>
      <c r="AA13" s="4897"/>
      <c r="AB13" s="4897"/>
      <c r="AC13" s="4682"/>
      <c r="AD13" s="4682"/>
      <c r="AE13" s="4682"/>
      <c r="AF13" s="4682"/>
      <c r="AG13" s="4747"/>
      <c r="AP13" s="2866"/>
      <c r="AQ13" s="2866"/>
      <c r="AR13" s="2867"/>
      <c r="AS13" s="2867"/>
      <c r="AT13" s="2867"/>
      <c r="AU13" s="2351"/>
      <c r="AV13" s="2351"/>
      <c r="AW13" s="2867"/>
    </row>
    <row r="14" spans="1:217" ht="6" customHeight="1">
      <c r="C14" s="4905"/>
      <c r="D14" s="4906"/>
      <c r="E14" s="4906"/>
      <c r="F14" s="4906"/>
      <c r="G14" s="4906"/>
      <c r="H14" s="4906"/>
      <c r="I14" s="4769"/>
      <c r="J14" s="4769"/>
      <c r="K14" s="4769"/>
      <c r="L14" s="4769"/>
      <c r="M14" s="4769"/>
      <c r="N14" s="4769"/>
      <c r="O14" s="4769"/>
      <c r="P14" s="4623"/>
      <c r="Q14" s="4679"/>
      <c r="R14" s="4679"/>
      <c r="S14" s="4679"/>
      <c r="T14" s="4679"/>
      <c r="U14" s="4679"/>
      <c r="V14" s="4769"/>
      <c r="W14" s="4769"/>
      <c r="X14" s="4769"/>
      <c r="Y14" s="4769"/>
      <c r="Z14" s="4898"/>
      <c r="AA14" s="4898"/>
      <c r="AB14" s="4898"/>
      <c r="AC14" s="4769"/>
      <c r="AD14" s="4769"/>
      <c r="AE14" s="4769"/>
      <c r="AF14" s="4769"/>
      <c r="AG14" s="4900"/>
      <c r="AP14" s="2866"/>
      <c r="AQ14" s="2866"/>
      <c r="AR14" s="2867"/>
      <c r="AS14" s="2867"/>
      <c r="AT14" s="2867"/>
      <c r="AU14" s="2351"/>
      <c r="AV14" s="2351"/>
      <c r="AW14" s="2867"/>
    </row>
    <row r="15" spans="1:217" ht="6" customHeight="1">
      <c r="C15" s="2870"/>
      <c r="D15" s="2871"/>
      <c r="E15" s="2871"/>
      <c r="F15" s="2872"/>
      <c r="G15" s="1466"/>
      <c r="H15" s="2872"/>
      <c r="I15" s="1466"/>
      <c r="J15" s="1466"/>
      <c r="K15" s="1466"/>
      <c r="L15" s="1466"/>
      <c r="M15" s="1466"/>
      <c r="N15" s="1601"/>
      <c r="O15" s="1601"/>
      <c r="P15" s="1601"/>
      <c r="Q15" s="1601"/>
      <c r="R15" s="1601"/>
      <c r="S15" s="1601"/>
      <c r="T15" s="1601"/>
      <c r="U15" s="1601"/>
      <c r="V15" s="1601"/>
      <c r="W15" s="2873"/>
      <c r="X15" s="2873"/>
      <c r="Y15" s="2873"/>
      <c r="Z15" s="2873"/>
      <c r="AA15" s="2873"/>
      <c r="AB15" s="2874"/>
      <c r="AC15" s="2875"/>
      <c r="AD15" s="2875"/>
      <c r="AE15" s="2875"/>
      <c r="AF15" s="2875"/>
      <c r="AG15" s="2599"/>
      <c r="AP15" s="2866"/>
      <c r="AQ15" s="2866"/>
      <c r="AR15" s="2867"/>
      <c r="AS15" s="2867"/>
      <c r="AT15" s="2867"/>
      <c r="AU15" s="2351"/>
      <c r="AV15" s="2351"/>
      <c r="AW15" s="2867"/>
    </row>
    <row r="16" spans="1:217" s="2848" customFormat="1" ht="36.75" customHeight="1">
      <c r="C16" s="2876" t="s">
        <v>1005</v>
      </c>
      <c r="D16" s="2877"/>
      <c r="E16" s="2871"/>
      <c r="F16" s="2878"/>
      <c r="G16" s="4287">
        <v>17738.099999999999</v>
      </c>
      <c r="H16" s="2879">
        <v>16220.699999999999</v>
      </c>
      <c r="I16" s="2880">
        <v>15402.099999999999</v>
      </c>
      <c r="J16" s="2880">
        <v>15793.7</v>
      </c>
      <c r="K16" s="2880">
        <v>15486.3</v>
      </c>
      <c r="L16" s="2880">
        <v>14621.5</v>
      </c>
      <c r="M16" s="2880">
        <v>13439.500000000002</v>
      </c>
      <c r="N16" s="2880">
        <v>12677.6</v>
      </c>
      <c r="O16" s="2880">
        <v>9996</v>
      </c>
      <c r="P16" s="2880">
        <v>7980</v>
      </c>
      <c r="Q16" s="2880">
        <v>7086</v>
      </c>
      <c r="R16" s="2880">
        <v>5754</v>
      </c>
      <c r="S16" s="2880">
        <v>3695</v>
      </c>
      <c r="T16" s="2880">
        <v>2961</v>
      </c>
      <c r="U16" s="2880">
        <v>2467</v>
      </c>
      <c r="V16" s="2880">
        <v>2082</v>
      </c>
      <c r="W16" s="2880">
        <v>1815</v>
      </c>
      <c r="X16" s="2880">
        <v>1656</v>
      </c>
      <c r="Y16" s="2880">
        <v>1397</v>
      </c>
      <c r="Z16" s="2880">
        <v>1235</v>
      </c>
      <c r="AA16" s="2880">
        <v>1054</v>
      </c>
      <c r="AB16" s="2881">
        <v>1152</v>
      </c>
      <c r="AC16" s="2882"/>
      <c r="AD16" s="2875"/>
      <c r="AE16" s="2875"/>
      <c r="AF16" s="2883" t="s">
        <v>1006</v>
      </c>
      <c r="AG16" s="1423"/>
      <c r="AP16" s="2884"/>
      <c r="AQ16" s="2884"/>
      <c r="AR16" s="2885"/>
      <c r="AS16" s="2885"/>
      <c r="AT16" s="2885"/>
      <c r="AU16" s="2886"/>
      <c r="AV16" s="2886"/>
      <c r="AW16" s="2885"/>
      <c r="BC16" s="2887"/>
    </row>
    <row r="17" spans="2:55" ht="36.75" customHeight="1">
      <c r="B17" s="1174"/>
      <c r="C17" s="2888"/>
      <c r="D17" s="2889" t="s">
        <v>1007</v>
      </c>
      <c r="E17" s="2889"/>
      <c r="F17" s="2890"/>
      <c r="G17" s="4288">
        <v>15216.199999999999</v>
      </c>
      <c r="H17" s="2891">
        <v>13352.3</v>
      </c>
      <c r="I17" s="1304">
        <v>12546.8</v>
      </c>
      <c r="J17" s="1304">
        <v>13174.8</v>
      </c>
      <c r="K17" s="1304">
        <v>12935.1</v>
      </c>
      <c r="L17" s="1304">
        <v>13073.7</v>
      </c>
      <c r="M17" s="1304">
        <v>11556.400000000001</v>
      </c>
      <c r="N17" s="1304">
        <v>10421.700000000001</v>
      </c>
      <c r="O17" s="1304">
        <v>8694</v>
      </c>
      <c r="P17" s="1304">
        <v>7412</v>
      </c>
      <c r="Q17" s="1304">
        <v>6771</v>
      </c>
      <c r="R17" s="1304">
        <v>5524</v>
      </c>
      <c r="S17" s="1304">
        <v>3522</v>
      </c>
      <c r="T17" s="1304">
        <v>2830</v>
      </c>
      <c r="U17" s="1304">
        <v>2316</v>
      </c>
      <c r="V17" s="1304">
        <v>1945</v>
      </c>
      <c r="W17" s="1304">
        <v>1679</v>
      </c>
      <c r="X17" s="1304">
        <v>1521</v>
      </c>
      <c r="Y17" s="1304">
        <v>1289</v>
      </c>
      <c r="Z17" s="1304">
        <v>1152</v>
      </c>
      <c r="AA17" s="1304">
        <v>919</v>
      </c>
      <c r="AB17" s="1305">
        <v>1040</v>
      </c>
      <c r="AC17" s="2890"/>
      <c r="AD17" s="2890"/>
      <c r="AE17" s="2472" t="s">
        <v>1008</v>
      </c>
      <c r="AF17" s="2890"/>
      <c r="AG17" s="1589"/>
      <c r="AH17" s="2892"/>
      <c r="AU17" s="2866"/>
      <c r="AV17" s="2866"/>
    </row>
    <row r="18" spans="2:55" ht="36.75" customHeight="1">
      <c r="B18" s="1174"/>
      <c r="C18" s="2870"/>
      <c r="D18" s="2871"/>
      <c r="E18" s="2872" t="s">
        <v>1009</v>
      </c>
      <c r="F18" s="2872"/>
      <c r="G18" s="4287">
        <v>14940.3</v>
      </c>
      <c r="H18" s="2879">
        <v>13075.3</v>
      </c>
      <c r="I18" s="2880">
        <v>12193.9</v>
      </c>
      <c r="J18" s="2880">
        <v>12723</v>
      </c>
      <c r="K18" s="2880">
        <v>12384</v>
      </c>
      <c r="L18" s="2880">
        <v>12471.1</v>
      </c>
      <c r="M18" s="2880">
        <v>10868.2</v>
      </c>
      <c r="N18" s="2880">
        <v>9641.6</v>
      </c>
      <c r="O18" s="2880">
        <v>7825</v>
      </c>
      <c r="P18" s="2880">
        <v>6410</v>
      </c>
      <c r="Q18" s="2880">
        <v>5753</v>
      </c>
      <c r="R18" s="2880">
        <v>4424</v>
      </c>
      <c r="S18" s="2880">
        <v>3193</v>
      </c>
      <c r="T18" s="2880">
        <v>2500</v>
      </c>
      <c r="U18" s="2880">
        <v>2000</v>
      </c>
      <c r="V18" s="2880">
        <v>1500</v>
      </c>
      <c r="W18" s="2880">
        <v>1208</v>
      </c>
      <c r="X18" s="2880">
        <v>988</v>
      </c>
      <c r="Y18" s="2880">
        <v>740</v>
      </c>
      <c r="Z18" s="2880">
        <v>480</v>
      </c>
      <c r="AA18" s="2880">
        <v>330</v>
      </c>
      <c r="AB18" s="2881">
        <v>238</v>
      </c>
      <c r="AC18" s="2893"/>
      <c r="AD18" s="2894" t="s">
        <v>1010</v>
      </c>
      <c r="AE18" s="1616"/>
      <c r="AF18" s="1616"/>
      <c r="AG18" s="2599"/>
      <c r="AU18" s="2866"/>
      <c r="AV18" s="2866"/>
    </row>
    <row r="19" spans="2:55" ht="36.75" customHeight="1">
      <c r="C19" s="2888"/>
      <c r="D19" s="1554"/>
      <c r="E19" s="1554"/>
      <c r="F19" s="2895" t="s">
        <v>1011</v>
      </c>
      <c r="G19" s="4283">
        <v>7972.8</v>
      </c>
      <c r="H19" s="2896">
        <v>6979.7</v>
      </c>
      <c r="I19" s="1302">
        <v>6601.2</v>
      </c>
      <c r="J19" s="1302">
        <v>7875.7</v>
      </c>
      <c r="K19" s="1302">
        <v>8438.7999999999993</v>
      </c>
      <c r="L19" s="1302">
        <v>9003.7000000000007</v>
      </c>
      <c r="M19" s="1302">
        <v>8293.4</v>
      </c>
      <c r="N19" s="1302">
        <v>7714.9</v>
      </c>
      <c r="O19" s="1302">
        <v>5936</v>
      </c>
      <c r="P19" s="1302">
        <v>4714</v>
      </c>
      <c r="Q19" s="1302">
        <v>4472</v>
      </c>
      <c r="R19" s="1302">
        <v>3510</v>
      </c>
      <c r="S19" s="1302">
        <v>2278</v>
      </c>
      <c r="T19" s="1302">
        <v>1664</v>
      </c>
      <c r="U19" s="1302">
        <v>1171</v>
      </c>
      <c r="V19" s="1302">
        <v>843</v>
      </c>
      <c r="W19" s="1302">
        <v>654</v>
      </c>
      <c r="X19" s="1302">
        <v>764</v>
      </c>
      <c r="Y19" s="1302">
        <v>629</v>
      </c>
      <c r="Z19" s="1302">
        <v>412</v>
      </c>
      <c r="AA19" s="1302">
        <v>319</v>
      </c>
      <c r="AB19" s="2897">
        <v>184</v>
      </c>
      <c r="AC19" s="1173" t="s">
        <v>1012</v>
      </c>
      <c r="AD19" s="1173"/>
      <c r="AE19" s="1173"/>
      <c r="AF19" s="1173"/>
      <c r="AG19" s="1261"/>
      <c r="AU19" s="2866"/>
      <c r="AV19" s="2866"/>
    </row>
    <row r="20" spans="2:55" ht="36.75" customHeight="1">
      <c r="C20" s="2870"/>
      <c r="D20" s="2871"/>
      <c r="E20" s="2871"/>
      <c r="F20" s="2882" t="s">
        <v>1013</v>
      </c>
      <c r="G20" s="4289">
        <v>6967.5</v>
      </c>
      <c r="H20" s="2898">
        <v>6095.6</v>
      </c>
      <c r="I20" s="2899">
        <v>5592.8</v>
      </c>
      <c r="J20" s="2899">
        <v>4847.3</v>
      </c>
      <c r="K20" s="2899">
        <v>3945.2</v>
      </c>
      <c r="L20" s="2899">
        <v>3467.4</v>
      </c>
      <c r="M20" s="2899">
        <v>2574.8000000000002</v>
      </c>
      <c r="N20" s="2899">
        <v>1926.7</v>
      </c>
      <c r="O20" s="2899">
        <v>1890</v>
      </c>
      <c r="P20" s="2899">
        <v>1696</v>
      </c>
      <c r="Q20" s="2899">
        <v>1281</v>
      </c>
      <c r="R20" s="2899">
        <v>913</v>
      </c>
      <c r="S20" s="2899">
        <v>915</v>
      </c>
      <c r="T20" s="2899">
        <v>836</v>
      </c>
      <c r="U20" s="2899">
        <v>829</v>
      </c>
      <c r="V20" s="2899">
        <v>657</v>
      </c>
      <c r="W20" s="2899">
        <v>554</v>
      </c>
      <c r="X20" s="2899">
        <v>224</v>
      </c>
      <c r="Y20" s="2899">
        <v>111</v>
      </c>
      <c r="Z20" s="2899">
        <v>68</v>
      </c>
      <c r="AA20" s="2899">
        <v>11</v>
      </c>
      <c r="AB20" s="2900">
        <v>54</v>
      </c>
      <c r="AC20" s="1616" t="s">
        <v>1014</v>
      </c>
      <c r="AD20" s="1616"/>
      <c r="AE20" s="1616"/>
      <c r="AF20" s="1616"/>
      <c r="AG20" s="2599"/>
      <c r="AU20" s="2866"/>
      <c r="AV20" s="2866"/>
    </row>
    <row r="21" spans="2:55" ht="36.75" customHeight="1">
      <c r="C21" s="2888"/>
      <c r="D21" s="1554"/>
      <c r="E21" s="2889" t="s">
        <v>1015</v>
      </c>
      <c r="F21" s="2889"/>
      <c r="G21" s="4288">
        <v>0</v>
      </c>
      <c r="H21" s="2891">
        <v>0</v>
      </c>
      <c r="I21" s="1304">
        <v>0</v>
      </c>
      <c r="J21" s="1304">
        <v>0</v>
      </c>
      <c r="K21" s="1304">
        <v>0</v>
      </c>
      <c r="L21" s="1304">
        <v>0</v>
      </c>
      <c r="M21" s="1304">
        <v>0</v>
      </c>
      <c r="N21" s="1304">
        <v>0</v>
      </c>
      <c r="O21" s="1304">
        <v>0</v>
      </c>
      <c r="P21" s="1304">
        <v>0</v>
      </c>
      <c r="Q21" s="1304">
        <v>0</v>
      </c>
      <c r="R21" s="1304">
        <v>6</v>
      </c>
      <c r="S21" s="1304">
        <v>23</v>
      </c>
      <c r="T21" s="1304">
        <v>23</v>
      </c>
      <c r="U21" s="1304">
        <v>37</v>
      </c>
      <c r="V21" s="1304">
        <v>59</v>
      </c>
      <c r="W21" s="1304">
        <v>85</v>
      </c>
      <c r="X21" s="1304">
        <v>146</v>
      </c>
      <c r="Y21" s="1304">
        <v>160</v>
      </c>
      <c r="Z21" s="1304">
        <v>172</v>
      </c>
      <c r="AA21" s="1304">
        <v>137</v>
      </c>
      <c r="AB21" s="1305">
        <v>156</v>
      </c>
      <c r="AC21" s="2901"/>
      <c r="AD21" s="2387" t="s">
        <v>1016</v>
      </c>
      <c r="AE21" s="2387"/>
      <c r="AF21" s="2387"/>
      <c r="AG21" s="2388"/>
      <c r="AU21" s="2866"/>
      <c r="AV21" s="2866"/>
    </row>
    <row r="22" spans="2:55" ht="36.75" customHeight="1">
      <c r="C22" s="2870"/>
      <c r="D22" s="2871"/>
      <c r="E22" s="2871"/>
      <c r="F22" s="2882" t="s">
        <v>1011</v>
      </c>
      <c r="G22" s="4289">
        <v>0</v>
      </c>
      <c r="H22" s="2898">
        <v>0</v>
      </c>
      <c r="I22" s="2899">
        <v>0</v>
      </c>
      <c r="J22" s="2899">
        <v>0</v>
      </c>
      <c r="K22" s="2899">
        <v>0</v>
      </c>
      <c r="L22" s="2899">
        <v>0</v>
      </c>
      <c r="M22" s="2899">
        <v>0</v>
      </c>
      <c r="N22" s="2899">
        <v>0</v>
      </c>
      <c r="O22" s="2899">
        <v>0</v>
      </c>
      <c r="P22" s="2899">
        <v>0</v>
      </c>
      <c r="Q22" s="2899">
        <v>0</v>
      </c>
      <c r="R22" s="2899">
        <v>3</v>
      </c>
      <c r="S22" s="2899">
        <v>20</v>
      </c>
      <c r="T22" s="2899">
        <v>20</v>
      </c>
      <c r="U22" s="2899">
        <v>23</v>
      </c>
      <c r="V22" s="2899">
        <v>41</v>
      </c>
      <c r="W22" s="2899">
        <v>36</v>
      </c>
      <c r="X22" s="2899">
        <v>64</v>
      </c>
      <c r="Y22" s="2899">
        <v>69</v>
      </c>
      <c r="Z22" s="2899">
        <v>85</v>
      </c>
      <c r="AA22" s="2899">
        <v>74</v>
      </c>
      <c r="AB22" s="2900">
        <v>80</v>
      </c>
      <c r="AC22" s="1616" t="s">
        <v>1012</v>
      </c>
      <c r="AD22" s="1616"/>
      <c r="AE22" s="1616"/>
      <c r="AF22" s="1616"/>
      <c r="AG22" s="2599"/>
      <c r="AU22" s="2866"/>
      <c r="AV22" s="2866"/>
    </row>
    <row r="23" spans="2:55" ht="36.75" customHeight="1">
      <c r="C23" s="2888"/>
      <c r="D23" s="1554"/>
      <c r="E23" s="1554"/>
      <c r="F23" s="2895" t="s">
        <v>1013</v>
      </c>
      <c r="G23" s="4283">
        <v>0</v>
      </c>
      <c r="H23" s="2896">
        <v>0</v>
      </c>
      <c r="I23" s="1302">
        <v>0</v>
      </c>
      <c r="J23" s="1302">
        <v>0</v>
      </c>
      <c r="K23" s="1302">
        <v>0</v>
      </c>
      <c r="L23" s="1302">
        <v>0</v>
      </c>
      <c r="M23" s="1302">
        <v>0</v>
      </c>
      <c r="N23" s="1302">
        <v>0</v>
      </c>
      <c r="O23" s="1302">
        <v>0</v>
      </c>
      <c r="P23" s="1302">
        <v>0</v>
      </c>
      <c r="Q23" s="1302">
        <v>0</v>
      </c>
      <c r="R23" s="1302">
        <v>3</v>
      </c>
      <c r="S23" s="1302">
        <v>3</v>
      </c>
      <c r="T23" s="1302">
        <v>3</v>
      </c>
      <c r="U23" s="1302">
        <v>14</v>
      </c>
      <c r="V23" s="1302">
        <v>18</v>
      </c>
      <c r="W23" s="1302">
        <v>49</v>
      </c>
      <c r="X23" s="1302">
        <v>82</v>
      </c>
      <c r="Y23" s="1302">
        <v>91</v>
      </c>
      <c r="Z23" s="1302">
        <v>87</v>
      </c>
      <c r="AA23" s="1302">
        <v>63</v>
      </c>
      <c r="AB23" s="2897">
        <v>76</v>
      </c>
      <c r="AC23" s="1173" t="s">
        <v>1014</v>
      </c>
      <c r="AD23" s="1173"/>
      <c r="AE23" s="1173"/>
      <c r="AF23" s="1173"/>
      <c r="AG23" s="1261"/>
      <c r="AU23" s="2866"/>
      <c r="AV23" s="2866"/>
    </row>
    <row r="24" spans="2:55" s="2399" customFormat="1" ht="36.75" customHeight="1">
      <c r="C24" s="2876"/>
      <c r="D24" s="2877"/>
      <c r="E24" s="1145" t="s">
        <v>1017</v>
      </c>
      <c r="F24" s="1145"/>
      <c r="G24" s="4287">
        <v>275.89999999999998</v>
      </c>
      <c r="H24" s="2879">
        <v>276.89999999999998</v>
      </c>
      <c r="I24" s="2880">
        <v>352.8</v>
      </c>
      <c r="J24" s="2880">
        <v>451.9</v>
      </c>
      <c r="K24" s="2880">
        <v>551.1</v>
      </c>
      <c r="L24" s="2880">
        <v>602.6</v>
      </c>
      <c r="M24" s="2880">
        <v>688.2</v>
      </c>
      <c r="N24" s="2880">
        <v>780.1</v>
      </c>
      <c r="O24" s="2880">
        <v>869</v>
      </c>
      <c r="P24" s="2880">
        <v>1002</v>
      </c>
      <c r="Q24" s="2880">
        <v>1018</v>
      </c>
      <c r="R24" s="2880">
        <v>1094</v>
      </c>
      <c r="S24" s="2880">
        <v>307</v>
      </c>
      <c r="T24" s="2880">
        <v>307</v>
      </c>
      <c r="U24" s="2880">
        <v>279</v>
      </c>
      <c r="V24" s="2880">
        <v>386</v>
      </c>
      <c r="W24" s="2880">
        <v>386</v>
      </c>
      <c r="X24" s="2880">
        <v>387</v>
      </c>
      <c r="Y24" s="2880">
        <v>389</v>
      </c>
      <c r="Z24" s="2880">
        <v>500</v>
      </c>
      <c r="AA24" s="2880">
        <v>452</v>
      </c>
      <c r="AB24" s="2881">
        <v>646</v>
      </c>
      <c r="AC24" s="2902"/>
      <c r="AD24" s="2883" t="s">
        <v>1018</v>
      </c>
      <c r="AE24" s="2877"/>
      <c r="AF24" s="2877"/>
      <c r="AG24" s="2903"/>
      <c r="AU24" s="2904"/>
      <c r="AV24" s="2904"/>
      <c r="BC24" s="2905"/>
    </row>
    <row r="25" spans="2:55" ht="36.75" customHeight="1">
      <c r="C25" s="2888"/>
      <c r="D25" s="1554"/>
      <c r="E25" s="1554"/>
      <c r="F25" s="2895" t="s">
        <v>1019</v>
      </c>
      <c r="G25" s="4283">
        <v>271.7</v>
      </c>
      <c r="H25" s="2896">
        <v>271.7</v>
      </c>
      <c r="I25" s="1302">
        <v>351.7</v>
      </c>
      <c r="J25" s="1302">
        <v>431.7</v>
      </c>
      <c r="K25" s="1302">
        <v>511.7</v>
      </c>
      <c r="L25" s="1302">
        <v>591.70000000000005</v>
      </c>
      <c r="M25" s="1302">
        <v>671.7</v>
      </c>
      <c r="N25" s="1302">
        <v>751.7</v>
      </c>
      <c r="O25" s="1302">
        <v>832</v>
      </c>
      <c r="P25" s="1302">
        <v>912</v>
      </c>
      <c r="Q25" s="1302">
        <v>992</v>
      </c>
      <c r="R25" s="1302">
        <v>1072</v>
      </c>
      <c r="S25" s="1302">
        <v>272</v>
      </c>
      <c r="T25" s="1302">
        <v>272</v>
      </c>
      <c r="U25" s="1302">
        <v>272</v>
      </c>
      <c r="V25" s="1302">
        <v>272</v>
      </c>
      <c r="W25" s="1302">
        <v>272</v>
      </c>
      <c r="X25" s="1302">
        <v>272</v>
      </c>
      <c r="Y25" s="1302">
        <v>272</v>
      </c>
      <c r="Z25" s="1302">
        <v>272</v>
      </c>
      <c r="AA25" s="1302">
        <v>322</v>
      </c>
      <c r="AB25" s="2897">
        <v>509</v>
      </c>
      <c r="AC25" s="1173" t="s">
        <v>1020</v>
      </c>
      <c r="AD25" s="1173"/>
      <c r="AE25" s="1173"/>
      <c r="AF25" s="1173"/>
      <c r="AG25" s="1261"/>
      <c r="AU25" s="2866"/>
      <c r="AV25" s="2866"/>
    </row>
    <row r="26" spans="2:55" ht="36.75" customHeight="1">
      <c r="C26" s="2870"/>
      <c r="D26" s="2871"/>
      <c r="E26" s="2871"/>
      <c r="F26" s="2906" t="s">
        <v>1021</v>
      </c>
      <c r="G26" s="4289">
        <v>4.2</v>
      </c>
      <c r="H26" s="2898">
        <v>5.2</v>
      </c>
      <c r="I26" s="2899">
        <v>1.1000000000000001</v>
      </c>
      <c r="J26" s="2899">
        <v>20.2</v>
      </c>
      <c r="K26" s="2899">
        <v>39.4</v>
      </c>
      <c r="L26" s="2899">
        <v>10.9</v>
      </c>
      <c r="M26" s="2899">
        <v>16.5</v>
      </c>
      <c r="N26" s="2899">
        <v>28.1</v>
      </c>
      <c r="O26" s="2899">
        <v>36</v>
      </c>
      <c r="P26" s="2899">
        <v>88</v>
      </c>
      <c r="Q26" s="2899">
        <v>24</v>
      </c>
      <c r="R26" s="2899">
        <v>19</v>
      </c>
      <c r="S26" s="2899">
        <v>31</v>
      </c>
      <c r="T26" s="2899">
        <v>35</v>
      </c>
      <c r="U26" s="2899">
        <v>0</v>
      </c>
      <c r="V26" s="2899">
        <v>106</v>
      </c>
      <c r="W26" s="2899">
        <v>106</v>
      </c>
      <c r="X26" s="2899">
        <v>106</v>
      </c>
      <c r="Y26" s="2899">
        <v>107</v>
      </c>
      <c r="Z26" s="2899">
        <v>151</v>
      </c>
      <c r="AA26" s="2899">
        <v>109</v>
      </c>
      <c r="AB26" s="2900">
        <v>112</v>
      </c>
      <c r="AC26" s="1616" t="s">
        <v>1022</v>
      </c>
      <c r="AD26" s="1616"/>
      <c r="AE26" s="1616"/>
      <c r="AF26" s="1616"/>
      <c r="AG26" s="2599"/>
      <c r="AU26" s="2866"/>
      <c r="AV26" s="2866"/>
    </row>
    <row r="27" spans="2:55" ht="36.75" customHeight="1">
      <c r="C27" s="2888"/>
      <c r="D27" s="1554"/>
      <c r="E27" s="1554"/>
      <c r="F27" s="2895" t="s">
        <v>1023</v>
      </c>
      <c r="G27" s="4283">
        <v>0</v>
      </c>
      <c r="H27" s="2896">
        <v>0</v>
      </c>
      <c r="I27" s="1302">
        <v>0</v>
      </c>
      <c r="J27" s="1302">
        <v>0</v>
      </c>
      <c r="K27" s="1302">
        <v>0</v>
      </c>
      <c r="L27" s="1302">
        <v>0</v>
      </c>
      <c r="M27" s="1302">
        <v>0</v>
      </c>
      <c r="N27" s="1302">
        <v>0.4</v>
      </c>
      <c r="O27" s="1302">
        <v>1</v>
      </c>
      <c r="P27" s="1302">
        <v>2</v>
      </c>
      <c r="Q27" s="1302">
        <v>2</v>
      </c>
      <c r="R27" s="1302">
        <v>3</v>
      </c>
      <c r="S27" s="1302">
        <v>4</v>
      </c>
      <c r="T27" s="1302">
        <v>0</v>
      </c>
      <c r="U27" s="1302">
        <v>7</v>
      </c>
      <c r="V27" s="1302">
        <v>8</v>
      </c>
      <c r="W27" s="1302">
        <v>8</v>
      </c>
      <c r="X27" s="1302">
        <v>9</v>
      </c>
      <c r="Y27" s="1302">
        <v>10</v>
      </c>
      <c r="Z27" s="1302">
        <v>77</v>
      </c>
      <c r="AA27" s="1302">
        <v>21</v>
      </c>
      <c r="AB27" s="2897">
        <v>25</v>
      </c>
      <c r="AC27" s="1173" t="s">
        <v>1024</v>
      </c>
      <c r="AD27" s="1173"/>
      <c r="AE27" s="1173"/>
      <c r="AF27" s="1173"/>
      <c r="AG27" s="1261"/>
      <c r="AU27" s="2866"/>
      <c r="AV27" s="2866"/>
    </row>
    <row r="28" spans="2:55" s="1999" customFormat="1" ht="36.75" customHeight="1">
      <c r="C28" s="2870"/>
      <c r="D28" s="2872" t="s">
        <v>1025</v>
      </c>
      <c r="E28" s="2872"/>
      <c r="F28" s="2583"/>
      <c r="G28" s="4287">
        <v>2521.8000000000002</v>
      </c>
      <c r="H28" s="2879">
        <v>2868.5</v>
      </c>
      <c r="I28" s="2880">
        <v>2855.3</v>
      </c>
      <c r="J28" s="2880">
        <v>2618.9</v>
      </c>
      <c r="K28" s="2880">
        <v>2551.1999999999998</v>
      </c>
      <c r="L28" s="2880">
        <v>1547.8</v>
      </c>
      <c r="M28" s="2880">
        <v>1883.1</v>
      </c>
      <c r="N28" s="2880">
        <v>2255.8000000000002</v>
      </c>
      <c r="O28" s="2880">
        <v>1302</v>
      </c>
      <c r="P28" s="2880">
        <v>568</v>
      </c>
      <c r="Q28" s="2880">
        <v>315</v>
      </c>
      <c r="R28" s="2880">
        <v>230</v>
      </c>
      <c r="S28" s="2880">
        <v>173</v>
      </c>
      <c r="T28" s="2880">
        <v>132</v>
      </c>
      <c r="U28" s="2880">
        <v>152</v>
      </c>
      <c r="V28" s="2880">
        <v>136.69999999999999</v>
      </c>
      <c r="W28" s="2880">
        <v>136</v>
      </c>
      <c r="X28" s="2880">
        <v>135</v>
      </c>
      <c r="Y28" s="2880">
        <v>108</v>
      </c>
      <c r="Z28" s="2880">
        <v>83</v>
      </c>
      <c r="AA28" s="2880">
        <v>135</v>
      </c>
      <c r="AB28" s="2881">
        <v>112</v>
      </c>
      <c r="AC28" s="2583"/>
      <c r="AD28" s="2583"/>
      <c r="AE28" s="2894" t="s">
        <v>1026</v>
      </c>
      <c r="AF28" s="2583"/>
      <c r="AG28" s="1423"/>
      <c r="BC28" s="2869"/>
    </row>
    <row r="29" spans="2:55" ht="36.75" customHeight="1">
      <c r="C29" s="2888"/>
      <c r="D29" s="1554"/>
      <c r="E29" s="2907" t="s">
        <v>1027</v>
      </c>
      <c r="F29" s="2907"/>
      <c r="G29" s="4288">
        <v>538</v>
      </c>
      <c r="H29" s="2891">
        <v>610.5</v>
      </c>
      <c r="I29" s="1304">
        <v>657.5</v>
      </c>
      <c r="J29" s="1304">
        <v>532.5</v>
      </c>
      <c r="K29" s="1304">
        <v>562.5</v>
      </c>
      <c r="L29" s="1304">
        <v>608.5</v>
      </c>
      <c r="M29" s="1304">
        <v>868.6</v>
      </c>
      <c r="N29" s="1304">
        <v>1176.9000000000001</v>
      </c>
      <c r="O29" s="1304">
        <v>1122</v>
      </c>
      <c r="P29" s="1304">
        <v>545</v>
      </c>
      <c r="Q29" s="1304">
        <v>297</v>
      </c>
      <c r="R29" s="1304">
        <v>211</v>
      </c>
      <c r="S29" s="1304">
        <v>162</v>
      </c>
      <c r="T29" s="1304">
        <v>130</v>
      </c>
      <c r="U29" s="1304">
        <v>124</v>
      </c>
      <c r="V29" s="1304">
        <v>109.7</v>
      </c>
      <c r="W29" s="1304">
        <v>96</v>
      </c>
      <c r="X29" s="1304">
        <v>91</v>
      </c>
      <c r="Y29" s="1304">
        <v>63</v>
      </c>
      <c r="Z29" s="1304">
        <v>31</v>
      </c>
      <c r="AA29" s="1304">
        <v>61</v>
      </c>
      <c r="AB29" s="1305">
        <v>25</v>
      </c>
      <c r="AC29" s="1173"/>
      <c r="AD29" s="2387" t="s">
        <v>1028</v>
      </c>
      <c r="AE29" s="1173"/>
      <c r="AF29" s="1173"/>
      <c r="AG29" s="1261"/>
    </row>
    <row r="30" spans="2:55" s="2399" customFormat="1" ht="36.75" customHeight="1">
      <c r="C30" s="2876"/>
      <c r="D30" s="2877"/>
      <c r="E30" s="1145"/>
      <c r="F30" s="2882" t="s">
        <v>1011</v>
      </c>
      <c r="G30" s="4289">
        <v>296.10000000000002</v>
      </c>
      <c r="H30" s="2898">
        <v>340.4</v>
      </c>
      <c r="I30" s="2899">
        <v>381.9</v>
      </c>
      <c r="J30" s="2899">
        <v>410.2</v>
      </c>
      <c r="K30" s="2899">
        <v>455.2</v>
      </c>
      <c r="L30" s="2899">
        <v>538.20000000000005</v>
      </c>
      <c r="M30" s="2899">
        <v>787</v>
      </c>
      <c r="N30" s="2899">
        <v>985.8</v>
      </c>
      <c r="O30" s="2899">
        <v>898.2</v>
      </c>
      <c r="P30" s="2899">
        <v>423.3</v>
      </c>
      <c r="Q30" s="2899">
        <v>227</v>
      </c>
      <c r="R30" s="2899">
        <v>125.1</v>
      </c>
      <c r="S30" s="2899">
        <v>106.3</v>
      </c>
      <c r="T30" s="2899">
        <v>76.900000000000006</v>
      </c>
      <c r="U30" s="2899">
        <v>90</v>
      </c>
      <c r="V30" s="2899">
        <v>64.7</v>
      </c>
      <c r="W30" s="2899">
        <v>59</v>
      </c>
      <c r="X30" s="2899">
        <v>61</v>
      </c>
      <c r="Y30" s="2899">
        <v>51</v>
      </c>
      <c r="Z30" s="2899">
        <v>22</v>
      </c>
      <c r="AA30" s="2899">
        <v>32</v>
      </c>
      <c r="AB30" s="2900">
        <v>18</v>
      </c>
      <c r="AC30" s="1616" t="s">
        <v>1012</v>
      </c>
      <c r="AD30" s="2883"/>
      <c r="AE30" s="2883"/>
      <c r="AF30" s="2883"/>
      <c r="AG30" s="2903"/>
      <c r="BC30" s="2905"/>
    </row>
    <row r="31" spans="2:55" ht="36.75" customHeight="1">
      <c r="C31" s="2888"/>
      <c r="D31" s="1554"/>
      <c r="E31" s="1554"/>
      <c r="F31" s="2895" t="s">
        <v>1013</v>
      </c>
      <c r="G31" s="4283">
        <v>241.9</v>
      </c>
      <c r="H31" s="2896">
        <v>270.10000000000002</v>
      </c>
      <c r="I31" s="1302">
        <v>275.60000000000002</v>
      </c>
      <c r="J31" s="1302">
        <v>122.3</v>
      </c>
      <c r="K31" s="1302">
        <v>107.3</v>
      </c>
      <c r="L31" s="1302">
        <v>70.3</v>
      </c>
      <c r="M31" s="1302">
        <v>81.599999999999994</v>
      </c>
      <c r="N31" s="1302">
        <v>191.1</v>
      </c>
      <c r="O31" s="1302">
        <v>224</v>
      </c>
      <c r="P31" s="1302">
        <v>122</v>
      </c>
      <c r="Q31" s="1302">
        <v>70</v>
      </c>
      <c r="R31" s="1302">
        <v>85.9</v>
      </c>
      <c r="S31" s="1302">
        <v>55.7</v>
      </c>
      <c r="T31" s="1302">
        <v>53.1</v>
      </c>
      <c r="U31" s="1302">
        <v>34</v>
      </c>
      <c r="V31" s="1302">
        <v>45</v>
      </c>
      <c r="W31" s="1302">
        <v>37</v>
      </c>
      <c r="X31" s="1302">
        <v>30</v>
      </c>
      <c r="Y31" s="1302">
        <v>12</v>
      </c>
      <c r="Z31" s="1302">
        <v>9</v>
      </c>
      <c r="AA31" s="1302">
        <v>29</v>
      </c>
      <c r="AB31" s="2897">
        <v>7</v>
      </c>
      <c r="AC31" s="1173" t="s">
        <v>1014</v>
      </c>
      <c r="AD31" s="1173"/>
      <c r="AE31" s="1173"/>
      <c r="AF31" s="1173"/>
      <c r="AG31" s="1261"/>
    </row>
    <row r="32" spans="2:55" ht="36.75" customHeight="1">
      <c r="B32" s="245"/>
      <c r="C32" s="2870"/>
      <c r="D32" s="2871"/>
      <c r="E32" s="1145" t="s">
        <v>1029</v>
      </c>
      <c r="F32" s="1145"/>
      <c r="G32" s="4287">
        <v>1983.8</v>
      </c>
      <c r="H32" s="2879">
        <v>2258</v>
      </c>
      <c r="I32" s="2880">
        <v>2197.8000000000002</v>
      </c>
      <c r="J32" s="2880">
        <v>2086.4</v>
      </c>
      <c r="K32" s="2880">
        <v>1988.7</v>
      </c>
      <c r="L32" s="2880">
        <v>939.3</v>
      </c>
      <c r="M32" s="2880">
        <v>1014.5</v>
      </c>
      <c r="N32" s="2880">
        <v>1079</v>
      </c>
      <c r="O32" s="2880">
        <v>180</v>
      </c>
      <c r="P32" s="2880">
        <v>23</v>
      </c>
      <c r="Q32" s="2880">
        <v>18</v>
      </c>
      <c r="R32" s="2880">
        <v>18.899999999999999</v>
      </c>
      <c r="S32" s="2880">
        <v>11</v>
      </c>
      <c r="T32" s="2880">
        <v>1.6</v>
      </c>
      <c r="U32" s="2880">
        <v>27.9</v>
      </c>
      <c r="V32" s="2880">
        <v>27</v>
      </c>
      <c r="W32" s="2880">
        <v>40</v>
      </c>
      <c r="X32" s="2880">
        <v>44</v>
      </c>
      <c r="Y32" s="2880">
        <v>45</v>
      </c>
      <c r="Z32" s="2880">
        <v>52</v>
      </c>
      <c r="AA32" s="2880">
        <v>74</v>
      </c>
      <c r="AB32" s="2881">
        <v>87</v>
      </c>
      <c r="AC32" s="1616"/>
      <c r="AD32" s="2883" t="s">
        <v>1030</v>
      </c>
      <c r="AE32" s="1616"/>
      <c r="AF32" s="1616"/>
      <c r="AG32" s="2599"/>
      <c r="AL32" s="2908"/>
    </row>
    <row r="33" spans="2:55" s="1999" customFormat="1" ht="36.75" customHeight="1">
      <c r="B33" s="246"/>
      <c r="C33" s="2829"/>
      <c r="D33" s="2329"/>
      <c r="E33" s="2329"/>
      <c r="F33" s="2909" t="s">
        <v>1011</v>
      </c>
      <c r="G33" s="4290">
        <v>1950.6</v>
      </c>
      <c r="H33" s="2910">
        <v>2227.1</v>
      </c>
      <c r="I33" s="1691">
        <v>2169.1999999999998</v>
      </c>
      <c r="J33" s="1691">
        <v>2050.1</v>
      </c>
      <c r="K33" s="1691">
        <v>1950.2</v>
      </c>
      <c r="L33" s="1691">
        <v>893.1</v>
      </c>
      <c r="M33" s="1691">
        <v>964.5</v>
      </c>
      <c r="N33" s="1691">
        <v>1029</v>
      </c>
      <c r="O33" s="1691">
        <v>180</v>
      </c>
      <c r="P33" s="1691">
        <v>23</v>
      </c>
      <c r="Q33" s="1691">
        <v>18</v>
      </c>
      <c r="R33" s="1691">
        <v>18.899999999999999</v>
      </c>
      <c r="S33" s="1691">
        <v>11</v>
      </c>
      <c r="T33" s="1691">
        <v>1.6</v>
      </c>
      <c r="U33" s="1691">
        <v>27.9</v>
      </c>
      <c r="V33" s="1691">
        <v>27.1</v>
      </c>
      <c r="W33" s="1691">
        <v>40</v>
      </c>
      <c r="X33" s="1691">
        <v>44</v>
      </c>
      <c r="Y33" s="1691">
        <v>45</v>
      </c>
      <c r="Z33" s="1691">
        <v>52</v>
      </c>
      <c r="AA33" s="1691">
        <v>74</v>
      </c>
      <c r="AB33" s="2328">
        <v>87</v>
      </c>
      <c r="AC33" s="1662" t="s">
        <v>1012</v>
      </c>
      <c r="AD33" s="1662"/>
      <c r="AE33" s="1662"/>
      <c r="AF33" s="1662"/>
      <c r="AG33" s="1644"/>
      <c r="AJ33" s="2390"/>
      <c r="BC33" s="2869"/>
    </row>
    <row r="34" spans="2:55" ht="17.100000000000001" customHeight="1">
      <c r="C34" s="2870"/>
      <c r="D34" s="2871"/>
      <c r="E34" s="2871"/>
      <c r="F34" s="2872"/>
      <c r="G34" s="4291"/>
      <c r="H34" s="2911"/>
      <c r="I34" s="2912"/>
      <c r="J34" s="2912"/>
      <c r="K34" s="2912"/>
      <c r="L34" s="2912"/>
      <c r="M34" s="2912"/>
      <c r="N34" s="2912"/>
      <c r="O34" s="2912"/>
      <c r="P34" s="2912"/>
      <c r="Q34" s="2912"/>
      <c r="R34" s="2912"/>
      <c r="S34" s="2912"/>
      <c r="T34" s="2912"/>
      <c r="U34" s="2912"/>
      <c r="V34" s="2912"/>
      <c r="W34" s="2913"/>
      <c r="X34" s="2913"/>
      <c r="Y34" s="2913"/>
      <c r="Z34" s="2913"/>
      <c r="AA34" s="2913"/>
      <c r="AB34" s="2914"/>
      <c r="AC34" s="2875"/>
      <c r="AD34" s="2875"/>
      <c r="AE34" s="2875"/>
      <c r="AF34" s="2875"/>
      <c r="AG34" s="2599"/>
    </row>
    <row r="35" spans="2:55" ht="31.5" customHeight="1">
      <c r="C35" s="2915" t="s">
        <v>1031</v>
      </c>
      <c r="D35" s="2907"/>
      <c r="E35" s="2895"/>
      <c r="F35" s="2895"/>
      <c r="G35" s="4292"/>
      <c r="H35" s="2916"/>
      <c r="I35" s="1304"/>
      <c r="J35" s="1304"/>
      <c r="K35" s="1304"/>
      <c r="L35" s="1304"/>
      <c r="M35" s="1304"/>
      <c r="N35" s="1304"/>
      <c r="O35" s="1304"/>
      <c r="P35" s="1304"/>
      <c r="Q35" s="1304"/>
      <c r="R35" s="1304"/>
      <c r="S35" s="1304"/>
      <c r="T35" s="1304"/>
      <c r="U35" s="1304"/>
      <c r="V35" s="1304"/>
      <c r="W35" s="1304"/>
      <c r="X35" s="1304"/>
      <c r="Y35" s="1304"/>
      <c r="Z35" s="1304"/>
      <c r="AA35" s="1304"/>
      <c r="AB35" s="1305"/>
      <c r="AC35" s="1173"/>
      <c r="AD35" s="1173"/>
      <c r="AE35" s="1173"/>
      <c r="AF35" s="2387" t="s">
        <v>1032</v>
      </c>
      <c r="AG35" s="2917"/>
    </row>
    <row r="36" spans="2:55" ht="31.5" customHeight="1">
      <c r="C36" s="2918" t="s">
        <v>1033</v>
      </c>
      <c r="D36" s="1145"/>
      <c r="E36" s="2882"/>
      <c r="F36" s="2882"/>
      <c r="G36" s="4287">
        <v>1278.0999999999999</v>
      </c>
      <c r="H36" s="2879">
        <v>1407.7</v>
      </c>
      <c r="I36" s="2880">
        <v>1833.5</v>
      </c>
      <c r="J36" s="2880">
        <v>2013.3000000000002</v>
      </c>
      <c r="K36" s="2880">
        <v>2028.9</v>
      </c>
      <c r="L36" s="2880">
        <v>2096.1</v>
      </c>
      <c r="M36" s="2880">
        <v>1577.3000000000002</v>
      </c>
      <c r="N36" s="2880">
        <v>1029.0999999999999</v>
      </c>
      <c r="O36" s="2880">
        <v>1081</v>
      </c>
      <c r="P36" s="2880">
        <v>1129</v>
      </c>
      <c r="Q36" s="2880">
        <v>1294</v>
      </c>
      <c r="R36" s="2880">
        <v>842</v>
      </c>
      <c r="S36" s="2880">
        <v>749</v>
      </c>
      <c r="T36" s="2880">
        <v>798</v>
      </c>
      <c r="U36" s="2880">
        <v>30</v>
      </c>
      <c r="V36" s="2880">
        <v>249</v>
      </c>
      <c r="W36" s="2880">
        <v>111</v>
      </c>
      <c r="X36" s="2880">
        <v>321</v>
      </c>
      <c r="Y36" s="2880">
        <v>245</v>
      </c>
      <c r="Z36" s="2880">
        <f>Z37+Z45</f>
        <v>291.3</v>
      </c>
      <c r="AA36" s="2880">
        <f>AA37+AA45</f>
        <v>146</v>
      </c>
      <c r="AB36" s="2881">
        <f>AB37+AB45</f>
        <v>300</v>
      </c>
      <c r="AC36" s="1616"/>
      <c r="AD36" s="1616"/>
      <c r="AE36" s="1616"/>
      <c r="AF36" s="2883" t="s">
        <v>1034</v>
      </c>
      <c r="AG36" s="2919"/>
    </row>
    <row r="37" spans="2:55" ht="31.5" customHeight="1">
      <c r="C37" s="2888"/>
      <c r="D37" s="2907" t="s">
        <v>1035</v>
      </c>
      <c r="E37" s="2907"/>
      <c r="F37" s="2895"/>
      <c r="G37" s="4288">
        <v>999.6</v>
      </c>
      <c r="H37" s="2891">
        <v>1134.9000000000001</v>
      </c>
      <c r="I37" s="1304">
        <v>1506</v>
      </c>
      <c r="J37" s="1304">
        <v>1816.4</v>
      </c>
      <c r="K37" s="1304">
        <v>1813.6</v>
      </c>
      <c r="L37" s="1304">
        <v>1878.1</v>
      </c>
      <c r="M37" s="1304">
        <v>1366.4</v>
      </c>
      <c r="N37" s="1304">
        <v>780.2</v>
      </c>
      <c r="O37" s="1304">
        <v>812</v>
      </c>
      <c r="P37" s="1304">
        <v>836</v>
      </c>
      <c r="Q37" s="1304">
        <v>923</v>
      </c>
      <c r="R37" s="1304">
        <v>613</v>
      </c>
      <c r="S37" s="1304">
        <v>520</v>
      </c>
      <c r="T37" s="1304">
        <v>351</v>
      </c>
      <c r="U37" s="1304">
        <v>-202</v>
      </c>
      <c r="V37" s="1304">
        <v>-35</v>
      </c>
      <c r="W37" s="1304">
        <v>-32</v>
      </c>
      <c r="X37" s="1304">
        <v>167</v>
      </c>
      <c r="Y37" s="1304">
        <v>89</v>
      </c>
      <c r="Z37" s="1304">
        <v>114</v>
      </c>
      <c r="AA37" s="1304">
        <v>-8</v>
      </c>
      <c r="AB37" s="1305">
        <f>AB38+AB41</f>
        <v>142</v>
      </c>
      <c r="AC37" s="1173"/>
      <c r="AD37" s="1173"/>
      <c r="AE37" s="2472" t="s">
        <v>1036</v>
      </c>
      <c r="AF37" s="1173"/>
      <c r="AG37" s="1261"/>
    </row>
    <row r="38" spans="2:55" ht="31.5" customHeight="1">
      <c r="C38" s="2870"/>
      <c r="D38" s="2871"/>
      <c r="E38" s="1145" t="s">
        <v>1037</v>
      </c>
      <c r="F38" s="1145"/>
      <c r="G38" s="4287">
        <v>-849</v>
      </c>
      <c r="H38" s="2879">
        <v>-664.1</v>
      </c>
      <c r="I38" s="2880">
        <v>-207.9</v>
      </c>
      <c r="J38" s="2880">
        <v>-86.5</v>
      </c>
      <c r="K38" s="2880">
        <v>-188.3</v>
      </c>
      <c r="L38" s="2880">
        <v>-143.9</v>
      </c>
      <c r="M38" s="2880">
        <v>125.1</v>
      </c>
      <c r="N38" s="2880">
        <v>-329.9</v>
      </c>
      <c r="O38" s="2880">
        <v>-289</v>
      </c>
      <c r="P38" s="2880">
        <v>-129</v>
      </c>
      <c r="Q38" s="2880">
        <v>-8</v>
      </c>
      <c r="R38" s="2880">
        <v>-45</v>
      </c>
      <c r="S38" s="2880">
        <v>-36</v>
      </c>
      <c r="T38" s="2880">
        <v>-137</v>
      </c>
      <c r="U38" s="2880">
        <v>-636</v>
      </c>
      <c r="V38" s="2880">
        <v>-357</v>
      </c>
      <c r="W38" s="2880">
        <v>-351</v>
      </c>
      <c r="X38" s="2880">
        <v>-173</v>
      </c>
      <c r="Y38" s="2880">
        <v>-261</v>
      </c>
      <c r="Z38" s="2880">
        <f>Z39+Z40</f>
        <v>-225</v>
      </c>
      <c r="AA38" s="2880">
        <f>AA39+AA40</f>
        <v>-318</v>
      </c>
      <c r="AB38" s="2881">
        <f>AB39+AB40</f>
        <v>-92</v>
      </c>
      <c r="AC38" s="1616"/>
      <c r="AD38" s="2883" t="s">
        <v>1038</v>
      </c>
      <c r="AE38" s="1616"/>
      <c r="AF38" s="1616"/>
      <c r="AG38" s="2599"/>
    </row>
    <row r="39" spans="2:55" ht="31.5" customHeight="1">
      <c r="C39" s="2888"/>
      <c r="D39" s="1554"/>
      <c r="E39" s="1554"/>
      <c r="F39" s="1196" t="s">
        <v>1039</v>
      </c>
      <c r="G39" s="4283">
        <v>-873.2</v>
      </c>
      <c r="H39" s="2896">
        <v>-669.9</v>
      </c>
      <c r="I39" s="1302">
        <v>-221.4</v>
      </c>
      <c r="J39" s="1302">
        <v>-94.2</v>
      </c>
      <c r="K39" s="1302">
        <v>-196.4</v>
      </c>
      <c r="L39" s="1302">
        <v>-164.7</v>
      </c>
      <c r="M39" s="1302">
        <v>96.8</v>
      </c>
      <c r="N39" s="1302">
        <v>-349.9</v>
      </c>
      <c r="O39" s="1302">
        <v>-328</v>
      </c>
      <c r="P39" s="1302">
        <v>-168</v>
      </c>
      <c r="Q39" s="1302">
        <v>-79</v>
      </c>
      <c r="R39" s="1302">
        <v>-116</v>
      </c>
      <c r="S39" s="1302">
        <v>-112</v>
      </c>
      <c r="T39" s="1302">
        <v>-210</v>
      </c>
      <c r="U39" s="1302">
        <v>-684</v>
      </c>
      <c r="V39" s="1302">
        <v>-404</v>
      </c>
      <c r="W39" s="1302">
        <v>-391</v>
      </c>
      <c r="X39" s="1302">
        <v>-210</v>
      </c>
      <c r="Y39" s="1302">
        <v>-312</v>
      </c>
      <c r="Z39" s="1302">
        <v>-277</v>
      </c>
      <c r="AA39" s="1302">
        <v>-345</v>
      </c>
      <c r="AB39" s="2897">
        <v>-118</v>
      </c>
      <c r="AC39" s="1173" t="s">
        <v>1040</v>
      </c>
      <c r="AD39" s="1173"/>
      <c r="AE39" s="1173"/>
      <c r="AF39" s="1173"/>
      <c r="AG39" s="1261"/>
    </row>
    <row r="40" spans="2:55" ht="31.5" customHeight="1">
      <c r="C40" s="2870"/>
      <c r="D40" s="2871"/>
      <c r="E40" s="2871"/>
      <c r="F40" s="2882" t="s">
        <v>1041</v>
      </c>
      <c r="G40" s="4289">
        <v>24.1</v>
      </c>
      <c r="H40" s="2898">
        <v>35.799999999999997</v>
      </c>
      <c r="I40" s="2899">
        <v>13.5</v>
      </c>
      <c r="J40" s="2899">
        <v>7.7</v>
      </c>
      <c r="K40" s="2899">
        <v>8.1</v>
      </c>
      <c r="L40" s="2899">
        <v>20.8</v>
      </c>
      <c r="M40" s="2899">
        <v>28.2</v>
      </c>
      <c r="N40" s="2899">
        <v>30</v>
      </c>
      <c r="O40" s="2899">
        <v>39</v>
      </c>
      <c r="P40" s="2899">
        <v>38</v>
      </c>
      <c r="Q40" s="2899">
        <v>71</v>
      </c>
      <c r="R40" s="2899">
        <v>72</v>
      </c>
      <c r="S40" s="2899">
        <v>75</v>
      </c>
      <c r="T40" s="2899">
        <v>73</v>
      </c>
      <c r="U40" s="2899">
        <v>47</v>
      </c>
      <c r="V40" s="2899">
        <v>47</v>
      </c>
      <c r="W40" s="2899">
        <v>40</v>
      </c>
      <c r="X40" s="2899">
        <v>37</v>
      </c>
      <c r="Y40" s="2899">
        <v>51</v>
      </c>
      <c r="Z40" s="2899">
        <v>52</v>
      </c>
      <c r="AA40" s="2899">
        <v>27</v>
      </c>
      <c r="AB40" s="2900">
        <v>26</v>
      </c>
      <c r="AC40" s="1616" t="s">
        <v>1042</v>
      </c>
      <c r="AD40" s="1616"/>
      <c r="AE40" s="1616"/>
      <c r="AF40" s="1616"/>
      <c r="AG40" s="2599"/>
    </row>
    <row r="41" spans="2:55" ht="31.5" customHeight="1">
      <c r="C41" s="2888"/>
      <c r="D41" s="2907"/>
      <c r="E41" s="2907" t="s">
        <v>1043</v>
      </c>
      <c r="F41" s="2895"/>
      <c r="G41" s="4288">
        <v>1848.7</v>
      </c>
      <c r="H41" s="2891">
        <v>1799</v>
      </c>
      <c r="I41" s="1304">
        <v>1713.9</v>
      </c>
      <c r="J41" s="1304">
        <v>1902.9</v>
      </c>
      <c r="K41" s="1304">
        <v>2001.9</v>
      </c>
      <c r="L41" s="1304">
        <v>2022.1</v>
      </c>
      <c r="M41" s="1304">
        <v>1241.3</v>
      </c>
      <c r="N41" s="1304">
        <v>1100.0999999999999</v>
      </c>
      <c r="O41" s="1304">
        <v>1100</v>
      </c>
      <c r="P41" s="1304">
        <v>965</v>
      </c>
      <c r="Q41" s="1304">
        <v>931</v>
      </c>
      <c r="R41" s="1304">
        <v>658</v>
      </c>
      <c r="S41" s="1304">
        <v>556</v>
      </c>
      <c r="T41" s="1304">
        <v>487</v>
      </c>
      <c r="U41" s="1304">
        <v>434</v>
      </c>
      <c r="V41" s="1304">
        <v>322</v>
      </c>
      <c r="W41" s="1304">
        <v>319</v>
      </c>
      <c r="X41" s="1304">
        <v>340</v>
      </c>
      <c r="Y41" s="1304">
        <v>350</v>
      </c>
      <c r="Z41" s="1304">
        <f>Z42+Z43</f>
        <v>339</v>
      </c>
      <c r="AA41" s="1304">
        <f>AA42+AA43</f>
        <v>310</v>
      </c>
      <c r="AB41" s="1305">
        <f>AB42+AB43</f>
        <v>234</v>
      </c>
      <c r="AC41" s="1173"/>
      <c r="AD41" s="1173" t="s">
        <v>1044</v>
      </c>
      <c r="AE41" s="2472"/>
      <c r="AF41" s="1173"/>
      <c r="AG41" s="1261"/>
    </row>
    <row r="42" spans="2:55" ht="31.5" customHeight="1">
      <c r="C42" s="2870"/>
      <c r="D42" s="2871"/>
      <c r="E42" s="2871"/>
      <c r="F42" s="2906" t="s">
        <v>1045</v>
      </c>
      <c r="G42" s="4289">
        <v>1103.4000000000001</v>
      </c>
      <c r="H42" s="2898">
        <v>1039.2</v>
      </c>
      <c r="I42" s="2899">
        <v>930.5</v>
      </c>
      <c r="J42" s="2899">
        <v>966.5</v>
      </c>
      <c r="K42" s="2899">
        <v>912.7</v>
      </c>
      <c r="L42" s="2899">
        <v>863</v>
      </c>
      <c r="M42" s="2899">
        <v>724</v>
      </c>
      <c r="N42" s="2899">
        <v>680.1</v>
      </c>
      <c r="O42" s="2899">
        <v>706</v>
      </c>
      <c r="P42" s="2899">
        <v>547</v>
      </c>
      <c r="Q42" s="2899">
        <v>462</v>
      </c>
      <c r="R42" s="2899">
        <v>365</v>
      </c>
      <c r="S42" s="2899">
        <v>303</v>
      </c>
      <c r="T42" s="2899">
        <v>287</v>
      </c>
      <c r="U42" s="2899">
        <v>196</v>
      </c>
      <c r="V42" s="2899">
        <v>160</v>
      </c>
      <c r="W42" s="2899">
        <v>177</v>
      </c>
      <c r="X42" s="2899">
        <v>203</v>
      </c>
      <c r="Y42" s="2899">
        <v>207</v>
      </c>
      <c r="Z42" s="2899">
        <v>195</v>
      </c>
      <c r="AA42" s="2899">
        <v>187</v>
      </c>
      <c r="AB42" s="2900">
        <v>141</v>
      </c>
      <c r="AC42" s="1616" t="s">
        <v>1046</v>
      </c>
      <c r="AD42" s="1616"/>
      <c r="AE42" s="1616"/>
      <c r="AF42" s="1616"/>
      <c r="AG42" s="2599"/>
    </row>
    <row r="43" spans="2:55" ht="31.5" customHeight="1">
      <c r="C43" s="2888"/>
      <c r="D43" s="1554"/>
      <c r="E43" s="1554"/>
      <c r="F43" s="1196" t="s">
        <v>1041</v>
      </c>
      <c r="G43" s="4283">
        <v>745.3</v>
      </c>
      <c r="H43" s="2896">
        <v>759.8</v>
      </c>
      <c r="I43" s="1302">
        <v>783.4</v>
      </c>
      <c r="J43" s="1302">
        <v>936.3</v>
      </c>
      <c r="K43" s="1302">
        <v>1089.2</v>
      </c>
      <c r="L43" s="1302">
        <v>1159.0999999999999</v>
      </c>
      <c r="M43" s="1302">
        <v>517.29999999999995</v>
      </c>
      <c r="N43" s="1302">
        <v>420</v>
      </c>
      <c r="O43" s="1302">
        <v>394</v>
      </c>
      <c r="P43" s="1302">
        <v>418</v>
      </c>
      <c r="Q43" s="1302">
        <v>470</v>
      </c>
      <c r="R43" s="1302">
        <v>292</v>
      </c>
      <c r="S43" s="1302">
        <v>254</v>
      </c>
      <c r="T43" s="1302">
        <v>200</v>
      </c>
      <c r="U43" s="1302">
        <v>238</v>
      </c>
      <c r="V43" s="1302">
        <v>162</v>
      </c>
      <c r="W43" s="1302">
        <v>142</v>
      </c>
      <c r="X43" s="1302">
        <v>137</v>
      </c>
      <c r="Y43" s="1302">
        <v>143</v>
      </c>
      <c r="Z43" s="1302">
        <v>144</v>
      </c>
      <c r="AA43" s="1302">
        <v>123</v>
      </c>
      <c r="AB43" s="2897">
        <v>93</v>
      </c>
      <c r="AC43" s="1173" t="s">
        <v>1042</v>
      </c>
      <c r="AD43" s="1173"/>
      <c r="AE43" s="1173"/>
      <c r="AF43" s="1173"/>
      <c r="AG43" s="1261"/>
    </row>
    <row r="44" spans="2:55" ht="31.5" customHeight="1">
      <c r="C44" s="2876"/>
      <c r="D44" s="1145" t="s">
        <v>1047</v>
      </c>
      <c r="E44" s="1145"/>
      <c r="F44" s="2882"/>
      <c r="G44" s="4293"/>
      <c r="H44" s="2879"/>
      <c r="I44" s="2880"/>
      <c r="J44" s="2880"/>
      <c r="K44" s="2880"/>
      <c r="L44" s="2880"/>
      <c r="M44" s="2880"/>
      <c r="N44" s="2880"/>
      <c r="O44" s="2880"/>
      <c r="P44" s="2880"/>
      <c r="Q44" s="2880"/>
      <c r="R44" s="2880"/>
      <c r="S44" s="2880"/>
      <c r="T44" s="2880"/>
      <c r="U44" s="2880"/>
      <c r="V44" s="2880"/>
      <c r="W44" s="2880"/>
      <c r="X44" s="2880"/>
      <c r="Y44" s="2880"/>
      <c r="Z44" s="2880"/>
      <c r="AA44" s="2880"/>
      <c r="AB44" s="2881"/>
      <c r="AC44" s="2877"/>
      <c r="AD44" s="2877"/>
      <c r="AE44" s="2894" t="s">
        <v>1048</v>
      </c>
      <c r="AF44" s="2877"/>
      <c r="AG44" s="2920"/>
    </row>
    <row r="45" spans="2:55" ht="31.5" customHeight="1">
      <c r="C45" s="2921"/>
      <c r="D45" s="2907" t="s">
        <v>1049</v>
      </c>
      <c r="E45" s="2907"/>
      <c r="F45" s="2895"/>
      <c r="G45" s="4288">
        <v>278.5</v>
      </c>
      <c r="H45" s="2891">
        <v>272.8</v>
      </c>
      <c r="I45" s="1304">
        <v>327.5</v>
      </c>
      <c r="J45" s="1304">
        <v>196.9</v>
      </c>
      <c r="K45" s="1304">
        <v>215.2</v>
      </c>
      <c r="L45" s="1304">
        <v>217.9</v>
      </c>
      <c r="M45" s="1304">
        <v>210.9</v>
      </c>
      <c r="N45" s="1304">
        <v>248.9</v>
      </c>
      <c r="O45" s="1304">
        <v>270</v>
      </c>
      <c r="P45" s="1304">
        <v>293</v>
      </c>
      <c r="Q45" s="1304">
        <v>371</v>
      </c>
      <c r="R45" s="1304">
        <v>230</v>
      </c>
      <c r="S45" s="1304">
        <v>229</v>
      </c>
      <c r="T45" s="1304">
        <v>447</v>
      </c>
      <c r="U45" s="1304">
        <v>233</v>
      </c>
      <c r="V45" s="1304">
        <v>284</v>
      </c>
      <c r="W45" s="1304">
        <v>143</v>
      </c>
      <c r="X45" s="1304">
        <v>154</v>
      </c>
      <c r="Y45" s="1304">
        <v>156</v>
      </c>
      <c r="Z45" s="1304">
        <v>177.3</v>
      </c>
      <c r="AA45" s="1304">
        <v>154</v>
      </c>
      <c r="AB45" s="1305">
        <v>158</v>
      </c>
      <c r="AC45" s="2470"/>
      <c r="AD45" s="2470"/>
      <c r="AE45" s="2472" t="s">
        <v>1050</v>
      </c>
      <c r="AF45" s="2470"/>
      <c r="AG45" s="1306"/>
    </row>
    <row r="46" spans="2:55" ht="31.5" customHeight="1">
      <c r="C46" s="2922" t="s">
        <v>1051</v>
      </c>
      <c r="D46" s="2923"/>
      <c r="E46" s="2924"/>
      <c r="F46" s="2924"/>
      <c r="G46" s="4294"/>
      <c r="H46" s="2925"/>
      <c r="I46" s="2926"/>
      <c r="J46" s="2926"/>
      <c r="K46" s="2926"/>
      <c r="L46" s="2926"/>
      <c r="M46" s="2926"/>
      <c r="N46" s="2926"/>
      <c r="O46" s="2926"/>
      <c r="P46" s="2926"/>
      <c r="Q46" s="2926"/>
      <c r="R46" s="2926"/>
      <c r="S46" s="2926"/>
      <c r="T46" s="2926"/>
      <c r="U46" s="2926"/>
      <c r="V46" s="2926"/>
      <c r="W46" s="2926"/>
      <c r="X46" s="2926"/>
      <c r="Y46" s="2926"/>
      <c r="Z46" s="2926"/>
      <c r="AA46" s="2926"/>
      <c r="AB46" s="2927"/>
      <c r="AC46" s="2928"/>
      <c r="AD46" s="2929"/>
      <c r="AE46" s="2929"/>
      <c r="AF46" s="2929" t="s">
        <v>1052</v>
      </c>
      <c r="AG46" s="2930"/>
    </row>
    <row r="47" spans="2:55" ht="31.5" customHeight="1">
      <c r="C47" s="2921" t="s">
        <v>1053</v>
      </c>
      <c r="D47" s="2470"/>
      <c r="E47" s="2907"/>
      <c r="F47" s="2907"/>
      <c r="G47" s="4288">
        <v>14216.599999999999</v>
      </c>
      <c r="H47" s="2891">
        <v>12217.4</v>
      </c>
      <c r="I47" s="1304">
        <v>11040.8</v>
      </c>
      <c r="J47" s="1304">
        <v>11358.5</v>
      </c>
      <c r="K47" s="1304">
        <v>11121.5</v>
      </c>
      <c r="L47" s="1304">
        <v>11195.6</v>
      </c>
      <c r="M47" s="1304">
        <v>10190.000000000002</v>
      </c>
      <c r="N47" s="1304">
        <v>9641.5</v>
      </c>
      <c r="O47" s="1304">
        <v>7882</v>
      </c>
      <c r="P47" s="1304">
        <v>6576</v>
      </c>
      <c r="Q47" s="1304">
        <v>5848</v>
      </c>
      <c r="R47" s="1304">
        <v>4911</v>
      </c>
      <c r="S47" s="1304">
        <v>3002</v>
      </c>
      <c r="T47" s="1304">
        <v>2479</v>
      </c>
      <c r="U47" s="1304">
        <v>2518</v>
      </c>
      <c r="V47" s="1304">
        <v>1980</v>
      </c>
      <c r="W47" s="1304">
        <v>1711</v>
      </c>
      <c r="X47" s="1304">
        <v>1354</v>
      </c>
      <c r="Y47" s="1304">
        <v>1200</v>
      </c>
      <c r="Z47" s="1304">
        <v>1038</v>
      </c>
      <c r="AA47" s="1304">
        <v>927</v>
      </c>
      <c r="AB47" s="1305">
        <v>898</v>
      </c>
      <c r="AC47" s="1173"/>
      <c r="AD47" s="2387"/>
      <c r="AE47" s="2931" t="s">
        <v>1054</v>
      </c>
      <c r="AF47" s="2387"/>
      <c r="AG47" s="2917"/>
    </row>
    <row r="48" spans="2:55" ht="31.5" customHeight="1">
      <c r="C48" s="2876" t="s">
        <v>1055</v>
      </c>
      <c r="D48" s="2877"/>
      <c r="E48" s="1145"/>
      <c r="F48" s="1145"/>
      <c r="G48" s="4295"/>
      <c r="H48" s="2879"/>
      <c r="I48" s="2880"/>
      <c r="J48" s="2880"/>
      <c r="K48" s="2880"/>
      <c r="L48" s="2880"/>
      <c r="M48" s="2880"/>
      <c r="N48" s="2880"/>
      <c r="O48" s="2880"/>
      <c r="P48" s="2880"/>
      <c r="Q48" s="2880"/>
      <c r="R48" s="2880"/>
      <c r="S48" s="2880"/>
      <c r="T48" s="2880"/>
      <c r="U48" s="2880"/>
      <c r="V48" s="2880"/>
      <c r="W48" s="2880"/>
      <c r="X48" s="2880"/>
      <c r="Y48" s="2880"/>
      <c r="Z48" s="2880"/>
      <c r="AA48" s="2880"/>
      <c r="AB48" s="2881"/>
      <c r="AC48" s="1616"/>
      <c r="AD48" s="2883"/>
      <c r="AE48" s="2883"/>
      <c r="AF48" s="2883" t="s">
        <v>1056</v>
      </c>
      <c r="AG48" s="2919"/>
    </row>
    <row r="49" spans="3:173" ht="31.5" customHeight="1">
      <c r="C49" s="2921" t="s">
        <v>1057</v>
      </c>
      <c r="D49" s="2470"/>
      <c r="E49" s="2907"/>
      <c r="F49" s="2907"/>
      <c r="G49" s="4288">
        <v>16460</v>
      </c>
      <c r="H49" s="2891">
        <v>14813.1</v>
      </c>
      <c r="I49" s="1304">
        <v>13568.599999999999</v>
      </c>
      <c r="J49" s="1304">
        <v>13780.4</v>
      </c>
      <c r="K49" s="1304">
        <v>13457.4</v>
      </c>
      <c r="L49" s="1304">
        <v>12525.4</v>
      </c>
      <c r="M49" s="1304">
        <v>11862.2</v>
      </c>
      <c r="N49" s="1304">
        <v>11648.5</v>
      </c>
      <c r="O49" s="1304">
        <v>8915</v>
      </c>
      <c r="P49" s="1304">
        <v>6852</v>
      </c>
      <c r="Q49" s="1304">
        <v>5791</v>
      </c>
      <c r="R49" s="1304">
        <v>4911</v>
      </c>
      <c r="S49" s="1304">
        <v>2946</v>
      </c>
      <c r="T49" s="1304">
        <v>2163</v>
      </c>
      <c r="U49" s="1304">
        <v>2437</v>
      </c>
      <c r="V49" s="1304">
        <v>1834</v>
      </c>
      <c r="W49" s="1304">
        <v>1704</v>
      </c>
      <c r="X49" s="1304">
        <v>1335</v>
      </c>
      <c r="Y49" s="1304">
        <v>1152</v>
      </c>
      <c r="Z49" s="1304">
        <v>944</v>
      </c>
      <c r="AA49" s="1304">
        <v>908</v>
      </c>
      <c r="AB49" s="1305">
        <v>852</v>
      </c>
      <c r="AC49" s="1173"/>
      <c r="AD49" s="2387"/>
      <c r="AE49" s="2387" t="s">
        <v>1058</v>
      </c>
      <c r="AF49" s="2387"/>
      <c r="AG49" s="2917"/>
    </row>
    <row r="50" spans="3:173" ht="8.25" customHeight="1">
      <c r="C50" s="2932"/>
      <c r="D50" s="2483"/>
      <c r="E50" s="2933"/>
      <c r="F50" s="2933"/>
      <c r="G50" s="4296"/>
      <c r="H50" s="2934"/>
      <c r="I50" s="2935"/>
      <c r="J50" s="2935"/>
      <c r="K50" s="2935"/>
      <c r="L50" s="2935"/>
      <c r="M50" s="2935"/>
      <c r="N50" s="2935"/>
      <c r="O50" s="2935"/>
      <c r="P50" s="2935"/>
      <c r="Q50" s="2935"/>
      <c r="R50" s="2935"/>
      <c r="S50" s="2935"/>
      <c r="T50" s="2935"/>
      <c r="U50" s="2935"/>
      <c r="V50" s="2935"/>
      <c r="W50" s="2935"/>
      <c r="X50" s="2935"/>
      <c r="Y50" s="2935"/>
      <c r="Z50" s="2935"/>
      <c r="AA50" s="2935"/>
      <c r="AB50" s="2936"/>
      <c r="AC50" s="1662"/>
      <c r="AD50" s="2430"/>
      <c r="AE50" s="2430"/>
      <c r="AF50" s="2430"/>
      <c r="AG50" s="2937"/>
    </row>
    <row r="51" spans="3:173" ht="6.95" customHeight="1">
      <c r="C51" s="1647"/>
      <c r="D51" s="1647"/>
      <c r="E51" s="2938"/>
      <c r="F51" s="2938"/>
      <c r="G51" s="2938"/>
      <c r="H51" s="2939"/>
      <c r="I51" s="1712"/>
      <c r="J51" s="1712"/>
      <c r="K51" s="1712"/>
      <c r="L51" s="1712"/>
      <c r="M51" s="1712"/>
      <c r="N51" s="1712"/>
      <c r="O51" s="1712"/>
      <c r="P51" s="1712"/>
      <c r="Q51" s="1712"/>
      <c r="R51" s="1712"/>
      <c r="S51" s="1712"/>
      <c r="T51" s="1712"/>
      <c r="U51" s="1712"/>
      <c r="V51" s="1712"/>
      <c r="W51" s="1712"/>
      <c r="X51" s="1712"/>
      <c r="Y51" s="1712"/>
      <c r="Z51" s="1712"/>
      <c r="AA51" s="1712"/>
      <c r="AB51" s="1712"/>
      <c r="AC51" s="2938"/>
      <c r="AD51" s="2250"/>
      <c r="AE51" s="2250"/>
      <c r="AF51" s="2250"/>
      <c r="AG51" s="1223"/>
      <c r="AH51" s="2940"/>
      <c r="AI51" s="2940"/>
      <c r="AJ51" s="2941"/>
      <c r="AK51" s="2941"/>
      <c r="AL51" s="2942"/>
      <c r="AM51" s="2942"/>
      <c r="AN51" s="2942"/>
      <c r="AO51" s="2942"/>
      <c r="AP51" s="2942"/>
      <c r="AQ51" s="2942"/>
      <c r="AR51" s="2942"/>
      <c r="AS51" s="2942"/>
      <c r="AT51" s="2942"/>
      <c r="AU51" s="2942"/>
      <c r="AV51" s="2942"/>
      <c r="AW51" s="2942"/>
      <c r="AX51" s="2942"/>
      <c r="AY51" s="2942"/>
      <c r="AZ51" s="2942"/>
      <c r="BA51" s="2942"/>
      <c r="BB51" s="2943"/>
      <c r="BC51" s="2647"/>
      <c r="BD51" s="2647"/>
      <c r="BE51" s="2647"/>
      <c r="BF51" s="2944"/>
      <c r="BG51" s="2940"/>
      <c r="BH51" s="2940"/>
      <c r="BI51" s="2941"/>
      <c r="BJ51" s="2941"/>
      <c r="BK51" s="2942"/>
      <c r="BL51" s="2942"/>
      <c r="BM51" s="2942"/>
      <c r="BN51" s="2942"/>
      <c r="BO51" s="2942"/>
      <c r="BP51" s="2942"/>
      <c r="BQ51" s="2942"/>
      <c r="BR51" s="2942"/>
      <c r="BS51" s="2942"/>
      <c r="BT51" s="2942"/>
      <c r="BU51" s="2942"/>
      <c r="BV51" s="2942"/>
      <c r="BW51" s="2942"/>
      <c r="BX51" s="2942"/>
      <c r="BY51" s="2942"/>
      <c r="BZ51" s="2942"/>
      <c r="CA51" s="2943"/>
      <c r="CB51" s="2647"/>
      <c r="CC51" s="2647"/>
      <c r="CD51" s="2647"/>
      <c r="CE51" s="2944"/>
      <c r="CF51" s="2940"/>
      <c r="CG51" s="2940"/>
      <c r="CH51" s="2941"/>
      <c r="CI51" s="2941"/>
      <c r="CJ51" s="2942"/>
      <c r="CK51" s="2942"/>
      <c r="CL51" s="2942"/>
      <c r="CM51" s="2942"/>
      <c r="CN51" s="2942"/>
      <c r="CO51" s="2942"/>
      <c r="CP51" s="2942"/>
      <c r="CQ51" s="2942"/>
      <c r="CR51" s="2942"/>
      <c r="CS51" s="2942"/>
      <c r="CT51" s="2942"/>
      <c r="CU51" s="2942"/>
      <c r="CV51" s="2942"/>
      <c r="CW51" s="2942"/>
      <c r="CX51" s="2942"/>
      <c r="CY51" s="2942"/>
      <c r="CZ51" s="2943"/>
      <c r="DA51" s="2647"/>
      <c r="DB51" s="2647"/>
      <c r="DC51" s="2647"/>
      <c r="DD51" s="2944"/>
      <c r="DE51" s="2940"/>
      <c r="DF51" s="2940"/>
      <c r="DG51" s="2941"/>
      <c r="DH51" s="2941"/>
      <c r="DI51" s="2942"/>
      <c r="DJ51" s="2942"/>
      <c r="DK51" s="2942"/>
      <c r="DL51" s="2942"/>
      <c r="DM51" s="2942"/>
      <c r="DN51" s="2942"/>
      <c r="DO51" s="2942"/>
      <c r="DP51" s="2942"/>
      <c r="DQ51" s="2942"/>
      <c r="DR51" s="2942"/>
      <c r="DS51" s="2942"/>
      <c r="DT51" s="2942"/>
      <c r="DU51" s="2942"/>
      <c r="DV51" s="2942"/>
      <c r="DW51" s="2942"/>
      <c r="DX51" s="2942"/>
      <c r="DY51" s="2943"/>
      <c r="DZ51" s="2647"/>
      <c r="EA51" s="2647"/>
      <c r="EB51" s="2647"/>
      <c r="EC51" s="2944"/>
      <c r="ED51" s="2940"/>
      <c r="EE51" s="2940"/>
      <c r="EF51" s="2941"/>
      <c r="EG51" s="2941"/>
      <c r="EH51" s="2942"/>
      <c r="EI51" s="2942"/>
      <c r="EJ51" s="2942"/>
      <c r="EK51" s="2942"/>
      <c r="EL51" s="2942"/>
      <c r="EM51" s="2942"/>
      <c r="EN51" s="2942"/>
      <c r="EO51" s="2942"/>
      <c r="EP51" s="2942"/>
      <c r="EQ51" s="2942"/>
      <c r="ER51" s="2942"/>
      <c r="ES51" s="2942"/>
      <c r="ET51" s="2942"/>
      <c r="EU51" s="2942"/>
      <c r="EV51" s="2942"/>
      <c r="EW51" s="2942"/>
      <c r="EX51" s="2943"/>
      <c r="EY51" s="2647"/>
      <c r="EZ51" s="2647"/>
      <c r="FA51" s="2647"/>
      <c r="FB51" s="2944"/>
      <c r="FC51" s="2940"/>
      <c r="FD51" s="2940"/>
      <c r="FE51" s="2941"/>
      <c r="FF51" s="2941"/>
      <c r="FG51" s="2942"/>
      <c r="FH51" s="2942"/>
      <c r="FI51" s="2942"/>
      <c r="FJ51" s="2942"/>
      <c r="FK51" s="2942"/>
      <c r="FL51" s="2942"/>
      <c r="FM51" s="2942"/>
      <c r="FN51" s="2942"/>
      <c r="FO51" s="2942"/>
      <c r="FP51" s="2942"/>
      <c r="FQ51" s="2942"/>
    </row>
    <row r="52" spans="3:173" ht="18.95" customHeight="1">
      <c r="C52" s="2030" t="s">
        <v>1059</v>
      </c>
      <c r="D52" s="2030"/>
      <c r="E52" s="1266"/>
      <c r="F52" s="1266"/>
      <c r="G52" s="1266"/>
      <c r="H52" s="1468"/>
      <c r="I52" s="1468"/>
      <c r="J52" s="1468"/>
      <c r="K52" s="1468"/>
      <c r="L52" s="1468"/>
      <c r="M52" s="1468"/>
      <c r="N52" s="1468"/>
      <c r="O52" s="1467"/>
      <c r="P52" s="1467"/>
      <c r="Q52" s="1467"/>
      <c r="R52" s="1467"/>
      <c r="S52" s="1467"/>
      <c r="T52" s="1467"/>
      <c r="U52" s="1467"/>
      <c r="V52" s="1467"/>
      <c r="W52" s="1467"/>
      <c r="X52" s="1467"/>
      <c r="Y52" s="1467"/>
      <c r="Z52" s="1467"/>
      <c r="AA52" s="1467"/>
      <c r="AB52" s="1467"/>
      <c r="AC52" s="2938"/>
      <c r="AD52" s="2250"/>
      <c r="AE52" s="2250"/>
      <c r="AF52" s="1975" t="s">
        <v>1060</v>
      </c>
      <c r="AG52" s="1223"/>
    </row>
    <row r="53" spans="3:173" ht="18.95" customHeight="1">
      <c r="C53" s="2945" t="s">
        <v>1061</v>
      </c>
      <c r="D53" s="2945"/>
      <c r="E53" s="1265"/>
      <c r="F53" s="2030"/>
      <c r="G53" s="4137"/>
      <c r="H53" s="2030"/>
      <c r="I53" s="1469"/>
      <c r="J53" s="1469"/>
      <c r="K53" s="1469"/>
      <c r="L53" s="1469"/>
      <c r="M53" s="1469"/>
      <c r="N53" s="1469"/>
      <c r="O53" s="2946"/>
      <c r="P53" s="2946"/>
      <c r="Q53" s="2946"/>
      <c r="R53" s="2946"/>
      <c r="S53" s="2946"/>
      <c r="T53" s="2946"/>
      <c r="U53" s="2946"/>
      <c r="V53" s="2938"/>
      <c r="W53" s="2947"/>
      <c r="X53" s="2947"/>
      <c r="Y53" s="2947"/>
      <c r="Z53" s="1647"/>
      <c r="AA53" s="1647"/>
      <c r="AB53" s="1647"/>
      <c r="AC53" s="2250"/>
      <c r="AD53" s="2250"/>
      <c r="AE53" s="2250"/>
      <c r="AF53" s="1972" t="s">
        <v>1062</v>
      </c>
      <c r="AG53" s="2250"/>
    </row>
    <row r="54" spans="3:173" ht="18.95" customHeight="1">
      <c r="C54" s="1265" t="s">
        <v>1063</v>
      </c>
      <c r="D54" s="1265"/>
      <c r="E54" s="1265"/>
      <c r="F54" s="2030"/>
      <c r="G54" s="4137"/>
      <c r="H54" s="2030"/>
      <c r="I54" s="2030"/>
      <c r="J54" s="2030"/>
      <c r="K54" s="2030"/>
      <c r="L54" s="2030"/>
      <c r="M54" s="2030"/>
      <c r="N54" s="2030"/>
      <c r="O54" s="1647"/>
      <c r="P54" s="1647"/>
      <c r="Q54" s="1647"/>
      <c r="R54" s="1647"/>
      <c r="S54" s="1647"/>
      <c r="T54" s="1647"/>
      <c r="U54" s="1647"/>
      <c r="V54" s="1647"/>
      <c r="W54" s="1647"/>
      <c r="X54" s="1647"/>
      <c r="Y54" s="1647"/>
      <c r="Z54" s="1647"/>
      <c r="AA54" s="1647"/>
      <c r="AB54" s="1647"/>
      <c r="AC54" s="2250"/>
      <c r="AD54" s="2250"/>
      <c r="AE54" s="2250"/>
      <c r="AF54" s="1972" t="s">
        <v>1064</v>
      </c>
      <c r="AG54" s="2948"/>
    </row>
    <row r="55" spans="3:173" ht="18.95" customHeight="1">
      <c r="C55" s="2945" t="s">
        <v>1065</v>
      </c>
      <c r="D55" s="2945"/>
      <c r="E55" s="1265"/>
      <c r="F55" s="2030"/>
      <c r="G55" s="4137"/>
      <c r="H55" s="2030"/>
      <c r="I55" s="2030"/>
      <c r="J55" s="2030"/>
      <c r="K55" s="2030"/>
      <c r="L55" s="2030"/>
      <c r="M55" s="2030"/>
      <c r="N55" s="2030"/>
      <c r="O55" s="1647"/>
      <c r="P55" s="1647"/>
      <c r="Q55" s="1647"/>
      <c r="R55" s="1647"/>
      <c r="S55" s="1647"/>
      <c r="T55" s="1647"/>
      <c r="U55" s="1647"/>
      <c r="V55" s="1647"/>
      <c r="W55" s="1647"/>
      <c r="X55" s="1647"/>
      <c r="Y55" s="1647"/>
      <c r="Z55" s="1647"/>
      <c r="AA55" s="1647"/>
      <c r="AB55" s="1647"/>
      <c r="AC55" s="2250"/>
      <c r="AD55" s="2250"/>
      <c r="AE55" s="2250"/>
      <c r="AF55" s="1972" t="s">
        <v>1066</v>
      </c>
      <c r="AG55" s="2948"/>
    </row>
    <row r="56" spans="3:173" ht="18.95" customHeight="1">
      <c r="C56" s="4659" t="s">
        <v>1067</v>
      </c>
      <c r="D56" s="4659"/>
      <c r="E56" s="4659"/>
      <c r="F56" s="4659"/>
      <c r="G56" s="4659"/>
      <c r="H56" s="4659"/>
      <c r="I56" s="4659"/>
      <c r="J56" s="4659"/>
      <c r="K56" s="4659"/>
      <c r="L56" s="4659"/>
      <c r="M56" s="4659"/>
      <c r="N56" s="4659"/>
      <c r="O56" s="1647"/>
      <c r="P56" s="1647"/>
      <c r="Q56" s="1647"/>
      <c r="R56" s="1647"/>
      <c r="S56" s="1647"/>
      <c r="T56" s="1647"/>
      <c r="U56" s="1647"/>
      <c r="V56" s="1647"/>
      <c r="W56" s="1647"/>
      <c r="X56" s="1647"/>
      <c r="Y56" s="1647"/>
      <c r="Z56" s="1647"/>
      <c r="AA56" s="1647"/>
      <c r="AB56" s="1647"/>
      <c r="AC56" s="2949"/>
      <c r="AD56" s="1969"/>
      <c r="AE56" s="2250"/>
      <c r="AF56" s="1972" t="s">
        <v>1068</v>
      </c>
      <c r="AG56" s="2078"/>
    </row>
    <row r="57" spans="3:173" ht="18.95" customHeight="1">
      <c r="C57" s="2945" t="s">
        <v>1069</v>
      </c>
      <c r="D57" s="2945"/>
      <c r="E57" s="1265"/>
      <c r="F57" s="2030"/>
      <c r="G57" s="4137"/>
      <c r="H57" s="2030"/>
      <c r="I57" s="2030"/>
      <c r="J57" s="2030"/>
      <c r="K57" s="2030"/>
      <c r="L57" s="2030"/>
      <c r="M57" s="2030"/>
      <c r="N57" s="2030"/>
      <c r="O57" s="1647"/>
      <c r="P57" s="1647"/>
      <c r="Q57" s="1647"/>
      <c r="R57" s="1647"/>
      <c r="S57" s="1647"/>
      <c r="T57" s="1647"/>
      <c r="U57" s="1647"/>
      <c r="V57" s="1647"/>
      <c r="W57" s="1647"/>
      <c r="X57" s="1647"/>
      <c r="Y57" s="1647"/>
      <c r="Z57" s="1647"/>
      <c r="AA57" s="1647"/>
      <c r="AB57" s="1647"/>
      <c r="AC57" s="2250"/>
      <c r="AD57" s="1969"/>
      <c r="AE57" s="2250"/>
      <c r="AF57" s="1972" t="s">
        <v>1070</v>
      </c>
      <c r="AG57" s="2078"/>
    </row>
    <row r="58" spans="3:173" ht="17.100000000000001" customHeight="1">
      <c r="V58" s="2940"/>
      <c r="W58" s="2950"/>
      <c r="X58" s="2950"/>
      <c r="Y58" s="2950"/>
      <c r="AG58" s="2037"/>
    </row>
    <row r="59" spans="3:173" ht="17.100000000000001" customHeight="1">
      <c r="W59" s="1470"/>
      <c r="X59" s="1470"/>
      <c r="Y59" s="1470"/>
      <c r="Z59" s="1470"/>
      <c r="AA59" s="1470"/>
      <c r="AB59" s="1470"/>
    </row>
    <row r="60" spans="3:173" ht="17.100000000000001" customHeight="1">
      <c r="W60" s="1470"/>
      <c r="X60" s="1470"/>
      <c r="Y60" s="1470"/>
      <c r="Z60" s="1470"/>
      <c r="AA60" s="1470"/>
      <c r="AB60" s="1470"/>
    </row>
    <row r="61" spans="3:173" ht="33.75" customHeight="1">
      <c r="I61" s="1470"/>
      <c r="J61" s="1470"/>
      <c r="K61" s="1470"/>
      <c r="L61" s="1470"/>
      <c r="M61" s="1470"/>
      <c r="N61" s="1470"/>
      <c r="O61" s="1470"/>
      <c r="P61" s="1470"/>
      <c r="Q61" s="1470"/>
      <c r="R61" s="1470"/>
      <c r="S61" s="1470"/>
      <c r="T61" s="1470"/>
      <c r="U61" s="1470"/>
      <c r="V61" s="1470"/>
      <c r="W61" s="1470"/>
      <c r="X61" s="1470"/>
      <c r="Y61" s="1470"/>
      <c r="Z61" s="1470"/>
      <c r="AA61" s="1470"/>
      <c r="AB61" s="1470"/>
    </row>
    <row r="62" spans="3:173" ht="33.75" customHeight="1">
      <c r="W62" s="1470"/>
      <c r="X62" s="1470"/>
      <c r="Y62" s="1470"/>
      <c r="Z62" s="1470"/>
      <c r="AA62" s="1470"/>
      <c r="AB62" s="1470"/>
    </row>
    <row r="63" spans="3:173" ht="17.100000000000001" customHeight="1">
      <c r="W63" s="1470"/>
      <c r="X63" s="1470"/>
      <c r="Y63" s="1470"/>
      <c r="Z63" s="1470"/>
      <c r="AA63" s="1470"/>
      <c r="AB63" s="1470"/>
    </row>
    <row r="64" spans="3:173" ht="17.100000000000001" customHeight="1">
      <c r="W64" s="1470"/>
      <c r="X64" s="1470"/>
      <c r="Y64" s="1470"/>
      <c r="Z64" s="1470"/>
      <c r="AA64" s="1470"/>
      <c r="AB64" s="1470"/>
    </row>
    <row r="65" spans="23:28" ht="17.100000000000001" customHeight="1">
      <c r="W65" s="1470"/>
      <c r="X65" s="1470"/>
      <c r="Y65" s="1470"/>
      <c r="Z65" s="1470"/>
      <c r="AA65" s="1470"/>
      <c r="AB65" s="1470"/>
    </row>
    <row r="66" spans="23:28" ht="17.100000000000001" customHeight="1">
      <c r="W66" s="1470"/>
      <c r="X66" s="1470"/>
      <c r="Y66" s="1470"/>
      <c r="Z66" s="1470"/>
      <c r="AA66" s="1470"/>
      <c r="AB66" s="1470"/>
    </row>
    <row r="67" spans="23:28" ht="17.100000000000001" customHeight="1">
      <c r="W67" s="1470"/>
      <c r="X67" s="1470"/>
      <c r="Y67" s="1470"/>
      <c r="Z67" s="1470"/>
      <c r="AA67" s="1470"/>
      <c r="AB67" s="1470"/>
    </row>
    <row r="68" spans="23:28" ht="17.100000000000001" customHeight="1">
      <c r="W68" s="1470"/>
      <c r="X68" s="1470"/>
      <c r="Y68" s="1470"/>
      <c r="Z68" s="1470"/>
      <c r="AA68" s="1470"/>
      <c r="AB68" s="1470"/>
    </row>
    <row r="69" spans="23:28" ht="17.100000000000001" customHeight="1">
      <c r="W69" s="1470"/>
      <c r="X69" s="1470"/>
      <c r="Y69" s="1470"/>
      <c r="Z69" s="1470"/>
      <c r="AA69" s="1470"/>
      <c r="AB69" s="1470"/>
    </row>
    <row r="70" spans="23:28" ht="17.100000000000001" customHeight="1">
      <c r="W70" s="1470"/>
      <c r="X70" s="1470"/>
      <c r="Y70" s="1470"/>
      <c r="Z70" s="1470"/>
      <c r="AA70" s="1470"/>
      <c r="AB70" s="1470"/>
    </row>
    <row r="71" spans="23:28" ht="17.100000000000001" customHeight="1">
      <c r="W71" s="1470"/>
      <c r="X71" s="1470"/>
      <c r="Y71" s="1470"/>
      <c r="Z71" s="1470"/>
      <c r="AA71" s="1470"/>
      <c r="AB71" s="1470"/>
    </row>
    <row r="72" spans="23:28" ht="17.100000000000001" customHeight="1">
      <c r="W72" s="1470"/>
      <c r="X72" s="1470"/>
      <c r="Y72" s="1470"/>
      <c r="Z72" s="1470"/>
      <c r="AA72" s="1470"/>
      <c r="AB72" s="1470"/>
    </row>
    <row r="73" spans="23:28" ht="17.100000000000001" customHeight="1">
      <c r="W73" s="1470"/>
      <c r="X73" s="1470"/>
      <c r="Y73" s="1470"/>
      <c r="Z73" s="1470"/>
      <c r="AA73" s="1470"/>
      <c r="AB73" s="1470"/>
    </row>
    <row r="74" spans="23:28" ht="17.100000000000001" customHeight="1">
      <c r="W74" s="1470"/>
      <c r="X74" s="1470"/>
      <c r="Y74" s="1470"/>
      <c r="Z74" s="1470"/>
      <c r="AA74" s="1470"/>
      <c r="AB74" s="1470"/>
    </row>
    <row r="75" spans="23:28" ht="17.100000000000001" customHeight="1">
      <c r="W75" s="1470"/>
      <c r="X75" s="1470"/>
      <c r="Y75" s="1470"/>
      <c r="Z75" s="1470"/>
      <c r="AA75" s="1470"/>
      <c r="AB75" s="1470"/>
    </row>
    <row r="76" spans="23:28" ht="17.100000000000001" customHeight="1">
      <c r="W76" s="1470"/>
      <c r="X76" s="1470"/>
      <c r="Y76" s="1470"/>
      <c r="Z76" s="1470"/>
      <c r="AA76" s="1470"/>
      <c r="AB76" s="1470"/>
    </row>
    <row r="77" spans="23:28" ht="17.100000000000001" customHeight="1">
      <c r="W77" s="1470"/>
      <c r="X77" s="1470"/>
      <c r="Y77" s="1470"/>
      <c r="Z77" s="1470"/>
      <c r="AA77" s="1470"/>
      <c r="AB77" s="1470"/>
    </row>
    <row r="78" spans="23:28" ht="17.100000000000001" customHeight="1">
      <c r="W78" s="1470"/>
      <c r="X78" s="1470"/>
      <c r="Y78" s="1470"/>
      <c r="Z78" s="1470"/>
      <c r="AA78" s="1470"/>
      <c r="AB78" s="1470"/>
    </row>
    <row r="79" spans="23:28" ht="17.100000000000001" customHeight="1">
      <c r="W79" s="1470"/>
      <c r="X79" s="1470"/>
      <c r="Y79" s="1470"/>
      <c r="Z79" s="1470"/>
      <c r="AA79" s="1470"/>
      <c r="AB79" s="1470"/>
    </row>
    <row r="80" spans="23:28" ht="17.100000000000001" customHeight="1">
      <c r="W80" s="1470"/>
      <c r="X80" s="1470"/>
      <c r="Y80" s="1470"/>
      <c r="Z80" s="1470"/>
      <c r="AA80" s="1470"/>
      <c r="AB80" s="1470"/>
    </row>
    <row r="81" spans="23:28" ht="17.100000000000001" customHeight="1">
      <c r="W81" s="1470"/>
      <c r="X81" s="1470"/>
      <c r="Y81" s="1470"/>
      <c r="Z81" s="1470"/>
      <c r="AA81" s="1470"/>
      <c r="AB81" s="1470"/>
    </row>
    <row r="82" spans="23:28" ht="17.100000000000001" customHeight="1">
      <c r="W82" s="1470"/>
      <c r="X82" s="1470"/>
      <c r="Y82" s="1470"/>
      <c r="Z82" s="1470"/>
      <c r="AA82" s="1470"/>
      <c r="AB82" s="1470"/>
    </row>
    <row r="83" spans="23:28" ht="17.100000000000001" customHeight="1">
      <c r="W83" s="1470"/>
      <c r="X83" s="1470"/>
      <c r="Y83" s="1470"/>
      <c r="Z83" s="1470"/>
      <c r="AA83" s="1470"/>
      <c r="AB83" s="1470"/>
    </row>
    <row r="84" spans="23:28" ht="17.100000000000001" customHeight="1">
      <c r="W84" s="1470"/>
      <c r="X84" s="1470"/>
      <c r="Y84" s="1470"/>
      <c r="Z84" s="1470"/>
      <c r="AA84" s="1470"/>
      <c r="AB84" s="1470"/>
    </row>
    <row r="85" spans="23:28" ht="17.100000000000001" customHeight="1">
      <c r="W85" s="1470"/>
      <c r="X85" s="1470"/>
      <c r="Y85" s="1470"/>
      <c r="Z85" s="1470"/>
      <c r="AA85" s="1470"/>
      <c r="AB85" s="1470"/>
    </row>
    <row r="86" spans="23:28" ht="17.100000000000001" customHeight="1">
      <c r="W86" s="1470"/>
      <c r="X86" s="1470"/>
      <c r="Y86" s="1470"/>
      <c r="Z86" s="1470"/>
      <c r="AA86" s="1470"/>
      <c r="AB86" s="1470"/>
    </row>
    <row r="87" spans="23:28" ht="17.100000000000001" customHeight="1">
      <c r="W87" s="1470"/>
      <c r="X87" s="1470"/>
      <c r="Y87" s="1470"/>
      <c r="Z87" s="1470"/>
      <c r="AA87" s="1470"/>
      <c r="AB87" s="1470"/>
    </row>
    <row r="88" spans="23:28" ht="17.100000000000001" customHeight="1">
      <c r="W88" s="1470"/>
      <c r="X88" s="1470"/>
      <c r="Y88" s="1470"/>
      <c r="Z88" s="1470"/>
      <c r="AA88" s="1470"/>
      <c r="AB88" s="1470"/>
    </row>
    <row r="89" spans="23:28" ht="17.100000000000001" customHeight="1">
      <c r="W89" s="1470"/>
      <c r="X89" s="1470"/>
      <c r="Y89" s="1470"/>
      <c r="Z89" s="1470"/>
      <c r="AA89" s="1470"/>
      <c r="AB89" s="1470"/>
    </row>
    <row r="90" spans="23:28" ht="17.100000000000001" customHeight="1">
      <c r="W90" s="1470"/>
      <c r="X90" s="1470"/>
      <c r="Y90" s="1470"/>
      <c r="Z90" s="1470"/>
      <c r="AA90" s="1470"/>
      <c r="AB90" s="1470"/>
    </row>
    <row r="91" spans="23:28" ht="17.100000000000001" customHeight="1">
      <c r="W91" s="1470"/>
      <c r="X91" s="1470"/>
      <c r="Y91" s="1470"/>
      <c r="Z91" s="1470"/>
      <c r="AA91" s="1470"/>
      <c r="AB91" s="1470"/>
    </row>
    <row r="92" spans="23:28" ht="17.100000000000001" customHeight="1">
      <c r="W92" s="1470"/>
      <c r="X92" s="1470"/>
      <c r="Y92" s="1470"/>
      <c r="Z92" s="1470"/>
      <c r="AA92" s="1470"/>
      <c r="AB92" s="1470"/>
    </row>
    <row r="93" spans="23:28" ht="17.100000000000001" customHeight="1">
      <c r="W93" s="1470"/>
      <c r="X93" s="1470"/>
      <c r="Y93" s="1470"/>
      <c r="Z93" s="1470"/>
      <c r="AA93" s="1470"/>
      <c r="AB93" s="1470"/>
    </row>
    <row r="94" spans="23:28" ht="17.100000000000001" customHeight="1">
      <c r="W94" s="1470"/>
      <c r="X94" s="1470"/>
      <c r="Y94" s="1470"/>
      <c r="Z94" s="1470"/>
      <c r="AA94" s="1470"/>
      <c r="AB94" s="1470"/>
    </row>
    <row r="95" spans="23:28" ht="17.100000000000001" customHeight="1">
      <c r="W95" s="1470"/>
      <c r="X95" s="1470"/>
      <c r="Y95" s="1470"/>
      <c r="Z95" s="1470"/>
      <c r="AA95" s="1470"/>
      <c r="AB95" s="1470"/>
    </row>
    <row r="96" spans="23:28" ht="17.100000000000001" customHeight="1">
      <c r="W96" s="1470"/>
      <c r="X96" s="1470"/>
      <c r="Y96" s="1470"/>
      <c r="Z96" s="1470"/>
      <c r="AA96" s="1470"/>
      <c r="AB96" s="1470"/>
    </row>
    <row r="97" spans="23:28" ht="17.100000000000001" customHeight="1">
      <c r="W97" s="1470"/>
      <c r="X97" s="1470"/>
      <c r="Y97" s="1470"/>
      <c r="Z97" s="1470"/>
      <c r="AA97" s="1470"/>
      <c r="AB97" s="1470"/>
    </row>
    <row r="98" spans="23:28" ht="17.100000000000001" customHeight="1">
      <c r="W98" s="1470"/>
      <c r="X98" s="1470"/>
      <c r="Y98" s="1470"/>
      <c r="Z98" s="1470"/>
      <c r="AA98" s="1470"/>
      <c r="AB98" s="1470"/>
    </row>
    <row r="99" spans="23:28" ht="17.100000000000001" customHeight="1">
      <c r="W99" s="1470"/>
      <c r="X99" s="1470"/>
      <c r="Y99" s="1470"/>
      <c r="Z99" s="1470"/>
      <c r="AA99" s="1470"/>
      <c r="AB99" s="1470"/>
    </row>
    <row r="100" spans="23:28" ht="17.100000000000001" customHeight="1">
      <c r="W100" s="1470"/>
      <c r="X100" s="1470"/>
      <c r="Y100" s="1470"/>
      <c r="Z100" s="1470"/>
      <c r="AA100" s="1470"/>
      <c r="AB100" s="1470"/>
    </row>
    <row r="101" spans="23:28" ht="17.100000000000001" customHeight="1">
      <c r="W101" s="1470"/>
      <c r="X101" s="1470"/>
      <c r="Y101" s="1470"/>
      <c r="Z101" s="1470"/>
      <c r="AA101" s="1470"/>
      <c r="AB101" s="1470"/>
    </row>
    <row r="102" spans="23:28" ht="17.100000000000001" customHeight="1">
      <c r="W102" s="1470"/>
      <c r="X102" s="1470"/>
      <c r="Y102" s="1470"/>
      <c r="Z102" s="1470"/>
      <c r="AA102" s="1470"/>
      <c r="AB102" s="1470"/>
    </row>
    <row r="103" spans="23:28" ht="17.100000000000001" customHeight="1">
      <c r="W103" s="1470"/>
      <c r="X103" s="1470"/>
      <c r="Y103" s="1470"/>
      <c r="Z103" s="1470"/>
      <c r="AA103" s="1470"/>
      <c r="AB103" s="1470"/>
    </row>
    <row r="104" spans="23:28" ht="17.100000000000001" customHeight="1">
      <c r="W104" s="1470"/>
      <c r="X104" s="1470"/>
      <c r="Y104" s="1470"/>
      <c r="Z104" s="1470"/>
      <c r="AA104" s="1470"/>
      <c r="AB104" s="1470"/>
    </row>
    <row r="105" spans="23:28" ht="17.100000000000001" customHeight="1">
      <c r="W105" s="1470"/>
      <c r="X105" s="1470"/>
      <c r="Y105" s="1470"/>
      <c r="Z105" s="1470"/>
      <c r="AA105" s="1470"/>
      <c r="AB105" s="1470"/>
    </row>
    <row r="106" spans="23:28" ht="17.100000000000001" customHeight="1">
      <c r="W106" s="1470"/>
      <c r="X106" s="1470"/>
      <c r="Y106" s="1470"/>
      <c r="Z106" s="1470"/>
      <c r="AA106" s="1470"/>
      <c r="AB106" s="1470"/>
    </row>
    <row r="107" spans="23:28" ht="17.100000000000001" customHeight="1">
      <c r="W107" s="1470"/>
      <c r="X107" s="1470"/>
      <c r="Y107" s="1470"/>
      <c r="Z107" s="1470"/>
      <c r="AA107" s="1470"/>
      <c r="AB107" s="1470"/>
    </row>
    <row r="108" spans="23:28" ht="17.100000000000001" customHeight="1">
      <c r="W108" s="1470"/>
      <c r="X108" s="1470"/>
      <c r="Y108" s="1470"/>
      <c r="Z108" s="1470"/>
      <c r="AA108" s="1470"/>
      <c r="AB108" s="1470"/>
    </row>
    <row r="109" spans="23:28" ht="17.100000000000001" customHeight="1">
      <c r="W109" s="1470"/>
      <c r="X109" s="1470"/>
      <c r="Y109" s="1470"/>
      <c r="Z109" s="1470"/>
      <c r="AA109" s="1470"/>
      <c r="AB109" s="1470"/>
    </row>
    <row r="110" spans="23:28" ht="17.100000000000001" customHeight="1">
      <c r="W110" s="1470"/>
      <c r="X110" s="1470"/>
      <c r="Y110" s="1470"/>
      <c r="Z110" s="1470"/>
      <c r="AA110" s="1470"/>
      <c r="AB110" s="1470"/>
    </row>
    <row r="111" spans="23:28" ht="17.100000000000001" customHeight="1">
      <c r="W111" s="1470"/>
      <c r="X111" s="1470"/>
      <c r="Y111" s="1470"/>
      <c r="Z111" s="1470"/>
      <c r="AA111" s="1470"/>
      <c r="AB111" s="1470"/>
    </row>
    <row r="112" spans="23:28" ht="17.100000000000001" customHeight="1">
      <c r="W112" s="1470"/>
      <c r="X112" s="1470"/>
      <c r="Y112" s="1470"/>
      <c r="Z112" s="1470"/>
      <c r="AA112" s="1470"/>
      <c r="AB112" s="1470"/>
    </row>
    <row r="113" spans="23:28" ht="17.100000000000001" customHeight="1">
      <c r="W113" s="1470"/>
      <c r="X113" s="1470"/>
      <c r="Y113" s="1470"/>
      <c r="Z113" s="1470"/>
      <c r="AA113" s="1470"/>
      <c r="AB113" s="1470"/>
    </row>
    <row r="114" spans="23:28" ht="17.100000000000001" customHeight="1">
      <c r="W114" s="1470"/>
      <c r="X114" s="1470"/>
      <c r="Y114" s="1470"/>
      <c r="Z114" s="1470"/>
      <c r="AA114" s="1470"/>
      <c r="AB114" s="1470"/>
    </row>
    <row r="115" spans="23:28" ht="17.100000000000001" customHeight="1">
      <c r="W115" s="1470"/>
      <c r="X115" s="1470"/>
      <c r="Y115" s="1470"/>
      <c r="Z115" s="1470"/>
      <c r="AA115" s="1470"/>
      <c r="AB115" s="1470"/>
    </row>
    <row r="116" spans="23:28" ht="17.100000000000001" customHeight="1">
      <c r="W116" s="1470"/>
      <c r="X116" s="1470"/>
      <c r="Y116" s="1470"/>
      <c r="Z116" s="1470"/>
      <c r="AA116" s="1470"/>
      <c r="AB116" s="1470"/>
    </row>
    <row r="117" spans="23:28" ht="17.100000000000001" customHeight="1">
      <c r="W117" s="1470"/>
      <c r="X117" s="1470"/>
      <c r="Y117" s="1470"/>
      <c r="Z117" s="1470"/>
      <c r="AA117" s="1470"/>
      <c r="AB117" s="1470"/>
    </row>
    <row r="118" spans="23:28" ht="17.100000000000001" customHeight="1">
      <c r="W118" s="1470"/>
      <c r="X118" s="1470"/>
      <c r="Y118" s="1470"/>
      <c r="Z118" s="1470"/>
      <c r="AA118" s="1470"/>
      <c r="AB118" s="1470"/>
    </row>
    <row r="119" spans="23:28" ht="17.100000000000001" customHeight="1">
      <c r="W119" s="1470"/>
      <c r="X119" s="1470"/>
      <c r="Y119" s="1470"/>
      <c r="Z119" s="1470"/>
      <c r="AA119" s="1470"/>
      <c r="AB119" s="1470"/>
    </row>
    <row r="120" spans="23:28" ht="17.100000000000001" customHeight="1">
      <c r="W120" s="1470"/>
      <c r="X120" s="1470"/>
      <c r="Y120" s="1470"/>
      <c r="Z120" s="1470"/>
      <c r="AA120" s="1470"/>
      <c r="AB120" s="1470"/>
    </row>
    <row r="121" spans="23:28" ht="17.100000000000001" customHeight="1">
      <c r="W121" s="1470"/>
      <c r="X121" s="1470"/>
      <c r="Y121" s="1470"/>
      <c r="Z121" s="1470"/>
      <c r="AA121" s="1470"/>
      <c r="AB121" s="1470"/>
    </row>
    <row r="122" spans="23:28" ht="17.100000000000001" customHeight="1">
      <c r="W122" s="1470"/>
      <c r="X122" s="1470"/>
      <c r="Y122" s="1470"/>
      <c r="Z122" s="1470"/>
      <c r="AA122" s="1470"/>
      <c r="AB122" s="1470"/>
    </row>
    <row r="123" spans="23:28" ht="17.100000000000001" customHeight="1">
      <c r="W123" s="1470"/>
      <c r="X123" s="1470"/>
      <c r="Y123" s="1470"/>
      <c r="Z123" s="1470"/>
      <c r="AA123" s="1470"/>
      <c r="AB123" s="1470"/>
    </row>
    <row r="124" spans="23:28" ht="17.100000000000001" customHeight="1">
      <c r="W124" s="1470"/>
      <c r="X124" s="1470"/>
      <c r="Y124" s="1470"/>
      <c r="Z124" s="1470"/>
      <c r="AA124" s="1470"/>
      <c r="AB124" s="1470"/>
    </row>
    <row r="125" spans="23:28" ht="17.100000000000001" customHeight="1">
      <c r="W125" s="1470"/>
      <c r="X125" s="1470"/>
      <c r="Y125" s="1470"/>
      <c r="Z125" s="1470"/>
      <c r="AA125" s="1470"/>
      <c r="AB125" s="1470"/>
    </row>
    <row r="126" spans="23:28" ht="17.100000000000001" customHeight="1">
      <c r="W126" s="1470"/>
      <c r="X126" s="1470"/>
      <c r="Y126" s="1470"/>
      <c r="Z126" s="1470"/>
      <c r="AA126" s="1470"/>
      <c r="AB126" s="1470"/>
    </row>
    <row r="127" spans="23:28" ht="17.100000000000001" customHeight="1">
      <c r="W127" s="1470"/>
      <c r="X127" s="1470"/>
      <c r="Y127" s="1470"/>
      <c r="Z127" s="1470"/>
      <c r="AA127" s="1470"/>
      <c r="AB127" s="1470"/>
    </row>
    <row r="128" spans="23:28" ht="17.100000000000001" customHeight="1">
      <c r="W128" s="1470"/>
      <c r="X128" s="1470"/>
      <c r="Y128" s="1470"/>
      <c r="Z128" s="1470"/>
      <c r="AA128" s="1470"/>
      <c r="AB128" s="1470"/>
    </row>
    <row r="129" spans="23:28" ht="17.100000000000001" customHeight="1">
      <c r="W129" s="1470"/>
      <c r="X129" s="1470"/>
      <c r="Y129" s="1470"/>
      <c r="Z129" s="1470"/>
      <c r="AA129" s="1470"/>
      <c r="AB129" s="1470"/>
    </row>
    <row r="130" spans="23:28" ht="17.100000000000001" customHeight="1">
      <c r="W130" s="1470"/>
      <c r="X130" s="1470"/>
      <c r="Y130" s="1470"/>
      <c r="Z130" s="1470"/>
      <c r="AA130" s="1470"/>
      <c r="AB130" s="1470"/>
    </row>
  </sheetData>
  <mergeCells count="31">
    <mergeCell ref="V9:V14"/>
    <mergeCell ref="W9:W14"/>
    <mergeCell ref="K9:K14"/>
    <mergeCell ref="I9:I14"/>
    <mergeCell ref="C8:F14"/>
    <mergeCell ref="H8:H14"/>
    <mergeCell ref="T9:T14"/>
    <mergeCell ref="U9:U14"/>
    <mergeCell ref="G8:G14"/>
    <mergeCell ref="C56:N56"/>
    <mergeCell ref="AB8:AB14"/>
    <mergeCell ref="AC8:AG14"/>
    <mergeCell ref="M9:M14"/>
    <mergeCell ref="N9:N14"/>
    <mergeCell ref="O9:O14"/>
    <mergeCell ref="P9:P14"/>
    <mergeCell ref="Q9:Q14"/>
    <mergeCell ref="R9:R14"/>
    <mergeCell ref="S9:S14"/>
    <mergeCell ref="Z9:Z14"/>
    <mergeCell ref="AA9:AA14"/>
    <mergeCell ref="X9:X14"/>
    <mergeCell ref="Y9:Y14"/>
    <mergeCell ref="J9:J14"/>
    <mergeCell ref="L9:L14"/>
    <mergeCell ref="C3:P3"/>
    <mergeCell ref="Q3:AG3"/>
    <mergeCell ref="C4:P4"/>
    <mergeCell ref="Q4:AG4"/>
    <mergeCell ref="C5:P5"/>
    <mergeCell ref="Q5:AG5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5" orientation="portrait" horizontalDpi="300" verticalDpi="300" r:id="rId1"/>
  <headerFooter alignWithMargins="0">
    <oddFooter xml:space="preserve">&amp;C&amp;"+,Regular"&amp;16 -&amp;26 35&amp;16-
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AE198"/>
  <sheetViews>
    <sheetView topLeftCell="D67" zoomScale="80" zoomScaleNormal="80" zoomScaleSheetLayoutView="100" workbookViewId="0">
      <selection activeCell="J5" sqref="J5:J10"/>
    </sheetView>
  </sheetViews>
  <sheetFormatPr defaultColWidth="8" defaultRowHeight="15"/>
  <cols>
    <col min="1" max="1" width="11" customWidth="1"/>
    <col min="2" max="2" width="11.28515625" customWidth="1"/>
    <col min="3" max="3" width="8.5703125" customWidth="1"/>
    <col min="4" max="4" width="58.28515625" customWidth="1"/>
    <col min="5" max="13" width="14.7109375" customWidth="1"/>
    <col min="14" max="14" width="49.42578125" customWidth="1"/>
    <col min="15" max="15" width="10.85546875" customWidth="1"/>
    <col min="16" max="17" width="8.85546875" style="2952" bestFit="1" customWidth="1"/>
    <col min="18" max="18" width="9.42578125" style="2952" customWidth="1"/>
    <col min="19" max="27" width="6.85546875" style="2952" bestFit="1" customWidth="1"/>
    <col min="28" max="28" width="7.7109375" style="2952" bestFit="1" customWidth="1"/>
    <col min="29" max="30" width="7.5703125" style="2952" bestFit="1" customWidth="1"/>
    <col min="263" max="263" width="3" customWidth="1"/>
    <col min="264" max="264" width="58.28515625" customWidth="1"/>
    <col min="265" max="269" width="14.5703125" customWidth="1"/>
    <col min="270" max="270" width="49.42578125" customWidth="1"/>
    <col min="271" max="271" width="10.85546875" customWidth="1"/>
    <col min="272" max="273" width="8.85546875" bestFit="1" customWidth="1"/>
    <col min="274" max="274" width="9.42578125" customWidth="1"/>
    <col min="275" max="283" width="6.85546875" bestFit="1" customWidth="1"/>
    <col min="284" max="284" width="7.7109375" bestFit="1" customWidth="1"/>
    <col min="285" max="286" width="7.5703125" bestFit="1" customWidth="1"/>
    <col min="519" max="519" width="3" customWidth="1"/>
    <col min="520" max="520" width="58.28515625" customWidth="1"/>
    <col min="521" max="525" width="14.5703125" customWidth="1"/>
    <col min="526" max="526" width="49.42578125" customWidth="1"/>
    <col min="527" max="527" width="10.85546875" customWidth="1"/>
    <col min="528" max="529" width="8.85546875" bestFit="1" customWidth="1"/>
    <col min="530" max="530" width="9.42578125" customWidth="1"/>
    <col min="531" max="539" width="6.85546875" bestFit="1" customWidth="1"/>
    <col min="540" max="540" width="7.7109375" bestFit="1" customWidth="1"/>
    <col min="541" max="542" width="7.5703125" bestFit="1" customWidth="1"/>
    <col min="775" max="775" width="3" customWidth="1"/>
    <col min="776" max="776" width="58.28515625" customWidth="1"/>
    <col min="777" max="781" width="14.5703125" customWidth="1"/>
    <col min="782" max="782" width="49.42578125" customWidth="1"/>
    <col min="783" max="783" width="10.85546875" customWidth="1"/>
    <col min="784" max="785" width="8.85546875" bestFit="1" customWidth="1"/>
    <col min="786" max="786" width="9.42578125" customWidth="1"/>
    <col min="787" max="795" width="6.85546875" bestFit="1" customWidth="1"/>
    <col min="796" max="796" width="7.7109375" bestFit="1" customWidth="1"/>
    <col min="797" max="798" width="7.5703125" bestFit="1" customWidth="1"/>
    <col min="1031" max="1031" width="3" customWidth="1"/>
    <col min="1032" max="1032" width="58.28515625" customWidth="1"/>
    <col min="1033" max="1037" width="14.5703125" customWidth="1"/>
    <col min="1038" max="1038" width="49.42578125" customWidth="1"/>
    <col min="1039" max="1039" width="10.85546875" customWidth="1"/>
    <col min="1040" max="1041" width="8.85546875" bestFit="1" customWidth="1"/>
    <col min="1042" max="1042" width="9.42578125" customWidth="1"/>
    <col min="1043" max="1051" width="6.85546875" bestFit="1" customWidth="1"/>
    <col min="1052" max="1052" width="7.7109375" bestFit="1" customWidth="1"/>
    <col min="1053" max="1054" width="7.5703125" bestFit="1" customWidth="1"/>
    <col min="1287" max="1287" width="3" customWidth="1"/>
    <col min="1288" max="1288" width="58.28515625" customWidth="1"/>
    <col min="1289" max="1293" width="14.5703125" customWidth="1"/>
    <col min="1294" max="1294" width="49.42578125" customWidth="1"/>
    <col min="1295" max="1295" width="10.85546875" customWidth="1"/>
    <col min="1296" max="1297" width="8.85546875" bestFit="1" customWidth="1"/>
    <col min="1298" max="1298" width="9.42578125" customWidth="1"/>
    <col min="1299" max="1307" width="6.85546875" bestFit="1" customWidth="1"/>
    <col min="1308" max="1308" width="7.7109375" bestFit="1" customWidth="1"/>
    <col min="1309" max="1310" width="7.5703125" bestFit="1" customWidth="1"/>
    <col min="1543" max="1543" width="3" customWidth="1"/>
    <col min="1544" max="1544" width="58.28515625" customWidth="1"/>
    <col min="1545" max="1549" width="14.5703125" customWidth="1"/>
    <col min="1550" max="1550" width="49.42578125" customWidth="1"/>
    <col min="1551" max="1551" width="10.85546875" customWidth="1"/>
    <col min="1552" max="1553" width="8.85546875" bestFit="1" customWidth="1"/>
    <col min="1554" max="1554" width="9.42578125" customWidth="1"/>
    <col min="1555" max="1563" width="6.85546875" bestFit="1" customWidth="1"/>
    <col min="1564" max="1564" width="7.7109375" bestFit="1" customWidth="1"/>
    <col min="1565" max="1566" width="7.5703125" bestFit="1" customWidth="1"/>
    <col min="1799" max="1799" width="3" customWidth="1"/>
    <col min="1800" max="1800" width="58.28515625" customWidth="1"/>
    <col min="1801" max="1805" width="14.5703125" customWidth="1"/>
    <col min="1806" max="1806" width="49.42578125" customWidth="1"/>
    <col min="1807" max="1807" width="10.85546875" customWidth="1"/>
    <col min="1808" max="1809" width="8.85546875" bestFit="1" customWidth="1"/>
    <col min="1810" max="1810" width="9.42578125" customWidth="1"/>
    <col min="1811" max="1819" width="6.85546875" bestFit="1" customWidth="1"/>
    <col min="1820" max="1820" width="7.7109375" bestFit="1" customWidth="1"/>
    <col min="1821" max="1822" width="7.5703125" bestFit="1" customWidth="1"/>
    <col min="2055" max="2055" width="3" customWidth="1"/>
    <col min="2056" max="2056" width="58.28515625" customWidth="1"/>
    <col min="2057" max="2061" width="14.5703125" customWidth="1"/>
    <col min="2062" max="2062" width="49.42578125" customWidth="1"/>
    <col min="2063" max="2063" width="10.85546875" customWidth="1"/>
    <col min="2064" max="2065" width="8.85546875" bestFit="1" customWidth="1"/>
    <col min="2066" max="2066" width="9.42578125" customWidth="1"/>
    <col min="2067" max="2075" width="6.85546875" bestFit="1" customWidth="1"/>
    <col min="2076" max="2076" width="7.7109375" bestFit="1" customWidth="1"/>
    <col min="2077" max="2078" width="7.5703125" bestFit="1" customWidth="1"/>
    <col min="2311" max="2311" width="3" customWidth="1"/>
    <col min="2312" max="2312" width="58.28515625" customWidth="1"/>
    <col min="2313" max="2317" width="14.5703125" customWidth="1"/>
    <col min="2318" max="2318" width="49.42578125" customWidth="1"/>
    <col min="2319" max="2319" width="10.85546875" customWidth="1"/>
    <col min="2320" max="2321" width="8.85546875" bestFit="1" customWidth="1"/>
    <col min="2322" max="2322" width="9.42578125" customWidth="1"/>
    <col min="2323" max="2331" width="6.85546875" bestFit="1" customWidth="1"/>
    <col min="2332" max="2332" width="7.7109375" bestFit="1" customWidth="1"/>
    <col min="2333" max="2334" width="7.5703125" bestFit="1" customWidth="1"/>
    <col min="2567" max="2567" width="3" customWidth="1"/>
    <col min="2568" max="2568" width="58.28515625" customWidth="1"/>
    <col min="2569" max="2573" width="14.5703125" customWidth="1"/>
    <col min="2574" max="2574" width="49.42578125" customWidth="1"/>
    <col min="2575" max="2575" width="10.85546875" customWidth="1"/>
    <col min="2576" max="2577" width="8.85546875" bestFit="1" customWidth="1"/>
    <col min="2578" max="2578" width="9.42578125" customWidth="1"/>
    <col min="2579" max="2587" width="6.85546875" bestFit="1" customWidth="1"/>
    <col min="2588" max="2588" width="7.7109375" bestFit="1" customWidth="1"/>
    <col min="2589" max="2590" width="7.5703125" bestFit="1" customWidth="1"/>
    <col min="2823" max="2823" width="3" customWidth="1"/>
    <col min="2824" max="2824" width="58.28515625" customWidth="1"/>
    <col min="2825" max="2829" width="14.5703125" customWidth="1"/>
    <col min="2830" max="2830" width="49.42578125" customWidth="1"/>
    <col min="2831" max="2831" width="10.85546875" customWidth="1"/>
    <col min="2832" max="2833" width="8.85546875" bestFit="1" customWidth="1"/>
    <col min="2834" max="2834" width="9.42578125" customWidth="1"/>
    <col min="2835" max="2843" width="6.85546875" bestFit="1" customWidth="1"/>
    <col min="2844" max="2844" width="7.7109375" bestFit="1" customWidth="1"/>
    <col min="2845" max="2846" width="7.5703125" bestFit="1" customWidth="1"/>
    <col min="3079" max="3079" width="3" customWidth="1"/>
    <col min="3080" max="3080" width="58.28515625" customWidth="1"/>
    <col min="3081" max="3085" width="14.5703125" customWidth="1"/>
    <col min="3086" max="3086" width="49.42578125" customWidth="1"/>
    <col min="3087" max="3087" width="10.85546875" customWidth="1"/>
    <col min="3088" max="3089" width="8.85546875" bestFit="1" customWidth="1"/>
    <col min="3090" max="3090" width="9.42578125" customWidth="1"/>
    <col min="3091" max="3099" width="6.85546875" bestFit="1" customWidth="1"/>
    <col min="3100" max="3100" width="7.7109375" bestFit="1" customWidth="1"/>
    <col min="3101" max="3102" width="7.5703125" bestFit="1" customWidth="1"/>
    <col min="3335" max="3335" width="3" customWidth="1"/>
    <col min="3336" max="3336" width="58.28515625" customWidth="1"/>
    <col min="3337" max="3341" width="14.5703125" customWidth="1"/>
    <col min="3342" max="3342" width="49.42578125" customWidth="1"/>
    <col min="3343" max="3343" width="10.85546875" customWidth="1"/>
    <col min="3344" max="3345" width="8.85546875" bestFit="1" customWidth="1"/>
    <col min="3346" max="3346" width="9.42578125" customWidth="1"/>
    <col min="3347" max="3355" width="6.85546875" bestFit="1" customWidth="1"/>
    <col min="3356" max="3356" width="7.7109375" bestFit="1" customWidth="1"/>
    <col min="3357" max="3358" width="7.5703125" bestFit="1" customWidth="1"/>
    <col min="3591" max="3591" width="3" customWidth="1"/>
    <col min="3592" max="3592" width="58.28515625" customWidth="1"/>
    <col min="3593" max="3597" width="14.5703125" customWidth="1"/>
    <col min="3598" max="3598" width="49.42578125" customWidth="1"/>
    <col min="3599" max="3599" width="10.85546875" customWidth="1"/>
    <col min="3600" max="3601" width="8.85546875" bestFit="1" customWidth="1"/>
    <col min="3602" max="3602" width="9.42578125" customWidth="1"/>
    <col min="3603" max="3611" width="6.85546875" bestFit="1" customWidth="1"/>
    <col min="3612" max="3612" width="7.7109375" bestFit="1" customWidth="1"/>
    <col min="3613" max="3614" width="7.5703125" bestFit="1" customWidth="1"/>
    <col min="3847" max="3847" width="3" customWidth="1"/>
    <col min="3848" max="3848" width="58.28515625" customWidth="1"/>
    <col min="3849" max="3853" width="14.5703125" customWidth="1"/>
    <col min="3854" max="3854" width="49.42578125" customWidth="1"/>
    <col min="3855" max="3855" width="10.85546875" customWidth="1"/>
    <col min="3856" max="3857" width="8.85546875" bestFit="1" customWidth="1"/>
    <col min="3858" max="3858" width="9.42578125" customWidth="1"/>
    <col min="3859" max="3867" width="6.85546875" bestFit="1" customWidth="1"/>
    <col min="3868" max="3868" width="7.7109375" bestFit="1" customWidth="1"/>
    <col min="3869" max="3870" width="7.5703125" bestFit="1" customWidth="1"/>
    <col min="4103" max="4103" width="3" customWidth="1"/>
    <col min="4104" max="4104" width="58.28515625" customWidth="1"/>
    <col min="4105" max="4109" width="14.5703125" customWidth="1"/>
    <col min="4110" max="4110" width="49.42578125" customWidth="1"/>
    <col min="4111" max="4111" width="10.85546875" customWidth="1"/>
    <col min="4112" max="4113" width="8.85546875" bestFit="1" customWidth="1"/>
    <col min="4114" max="4114" width="9.42578125" customWidth="1"/>
    <col min="4115" max="4123" width="6.85546875" bestFit="1" customWidth="1"/>
    <col min="4124" max="4124" width="7.7109375" bestFit="1" customWidth="1"/>
    <col min="4125" max="4126" width="7.5703125" bestFit="1" customWidth="1"/>
    <col min="4359" max="4359" width="3" customWidth="1"/>
    <col min="4360" max="4360" width="58.28515625" customWidth="1"/>
    <col min="4361" max="4365" width="14.5703125" customWidth="1"/>
    <col min="4366" max="4366" width="49.42578125" customWidth="1"/>
    <col min="4367" max="4367" width="10.85546875" customWidth="1"/>
    <col min="4368" max="4369" width="8.85546875" bestFit="1" customWidth="1"/>
    <col min="4370" max="4370" width="9.42578125" customWidth="1"/>
    <col min="4371" max="4379" width="6.85546875" bestFit="1" customWidth="1"/>
    <col min="4380" max="4380" width="7.7109375" bestFit="1" customWidth="1"/>
    <col min="4381" max="4382" width="7.5703125" bestFit="1" customWidth="1"/>
    <col min="4615" max="4615" width="3" customWidth="1"/>
    <col min="4616" max="4616" width="58.28515625" customWidth="1"/>
    <col min="4617" max="4621" width="14.5703125" customWidth="1"/>
    <col min="4622" max="4622" width="49.42578125" customWidth="1"/>
    <col min="4623" max="4623" width="10.85546875" customWidth="1"/>
    <col min="4624" max="4625" width="8.85546875" bestFit="1" customWidth="1"/>
    <col min="4626" max="4626" width="9.42578125" customWidth="1"/>
    <col min="4627" max="4635" width="6.85546875" bestFit="1" customWidth="1"/>
    <col min="4636" max="4636" width="7.7109375" bestFit="1" customWidth="1"/>
    <col min="4637" max="4638" width="7.5703125" bestFit="1" customWidth="1"/>
    <col min="4871" max="4871" width="3" customWidth="1"/>
    <col min="4872" max="4872" width="58.28515625" customWidth="1"/>
    <col min="4873" max="4877" width="14.5703125" customWidth="1"/>
    <col min="4878" max="4878" width="49.42578125" customWidth="1"/>
    <col min="4879" max="4879" width="10.85546875" customWidth="1"/>
    <col min="4880" max="4881" width="8.85546875" bestFit="1" customWidth="1"/>
    <col min="4882" max="4882" width="9.42578125" customWidth="1"/>
    <col min="4883" max="4891" width="6.85546875" bestFit="1" customWidth="1"/>
    <col min="4892" max="4892" width="7.7109375" bestFit="1" customWidth="1"/>
    <col min="4893" max="4894" width="7.5703125" bestFit="1" customWidth="1"/>
    <col min="5127" max="5127" width="3" customWidth="1"/>
    <col min="5128" max="5128" width="58.28515625" customWidth="1"/>
    <col min="5129" max="5133" width="14.5703125" customWidth="1"/>
    <col min="5134" max="5134" width="49.42578125" customWidth="1"/>
    <col min="5135" max="5135" width="10.85546875" customWidth="1"/>
    <col min="5136" max="5137" width="8.85546875" bestFit="1" customWidth="1"/>
    <col min="5138" max="5138" width="9.42578125" customWidth="1"/>
    <col min="5139" max="5147" width="6.85546875" bestFit="1" customWidth="1"/>
    <col min="5148" max="5148" width="7.7109375" bestFit="1" customWidth="1"/>
    <col min="5149" max="5150" width="7.5703125" bestFit="1" customWidth="1"/>
    <col min="5383" max="5383" width="3" customWidth="1"/>
    <col min="5384" max="5384" width="58.28515625" customWidth="1"/>
    <col min="5385" max="5389" width="14.5703125" customWidth="1"/>
    <col min="5390" max="5390" width="49.42578125" customWidth="1"/>
    <col min="5391" max="5391" width="10.85546875" customWidth="1"/>
    <col min="5392" max="5393" width="8.85546875" bestFit="1" customWidth="1"/>
    <col min="5394" max="5394" width="9.42578125" customWidth="1"/>
    <col min="5395" max="5403" width="6.85546875" bestFit="1" customWidth="1"/>
    <col min="5404" max="5404" width="7.7109375" bestFit="1" customWidth="1"/>
    <col min="5405" max="5406" width="7.5703125" bestFit="1" customWidth="1"/>
    <col min="5639" max="5639" width="3" customWidth="1"/>
    <col min="5640" max="5640" width="58.28515625" customWidth="1"/>
    <col min="5641" max="5645" width="14.5703125" customWidth="1"/>
    <col min="5646" max="5646" width="49.42578125" customWidth="1"/>
    <col min="5647" max="5647" width="10.85546875" customWidth="1"/>
    <col min="5648" max="5649" width="8.85546875" bestFit="1" customWidth="1"/>
    <col min="5650" max="5650" width="9.42578125" customWidth="1"/>
    <col min="5651" max="5659" width="6.85546875" bestFit="1" customWidth="1"/>
    <col min="5660" max="5660" width="7.7109375" bestFit="1" customWidth="1"/>
    <col min="5661" max="5662" width="7.5703125" bestFit="1" customWidth="1"/>
    <col min="5895" max="5895" width="3" customWidth="1"/>
    <col min="5896" max="5896" width="58.28515625" customWidth="1"/>
    <col min="5897" max="5901" width="14.5703125" customWidth="1"/>
    <col min="5902" max="5902" width="49.42578125" customWidth="1"/>
    <col min="5903" max="5903" width="10.85546875" customWidth="1"/>
    <col min="5904" max="5905" width="8.85546875" bestFit="1" customWidth="1"/>
    <col min="5906" max="5906" width="9.42578125" customWidth="1"/>
    <col min="5907" max="5915" width="6.85546875" bestFit="1" customWidth="1"/>
    <col min="5916" max="5916" width="7.7109375" bestFit="1" customWidth="1"/>
    <col min="5917" max="5918" width="7.5703125" bestFit="1" customWidth="1"/>
    <col min="6151" max="6151" width="3" customWidth="1"/>
    <col min="6152" max="6152" width="58.28515625" customWidth="1"/>
    <col min="6153" max="6157" width="14.5703125" customWidth="1"/>
    <col min="6158" max="6158" width="49.42578125" customWidth="1"/>
    <col min="6159" max="6159" width="10.85546875" customWidth="1"/>
    <col min="6160" max="6161" width="8.85546875" bestFit="1" customWidth="1"/>
    <col min="6162" max="6162" width="9.42578125" customWidth="1"/>
    <col min="6163" max="6171" width="6.85546875" bestFit="1" customWidth="1"/>
    <col min="6172" max="6172" width="7.7109375" bestFit="1" customWidth="1"/>
    <col min="6173" max="6174" width="7.5703125" bestFit="1" customWidth="1"/>
    <col min="6407" max="6407" width="3" customWidth="1"/>
    <col min="6408" max="6408" width="58.28515625" customWidth="1"/>
    <col min="6409" max="6413" width="14.5703125" customWidth="1"/>
    <col min="6414" max="6414" width="49.42578125" customWidth="1"/>
    <col min="6415" max="6415" width="10.85546875" customWidth="1"/>
    <col min="6416" max="6417" width="8.85546875" bestFit="1" customWidth="1"/>
    <col min="6418" max="6418" width="9.42578125" customWidth="1"/>
    <col min="6419" max="6427" width="6.85546875" bestFit="1" customWidth="1"/>
    <col min="6428" max="6428" width="7.7109375" bestFit="1" customWidth="1"/>
    <col min="6429" max="6430" width="7.5703125" bestFit="1" customWidth="1"/>
    <col min="6663" max="6663" width="3" customWidth="1"/>
    <col min="6664" max="6664" width="58.28515625" customWidth="1"/>
    <col min="6665" max="6669" width="14.5703125" customWidth="1"/>
    <col min="6670" max="6670" width="49.42578125" customWidth="1"/>
    <col min="6671" max="6671" width="10.85546875" customWidth="1"/>
    <col min="6672" max="6673" width="8.85546875" bestFit="1" customWidth="1"/>
    <col min="6674" max="6674" width="9.42578125" customWidth="1"/>
    <col min="6675" max="6683" width="6.85546875" bestFit="1" customWidth="1"/>
    <col min="6684" max="6684" width="7.7109375" bestFit="1" customWidth="1"/>
    <col min="6685" max="6686" width="7.5703125" bestFit="1" customWidth="1"/>
    <col min="6919" max="6919" width="3" customWidth="1"/>
    <col min="6920" max="6920" width="58.28515625" customWidth="1"/>
    <col min="6921" max="6925" width="14.5703125" customWidth="1"/>
    <col min="6926" max="6926" width="49.42578125" customWidth="1"/>
    <col min="6927" max="6927" width="10.85546875" customWidth="1"/>
    <col min="6928" max="6929" width="8.85546875" bestFit="1" customWidth="1"/>
    <col min="6930" max="6930" width="9.42578125" customWidth="1"/>
    <col min="6931" max="6939" width="6.85546875" bestFit="1" customWidth="1"/>
    <col min="6940" max="6940" width="7.7109375" bestFit="1" customWidth="1"/>
    <col min="6941" max="6942" width="7.5703125" bestFit="1" customWidth="1"/>
    <col min="7175" max="7175" width="3" customWidth="1"/>
    <col min="7176" max="7176" width="58.28515625" customWidth="1"/>
    <col min="7177" max="7181" width="14.5703125" customWidth="1"/>
    <col min="7182" max="7182" width="49.42578125" customWidth="1"/>
    <col min="7183" max="7183" width="10.85546875" customWidth="1"/>
    <col min="7184" max="7185" width="8.85546875" bestFit="1" customWidth="1"/>
    <col min="7186" max="7186" width="9.42578125" customWidth="1"/>
    <col min="7187" max="7195" width="6.85546875" bestFit="1" customWidth="1"/>
    <col min="7196" max="7196" width="7.7109375" bestFit="1" customWidth="1"/>
    <col min="7197" max="7198" width="7.5703125" bestFit="1" customWidth="1"/>
    <col min="7431" max="7431" width="3" customWidth="1"/>
    <col min="7432" max="7432" width="58.28515625" customWidth="1"/>
    <col min="7433" max="7437" width="14.5703125" customWidth="1"/>
    <col min="7438" max="7438" width="49.42578125" customWidth="1"/>
    <col min="7439" max="7439" width="10.85546875" customWidth="1"/>
    <col min="7440" max="7441" width="8.85546875" bestFit="1" customWidth="1"/>
    <col min="7442" max="7442" width="9.42578125" customWidth="1"/>
    <col min="7443" max="7451" width="6.85546875" bestFit="1" customWidth="1"/>
    <col min="7452" max="7452" width="7.7109375" bestFit="1" customWidth="1"/>
    <col min="7453" max="7454" width="7.5703125" bestFit="1" customWidth="1"/>
    <col min="7687" max="7687" width="3" customWidth="1"/>
    <col min="7688" max="7688" width="58.28515625" customWidth="1"/>
    <col min="7689" max="7693" width="14.5703125" customWidth="1"/>
    <col min="7694" max="7694" width="49.42578125" customWidth="1"/>
    <col min="7695" max="7695" width="10.85546875" customWidth="1"/>
    <col min="7696" max="7697" width="8.85546875" bestFit="1" customWidth="1"/>
    <col min="7698" max="7698" width="9.42578125" customWidth="1"/>
    <col min="7699" max="7707" width="6.85546875" bestFit="1" customWidth="1"/>
    <col min="7708" max="7708" width="7.7109375" bestFit="1" customWidth="1"/>
    <col min="7709" max="7710" width="7.5703125" bestFit="1" customWidth="1"/>
    <col min="7943" max="7943" width="3" customWidth="1"/>
    <col min="7944" max="7944" width="58.28515625" customWidth="1"/>
    <col min="7945" max="7949" width="14.5703125" customWidth="1"/>
    <col min="7950" max="7950" width="49.42578125" customWidth="1"/>
    <col min="7951" max="7951" width="10.85546875" customWidth="1"/>
    <col min="7952" max="7953" width="8.85546875" bestFit="1" customWidth="1"/>
    <col min="7954" max="7954" width="9.42578125" customWidth="1"/>
    <col min="7955" max="7963" width="6.85546875" bestFit="1" customWidth="1"/>
    <col min="7964" max="7964" width="7.7109375" bestFit="1" customWidth="1"/>
    <col min="7965" max="7966" width="7.5703125" bestFit="1" customWidth="1"/>
    <col min="8199" max="8199" width="3" customWidth="1"/>
    <col min="8200" max="8200" width="58.28515625" customWidth="1"/>
    <col min="8201" max="8205" width="14.5703125" customWidth="1"/>
    <col min="8206" max="8206" width="49.42578125" customWidth="1"/>
    <col min="8207" max="8207" width="10.85546875" customWidth="1"/>
    <col min="8208" max="8209" width="8.85546875" bestFit="1" customWidth="1"/>
    <col min="8210" max="8210" width="9.42578125" customWidth="1"/>
    <col min="8211" max="8219" width="6.85546875" bestFit="1" customWidth="1"/>
    <col min="8220" max="8220" width="7.7109375" bestFit="1" customWidth="1"/>
    <col min="8221" max="8222" width="7.5703125" bestFit="1" customWidth="1"/>
    <col min="8455" max="8455" width="3" customWidth="1"/>
    <col min="8456" max="8456" width="58.28515625" customWidth="1"/>
    <col min="8457" max="8461" width="14.5703125" customWidth="1"/>
    <col min="8462" max="8462" width="49.42578125" customWidth="1"/>
    <col min="8463" max="8463" width="10.85546875" customWidth="1"/>
    <col min="8464" max="8465" width="8.85546875" bestFit="1" customWidth="1"/>
    <col min="8466" max="8466" width="9.42578125" customWidth="1"/>
    <col min="8467" max="8475" width="6.85546875" bestFit="1" customWidth="1"/>
    <col min="8476" max="8476" width="7.7109375" bestFit="1" customWidth="1"/>
    <col min="8477" max="8478" width="7.5703125" bestFit="1" customWidth="1"/>
    <col min="8711" max="8711" width="3" customWidth="1"/>
    <col min="8712" max="8712" width="58.28515625" customWidth="1"/>
    <col min="8713" max="8717" width="14.5703125" customWidth="1"/>
    <col min="8718" max="8718" width="49.42578125" customWidth="1"/>
    <col min="8719" max="8719" width="10.85546875" customWidth="1"/>
    <col min="8720" max="8721" width="8.85546875" bestFit="1" customWidth="1"/>
    <col min="8722" max="8722" width="9.42578125" customWidth="1"/>
    <col min="8723" max="8731" width="6.85546875" bestFit="1" customWidth="1"/>
    <col min="8732" max="8732" width="7.7109375" bestFit="1" customWidth="1"/>
    <col min="8733" max="8734" width="7.5703125" bestFit="1" customWidth="1"/>
    <col min="8967" max="8967" width="3" customWidth="1"/>
    <col min="8968" max="8968" width="58.28515625" customWidth="1"/>
    <col min="8969" max="8973" width="14.5703125" customWidth="1"/>
    <col min="8974" max="8974" width="49.42578125" customWidth="1"/>
    <col min="8975" max="8975" width="10.85546875" customWidth="1"/>
    <col min="8976" max="8977" width="8.85546875" bestFit="1" customWidth="1"/>
    <col min="8978" max="8978" width="9.42578125" customWidth="1"/>
    <col min="8979" max="8987" width="6.85546875" bestFit="1" customWidth="1"/>
    <col min="8988" max="8988" width="7.7109375" bestFit="1" customWidth="1"/>
    <col min="8989" max="8990" width="7.5703125" bestFit="1" customWidth="1"/>
    <col min="9223" max="9223" width="3" customWidth="1"/>
    <col min="9224" max="9224" width="58.28515625" customWidth="1"/>
    <col min="9225" max="9229" width="14.5703125" customWidth="1"/>
    <col min="9230" max="9230" width="49.42578125" customWidth="1"/>
    <col min="9231" max="9231" width="10.85546875" customWidth="1"/>
    <col min="9232" max="9233" width="8.85546875" bestFit="1" customWidth="1"/>
    <col min="9234" max="9234" width="9.42578125" customWidth="1"/>
    <col min="9235" max="9243" width="6.85546875" bestFit="1" customWidth="1"/>
    <col min="9244" max="9244" width="7.7109375" bestFit="1" customWidth="1"/>
    <col min="9245" max="9246" width="7.5703125" bestFit="1" customWidth="1"/>
    <col min="9479" max="9479" width="3" customWidth="1"/>
    <col min="9480" max="9480" width="58.28515625" customWidth="1"/>
    <col min="9481" max="9485" width="14.5703125" customWidth="1"/>
    <col min="9486" max="9486" width="49.42578125" customWidth="1"/>
    <col min="9487" max="9487" width="10.85546875" customWidth="1"/>
    <col min="9488" max="9489" width="8.85546875" bestFit="1" customWidth="1"/>
    <col min="9490" max="9490" width="9.42578125" customWidth="1"/>
    <col min="9491" max="9499" width="6.85546875" bestFit="1" customWidth="1"/>
    <col min="9500" max="9500" width="7.7109375" bestFit="1" customWidth="1"/>
    <col min="9501" max="9502" width="7.5703125" bestFit="1" customWidth="1"/>
    <col min="9735" max="9735" width="3" customWidth="1"/>
    <col min="9736" max="9736" width="58.28515625" customWidth="1"/>
    <col min="9737" max="9741" width="14.5703125" customWidth="1"/>
    <col min="9742" max="9742" width="49.42578125" customWidth="1"/>
    <col min="9743" max="9743" width="10.85546875" customWidth="1"/>
    <col min="9744" max="9745" width="8.85546875" bestFit="1" customWidth="1"/>
    <col min="9746" max="9746" width="9.42578125" customWidth="1"/>
    <col min="9747" max="9755" width="6.85546875" bestFit="1" customWidth="1"/>
    <col min="9756" max="9756" width="7.7109375" bestFit="1" customWidth="1"/>
    <col min="9757" max="9758" width="7.5703125" bestFit="1" customWidth="1"/>
    <col min="9991" max="9991" width="3" customWidth="1"/>
    <col min="9992" max="9992" width="58.28515625" customWidth="1"/>
    <col min="9993" max="9997" width="14.5703125" customWidth="1"/>
    <col min="9998" max="9998" width="49.42578125" customWidth="1"/>
    <col min="9999" max="9999" width="10.85546875" customWidth="1"/>
    <col min="10000" max="10001" width="8.85546875" bestFit="1" customWidth="1"/>
    <col min="10002" max="10002" width="9.42578125" customWidth="1"/>
    <col min="10003" max="10011" width="6.85546875" bestFit="1" customWidth="1"/>
    <col min="10012" max="10012" width="7.7109375" bestFit="1" customWidth="1"/>
    <col min="10013" max="10014" width="7.5703125" bestFit="1" customWidth="1"/>
    <col min="10247" max="10247" width="3" customWidth="1"/>
    <col min="10248" max="10248" width="58.28515625" customWidth="1"/>
    <col min="10249" max="10253" width="14.5703125" customWidth="1"/>
    <col min="10254" max="10254" width="49.42578125" customWidth="1"/>
    <col min="10255" max="10255" width="10.85546875" customWidth="1"/>
    <col min="10256" max="10257" width="8.85546875" bestFit="1" customWidth="1"/>
    <col min="10258" max="10258" width="9.42578125" customWidth="1"/>
    <col min="10259" max="10267" width="6.85546875" bestFit="1" customWidth="1"/>
    <col min="10268" max="10268" width="7.7109375" bestFit="1" customWidth="1"/>
    <col min="10269" max="10270" width="7.5703125" bestFit="1" customWidth="1"/>
    <col min="10503" max="10503" width="3" customWidth="1"/>
    <col min="10504" max="10504" width="58.28515625" customWidth="1"/>
    <col min="10505" max="10509" width="14.5703125" customWidth="1"/>
    <col min="10510" max="10510" width="49.42578125" customWidth="1"/>
    <col min="10511" max="10511" width="10.85546875" customWidth="1"/>
    <col min="10512" max="10513" width="8.85546875" bestFit="1" customWidth="1"/>
    <col min="10514" max="10514" width="9.42578125" customWidth="1"/>
    <col min="10515" max="10523" width="6.85546875" bestFit="1" customWidth="1"/>
    <col min="10524" max="10524" width="7.7109375" bestFit="1" customWidth="1"/>
    <col min="10525" max="10526" width="7.5703125" bestFit="1" customWidth="1"/>
    <col min="10759" max="10759" width="3" customWidth="1"/>
    <col min="10760" max="10760" width="58.28515625" customWidth="1"/>
    <col min="10761" max="10765" width="14.5703125" customWidth="1"/>
    <col min="10766" max="10766" width="49.42578125" customWidth="1"/>
    <col min="10767" max="10767" width="10.85546875" customWidth="1"/>
    <col min="10768" max="10769" width="8.85546875" bestFit="1" customWidth="1"/>
    <col min="10770" max="10770" width="9.42578125" customWidth="1"/>
    <col min="10771" max="10779" width="6.85546875" bestFit="1" customWidth="1"/>
    <col min="10780" max="10780" width="7.7109375" bestFit="1" customWidth="1"/>
    <col min="10781" max="10782" width="7.5703125" bestFit="1" customWidth="1"/>
    <col min="11015" max="11015" width="3" customWidth="1"/>
    <col min="11016" max="11016" width="58.28515625" customWidth="1"/>
    <col min="11017" max="11021" width="14.5703125" customWidth="1"/>
    <col min="11022" max="11022" width="49.42578125" customWidth="1"/>
    <col min="11023" max="11023" width="10.85546875" customWidth="1"/>
    <col min="11024" max="11025" width="8.85546875" bestFit="1" customWidth="1"/>
    <col min="11026" max="11026" width="9.42578125" customWidth="1"/>
    <col min="11027" max="11035" width="6.85546875" bestFit="1" customWidth="1"/>
    <col min="11036" max="11036" width="7.7109375" bestFit="1" customWidth="1"/>
    <col min="11037" max="11038" width="7.5703125" bestFit="1" customWidth="1"/>
    <col min="11271" max="11271" width="3" customWidth="1"/>
    <col min="11272" max="11272" width="58.28515625" customWidth="1"/>
    <col min="11273" max="11277" width="14.5703125" customWidth="1"/>
    <col min="11278" max="11278" width="49.42578125" customWidth="1"/>
    <col min="11279" max="11279" width="10.85546875" customWidth="1"/>
    <col min="11280" max="11281" width="8.85546875" bestFit="1" customWidth="1"/>
    <col min="11282" max="11282" width="9.42578125" customWidth="1"/>
    <col min="11283" max="11291" width="6.85546875" bestFit="1" customWidth="1"/>
    <col min="11292" max="11292" width="7.7109375" bestFit="1" customWidth="1"/>
    <col min="11293" max="11294" width="7.5703125" bestFit="1" customWidth="1"/>
    <col min="11527" max="11527" width="3" customWidth="1"/>
    <col min="11528" max="11528" width="58.28515625" customWidth="1"/>
    <col min="11529" max="11533" width="14.5703125" customWidth="1"/>
    <col min="11534" max="11534" width="49.42578125" customWidth="1"/>
    <col min="11535" max="11535" width="10.85546875" customWidth="1"/>
    <col min="11536" max="11537" width="8.85546875" bestFit="1" customWidth="1"/>
    <col min="11538" max="11538" width="9.42578125" customWidth="1"/>
    <col min="11539" max="11547" width="6.85546875" bestFit="1" customWidth="1"/>
    <col min="11548" max="11548" width="7.7109375" bestFit="1" customWidth="1"/>
    <col min="11549" max="11550" width="7.5703125" bestFit="1" customWidth="1"/>
    <col min="11783" max="11783" width="3" customWidth="1"/>
    <col min="11784" max="11784" width="58.28515625" customWidth="1"/>
    <col min="11785" max="11789" width="14.5703125" customWidth="1"/>
    <col min="11790" max="11790" width="49.42578125" customWidth="1"/>
    <col min="11791" max="11791" width="10.85546875" customWidth="1"/>
    <col min="11792" max="11793" width="8.85546875" bestFit="1" customWidth="1"/>
    <col min="11794" max="11794" width="9.42578125" customWidth="1"/>
    <col min="11795" max="11803" width="6.85546875" bestFit="1" customWidth="1"/>
    <col min="11804" max="11804" width="7.7109375" bestFit="1" customWidth="1"/>
    <col min="11805" max="11806" width="7.5703125" bestFit="1" customWidth="1"/>
    <col min="12039" max="12039" width="3" customWidth="1"/>
    <col min="12040" max="12040" width="58.28515625" customWidth="1"/>
    <col min="12041" max="12045" width="14.5703125" customWidth="1"/>
    <col min="12046" max="12046" width="49.42578125" customWidth="1"/>
    <col min="12047" max="12047" width="10.85546875" customWidth="1"/>
    <col min="12048" max="12049" width="8.85546875" bestFit="1" customWidth="1"/>
    <col min="12050" max="12050" width="9.42578125" customWidth="1"/>
    <col min="12051" max="12059" width="6.85546875" bestFit="1" customWidth="1"/>
    <col min="12060" max="12060" width="7.7109375" bestFit="1" customWidth="1"/>
    <col min="12061" max="12062" width="7.5703125" bestFit="1" customWidth="1"/>
    <col min="12295" max="12295" width="3" customWidth="1"/>
    <col min="12296" max="12296" width="58.28515625" customWidth="1"/>
    <col min="12297" max="12301" width="14.5703125" customWidth="1"/>
    <col min="12302" max="12302" width="49.42578125" customWidth="1"/>
    <col min="12303" max="12303" width="10.85546875" customWidth="1"/>
    <col min="12304" max="12305" width="8.85546875" bestFit="1" customWidth="1"/>
    <col min="12306" max="12306" width="9.42578125" customWidth="1"/>
    <col min="12307" max="12315" width="6.85546875" bestFit="1" customWidth="1"/>
    <col min="12316" max="12316" width="7.7109375" bestFit="1" customWidth="1"/>
    <col min="12317" max="12318" width="7.5703125" bestFit="1" customWidth="1"/>
    <col min="12551" max="12551" width="3" customWidth="1"/>
    <col min="12552" max="12552" width="58.28515625" customWidth="1"/>
    <col min="12553" max="12557" width="14.5703125" customWidth="1"/>
    <col min="12558" max="12558" width="49.42578125" customWidth="1"/>
    <col min="12559" max="12559" width="10.85546875" customWidth="1"/>
    <col min="12560" max="12561" width="8.85546875" bestFit="1" customWidth="1"/>
    <col min="12562" max="12562" width="9.42578125" customWidth="1"/>
    <col min="12563" max="12571" width="6.85546875" bestFit="1" customWidth="1"/>
    <col min="12572" max="12572" width="7.7109375" bestFit="1" customWidth="1"/>
    <col min="12573" max="12574" width="7.5703125" bestFit="1" customWidth="1"/>
    <col min="12807" max="12807" width="3" customWidth="1"/>
    <col min="12808" max="12808" width="58.28515625" customWidth="1"/>
    <col min="12809" max="12813" width="14.5703125" customWidth="1"/>
    <col min="12814" max="12814" width="49.42578125" customWidth="1"/>
    <col min="12815" max="12815" width="10.85546875" customWidth="1"/>
    <col min="12816" max="12817" width="8.85546875" bestFit="1" customWidth="1"/>
    <col min="12818" max="12818" width="9.42578125" customWidth="1"/>
    <col min="12819" max="12827" width="6.85546875" bestFit="1" customWidth="1"/>
    <col min="12828" max="12828" width="7.7109375" bestFit="1" customWidth="1"/>
    <col min="12829" max="12830" width="7.5703125" bestFit="1" customWidth="1"/>
    <col min="13063" max="13063" width="3" customWidth="1"/>
    <col min="13064" max="13064" width="58.28515625" customWidth="1"/>
    <col min="13065" max="13069" width="14.5703125" customWidth="1"/>
    <col min="13070" max="13070" width="49.42578125" customWidth="1"/>
    <col min="13071" max="13071" width="10.85546875" customWidth="1"/>
    <col min="13072" max="13073" width="8.85546875" bestFit="1" customWidth="1"/>
    <col min="13074" max="13074" width="9.42578125" customWidth="1"/>
    <col min="13075" max="13083" width="6.85546875" bestFit="1" customWidth="1"/>
    <col min="13084" max="13084" width="7.7109375" bestFit="1" customWidth="1"/>
    <col min="13085" max="13086" width="7.5703125" bestFit="1" customWidth="1"/>
    <col min="13319" max="13319" width="3" customWidth="1"/>
    <col min="13320" max="13320" width="58.28515625" customWidth="1"/>
    <col min="13321" max="13325" width="14.5703125" customWidth="1"/>
    <col min="13326" max="13326" width="49.42578125" customWidth="1"/>
    <col min="13327" max="13327" width="10.85546875" customWidth="1"/>
    <col min="13328" max="13329" width="8.85546875" bestFit="1" customWidth="1"/>
    <col min="13330" max="13330" width="9.42578125" customWidth="1"/>
    <col min="13331" max="13339" width="6.85546875" bestFit="1" customWidth="1"/>
    <col min="13340" max="13340" width="7.7109375" bestFit="1" customWidth="1"/>
    <col min="13341" max="13342" width="7.5703125" bestFit="1" customWidth="1"/>
    <col min="13575" max="13575" width="3" customWidth="1"/>
    <col min="13576" max="13576" width="58.28515625" customWidth="1"/>
    <col min="13577" max="13581" width="14.5703125" customWidth="1"/>
    <col min="13582" max="13582" width="49.42578125" customWidth="1"/>
    <col min="13583" max="13583" width="10.85546875" customWidth="1"/>
    <col min="13584" max="13585" width="8.85546875" bestFit="1" customWidth="1"/>
    <col min="13586" max="13586" width="9.42578125" customWidth="1"/>
    <col min="13587" max="13595" width="6.85546875" bestFit="1" customWidth="1"/>
    <col min="13596" max="13596" width="7.7109375" bestFit="1" customWidth="1"/>
    <col min="13597" max="13598" width="7.5703125" bestFit="1" customWidth="1"/>
    <col min="13831" max="13831" width="3" customWidth="1"/>
    <col min="13832" max="13832" width="58.28515625" customWidth="1"/>
    <col min="13833" max="13837" width="14.5703125" customWidth="1"/>
    <col min="13838" max="13838" width="49.42578125" customWidth="1"/>
    <col min="13839" max="13839" width="10.85546875" customWidth="1"/>
    <col min="13840" max="13841" width="8.85546875" bestFit="1" customWidth="1"/>
    <col min="13842" max="13842" width="9.42578125" customWidth="1"/>
    <col min="13843" max="13851" width="6.85546875" bestFit="1" customWidth="1"/>
    <col min="13852" max="13852" width="7.7109375" bestFit="1" customWidth="1"/>
    <col min="13853" max="13854" width="7.5703125" bestFit="1" customWidth="1"/>
    <col min="14087" max="14087" width="3" customWidth="1"/>
    <col min="14088" max="14088" width="58.28515625" customWidth="1"/>
    <col min="14089" max="14093" width="14.5703125" customWidth="1"/>
    <col min="14094" max="14094" width="49.42578125" customWidth="1"/>
    <col min="14095" max="14095" width="10.85546875" customWidth="1"/>
    <col min="14096" max="14097" width="8.85546875" bestFit="1" customWidth="1"/>
    <col min="14098" max="14098" width="9.42578125" customWidth="1"/>
    <col min="14099" max="14107" width="6.85546875" bestFit="1" customWidth="1"/>
    <col min="14108" max="14108" width="7.7109375" bestFit="1" customWidth="1"/>
    <col min="14109" max="14110" width="7.5703125" bestFit="1" customWidth="1"/>
    <col min="14343" max="14343" width="3" customWidth="1"/>
    <col min="14344" max="14344" width="58.28515625" customWidth="1"/>
    <col min="14345" max="14349" width="14.5703125" customWidth="1"/>
    <col min="14350" max="14350" width="49.42578125" customWidth="1"/>
    <col min="14351" max="14351" width="10.85546875" customWidth="1"/>
    <col min="14352" max="14353" width="8.85546875" bestFit="1" customWidth="1"/>
    <col min="14354" max="14354" width="9.42578125" customWidth="1"/>
    <col min="14355" max="14363" width="6.85546875" bestFit="1" customWidth="1"/>
    <col min="14364" max="14364" width="7.7109375" bestFit="1" customWidth="1"/>
    <col min="14365" max="14366" width="7.5703125" bestFit="1" customWidth="1"/>
    <col min="14599" max="14599" width="3" customWidth="1"/>
    <col min="14600" max="14600" width="58.28515625" customWidth="1"/>
    <col min="14601" max="14605" width="14.5703125" customWidth="1"/>
    <col min="14606" max="14606" width="49.42578125" customWidth="1"/>
    <col min="14607" max="14607" width="10.85546875" customWidth="1"/>
    <col min="14608" max="14609" width="8.85546875" bestFit="1" customWidth="1"/>
    <col min="14610" max="14610" width="9.42578125" customWidth="1"/>
    <col min="14611" max="14619" width="6.85546875" bestFit="1" customWidth="1"/>
    <col min="14620" max="14620" width="7.7109375" bestFit="1" customWidth="1"/>
    <col min="14621" max="14622" width="7.5703125" bestFit="1" customWidth="1"/>
    <col min="14855" max="14855" width="3" customWidth="1"/>
    <col min="14856" max="14856" width="58.28515625" customWidth="1"/>
    <col min="14857" max="14861" width="14.5703125" customWidth="1"/>
    <col min="14862" max="14862" width="49.42578125" customWidth="1"/>
    <col min="14863" max="14863" width="10.85546875" customWidth="1"/>
    <col min="14864" max="14865" width="8.85546875" bestFit="1" customWidth="1"/>
    <col min="14866" max="14866" width="9.42578125" customWidth="1"/>
    <col min="14867" max="14875" width="6.85546875" bestFit="1" customWidth="1"/>
    <col min="14876" max="14876" width="7.7109375" bestFit="1" customWidth="1"/>
    <col min="14877" max="14878" width="7.5703125" bestFit="1" customWidth="1"/>
    <col min="15111" max="15111" width="3" customWidth="1"/>
    <col min="15112" max="15112" width="58.28515625" customWidth="1"/>
    <col min="15113" max="15117" width="14.5703125" customWidth="1"/>
    <col min="15118" max="15118" width="49.42578125" customWidth="1"/>
    <col min="15119" max="15119" width="10.85546875" customWidth="1"/>
    <col min="15120" max="15121" width="8.85546875" bestFit="1" customWidth="1"/>
    <col min="15122" max="15122" width="9.42578125" customWidth="1"/>
    <col min="15123" max="15131" width="6.85546875" bestFit="1" customWidth="1"/>
    <col min="15132" max="15132" width="7.7109375" bestFit="1" customWidth="1"/>
    <col min="15133" max="15134" width="7.5703125" bestFit="1" customWidth="1"/>
    <col min="15367" max="15367" width="3" customWidth="1"/>
    <col min="15368" max="15368" width="58.28515625" customWidth="1"/>
    <col min="15369" max="15373" width="14.5703125" customWidth="1"/>
    <col min="15374" max="15374" width="49.42578125" customWidth="1"/>
    <col min="15375" max="15375" width="10.85546875" customWidth="1"/>
    <col min="15376" max="15377" width="8.85546875" bestFit="1" customWidth="1"/>
    <col min="15378" max="15378" width="9.42578125" customWidth="1"/>
    <col min="15379" max="15387" width="6.85546875" bestFit="1" customWidth="1"/>
    <col min="15388" max="15388" width="7.7109375" bestFit="1" customWidth="1"/>
    <col min="15389" max="15390" width="7.5703125" bestFit="1" customWidth="1"/>
    <col min="15623" max="15623" width="3" customWidth="1"/>
    <col min="15624" max="15624" width="58.28515625" customWidth="1"/>
    <col min="15625" max="15629" width="14.5703125" customWidth="1"/>
    <col min="15630" max="15630" width="49.42578125" customWidth="1"/>
    <col min="15631" max="15631" width="10.85546875" customWidth="1"/>
    <col min="15632" max="15633" width="8.85546875" bestFit="1" customWidth="1"/>
    <col min="15634" max="15634" width="9.42578125" customWidth="1"/>
    <col min="15635" max="15643" width="6.85546875" bestFit="1" customWidth="1"/>
    <col min="15644" max="15644" width="7.7109375" bestFit="1" customWidth="1"/>
    <col min="15645" max="15646" width="7.5703125" bestFit="1" customWidth="1"/>
    <col min="15879" max="15879" width="3" customWidth="1"/>
    <col min="15880" max="15880" width="58.28515625" customWidth="1"/>
    <col min="15881" max="15885" width="14.5703125" customWidth="1"/>
    <col min="15886" max="15886" width="49.42578125" customWidth="1"/>
    <col min="15887" max="15887" width="10.85546875" customWidth="1"/>
    <col min="15888" max="15889" width="8.85546875" bestFit="1" customWidth="1"/>
    <col min="15890" max="15890" width="9.42578125" customWidth="1"/>
    <col min="15891" max="15899" width="6.85546875" bestFit="1" customWidth="1"/>
    <col min="15900" max="15900" width="7.7109375" bestFit="1" customWidth="1"/>
    <col min="15901" max="15902" width="7.5703125" bestFit="1" customWidth="1"/>
    <col min="16135" max="16135" width="3" customWidth="1"/>
    <col min="16136" max="16136" width="58.28515625" customWidth="1"/>
    <col min="16137" max="16141" width="14.5703125" customWidth="1"/>
    <col min="16142" max="16142" width="49.42578125" customWidth="1"/>
    <col min="16143" max="16143" width="10.85546875" customWidth="1"/>
    <col min="16144" max="16145" width="8.85546875" bestFit="1" customWidth="1"/>
    <col min="16146" max="16146" width="9.42578125" customWidth="1"/>
    <col min="16147" max="16155" width="6.85546875" bestFit="1" customWidth="1"/>
    <col min="16156" max="16156" width="7.7109375" bestFit="1" customWidth="1"/>
    <col min="16157" max="16158" width="7.5703125" bestFit="1" customWidth="1"/>
  </cols>
  <sheetData>
    <row r="1" spans="3:31" ht="20.25">
      <c r="D1" s="1480"/>
      <c r="E1" s="1480"/>
      <c r="F1" s="1480"/>
      <c r="G1" s="1480"/>
      <c r="H1" s="1480"/>
      <c r="I1" s="1480"/>
      <c r="J1" s="2951"/>
      <c r="K1" s="2951"/>
      <c r="L1" s="2758"/>
      <c r="M1" s="2758"/>
      <c r="N1" s="1192"/>
    </row>
    <row r="2" spans="3:31" ht="27">
      <c r="D2" s="4907" t="s">
        <v>2887</v>
      </c>
      <c r="E2" s="4907"/>
      <c r="F2" s="4907"/>
      <c r="G2" s="4907"/>
      <c r="H2" s="4907"/>
      <c r="I2" s="4907"/>
      <c r="J2" s="4907"/>
      <c r="K2" s="4907"/>
      <c r="L2" s="4907"/>
      <c r="M2" s="4907"/>
      <c r="N2" s="4907"/>
    </row>
    <row r="3" spans="3:31" ht="21.75" customHeight="1">
      <c r="D3" s="4908" t="s">
        <v>2886</v>
      </c>
      <c r="E3" s="4908"/>
      <c r="F3" s="4908"/>
      <c r="G3" s="4908"/>
      <c r="H3" s="4908"/>
      <c r="I3" s="4908"/>
      <c r="J3" s="4908"/>
      <c r="K3" s="4908"/>
      <c r="L3" s="4908"/>
      <c r="M3" s="4908"/>
      <c r="N3" s="4908"/>
    </row>
    <row r="4" spans="3:31" ht="18.75">
      <c r="D4" s="2953" t="s">
        <v>545</v>
      </c>
      <c r="E4" s="2953"/>
      <c r="F4" s="2953"/>
      <c r="G4" s="2953"/>
      <c r="H4" s="2953"/>
      <c r="I4" s="2953"/>
      <c r="J4" s="2954"/>
      <c r="K4" s="2955"/>
      <c r="L4" s="2955"/>
      <c r="M4" s="2956"/>
      <c r="N4" s="2957" t="s">
        <v>1131</v>
      </c>
    </row>
    <row r="5" spans="3:31" ht="24" customHeight="1">
      <c r="D5" s="2958"/>
      <c r="E5" s="4909" t="s">
        <v>3113</v>
      </c>
      <c r="F5" s="4909" t="s">
        <v>3103</v>
      </c>
      <c r="G5" s="4909" t="s">
        <v>3046</v>
      </c>
      <c r="H5" s="4909" t="s">
        <v>3025</v>
      </c>
      <c r="I5" s="4909" t="s">
        <v>2917</v>
      </c>
      <c r="J5" s="4909" t="s">
        <v>2809</v>
      </c>
      <c r="K5" s="4909" t="s">
        <v>2808</v>
      </c>
      <c r="L5" s="4909" t="s">
        <v>2807</v>
      </c>
      <c r="M5" s="4909" t="s">
        <v>2806</v>
      </c>
      <c r="N5" s="2959"/>
    </row>
    <row r="6" spans="3:31" ht="33" customHeight="1">
      <c r="D6" s="2960"/>
      <c r="E6" s="4910"/>
      <c r="F6" s="4910"/>
      <c r="G6" s="4910"/>
      <c r="H6" s="4910"/>
      <c r="I6" s="4910"/>
      <c r="J6" s="4910"/>
      <c r="K6" s="4910"/>
      <c r="L6" s="4910"/>
      <c r="M6" s="4910"/>
      <c r="N6" s="2961"/>
    </row>
    <row r="7" spans="3:31" ht="20.25">
      <c r="D7" s="2960"/>
      <c r="E7" s="4910"/>
      <c r="F7" s="4910"/>
      <c r="G7" s="4910"/>
      <c r="H7" s="4910"/>
      <c r="I7" s="4910"/>
      <c r="J7" s="4910"/>
      <c r="K7" s="4910"/>
      <c r="L7" s="4910"/>
      <c r="M7" s="4910"/>
      <c r="N7" s="2961"/>
    </row>
    <row r="8" spans="3:31" ht="20.25">
      <c r="D8" s="2960"/>
      <c r="E8" s="4910"/>
      <c r="F8" s="4910"/>
      <c r="G8" s="4910"/>
      <c r="H8" s="4910"/>
      <c r="I8" s="4910"/>
      <c r="J8" s="4910"/>
      <c r="K8" s="4910"/>
      <c r="L8" s="4910"/>
      <c r="M8" s="4910"/>
      <c r="N8" s="2961"/>
    </row>
    <row r="9" spans="3:31" ht="20.25">
      <c r="D9" s="2962"/>
      <c r="E9" s="4910"/>
      <c r="F9" s="4910"/>
      <c r="G9" s="4910"/>
      <c r="H9" s="4910"/>
      <c r="I9" s="4910"/>
      <c r="J9" s="4910"/>
      <c r="K9" s="4910"/>
      <c r="L9" s="4910"/>
      <c r="M9" s="4910"/>
      <c r="N9" s="2963"/>
    </row>
    <row r="10" spans="3:31" ht="20.25">
      <c r="D10" s="2962"/>
      <c r="E10" s="4911"/>
      <c r="F10" s="4911"/>
      <c r="G10" s="4911"/>
      <c r="H10" s="4911"/>
      <c r="I10" s="4911"/>
      <c r="J10" s="4911"/>
      <c r="K10" s="4911"/>
      <c r="L10" s="4911"/>
      <c r="M10" s="4911"/>
      <c r="N10" s="2963"/>
      <c r="O10" s="1792"/>
      <c r="P10" s="2964"/>
      <c r="Q10" s="2964"/>
      <c r="R10" s="2965"/>
      <c r="S10" s="2964"/>
      <c r="T10" s="2964"/>
      <c r="U10" s="2964"/>
      <c r="V10" s="2964"/>
      <c r="W10" s="2964"/>
      <c r="X10" s="2964"/>
      <c r="Y10" s="2964"/>
      <c r="Z10" s="2964"/>
    </row>
    <row r="11" spans="3:31" s="2966" customFormat="1" ht="18.600000000000001" customHeight="1">
      <c r="D11" s="2967" t="s">
        <v>2885</v>
      </c>
      <c r="E11" s="2968">
        <v>-2667.3999999999987</v>
      </c>
      <c r="F11" s="2968">
        <v>-2639.5</v>
      </c>
      <c r="G11" s="2968">
        <v>-1778.5300000000002</v>
      </c>
      <c r="H11" s="2968">
        <v>-548.69000000000005</v>
      </c>
      <c r="I11" s="2968">
        <v>-2103.3999999999996</v>
      </c>
      <c r="J11" s="2968">
        <v>-3118.6400000000012</v>
      </c>
      <c r="K11" s="2968">
        <v>-2734.4097949999996</v>
      </c>
      <c r="L11" s="2968">
        <v>-2463.34</v>
      </c>
      <c r="M11" s="2969">
        <v>-1851.6439999999998</v>
      </c>
      <c r="N11" s="2970" t="s">
        <v>2884</v>
      </c>
      <c r="O11" s="2971"/>
      <c r="P11" s="2972"/>
      <c r="Q11" s="2972"/>
      <c r="R11" s="2972"/>
      <c r="S11" s="2972"/>
      <c r="T11" s="2972"/>
      <c r="U11" s="2972"/>
      <c r="V11" s="2972"/>
      <c r="W11" s="2972"/>
      <c r="X11" s="2972"/>
      <c r="Y11" s="2972"/>
      <c r="Z11" s="2972"/>
      <c r="AA11" s="2973"/>
      <c r="AB11" s="2973"/>
      <c r="AC11" s="2973"/>
      <c r="AD11" s="2973"/>
    </row>
    <row r="12" spans="3:31" s="2966" customFormat="1" ht="18.600000000000001" customHeight="1">
      <c r="C12" s="1715"/>
      <c r="D12" s="2974" t="s">
        <v>2883</v>
      </c>
      <c r="E12" s="2975">
        <v>-8171.9999999999991</v>
      </c>
      <c r="F12" s="2975">
        <v>-6964.8000000000011</v>
      </c>
      <c r="G12" s="2975">
        <v>-5243.9</v>
      </c>
      <c r="H12" s="2975">
        <v>-6201.9000000000005</v>
      </c>
      <c r="I12" s="2975">
        <v>-7314.5</v>
      </c>
      <c r="J12" s="2975">
        <v>-7593.2</v>
      </c>
      <c r="K12" s="2975">
        <v>-6807.3</v>
      </c>
      <c r="L12" s="2975">
        <v>-7336.2</v>
      </c>
      <c r="M12" s="2976">
        <v>-8495.6</v>
      </c>
      <c r="N12" s="2977" t="s">
        <v>2220</v>
      </c>
      <c r="O12" s="1714"/>
      <c r="P12" s="1716"/>
      <c r="Q12" s="1716"/>
      <c r="R12" s="2978"/>
      <c r="S12" s="2978"/>
      <c r="T12" s="2978"/>
      <c r="U12" s="2978"/>
      <c r="V12" s="2978"/>
      <c r="W12" s="2978"/>
      <c r="X12" s="2978"/>
      <c r="Y12" s="2978"/>
      <c r="Z12" s="2978"/>
      <c r="AA12" s="2978"/>
      <c r="AB12" s="2978"/>
      <c r="AC12" s="2978"/>
      <c r="AD12" s="2978"/>
      <c r="AE12" s="2979"/>
    </row>
    <row r="13" spans="3:31" s="2966" customFormat="1" ht="18.600000000000001" customHeight="1">
      <c r="C13" s="1715"/>
      <c r="D13" s="2980" t="s">
        <v>2882</v>
      </c>
      <c r="E13" s="2981">
        <v>9073.7999999999993</v>
      </c>
      <c r="F13" s="2981">
        <v>6643.8000000000011</v>
      </c>
      <c r="G13" s="2981">
        <v>5639.6999999999989</v>
      </c>
      <c r="H13" s="2981">
        <v>5905.3</v>
      </c>
      <c r="I13" s="2981">
        <v>5502.7</v>
      </c>
      <c r="J13" s="2981">
        <v>5333.1</v>
      </c>
      <c r="K13" s="2981">
        <v>5359.6</v>
      </c>
      <c r="L13" s="2981">
        <v>5561.4000000000005</v>
      </c>
      <c r="M13" s="2982">
        <v>5953.6</v>
      </c>
      <c r="N13" s="2983" t="s">
        <v>2881</v>
      </c>
      <c r="O13" s="1714"/>
      <c r="P13" s="2978"/>
      <c r="Q13" s="1716"/>
      <c r="R13" s="2978"/>
      <c r="S13" s="2978"/>
      <c r="T13" s="2978"/>
      <c r="U13" s="2978"/>
      <c r="V13" s="2978"/>
      <c r="W13" s="2978"/>
      <c r="X13" s="2978"/>
      <c r="Y13" s="2978"/>
      <c r="Z13" s="2978"/>
      <c r="AA13" s="2978"/>
      <c r="AB13" s="2978"/>
      <c r="AC13" s="2978"/>
      <c r="AD13" s="2978"/>
    </row>
    <row r="14" spans="3:31" s="2966" customFormat="1" ht="18.600000000000001" customHeight="1">
      <c r="C14" s="1715"/>
      <c r="D14" s="2984" t="s">
        <v>2878</v>
      </c>
      <c r="E14" s="2985">
        <v>29.5</v>
      </c>
      <c r="F14" s="2985">
        <v>54.199999999999996</v>
      </c>
      <c r="G14" s="2985">
        <v>310.89999999999998</v>
      </c>
      <c r="H14" s="2985">
        <v>147</v>
      </c>
      <c r="I14" s="2985">
        <v>13</v>
      </c>
      <c r="J14" s="2985">
        <v>33.4</v>
      </c>
      <c r="K14" s="2985">
        <v>44.3</v>
      </c>
      <c r="L14" s="2985">
        <v>1.1000000000000001</v>
      </c>
      <c r="M14" s="2986">
        <v>0.7</v>
      </c>
      <c r="N14" s="2987" t="s">
        <v>1139</v>
      </c>
      <c r="O14" s="1714"/>
      <c r="P14" s="2978"/>
      <c r="Q14" s="1716"/>
      <c r="R14" s="2978"/>
      <c r="S14" s="2978"/>
      <c r="T14" s="2978"/>
      <c r="U14" s="2978"/>
      <c r="V14" s="2978"/>
      <c r="W14" s="2978"/>
      <c r="X14" s="2978"/>
      <c r="Y14" s="2978"/>
      <c r="Z14" s="2978"/>
      <c r="AA14" s="2978"/>
      <c r="AB14" s="2978"/>
      <c r="AC14" s="2978"/>
      <c r="AD14" s="2978"/>
    </row>
    <row r="15" spans="3:31" s="2966" customFormat="1" ht="18.600000000000001" customHeight="1">
      <c r="C15" s="1715"/>
      <c r="D15" s="2980" t="s">
        <v>2880</v>
      </c>
      <c r="E15" s="2981">
        <v>17245.8</v>
      </c>
      <c r="F15" s="2981">
        <v>13608.599999999999</v>
      </c>
      <c r="G15" s="2981">
        <v>10883.6</v>
      </c>
      <c r="H15" s="2981">
        <v>12107.199999999999</v>
      </c>
      <c r="I15" s="2981">
        <v>12817.2</v>
      </c>
      <c r="J15" s="2981">
        <v>12926.3</v>
      </c>
      <c r="K15" s="2981">
        <v>12166.9</v>
      </c>
      <c r="L15" s="2981">
        <v>12897.599999999999</v>
      </c>
      <c r="M15" s="2982">
        <v>14449.199999999999</v>
      </c>
      <c r="N15" s="2983" t="s">
        <v>2879</v>
      </c>
      <c r="O15" s="1714"/>
      <c r="P15" s="2978"/>
      <c r="Q15" s="2978"/>
      <c r="R15" s="2978"/>
      <c r="S15" s="2978"/>
      <c r="T15" s="2978"/>
      <c r="U15" s="2978"/>
      <c r="V15" s="2978"/>
      <c r="W15" s="2978"/>
      <c r="X15" s="2978"/>
      <c r="Y15" s="2978"/>
      <c r="Z15" s="2978"/>
      <c r="AA15" s="2978"/>
      <c r="AB15" s="2978"/>
      <c r="AC15" s="2978"/>
      <c r="AD15" s="2978"/>
    </row>
    <row r="16" spans="3:31" s="2966" customFormat="1" ht="18.600000000000001" customHeight="1">
      <c r="C16" s="1715"/>
      <c r="D16" s="2984" t="s">
        <v>2878</v>
      </c>
      <c r="E16" s="2985">
        <v>1477.6999999999998</v>
      </c>
      <c r="F16" s="2985">
        <v>785.9</v>
      </c>
      <c r="G16" s="2985">
        <v>94.1</v>
      </c>
      <c r="H16" s="2985">
        <v>65.399999999999991</v>
      </c>
      <c r="I16" s="2985">
        <v>169.60000000000002</v>
      </c>
      <c r="J16" s="2985">
        <v>363</v>
      </c>
      <c r="K16" s="2985">
        <v>332.2</v>
      </c>
      <c r="L16" s="2985">
        <v>614.69999999999993</v>
      </c>
      <c r="M16" s="2986">
        <v>386.5</v>
      </c>
      <c r="N16" s="2988" t="s">
        <v>1139</v>
      </c>
      <c r="O16" s="1714"/>
      <c r="P16" s="2978"/>
      <c r="Q16" s="2978"/>
      <c r="R16" s="2978"/>
      <c r="S16" s="2978"/>
      <c r="T16" s="2978"/>
      <c r="U16" s="2978"/>
      <c r="V16" s="2978"/>
      <c r="W16" s="2978"/>
      <c r="X16" s="2978"/>
      <c r="Y16" s="2978"/>
      <c r="Z16" s="2978"/>
      <c r="AA16" s="2978"/>
      <c r="AB16" s="2978"/>
      <c r="AC16" s="2978"/>
      <c r="AD16" s="2978"/>
    </row>
    <row r="17" spans="3:30" s="2966" customFormat="1" ht="18.600000000000001" customHeight="1">
      <c r="C17" s="1715"/>
      <c r="D17" s="2980" t="s">
        <v>2877</v>
      </c>
      <c r="E17" s="2981">
        <v>1627.8000000000002</v>
      </c>
      <c r="F17" s="2981">
        <v>253.99999999999994</v>
      </c>
      <c r="G17" s="2981">
        <v>-421.70000000000005</v>
      </c>
      <c r="H17" s="2981">
        <v>2088.6000000000004</v>
      </c>
      <c r="I17" s="2981">
        <v>1760.1000000000001</v>
      </c>
      <c r="J17" s="2981">
        <v>1390.9999999999995</v>
      </c>
      <c r="K17" s="2981">
        <v>919.89999999999964</v>
      </c>
      <c r="L17" s="2981">
        <v>1190.6999999999998</v>
      </c>
      <c r="M17" s="2982">
        <v>1778.9000000000003</v>
      </c>
      <c r="N17" s="2983" t="s">
        <v>1615</v>
      </c>
      <c r="O17" s="1714"/>
      <c r="P17" s="2978"/>
      <c r="Q17" s="2978"/>
      <c r="R17" s="2978"/>
      <c r="S17" s="2978"/>
      <c r="T17" s="2978"/>
      <c r="U17" s="2978"/>
      <c r="V17" s="2978"/>
      <c r="W17" s="2978"/>
      <c r="X17" s="2978"/>
      <c r="Y17" s="2978"/>
      <c r="Z17" s="2978"/>
      <c r="AA17" s="2978"/>
      <c r="AB17" s="2978"/>
      <c r="AC17" s="2978"/>
      <c r="AD17" s="2978"/>
    </row>
    <row r="18" spans="3:30" s="2966" customFormat="1" ht="18.600000000000001" customHeight="1">
      <c r="C18" s="1715"/>
      <c r="D18" s="2974" t="s">
        <v>2813</v>
      </c>
      <c r="E18" s="2975">
        <v>5654</v>
      </c>
      <c r="F18" s="2975">
        <v>3203.6000000000004</v>
      </c>
      <c r="G18" s="2975">
        <v>1775.8</v>
      </c>
      <c r="H18" s="2975">
        <v>5575.5</v>
      </c>
      <c r="I18" s="2975">
        <v>5213.1000000000004</v>
      </c>
      <c r="J18" s="2975">
        <v>4820</v>
      </c>
      <c r="K18" s="2975">
        <v>4285.2</v>
      </c>
      <c r="L18" s="2975">
        <v>4464.2</v>
      </c>
      <c r="M18" s="2976">
        <v>5069.1000000000004</v>
      </c>
      <c r="N18" s="2977" t="s">
        <v>2812</v>
      </c>
      <c r="O18" s="1714"/>
      <c r="P18" s="2978"/>
      <c r="Q18" s="2978"/>
      <c r="R18" s="2978"/>
      <c r="S18" s="2978"/>
      <c r="T18" s="2978"/>
      <c r="U18" s="2978"/>
      <c r="V18" s="2978"/>
      <c r="W18" s="2978"/>
      <c r="X18" s="2978"/>
      <c r="Y18" s="2978"/>
      <c r="Z18" s="2978"/>
      <c r="AA18" s="2978"/>
      <c r="AB18" s="2978"/>
      <c r="AC18" s="2978"/>
      <c r="AD18" s="2978"/>
    </row>
    <row r="19" spans="3:30" s="2971" customFormat="1" ht="18.600000000000001" customHeight="1">
      <c r="C19" s="1715"/>
      <c r="D19" s="2980" t="s">
        <v>2811</v>
      </c>
      <c r="E19" s="2981">
        <v>4026.2000000000007</v>
      </c>
      <c r="F19" s="2981">
        <v>2949.6000000000004</v>
      </c>
      <c r="G19" s="2981">
        <v>2197.5</v>
      </c>
      <c r="H19" s="2981">
        <v>3486.8999999999992</v>
      </c>
      <c r="I19" s="2981">
        <v>3453</v>
      </c>
      <c r="J19" s="2981">
        <v>3429</v>
      </c>
      <c r="K19" s="2981">
        <v>3365.3</v>
      </c>
      <c r="L19" s="2981">
        <v>3273.5</v>
      </c>
      <c r="M19" s="2982">
        <v>3290.2</v>
      </c>
      <c r="N19" s="2983" t="s">
        <v>2810</v>
      </c>
      <c r="O19" s="1714"/>
      <c r="P19" s="2978"/>
      <c r="Q19" s="2978"/>
      <c r="R19" s="2978"/>
      <c r="S19" s="2978"/>
      <c r="T19" s="2978"/>
      <c r="U19" s="2978"/>
      <c r="V19" s="2978"/>
      <c r="W19" s="2978"/>
      <c r="X19" s="2978"/>
      <c r="Y19" s="2978"/>
      <c r="Z19" s="2978"/>
      <c r="AA19" s="2978"/>
      <c r="AB19" s="2978"/>
      <c r="AC19" s="2978"/>
      <c r="AD19" s="2978"/>
    </row>
    <row r="20" spans="3:30" s="2966" customFormat="1" ht="18.600000000000001" customHeight="1">
      <c r="C20" s="1715"/>
      <c r="D20" s="2984" t="s">
        <v>2876</v>
      </c>
      <c r="E20" s="2985">
        <v>-1198.8000000000002</v>
      </c>
      <c r="F20" s="2985">
        <v>-1031.3000000000002</v>
      </c>
      <c r="G20" s="2985">
        <v>-1009.7</v>
      </c>
      <c r="H20" s="2985">
        <v>-885.19999999999993</v>
      </c>
      <c r="I20" s="2985">
        <v>-916.60000000000014</v>
      </c>
      <c r="J20" s="2985">
        <v>-936.49999999999989</v>
      </c>
      <c r="K20" s="2985">
        <v>-921.00000000000011</v>
      </c>
      <c r="L20" s="2985">
        <v>-924.69999999999993</v>
      </c>
      <c r="M20" s="2986">
        <v>-763.69999999999982</v>
      </c>
      <c r="N20" s="2988" t="s">
        <v>2875</v>
      </c>
      <c r="O20" s="1714"/>
      <c r="P20" s="2978"/>
      <c r="Q20" s="2978"/>
      <c r="R20" s="2978"/>
      <c r="S20" s="2978"/>
      <c r="T20" s="2978"/>
      <c r="U20" s="2978"/>
      <c r="V20" s="2978"/>
      <c r="W20" s="2978"/>
      <c r="X20" s="2978"/>
      <c r="Y20" s="2978"/>
      <c r="Z20" s="2978"/>
      <c r="AA20" s="2978"/>
      <c r="AB20" s="2978"/>
      <c r="AC20" s="2978"/>
      <c r="AD20" s="2978"/>
    </row>
    <row r="21" spans="3:30" s="2966" customFormat="1" ht="18.600000000000001" customHeight="1">
      <c r="C21" s="1715"/>
      <c r="D21" s="2989" t="s">
        <v>2867</v>
      </c>
      <c r="E21" s="2990">
        <v>1086.2</v>
      </c>
      <c r="F21" s="2990">
        <v>677.3</v>
      </c>
      <c r="G21" s="2990">
        <v>346.29999999999995</v>
      </c>
      <c r="H21" s="2990">
        <v>952.30000000000007</v>
      </c>
      <c r="I21" s="2990">
        <v>947.5</v>
      </c>
      <c r="J21" s="2990">
        <v>891.4</v>
      </c>
      <c r="K21" s="2990">
        <v>885.69999999999993</v>
      </c>
      <c r="L21" s="2990">
        <v>877.19999999999993</v>
      </c>
      <c r="M21" s="2991">
        <v>1137</v>
      </c>
      <c r="N21" s="2992" t="s">
        <v>2874</v>
      </c>
      <c r="O21" s="1714"/>
      <c r="P21" s="2978"/>
      <c r="Q21" s="2978"/>
      <c r="R21" s="2978"/>
      <c r="S21" s="2978"/>
      <c r="T21" s="2978"/>
      <c r="U21" s="2978"/>
      <c r="V21" s="2978"/>
      <c r="W21" s="2978"/>
      <c r="X21" s="2978"/>
      <c r="Y21" s="2978"/>
      <c r="Z21" s="2978"/>
      <c r="AA21" s="2978"/>
      <c r="AB21" s="2978"/>
      <c r="AC21" s="2978"/>
      <c r="AD21" s="2978"/>
    </row>
    <row r="22" spans="3:30" s="2966" customFormat="1" ht="18.600000000000001" customHeight="1">
      <c r="C22" s="1715"/>
      <c r="D22" s="2993" t="s">
        <v>2872</v>
      </c>
      <c r="E22" s="2985">
        <v>784.7</v>
      </c>
      <c r="F22" s="2985">
        <v>474.29999999999995</v>
      </c>
      <c r="G22" s="2985">
        <v>238.40000000000003</v>
      </c>
      <c r="H22" s="2985">
        <v>694.9</v>
      </c>
      <c r="I22" s="2985">
        <v>690.4</v>
      </c>
      <c r="J22" s="2985">
        <v>646.1</v>
      </c>
      <c r="K22" s="2985">
        <v>638</v>
      </c>
      <c r="L22" s="2985">
        <v>641.1</v>
      </c>
      <c r="M22" s="2986">
        <v>811.8</v>
      </c>
      <c r="N22" s="2994" t="s">
        <v>2871</v>
      </c>
      <c r="O22" s="1714"/>
      <c r="P22" s="2978"/>
      <c r="Q22" s="2978"/>
      <c r="R22" s="2978"/>
      <c r="S22" s="2978"/>
      <c r="T22" s="2978"/>
      <c r="U22" s="2978"/>
      <c r="V22" s="2978"/>
      <c r="W22" s="2978"/>
      <c r="X22" s="2978"/>
      <c r="Y22" s="2978"/>
      <c r="Z22" s="2978"/>
      <c r="AA22" s="2978"/>
      <c r="AB22" s="2978"/>
      <c r="AC22" s="2978"/>
      <c r="AD22" s="2978"/>
    </row>
    <row r="23" spans="3:30" s="2966" customFormat="1" ht="18.600000000000001" customHeight="1">
      <c r="C23" s="1715"/>
      <c r="D23" s="2995" t="s">
        <v>1149</v>
      </c>
      <c r="E23" s="2990">
        <v>39.9</v>
      </c>
      <c r="F23" s="2990">
        <v>44.900000000000006</v>
      </c>
      <c r="G23" s="2990">
        <v>28.5</v>
      </c>
      <c r="H23" s="2990">
        <v>25.900000000000002</v>
      </c>
      <c r="I23" s="2990">
        <v>26.9</v>
      </c>
      <c r="J23" s="2990">
        <v>30.1</v>
      </c>
      <c r="K23" s="2990">
        <v>35.1</v>
      </c>
      <c r="L23" s="2990">
        <v>22.4</v>
      </c>
      <c r="M23" s="2991">
        <v>59.8</v>
      </c>
      <c r="N23" s="2996" t="s">
        <v>2870</v>
      </c>
      <c r="O23" s="1714"/>
      <c r="P23" s="2978"/>
      <c r="Q23" s="2978"/>
      <c r="R23" s="2978"/>
      <c r="S23" s="2978"/>
      <c r="T23" s="2978"/>
      <c r="U23" s="2978"/>
      <c r="V23" s="2978"/>
      <c r="W23" s="2978"/>
      <c r="X23" s="2978"/>
      <c r="Y23" s="2978"/>
      <c r="Z23" s="2978"/>
      <c r="AA23" s="2978"/>
      <c r="AB23" s="2978"/>
      <c r="AC23" s="2978"/>
      <c r="AD23" s="2978"/>
    </row>
    <row r="24" spans="3:30" s="2966" customFormat="1" ht="18.600000000000001" customHeight="1">
      <c r="C24" s="1715"/>
      <c r="D24" s="2984" t="s">
        <v>2863</v>
      </c>
      <c r="E24" s="2985">
        <v>2285</v>
      </c>
      <c r="F24" s="2985">
        <v>1708.6</v>
      </c>
      <c r="G24" s="2985">
        <v>1356</v>
      </c>
      <c r="H24" s="2985">
        <v>1837.5</v>
      </c>
      <c r="I24" s="2985">
        <v>1864.1000000000001</v>
      </c>
      <c r="J24" s="2985">
        <v>1827.8999999999999</v>
      </c>
      <c r="K24" s="2985">
        <v>1806.7000000000003</v>
      </c>
      <c r="L24" s="2985">
        <v>1801.8999999999999</v>
      </c>
      <c r="M24" s="2986">
        <v>1900.6999999999998</v>
      </c>
      <c r="N24" s="2997" t="s">
        <v>2873</v>
      </c>
      <c r="O24" s="1714"/>
      <c r="P24" s="2978"/>
      <c r="Q24" s="2978"/>
      <c r="R24" s="2978"/>
      <c r="S24" s="2978"/>
      <c r="T24" s="2978"/>
      <c r="U24" s="2978"/>
      <c r="V24" s="2978"/>
      <c r="W24" s="2978"/>
      <c r="X24" s="2978"/>
      <c r="Y24" s="2978"/>
      <c r="Z24" s="2978"/>
      <c r="AA24" s="2978"/>
      <c r="AB24" s="2978"/>
      <c r="AC24" s="2978"/>
      <c r="AD24" s="2978"/>
    </row>
    <row r="25" spans="3:30" s="2966" customFormat="1" ht="18.600000000000001" customHeight="1">
      <c r="C25" s="1715"/>
      <c r="D25" s="2995" t="s">
        <v>2872</v>
      </c>
      <c r="E25" s="2990">
        <v>68.699999999999989</v>
      </c>
      <c r="F25" s="2990">
        <v>44.599999999999994</v>
      </c>
      <c r="G25" s="2990">
        <v>19.3</v>
      </c>
      <c r="H25" s="2990">
        <v>76.5</v>
      </c>
      <c r="I25" s="2990">
        <v>75.099999999999994</v>
      </c>
      <c r="J25" s="2990">
        <v>77.8</v>
      </c>
      <c r="K25" s="2990">
        <v>77.5</v>
      </c>
      <c r="L25" s="2990">
        <v>76</v>
      </c>
      <c r="M25" s="2991">
        <v>77.2</v>
      </c>
      <c r="N25" s="2996" t="s">
        <v>2871</v>
      </c>
      <c r="O25" s="1714"/>
      <c r="P25" s="2978"/>
      <c r="Q25" s="2978"/>
      <c r="R25" s="2978"/>
      <c r="S25" s="2978"/>
      <c r="T25" s="2978"/>
      <c r="U25" s="2978"/>
      <c r="V25" s="2978"/>
      <c r="W25" s="2978"/>
      <c r="X25" s="2978"/>
      <c r="Y25" s="2978"/>
      <c r="Z25" s="2978"/>
      <c r="AA25" s="2978"/>
      <c r="AB25" s="2978"/>
      <c r="AC25" s="2978"/>
      <c r="AD25" s="2978"/>
    </row>
    <row r="26" spans="3:30" s="2971" customFormat="1" ht="18.600000000000001" customHeight="1">
      <c r="C26" s="1715"/>
      <c r="D26" s="2993" t="s">
        <v>1149</v>
      </c>
      <c r="E26" s="2985">
        <v>1744</v>
      </c>
      <c r="F26" s="2985">
        <v>1376.1000000000001</v>
      </c>
      <c r="G26" s="2985">
        <v>1100.5999999999999</v>
      </c>
      <c r="H26" s="2985">
        <v>1224.2</v>
      </c>
      <c r="I26" s="2985">
        <v>1296.2</v>
      </c>
      <c r="J26" s="2985">
        <v>1307.1999999999998</v>
      </c>
      <c r="K26" s="2985">
        <v>1230.3000000000002</v>
      </c>
      <c r="L26" s="2985">
        <v>1304.3</v>
      </c>
      <c r="M26" s="2986">
        <v>1461.2</v>
      </c>
      <c r="N26" s="2994" t="s">
        <v>2870</v>
      </c>
      <c r="O26" s="1714"/>
      <c r="P26" s="2978"/>
      <c r="Q26" s="2978"/>
      <c r="R26" s="2978"/>
      <c r="S26" s="2978"/>
      <c r="T26" s="2978"/>
      <c r="U26" s="2978"/>
      <c r="V26" s="2978"/>
      <c r="W26" s="2978"/>
      <c r="X26" s="2978"/>
      <c r="Y26" s="2978"/>
      <c r="Z26" s="2978"/>
      <c r="AA26" s="2978"/>
      <c r="AB26" s="2978"/>
      <c r="AC26" s="2978"/>
      <c r="AD26" s="2978"/>
    </row>
    <row r="27" spans="3:30" s="2966" customFormat="1" ht="18.600000000000001" customHeight="1">
      <c r="C27" s="1715"/>
      <c r="D27" s="2989" t="s">
        <v>2869</v>
      </c>
      <c r="E27" s="2990">
        <v>3082.9</v>
      </c>
      <c r="F27" s="2990">
        <v>1306.5999999999999</v>
      </c>
      <c r="G27" s="2990">
        <v>729.5</v>
      </c>
      <c r="H27" s="2990">
        <v>3070.6000000000004</v>
      </c>
      <c r="I27" s="2990">
        <v>2742</v>
      </c>
      <c r="J27" s="2990">
        <v>2309.5</v>
      </c>
      <c r="K27" s="2990">
        <v>1977.9</v>
      </c>
      <c r="L27" s="2990">
        <v>2062.6999999999998</v>
      </c>
      <c r="M27" s="2991">
        <v>2295.9</v>
      </c>
      <c r="N27" s="2998" t="s">
        <v>2868</v>
      </c>
      <c r="O27" s="1714"/>
      <c r="P27" s="2978"/>
      <c r="Q27" s="2978"/>
      <c r="R27" s="2978"/>
      <c r="S27" s="2978"/>
      <c r="T27" s="2978"/>
      <c r="U27" s="2978"/>
      <c r="V27" s="2978"/>
      <c r="W27" s="2978"/>
      <c r="X27" s="2978"/>
      <c r="Y27" s="2978"/>
      <c r="Z27" s="2978"/>
      <c r="AA27" s="2978"/>
      <c r="AB27" s="2978"/>
      <c r="AC27" s="2978"/>
      <c r="AD27" s="2978"/>
    </row>
    <row r="28" spans="3:30" s="2966" customFormat="1" ht="18.600000000000001" customHeight="1">
      <c r="C28" s="1715"/>
      <c r="D28" s="2984" t="s">
        <v>2867</v>
      </c>
      <c r="E28" s="2985">
        <v>4123.5999999999995</v>
      </c>
      <c r="F28" s="2985">
        <v>1958.5</v>
      </c>
      <c r="G28" s="2985">
        <v>1000.3</v>
      </c>
      <c r="H28" s="2985">
        <v>4108.2</v>
      </c>
      <c r="I28" s="2985">
        <v>3726.6</v>
      </c>
      <c r="J28" s="2985">
        <v>3293.4</v>
      </c>
      <c r="K28" s="2985">
        <v>2870.8999999999996</v>
      </c>
      <c r="L28" s="2985">
        <v>2886</v>
      </c>
      <c r="M28" s="2986">
        <v>3106.6</v>
      </c>
      <c r="N28" s="2997" t="s">
        <v>2866</v>
      </c>
      <c r="O28" s="1714"/>
      <c r="P28" s="2978"/>
      <c r="Q28" s="2978"/>
      <c r="R28" s="2978"/>
      <c r="S28" s="2978"/>
      <c r="T28" s="2978"/>
      <c r="U28" s="2978"/>
      <c r="V28" s="2978"/>
      <c r="W28" s="2978"/>
      <c r="X28" s="2978"/>
      <c r="Y28" s="2978"/>
      <c r="Z28" s="2978"/>
      <c r="AA28" s="2978"/>
      <c r="AB28" s="2978"/>
      <c r="AC28" s="2978"/>
      <c r="AD28" s="2978"/>
    </row>
    <row r="29" spans="3:30" s="2966" customFormat="1" ht="18.600000000000001" customHeight="1">
      <c r="C29" s="1715"/>
      <c r="D29" s="2999" t="s">
        <v>2865</v>
      </c>
      <c r="E29" s="2990">
        <v>339.8</v>
      </c>
      <c r="F29" s="2990">
        <v>158.1</v>
      </c>
      <c r="G29" s="2990">
        <v>82.499999999999986</v>
      </c>
      <c r="H29" s="2990">
        <v>336.2</v>
      </c>
      <c r="I29" s="2990">
        <v>292.60000000000002</v>
      </c>
      <c r="J29" s="2990">
        <v>245.3</v>
      </c>
      <c r="K29" s="2990">
        <v>213.39999999999998</v>
      </c>
      <c r="L29" s="2990">
        <v>214.3</v>
      </c>
      <c r="M29" s="2991">
        <v>241.2</v>
      </c>
      <c r="N29" s="2992" t="s">
        <v>2860</v>
      </c>
      <c r="O29" s="1714"/>
      <c r="P29" s="2978"/>
      <c r="Q29" s="2978"/>
      <c r="R29" s="2978"/>
      <c r="S29" s="2978"/>
      <c r="T29" s="2978"/>
      <c r="U29" s="2978"/>
      <c r="V29" s="2978"/>
      <c r="W29" s="2978"/>
      <c r="X29" s="2978"/>
      <c r="Y29" s="2978"/>
      <c r="Z29" s="2978"/>
      <c r="AA29" s="2978"/>
      <c r="AB29" s="2978"/>
      <c r="AC29" s="2978"/>
      <c r="AD29" s="2978"/>
    </row>
    <row r="30" spans="3:30" s="2966" customFormat="1" ht="18.600000000000001" customHeight="1">
      <c r="C30" s="1715"/>
      <c r="D30" s="3000" t="s">
        <v>2864</v>
      </c>
      <c r="E30" s="2985">
        <v>3783.8</v>
      </c>
      <c r="F30" s="2985">
        <v>1800.3999999999999</v>
      </c>
      <c r="G30" s="2985">
        <v>917.8</v>
      </c>
      <c r="H30" s="2985">
        <v>3772</v>
      </c>
      <c r="I30" s="2985">
        <v>3434</v>
      </c>
      <c r="J30" s="2985">
        <v>3048.1235677244417</v>
      </c>
      <c r="K30" s="2985">
        <v>2657.5000000000005</v>
      </c>
      <c r="L30" s="2985">
        <v>2671.73</v>
      </c>
      <c r="M30" s="2986">
        <v>2865.4</v>
      </c>
      <c r="N30" s="2997" t="s">
        <v>2858</v>
      </c>
      <c r="O30" s="1714"/>
      <c r="P30" s="2978"/>
      <c r="Q30" s="2978"/>
      <c r="R30" s="2978"/>
      <c r="S30" s="2978"/>
      <c r="T30" s="2978"/>
      <c r="U30" s="2978"/>
      <c r="V30" s="2978"/>
      <c r="W30" s="2978"/>
      <c r="X30" s="2978"/>
      <c r="Y30" s="2978"/>
      <c r="Z30" s="2978"/>
      <c r="AA30" s="2978"/>
      <c r="AB30" s="2978"/>
      <c r="AC30" s="2978"/>
      <c r="AD30" s="2978"/>
    </row>
    <row r="31" spans="3:30" s="2966" customFormat="1" ht="18.600000000000001" customHeight="1">
      <c r="C31" s="1715"/>
      <c r="D31" s="2995" t="s">
        <v>2857</v>
      </c>
      <c r="E31" s="2990">
        <v>451.5</v>
      </c>
      <c r="F31" s="2990">
        <v>180.2</v>
      </c>
      <c r="G31" s="2990">
        <v>108.6</v>
      </c>
      <c r="H31" s="2990">
        <v>441</v>
      </c>
      <c r="I31" s="2990">
        <v>419.09999999999997</v>
      </c>
      <c r="J31" s="2990">
        <v>357.7670884151363</v>
      </c>
      <c r="K31" s="2990">
        <v>316.5</v>
      </c>
      <c r="L31" s="2990">
        <v>447.59999999999997</v>
      </c>
      <c r="M31" s="2991">
        <v>483.80000000000007</v>
      </c>
      <c r="N31" s="2996" t="s">
        <v>2856</v>
      </c>
      <c r="O31" s="1714"/>
      <c r="P31" s="2978"/>
      <c r="Q31" s="2978"/>
      <c r="R31" s="2978"/>
      <c r="S31" s="2978"/>
      <c r="T31" s="2978"/>
      <c r="U31" s="2978"/>
      <c r="V31" s="2978"/>
      <c r="W31" s="2978"/>
      <c r="X31" s="2978"/>
      <c r="Y31" s="2978"/>
      <c r="Z31" s="2978"/>
      <c r="AA31" s="2978"/>
      <c r="AB31" s="2978"/>
      <c r="AC31" s="2978"/>
      <c r="AD31" s="2978"/>
    </row>
    <row r="32" spans="3:30" s="2966" customFormat="1" ht="18.600000000000001" customHeight="1">
      <c r="C32" s="1715"/>
      <c r="D32" s="2993" t="s">
        <v>2855</v>
      </c>
      <c r="E32" s="2985">
        <v>624.9</v>
      </c>
      <c r="F32" s="2985">
        <v>286</v>
      </c>
      <c r="G32" s="2985">
        <v>149.70000000000002</v>
      </c>
      <c r="H32" s="2985">
        <v>597</v>
      </c>
      <c r="I32" s="2985">
        <v>549.69999999999993</v>
      </c>
      <c r="J32" s="2985">
        <v>493.78641486641089</v>
      </c>
      <c r="K32" s="2985">
        <v>353.4</v>
      </c>
      <c r="L32" s="2985">
        <v>384.4</v>
      </c>
      <c r="M32" s="2986">
        <v>381.7</v>
      </c>
      <c r="N32" s="2994" t="s">
        <v>2854</v>
      </c>
      <c r="O32" s="1714"/>
      <c r="P32" s="2978"/>
      <c r="Q32" s="2978"/>
      <c r="R32" s="2978"/>
      <c r="S32" s="2978"/>
      <c r="T32" s="2978"/>
      <c r="U32" s="2978"/>
      <c r="V32" s="2978"/>
      <c r="W32" s="2978"/>
      <c r="X32" s="2978"/>
      <c r="Y32" s="2978"/>
      <c r="Z32" s="2978"/>
      <c r="AA32" s="2978"/>
      <c r="AB32" s="2978"/>
      <c r="AC32" s="2978"/>
      <c r="AD32" s="2978"/>
    </row>
    <row r="33" spans="3:30" s="2966" customFormat="1" ht="18.600000000000001" customHeight="1">
      <c r="C33" s="1715"/>
      <c r="D33" s="2989" t="s">
        <v>2863</v>
      </c>
      <c r="E33" s="2990">
        <v>1040.7</v>
      </c>
      <c r="F33" s="2990">
        <v>651.9</v>
      </c>
      <c r="G33" s="2990">
        <v>270.8</v>
      </c>
      <c r="H33" s="2990">
        <v>1037.5999999999999</v>
      </c>
      <c r="I33" s="2990">
        <v>984.59999999999991</v>
      </c>
      <c r="J33" s="2990">
        <v>983.90000000000009</v>
      </c>
      <c r="K33" s="2990">
        <v>893</v>
      </c>
      <c r="L33" s="2990">
        <v>823.30000000000007</v>
      </c>
      <c r="M33" s="2991">
        <v>810.7</v>
      </c>
      <c r="N33" s="2992" t="s">
        <v>2862</v>
      </c>
      <c r="O33" s="1714"/>
      <c r="P33" s="2978"/>
      <c r="Q33" s="2978"/>
      <c r="R33" s="2978"/>
      <c r="S33" s="2978"/>
      <c r="T33" s="2978"/>
      <c r="U33" s="2978"/>
      <c r="V33" s="2978"/>
      <c r="W33" s="2978"/>
      <c r="X33" s="2978"/>
      <c r="Y33" s="2978"/>
      <c r="Z33" s="2978"/>
      <c r="AA33" s="2978"/>
      <c r="AB33" s="2978"/>
      <c r="AC33" s="2978"/>
      <c r="AD33" s="2978"/>
    </row>
    <row r="34" spans="3:30" s="2966" customFormat="1" ht="18.600000000000001" customHeight="1">
      <c r="C34" s="1715"/>
      <c r="D34" s="3000" t="s">
        <v>2861</v>
      </c>
      <c r="E34" s="2985">
        <v>151.6</v>
      </c>
      <c r="F34" s="2985">
        <v>89.2</v>
      </c>
      <c r="G34" s="2985">
        <v>40.200000000000003</v>
      </c>
      <c r="H34" s="2985">
        <v>150.19999999999999</v>
      </c>
      <c r="I34" s="2985">
        <v>141.19999999999999</v>
      </c>
      <c r="J34" s="2985">
        <v>143.60000000000002</v>
      </c>
      <c r="K34" s="2985">
        <v>188.7</v>
      </c>
      <c r="L34" s="2985">
        <v>171.4</v>
      </c>
      <c r="M34" s="2986">
        <v>166.6</v>
      </c>
      <c r="N34" s="2997" t="s">
        <v>2860</v>
      </c>
      <c r="O34" s="1714"/>
      <c r="P34" s="2978"/>
      <c r="Q34" s="2978"/>
      <c r="R34" s="2978"/>
      <c r="S34" s="2978"/>
      <c r="T34" s="2978"/>
      <c r="U34" s="2978"/>
      <c r="V34" s="2978"/>
      <c r="W34" s="2978"/>
      <c r="X34" s="2978"/>
      <c r="Y34" s="2978"/>
      <c r="Z34" s="2978"/>
      <c r="AA34" s="2978"/>
      <c r="AB34" s="2978"/>
      <c r="AC34" s="2978"/>
      <c r="AD34" s="2978"/>
    </row>
    <row r="35" spans="3:30" s="2966" customFormat="1" ht="18.600000000000001" customHeight="1">
      <c r="C35" s="1715"/>
      <c r="D35" s="2999" t="s">
        <v>2859</v>
      </c>
      <c r="E35" s="2990">
        <v>889.1</v>
      </c>
      <c r="F35" s="2990">
        <v>562.70000000000005</v>
      </c>
      <c r="G35" s="2990">
        <v>230.60000000000002</v>
      </c>
      <c r="H35" s="2990">
        <v>887.40000000000009</v>
      </c>
      <c r="I35" s="2990">
        <v>843.40000000000009</v>
      </c>
      <c r="J35" s="2990">
        <v>840.3</v>
      </c>
      <c r="K35" s="2990">
        <v>704.29</v>
      </c>
      <c r="L35" s="2990">
        <v>651.97</v>
      </c>
      <c r="M35" s="2991">
        <v>644.1</v>
      </c>
      <c r="N35" s="2992" t="s">
        <v>2858</v>
      </c>
      <c r="O35" s="1714"/>
      <c r="P35" s="2978"/>
      <c r="Q35" s="2978"/>
      <c r="R35" s="2978"/>
      <c r="S35" s="2978"/>
      <c r="T35" s="2978"/>
      <c r="U35" s="2978"/>
      <c r="V35" s="2978"/>
      <c r="W35" s="2978"/>
      <c r="X35" s="2978"/>
      <c r="Y35" s="2978"/>
      <c r="Z35" s="2978"/>
      <c r="AA35" s="2978"/>
      <c r="AB35" s="2978"/>
      <c r="AC35" s="2978"/>
      <c r="AD35" s="2978"/>
    </row>
    <row r="36" spans="3:30" s="2966" customFormat="1" ht="18.600000000000001" customHeight="1">
      <c r="C36" s="1715"/>
      <c r="D36" s="2993" t="s">
        <v>2857</v>
      </c>
      <c r="E36" s="2985">
        <v>12.100000000000001</v>
      </c>
      <c r="F36" s="2985">
        <v>7.3999999999999995</v>
      </c>
      <c r="G36" s="2985">
        <v>3.2</v>
      </c>
      <c r="H36" s="2985">
        <v>12</v>
      </c>
      <c r="I36" s="2985">
        <v>11.399999999999999</v>
      </c>
      <c r="J36" s="2985">
        <v>11.4</v>
      </c>
      <c r="K36" s="2985">
        <v>7.2</v>
      </c>
      <c r="L36" s="2985">
        <v>6.7</v>
      </c>
      <c r="M36" s="2986">
        <v>6.5</v>
      </c>
      <c r="N36" s="2994" t="s">
        <v>2856</v>
      </c>
      <c r="O36" s="1714"/>
      <c r="P36" s="2978"/>
      <c r="Q36" s="2978"/>
      <c r="R36" s="2978"/>
      <c r="S36" s="2978"/>
      <c r="T36" s="2978"/>
      <c r="U36" s="2978"/>
      <c r="V36" s="2978"/>
      <c r="W36" s="2978"/>
      <c r="X36" s="2978"/>
      <c r="Y36" s="2978"/>
      <c r="Z36" s="2978"/>
      <c r="AA36" s="2978"/>
      <c r="AB36" s="2978"/>
      <c r="AC36" s="2978"/>
      <c r="AD36" s="2978"/>
    </row>
    <row r="37" spans="3:30" s="2966" customFormat="1" ht="18.600000000000001" customHeight="1">
      <c r="C37" s="1715"/>
      <c r="D37" s="2995" t="s">
        <v>2855</v>
      </c>
      <c r="E37" s="2990">
        <v>64.599999999999994</v>
      </c>
      <c r="F37" s="2990">
        <v>37.300000000000004</v>
      </c>
      <c r="G37" s="2990">
        <v>17.100000000000001</v>
      </c>
      <c r="H37" s="2990">
        <v>63.8</v>
      </c>
      <c r="I37" s="2990">
        <v>59.5</v>
      </c>
      <c r="J37" s="2990">
        <v>61</v>
      </c>
      <c r="K37" s="2990">
        <v>68.699999999999989</v>
      </c>
      <c r="L37" s="2990">
        <v>61.199999999999996</v>
      </c>
      <c r="M37" s="2991">
        <v>58.1</v>
      </c>
      <c r="N37" s="2996" t="s">
        <v>2854</v>
      </c>
      <c r="O37" s="1714"/>
      <c r="P37" s="2978"/>
      <c r="Q37" s="2978"/>
      <c r="R37" s="2978"/>
      <c r="S37" s="2978"/>
      <c r="T37" s="2978"/>
      <c r="U37" s="2978"/>
      <c r="V37" s="2978"/>
      <c r="W37" s="2978"/>
      <c r="X37" s="2978"/>
      <c r="Y37" s="2978"/>
      <c r="Z37" s="2978"/>
      <c r="AA37" s="2978"/>
      <c r="AB37" s="2978"/>
      <c r="AC37" s="2978"/>
      <c r="AD37" s="2978"/>
    </row>
    <row r="38" spans="3:30" s="2966" customFormat="1" ht="18.600000000000001" customHeight="1">
      <c r="D38" s="2984" t="s">
        <v>705</v>
      </c>
      <c r="E38" s="2985">
        <v>31.699999999999996</v>
      </c>
      <c r="F38" s="2985">
        <v>38.700000000000003</v>
      </c>
      <c r="G38" s="2985">
        <v>13.800000000000002</v>
      </c>
      <c r="H38" s="2985">
        <v>26.8</v>
      </c>
      <c r="I38" s="2985">
        <v>21.7</v>
      </c>
      <c r="J38" s="2985">
        <v>37.5</v>
      </c>
      <c r="K38" s="2985">
        <v>33.599999999999994</v>
      </c>
      <c r="L38" s="2985">
        <v>21.200000000000003</v>
      </c>
      <c r="M38" s="2986">
        <v>-3.8000000000000007</v>
      </c>
      <c r="N38" s="2988" t="s">
        <v>2853</v>
      </c>
      <c r="P38" s="2973"/>
      <c r="Q38" s="2973"/>
      <c r="R38" s="2973"/>
      <c r="S38" s="2973"/>
      <c r="T38" s="2973"/>
      <c r="U38" s="2973"/>
      <c r="V38" s="2973"/>
      <c r="W38" s="2973"/>
      <c r="X38" s="2973"/>
      <c r="Y38" s="2973"/>
      <c r="Z38" s="2973"/>
      <c r="AA38" s="2973"/>
      <c r="AB38" s="2973"/>
      <c r="AC38" s="2973"/>
      <c r="AD38" s="2973"/>
    </row>
    <row r="39" spans="3:30" s="2966" customFormat="1" ht="18.600000000000001" customHeight="1">
      <c r="D39" s="2999" t="s">
        <v>2813</v>
      </c>
      <c r="E39" s="2990">
        <v>48.4</v>
      </c>
      <c r="F39" s="2990">
        <v>57.6</v>
      </c>
      <c r="G39" s="2990">
        <v>52.5</v>
      </c>
      <c r="H39" s="2990">
        <v>51.6</v>
      </c>
      <c r="I39" s="2990">
        <v>41.2</v>
      </c>
      <c r="J39" s="2990">
        <v>49.8</v>
      </c>
      <c r="K39" s="2990">
        <v>45.5</v>
      </c>
      <c r="L39" s="2990">
        <v>36.1</v>
      </c>
      <c r="M39" s="2991">
        <v>7.3999999999999995</v>
      </c>
      <c r="N39" s="2992" t="s">
        <v>2812</v>
      </c>
      <c r="P39" s="2973"/>
      <c r="Q39" s="2973"/>
      <c r="R39" s="2973"/>
      <c r="S39" s="2973"/>
      <c r="T39" s="2973"/>
      <c r="U39" s="2973"/>
      <c r="V39" s="2973"/>
      <c r="W39" s="2973"/>
      <c r="X39" s="2973"/>
      <c r="Y39" s="2973"/>
      <c r="Z39" s="2973"/>
      <c r="AA39" s="2973"/>
      <c r="AB39" s="2973"/>
      <c r="AC39" s="2973"/>
      <c r="AD39" s="2973"/>
    </row>
    <row r="40" spans="3:30" s="2966" customFormat="1" ht="18.600000000000001" customHeight="1">
      <c r="D40" s="3000" t="s">
        <v>2811</v>
      </c>
      <c r="E40" s="2985">
        <v>16.7</v>
      </c>
      <c r="F40" s="2985">
        <v>18.899999999999999</v>
      </c>
      <c r="G40" s="2985">
        <v>38.700000000000003</v>
      </c>
      <c r="H40" s="2985">
        <v>24.8</v>
      </c>
      <c r="I40" s="2985">
        <v>19.5</v>
      </c>
      <c r="J40" s="2985">
        <v>12.3</v>
      </c>
      <c r="K40" s="2985">
        <v>11.9</v>
      </c>
      <c r="L40" s="2985">
        <v>14.9</v>
      </c>
      <c r="M40" s="2986">
        <v>11.200000000000001</v>
      </c>
      <c r="N40" s="2997" t="s">
        <v>2810</v>
      </c>
      <c r="P40" s="2973"/>
      <c r="Q40" s="2973"/>
      <c r="R40" s="2973"/>
      <c r="S40" s="2973"/>
      <c r="T40" s="2973"/>
      <c r="U40" s="2973"/>
      <c r="V40" s="2973"/>
      <c r="W40" s="2973"/>
      <c r="X40" s="2973"/>
      <c r="Y40" s="2973"/>
      <c r="Z40" s="2973"/>
      <c r="AA40" s="2973"/>
      <c r="AB40" s="2973"/>
      <c r="AC40" s="2973"/>
      <c r="AD40" s="2973"/>
    </row>
    <row r="41" spans="3:30" s="2966" customFormat="1" ht="18.600000000000001" customHeight="1">
      <c r="D41" s="2989" t="s">
        <v>2852</v>
      </c>
      <c r="E41" s="2990">
        <v>-439.4</v>
      </c>
      <c r="F41" s="2990">
        <v>-373.09999999999997</v>
      </c>
      <c r="G41" s="2990">
        <v>-279.8</v>
      </c>
      <c r="H41" s="2990">
        <v>-329.69999999999993</v>
      </c>
      <c r="I41" s="2990">
        <v>-286.89999999999998</v>
      </c>
      <c r="J41" s="2990">
        <v>-355.4</v>
      </c>
      <c r="K41" s="2990">
        <v>-388.70000000000005</v>
      </c>
      <c r="L41" s="2990">
        <v>-335.1</v>
      </c>
      <c r="M41" s="2991">
        <v>-324.70000000000005</v>
      </c>
      <c r="N41" s="2998" t="s">
        <v>2851</v>
      </c>
      <c r="P41" s="2973"/>
      <c r="Q41" s="2973"/>
      <c r="R41" s="2973"/>
      <c r="S41" s="2973"/>
      <c r="T41" s="2973"/>
      <c r="U41" s="2973"/>
      <c r="V41" s="2973"/>
      <c r="W41" s="2973"/>
      <c r="X41" s="2973"/>
      <c r="Y41" s="2973"/>
      <c r="Z41" s="2973"/>
      <c r="AA41" s="2973"/>
      <c r="AB41" s="2973"/>
      <c r="AC41" s="2973"/>
      <c r="AD41" s="2973"/>
    </row>
    <row r="42" spans="3:30" s="2966" customFormat="1" ht="18.600000000000001" customHeight="1">
      <c r="D42" s="3000" t="s">
        <v>2813</v>
      </c>
      <c r="E42" s="2985">
        <v>8.8000000000000007</v>
      </c>
      <c r="F42" s="2985">
        <v>0.8</v>
      </c>
      <c r="G42" s="2985">
        <v>6</v>
      </c>
      <c r="H42" s="2985">
        <v>13.6</v>
      </c>
      <c r="I42" s="2985">
        <v>43.6</v>
      </c>
      <c r="J42" s="2985">
        <v>2</v>
      </c>
      <c r="K42" s="2985">
        <v>0</v>
      </c>
      <c r="L42" s="2985">
        <v>13.2</v>
      </c>
      <c r="M42" s="2986">
        <v>0</v>
      </c>
      <c r="N42" s="2997" t="s">
        <v>2812</v>
      </c>
      <c r="P42" s="2973"/>
      <c r="Q42" s="2973"/>
      <c r="R42" s="2973"/>
      <c r="S42" s="2973"/>
      <c r="T42" s="2973"/>
      <c r="U42" s="2973"/>
      <c r="V42" s="2973"/>
      <c r="W42" s="2973"/>
      <c r="X42" s="2973"/>
      <c r="Y42" s="2973"/>
      <c r="Z42" s="2973"/>
      <c r="AA42" s="2973"/>
      <c r="AB42" s="2973"/>
      <c r="AC42" s="2973"/>
      <c r="AD42" s="2973"/>
    </row>
    <row r="43" spans="3:30" s="2966" customFormat="1" ht="18.600000000000001" customHeight="1">
      <c r="D43" s="2999" t="s">
        <v>2811</v>
      </c>
      <c r="E43" s="2990">
        <v>448.20000000000005</v>
      </c>
      <c r="F43" s="2990">
        <v>373.9</v>
      </c>
      <c r="G43" s="2990">
        <v>285.8</v>
      </c>
      <c r="H43" s="2990">
        <v>343.3</v>
      </c>
      <c r="I43" s="2990">
        <v>330.5</v>
      </c>
      <c r="J43" s="2990">
        <v>357.4</v>
      </c>
      <c r="K43" s="2990">
        <v>388.70000000000005</v>
      </c>
      <c r="L43" s="2990">
        <v>348.29999999999995</v>
      </c>
      <c r="M43" s="2991">
        <v>324.70000000000005</v>
      </c>
      <c r="N43" s="2992" t="s">
        <v>2810</v>
      </c>
      <c r="P43" s="2973"/>
      <c r="Q43" s="2973"/>
      <c r="R43" s="2973"/>
      <c r="S43" s="2973"/>
      <c r="T43" s="2973"/>
      <c r="U43" s="2973"/>
      <c r="V43" s="2973"/>
      <c r="W43" s="2973"/>
      <c r="X43" s="2973"/>
      <c r="Y43" s="2973"/>
      <c r="Z43" s="2973"/>
      <c r="AA43" s="2973"/>
      <c r="AB43" s="2973"/>
      <c r="AC43" s="2973"/>
      <c r="AD43" s="2973"/>
    </row>
    <row r="44" spans="3:30" s="2966" customFormat="1" ht="18.600000000000001" customHeight="1">
      <c r="D44" s="2984" t="s">
        <v>2850</v>
      </c>
      <c r="E44" s="2985">
        <v>54.400000000000006</v>
      </c>
      <c r="F44" s="2985">
        <v>57.4</v>
      </c>
      <c r="G44" s="2985">
        <v>-4.6999999999999993</v>
      </c>
      <c r="H44" s="2985">
        <v>29.599999999999998</v>
      </c>
      <c r="I44" s="2985">
        <v>28.8</v>
      </c>
      <c r="J44" s="2985">
        <v>3.3</v>
      </c>
      <c r="K44" s="2985">
        <v>18.899999999999999</v>
      </c>
      <c r="L44" s="2985">
        <v>27.300000000000004</v>
      </c>
      <c r="M44" s="2986">
        <v>26.200000000000003</v>
      </c>
      <c r="N44" s="2988" t="s">
        <v>2849</v>
      </c>
      <c r="P44" s="2973"/>
      <c r="Q44" s="2973"/>
      <c r="R44" s="2973"/>
      <c r="S44" s="2973"/>
      <c r="T44" s="2973"/>
      <c r="U44" s="2973"/>
      <c r="V44" s="2973"/>
      <c r="W44" s="2973"/>
      <c r="X44" s="2973"/>
      <c r="Y44" s="2973"/>
      <c r="Z44" s="2973"/>
      <c r="AA44" s="2973"/>
      <c r="AB44" s="2973"/>
      <c r="AC44" s="2973"/>
      <c r="AD44" s="2973"/>
    </row>
    <row r="45" spans="3:30" s="2966" customFormat="1" ht="18.600000000000001" customHeight="1">
      <c r="D45" s="2999" t="s">
        <v>2813</v>
      </c>
      <c r="E45" s="2990">
        <v>77.699999999999989</v>
      </c>
      <c r="F45" s="2990">
        <v>80.599999999999994</v>
      </c>
      <c r="G45" s="2990">
        <v>38.199999999999996</v>
      </c>
      <c r="H45" s="2990">
        <v>54</v>
      </c>
      <c r="I45" s="2990">
        <v>59.400000000000006</v>
      </c>
      <c r="J45" s="2990">
        <v>43.2</v>
      </c>
      <c r="K45" s="2990">
        <v>68.599999999999994</v>
      </c>
      <c r="L45" s="2990">
        <v>68.099999999999994</v>
      </c>
      <c r="M45" s="2991">
        <v>56.900000000000006</v>
      </c>
      <c r="N45" s="2992" t="s">
        <v>2812</v>
      </c>
      <c r="P45" s="2973"/>
      <c r="Q45" s="2973"/>
      <c r="R45" s="2973"/>
      <c r="S45" s="2973"/>
      <c r="T45" s="2973"/>
      <c r="U45" s="2973"/>
      <c r="V45" s="2973"/>
      <c r="W45" s="2973"/>
      <c r="X45" s="2973"/>
      <c r="Y45" s="2973"/>
      <c r="Z45" s="2973"/>
      <c r="AA45" s="2973"/>
      <c r="AB45" s="2973"/>
      <c r="AC45" s="2973"/>
      <c r="AD45" s="2973"/>
    </row>
    <row r="46" spans="3:30" s="2966" customFormat="1" ht="18.600000000000001" customHeight="1">
      <c r="D46" s="3000" t="s">
        <v>2811</v>
      </c>
      <c r="E46" s="2985">
        <v>23.3</v>
      </c>
      <c r="F46" s="2985">
        <v>23.200000000000003</v>
      </c>
      <c r="G46" s="2985">
        <v>42.9</v>
      </c>
      <c r="H46" s="2985">
        <v>24.400000000000002</v>
      </c>
      <c r="I46" s="2985">
        <v>30.599999999999998</v>
      </c>
      <c r="J46" s="2985">
        <v>39.900000000000006</v>
      </c>
      <c r="K46" s="2985">
        <v>49.7</v>
      </c>
      <c r="L46" s="2985">
        <v>40.799999999999997</v>
      </c>
      <c r="M46" s="2986">
        <v>30.700000000000003</v>
      </c>
      <c r="N46" s="2997" t="s">
        <v>2810</v>
      </c>
      <c r="P46" s="2973"/>
      <c r="Q46" s="2973"/>
      <c r="R46" s="2973"/>
      <c r="S46" s="2973"/>
      <c r="T46" s="2973"/>
      <c r="U46" s="2973"/>
      <c r="V46" s="2973"/>
      <c r="W46" s="2973"/>
      <c r="X46" s="2973"/>
      <c r="Y46" s="2973"/>
      <c r="Z46" s="2973"/>
      <c r="AA46" s="2973"/>
      <c r="AB46" s="2973"/>
      <c r="AC46" s="2973"/>
      <c r="AD46" s="2973"/>
    </row>
    <row r="47" spans="3:30" s="2966" customFormat="1" ht="18.600000000000001" customHeight="1">
      <c r="D47" s="2989" t="s">
        <v>2848</v>
      </c>
      <c r="E47" s="2990">
        <v>-13.7</v>
      </c>
      <c r="F47" s="2990">
        <v>-2.2999999999999998</v>
      </c>
      <c r="G47" s="2990">
        <v>-12.999999999999998</v>
      </c>
      <c r="H47" s="2990">
        <v>-13</v>
      </c>
      <c r="I47" s="2990">
        <v>-1.1999999999999997</v>
      </c>
      <c r="J47" s="2990">
        <v>9.4</v>
      </c>
      <c r="K47" s="2990">
        <v>-1.4</v>
      </c>
      <c r="L47" s="2990">
        <v>-1.4</v>
      </c>
      <c r="M47" s="2991">
        <v>6</v>
      </c>
      <c r="N47" s="2998" t="s">
        <v>2847</v>
      </c>
      <c r="P47" s="2973"/>
      <c r="Q47" s="2973"/>
      <c r="R47" s="2973"/>
      <c r="S47" s="2973"/>
      <c r="T47" s="2973"/>
      <c r="U47" s="2973"/>
      <c r="V47" s="2973"/>
      <c r="W47" s="2973"/>
      <c r="X47" s="2973"/>
      <c r="Y47" s="2973"/>
      <c r="Z47" s="2973"/>
      <c r="AA47" s="2973"/>
      <c r="AB47" s="2973"/>
      <c r="AC47" s="2973"/>
      <c r="AD47" s="2973"/>
    </row>
    <row r="48" spans="3:30" s="2966" customFormat="1" ht="18.600000000000001" customHeight="1">
      <c r="D48" s="3000" t="s">
        <v>2813</v>
      </c>
      <c r="E48" s="2985">
        <v>11.1</v>
      </c>
      <c r="F48" s="2985">
        <v>17.600000000000001</v>
      </c>
      <c r="G48" s="2985">
        <v>4.4000000000000004</v>
      </c>
      <c r="H48" s="2985">
        <v>6.3000000000000007</v>
      </c>
      <c r="I48" s="2985">
        <v>15.5</v>
      </c>
      <c r="J48" s="2985">
        <v>24.5</v>
      </c>
      <c r="K48" s="2985">
        <v>15.7</v>
      </c>
      <c r="L48" s="2985">
        <v>9.1</v>
      </c>
      <c r="M48" s="2986">
        <v>7.7</v>
      </c>
      <c r="N48" s="2997" t="s">
        <v>2812</v>
      </c>
      <c r="P48" s="2973"/>
      <c r="Q48" s="2973"/>
      <c r="R48" s="2973"/>
      <c r="S48" s="2973"/>
      <c r="T48" s="2973"/>
      <c r="U48" s="2973"/>
      <c r="V48" s="2973"/>
      <c r="W48" s="2973"/>
      <c r="X48" s="2973"/>
      <c r="Y48" s="2973"/>
      <c r="Z48" s="2973"/>
      <c r="AA48" s="2973"/>
      <c r="AB48" s="2973"/>
      <c r="AC48" s="2973"/>
      <c r="AD48" s="2973"/>
    </row>
    <row r="49" spans="4:30" s="2966" customFormat="1" ht="18.600000000000001" customHeight="1">
      <c r="D49" s="2999" t="s">
        <v>2811</v>
      </c>
      <c r="E49" s="2990">
        <v>24.799999999999997</v>
      </c>
      <c r="F49" s="2990">
        <v>19.899999999999999</v>
      </c>
      <c r="G49" s="2990">
        <v>17.399999999999999</v>
      </c>
      <c r="H49" s="2990">
        <v>19.3</v>
      </c>
      <c r="I49" s="2990">
        <v>16.700000000000003</v>
      </c>
      <c r="J49" s="2990">
        <v>15.1</v>
      </c>
      <c r="K49" s="2990">
        <v>17.100000000000001</v>
      </c>
      <c r="L49" s="2990">
        <v>10.5</v>
      </c>
      <c r="M49" s="2991">
        <v>1.7000000000000002</v>
      </c>
      <c r="N49" s="2992" t="s">
        <v>2810</v>
      </c>
      <c r="P49" s="2973"/>
      <c r="Q49" s="2973"/>
      <c r="R49" s="2973"/>
      <c r="S49" s="2973"/>
      <c r="T49" s="2973"/>
      <c r="U49" s="2973"/>
      <c r="V49" s="2973"/>
      <c r="W49" s="2973"/>
      <c r="X49" s="2973"/>
      <c r="Y49" s="2973"/>
      <c r="Z49" s="2973"/>
      <c r="AA49" s="2973"/>
      <c r="AB49" s="2973"/>
      <c r="AC49" s="2973"/>
      <c r="AD49" s="2973"/>
    </row>
    <row r="50" spans="4:30" s="2966" customFormat="1" ht="37.5">
      <c r="D50" s="2984" t="s">
        <v>2846</v>
      </c>
      <c r="E50" s="3001">
        <v>-24.6</v>
      </c>
      <c r="F50" s="3001">
        <v>-6.7</v>
      </c>
      <c r="G50" s="3001">
        <v>-16.7</v>
      </c>
      <c r="H50" s="3001">
        <v>-21.200000000000003</v>
      </c>
      <c r="I50" s="3001">
        <v>-29.900000000000002</v>
      </c>
      <c r="J50" s="3001">
        <v>-14</v>
      </c>
      <c r="K50" s="3001">
        <v>-14.899999999999999</v>
      </c>
      <c r="L50" s="3001">
        <v>-11.800000000000004</v>
      </c>
      <c r="M50" s="3002">
        <v>-36.200000000000003</v>
      </c>
      <c r="N50" s="2988" t="s">
        <v>2845</v>
      </c>
      <c r="P50" s="2973"/>
      <c r="Q50" s="2973"/>
      <c r="R50" s="2973"/>
      <c r="S50" s="2973"/>
      <c r="T50" s="2973"/>
      <c r="U50" s="2973"/>
      <c r="V50" s="2973"/>
      <c r="W50" s="2973"/>
      <c r="X50" s="2973"/>
      <c r="Y50" s="2973"/>
      <c r="Z50" s="2973"/>
      <c r="AA50" s="2973"/>
      <c r="AB50" s="2973"/>
      <c r="AC50" s="2973"/>
      <c r="AD50" s="2973"/>
    </row>
    <row r="51" spans="4:30" s="2966" customFormat="1" ht="18.600000000000001" customHeight="1">
      <c r="D51" s="2999" t="s">
        <v>2813</v>
      </c>
      <c r="E51" s="2990">
        <v>18.099999999999998</v>
      </c>
      <c r="F51" s="2990">
        <v>22.299999999999997</v>
      </c>
      <c r="G51" s="2990">
        <v>10.700000000000001</v>
      </c>
      <c r="H51" s="2990">
        <v>9.6999999999999993</v>
      </c>
      <c r="I51" s="2990">
        <v>11.100000000000001</v>
      </c>
      <c r="J51" s="2990">
        <v>17.3</v>
      </c>
      <c r="K51" s="2990">
        <v>28.799999999999997</v>
      </c>
      <c r="L51" s="2990">
        <v>31.099999999999998</v>
      </c>
      <c r="M51" s="2991">
        <v>21</v>
      </c>
      <c r="N51" s="2992" t="s">
        <v>2812</v>
      </c>
      <c r="P51" s="2973"/>
      <c r="Q51" s="2973"/>
      <c r="R51" s="2973"/>
      <c r="S51" s="2973"/>
      <c r="T51" s="2973"/>
      <c r="U51" s="2973"/>
      <c r="V51" s="2973"/>
      <c r="W51" s="2973"/>
      <c r="X51" s="2973"/>
      <c r="Y51" s="2973"/>
      <c r="Z51" s="2973"/>
      <c r="AA51" s="2973"/>
      <c r="AB51" s="2973"/>
      <c r="AC51" s="2973"/>
      <c r="AD51" s="2973"/>
    </row>
    <row r="52" spans="4:30" s="2966" customFormat="1" ht="18.600000000000001" customHeight="1">
      <c r="D52" s="3000" t="s">
        <v>2811</v>
      </c>
      <c r="E52" s="2985">
        <v>42.7</v>
      </c>
      <c r="F52" s="2985">
        <v>29</v>
      </c>
      <c r="G52" s="2985">
        <v>27.400000000000002</v>
      </c>
      <c r="H52" s="2985">
        <v>30.9</v>
      </c>
      <c r="I52" s="2985">
        <v>41</v>
      </c>
      <c r="J52" s="2985">
        <v>31.3</v>
      </c>
      <c r="K52" s="2985">
        <v>43.7</v>
      </c>
      <c r="L52" s="2985">
        <v>42.900000000000006</v>
      </c>
      <c r="M52" s="2986">
        <v>57.2</v>
      </c>
      <c r="N52" s="2997" t="s">
        <v>2810</v>
      </c>
      <c r="P52" s="2973"/>
      <c r="Q52" s="2973"/>
      <c r="R52" s="2973"/>
      <c r="S52" s="2973"/>
      <c r="T52" s="2973"/>
      <c r="U52" s="2973"/>
      <c r="V52" s="2973"/>
      <c r="W52" s="2973"/>
      <c r="X52" s="2973"/>
      <c r="Y52" s="2973"/>
      <c r="Z52" s="2973"/>
      <c r="AA52" s="2973"/>
      <c r="AB52" s="2973"/>
      <c r="AC52" s="2973"/>
      <c r="AD52" s="2973"/>
    </row>
    <row r="53" spans="4:30" s="2966" customFormat="1" ht="18.600000000000001" customHeight="1">
      <c r="D53" s="2989" t="s">
        <v>2844</v>
      </c>
      <c r="E53" s="2990">
        <v>50.8</v>
      </c>
      <c r="F53" s="2990">
        <v>102.00000000000001</v>
      </c>
      <c r="G53" s="2990">
        <v>90.199999999999989</v>
      </c>
      <c r="H53" s="2990">
        <v>74.499999999999972</v>
      </c>
      <c r="I53" s="2990">
        <v>79.100000000000023</v>
      </c>
      <c r="J53" s="2990">
        <v>108.90000000000015</v>
      </c>
      <c r="K53" s="2990">
        <v>135.30000000000001</v>
      </c>
      <c r="L53" s="2990">
        <v>126.13000000000002</v>
      </c>
      <c r="M53" s="2991">
        <v>272.90000000000003</v>
      </c>
      <c r="N53" s="2998" t="s">
        <v>2843</v>
      </c>
      <c r="P53" s="2973"/>
      <c r="Q53" s="2973"/>
      <c r="R53" s="2973"/>
      <c r="S53" s="2973"/>
      <c r="T53" s="2973"/>
      <c r="U53" s="2973"/>
      <c r="V53" s="2973"/>
      <c r="W53" s="2973"/>
      <c r="X53" s="2973"/>
      <c r="Y53" s="2973"/>
      <c r="Z53" s="2973"/>
      <c r="AA53" s="2973"/>
      <c r="AB53" s="2973"/>
      <c r="AC53" s="2973"/>
      <c r="AD53" s="2973"/>
    </row>
    <row r="54" spans="4:30" s="2966" customFormat="1" ht="18.600000000000001" customHeight="1">
      <c r="D54" s="3000" t="s">
        <v>2813</v>
      </c>
      <c r="E54" s="2985">
        <v>109.69999999999999</v>
      </c>
      <c r="F54" s="2985">
        <v>156.40000000000003</v>
      </c>
      <c r="G54" s="2985">
        <v>148.1</v>
      </c>
      <c r="H54" s="2985">
        <v>132.19999999999999</v>
      </c>
      <c r="I54" s="2985">
        <v>128.80000000000001</v>
      </c>
      <c r="J54" s="2985">
        <v>167.5</v>
      </c>
      <c r="K54" s="2985">
        <v>192.2</v>
      </c>
      <c r="L54" s="2985">
        <v>218.03000000000003</v>
      </c>
      <c r="M54" s="2986">
        <v>321.39999999999998</v>
      </c>
      <c r="N54" s="2997" t="s">
        <v>2812</v>
      </c>
      <c r="P54" s="2973"/>
      <c r="Q54" s="2973"/>
      <c r="R54" s="2973"/>
      <c r="S54" s="2973"/>
      <c r="T54" s="2973"/>
      <c r="U54" s="2973"/>
      <c r="V54" s="2973"/>
      <c r="W54" s="2973"/>
      <c r="X54" s="2973"/>
      <c r="Y54" s="2973"/>
      <c r="Z54" s="2973"/>
      <c r="AA54" s="2973"/>
      <c r="AB54" s="2973"/>
      <c r="AC54" s="2973"/>
      <c r="AD54" s="2973"/>
    </row>
    <row r="55" spans="4:30" s="2966" customFormat="1" ht="18.600000000000001" customHeight="1">
      <c r="D55" s="2999" t="s">
        <v>2811</v>
      </c>
      <c r="E55" s="2990">
        <v>58.899999999999991</v>
      </c>
      <c r="F55" s="2990">
        <v>54.399999999999991</v>
      </c>
      <c r="G55" s="2990">
        <v>57.899999999999991</v>
      </c>
      <c r="H55" s="2990">
        <v>57.7</v>
      </c>
      <c r="I55" s="2990">
        <v>49.699999999999996</v>
      </c>
      <c r="J55" s="2990">
        <v>58.599999999999859</v>
      </c>
      <c r="K55" s="2990">
        <v>56.899999999999984</v>
      </c>
      <c r="L55" s="2990">
        <v>91.899999999999991</v>
      </c>
      <c r="M55" s="2991">
        <v>48.499999999999986</v>
      </c>
      <c r="N55" s="2992" t="s">
        <v>2810</v>
      </c>
      <c r="P55" s="2973"/>
      <c r="Q55" s="2973"/>
      <c r="R55" s="2973"/>
      <c r="S55" s="2973"/>
      <c r="T55" s="2973"/>
      <c r="U55" s="2973"/>
      <c r="V55" s="2973"/>
      <c r="W55" s="2973"/>
      <c r="X55" s="2973"/>
      <c r="Y55" s="2973"/>
      <c r="Z55" s="2973"/>
      <c r="AA55" s="2973"/>
      <c r="AB55" s="2973"/>
      <c r="AC55" s="2973"/>
      <c r="AD55" s="2973"/>
    </row>
    <row r="56" spans="4:30" s="2966" customFormat="1" ht="18.600000000000001" customHeight="1">
      <c r="D56" s="2984" t="s">
        <v>2842</v>
      </c>
      <c r="E56" s="2985">
        <v>79.5</v>
      </c>
      <c r="F56" s="2985">
        <v>103.60000000000001</v>
      </c>
      <c r="G56" s="2985">
        <v>53.5</v>
      </c>
      <c r="H56" s="2985">
        <v>58.3</v>
      </c>
      <c r="I56" s="2985">
        <v>31.700000000000003</v>
      </c>
      <c r="J56" s="2985">
        <v>23.999999999999861</v>
      </c>
      <c r="K56" s="2985">
        <v>17.3</v>
      </c>
      <c r="L56" s="2985">
        <v>10.370000000000001</v>
      </c>
      <c r="M56" s="2986">
        <v>-21.3</v>
      </c>
      <c r="N56" s="2988" t="s">
        <v>2841</v>
      </c>
      <c r="P56" s="2973"/>
      <c r="Q56" s="2973"/>
      <c r="R56" s="2973"/>
      <c r="S56" s="2973"/>
      <c r="T56" s="2973"/>
      <c r="U56" s="2973"/>
      <c r="V56" s="2973"/>
      <c r="W56" s="2973"/>
      <c r="X56" s="2973"/>
      <c r="Y56" s="2973"/>
      <c r="Z56" s="2973"/>
      <c r="AA56" s="2973"/>
      <c r="AB56" s="2973"/>
      <c r="AC56" s="2973"/>
      <c r="AD56" s="2973"/>
    </row>
    <row r="57" spans="4:30" s="2966" customFormat="1" ht="18.600000000000001" customHeight="1">
      <c r="D57" s="2999" t="s">
        <v>2813</v>
      </c>
      <c r="E57" s="2990">
        <v>83.5</v>
      </c>
      <c r="F57" s="2990">
        <v>113.10000000000001</v>
      </c>
      <c r="G57" s="2990">
        <v>68.400000000000006</v>
      </c>
      <c r="H57" s="2990">
        <v>65.900000000000006</v>
      </c>
      <c r="I57" s="2990">
        <v>54.699999999999996</v>
      </c>
      <c r="J57" s="2990">
        <v>49.3</v>
      </c>
      <c r="K57" s="2990">
        <v>42.1</v>
      </c>
      <c r="L57" s="2990">
        <v>46.870000000000005</v>
      </c>
      <c r="M57" s="2991">
        <v>25.7</v>
      </c>
      <c r="N57" s="2992" t="s">
        <v>2812</v>
      </c>
      <c r="P57" s="2973"/>
      <c r="Q57" s="2973"/>
      <c r="R57" s="2973"/>
      <c r="S57" s="2973"/>
      <c r="T57" s="2973"/>
      <c r="U57" s="2973"/>
      <c r="V57" s="2973"/>
      <c r="W57" s="2973"/>
      <c r="X57" s="2973"/>
      <c r="Y57" s="2973"/>
      <c r="Z57" s="2973"/>
      <c r="AA57" s="2973"/>
      <c r="AB57" s="2973"/>
      <c r="AC57" s="2973"/>
      <c r="AD57" s="2973"/>
    </row>
    <row r="58" spans="4:30" s="2966" customFormat="1" ht="18.600000000000001" customHeight="1">
      <c r="D58" s="3000" t="s">
        <v>2811</v>
      </c>
      <c r="E58" s="2985">
        <v>4</v>
      </c>
      <c r="F58" s="2985">
        <v>9.5</v>
      </c>
      <c r="G58" s="2985">
        <v>14.9</v>
      </c>
      <c r="H58" s="2985">
        <v>7.6</v>
      </c>
      <c r="I58" s="2985">
        <v>23</v>
      </c>
      <c r="J58" s="2985">
        <v>25.300000000000136</v>
      </c>
      <c r="K58" s="2985">
        <v>24.8</v>
      </c>
      <c r="L58" s="2985">
        <v>36.5</v>
      </c>
      <c r="M58" s="2986">
        <v>47</v>
      </c>
      <c r="N58" s="2997" t="s">
        <v>2810</v>
      </c>
      <c r="P58" s="2973"/>
      <c r="Q58" s="2973"/>
      <c r="R58" s="2973"/>
      <c r="S58" s="2973"/>
      <c r="T58" s="2973"/>
      <c r="U58" s="2973"/>
      <c r="V58" s="2973"/>
      <c r="W58" s="2973"/>
      <c r="X58" s="2973"/>
      <c r="Y58" s="2973"/>
      <c r="Z58" s="2973"/>
      <c r="AA58" s="2973"/>
      <c r="AB58" s="2973"/>
      <c r="AC58" s="2973"/>
      <c r="AD58" s="2973"/>
    </row>
    <row r="59" spans="4:30" s="2966" customFormat="1" ht="18.600000000000001" customHeight="1">
      <c r="D59" s="2989" t="s">
        <v>2840</v>
      </c>
      <c r="E59" s="2990">
        <v>5.0000000000000036</v>
      </c>
      <c r="F59" s="2990">
        <v>59.100000000000009</v>
      </c>
      <c r="G59" s="2990">
        <v>15.200000000000001</v>
      </c>
      <c r="H59" s="2990">
        <v>77.900000000000006</v>
      </c>
      <c r="I59" s="2990">
        <v>91.399999999999991</v>
      </c>
      <c r="J59" s="2990">
        <v>204.3</v>
      </c>
      <c r="K59" s="2990">
        <v>62.899999999999991</v>
      </c>
      <c r="L59" s="2990">
        <v>216</v>
      </c>
      <c r="M59" s="2991">
        <v>327.59999999999997</v>
      </c>
      <c r="N59" s="2998" t="s">
        <v>2839</v>
      </c>
      <c r="P59" s="2973"/>
      <c r="Q59" s="2973"/>
      <c r="R59" s="2973"/>
      <c r="S59" s="2973"/>
      <c r="T59" s="2973"/>
      <c r="U59" s="2973"/>
      <c r="V59" s="2973"/>
      <c r="W59" s="2973"/>
      <c r="X59" s="2973"/>
      <c r="Y59" s="2973"/>
      <c r="Z59" s="2973"/>
      <c r="AA59" s="2973"/>
      <c r="AB59" s="2973"/>
      <c r="AC59" s="2973"/>
      <c r="AD59" s="2973"/>
    </row>
    <row r="60" spans="4:30" s="2966" customFormat="1" ht="18.600000000000001" customHeight="1">
      <c r="D60" s="3000" t="s">
        <v>2813</v>
      </c>
      <c r="E60" s="2985">
        <v>86.9</v>
      </c>
      <c r="F60" s="2985">
        <v>119.4</v>
      </c>
      <c r="G60" s="2985">
        <v>100.9</v>
      </c>
      <c r="H60" s="2985">
        <v>181.7</v>
      </c>
      <c r="I60" s="2985">
        <v>184.7</v>
      </c>
      <c r="J60" s="2985">
        <v>281.59999999999997</v>
      </c>
      <c r="K60" s="2985">
        <v>135.69999999999999</v>
      </c>
      <c r="L60" s="2985">
        <v>278.5</v>
      </c>
      <c r="M60" s="2986">
        <v>385.4</v>
      </c>
      <c r="N60" s="2997" t="s">
        <v>2812</v>
      </c>
      <c r="P60" s="2973"/>
      <c r="Q60" s="2973"/>
      <c r="R60" s="2973"/>
      <c r="S60" s="2973"/>
      <c r="T60" s="2973"/>
      <c r="U60" s="2973"/>
      <c r="V60" s="2973"/>
      <c r="W60" s="2973"/>
      <c r="X60" s="2973"/>
      <c r="Y60" s="2973"/>
      <c r="Z60" s="2973"/>
      <c r="AA60" s="2973"/>
      <c r="AB60" s="2973"/>
      <c r="AC60" s="2973"/>
      <c r="AD60" s="2973"/>
    </row>
    <row r="61" spans="4:30" s="2966" customFormat="1" ht="18.600000000000001" customHeight="1">
      <c r="D61" s="2999" t="s">
        <v>2811</v>
      </c>
      <c r="E61" s="3003">
        <v>81.900000000000006</v>
      </c>
      <c r="F61" s="3003">
        <v>60.3</v>
      </c>
      <c r="G61" s="3003">
        <v>85.7</v>
      </c>
      <c r="H61" s="3003">
        <v>103.80000000000001</v>
      </c>
      <c r="I61" s="3003">
        <v>93.3</v>
      </c>
      <c r="J61" s="3003">
        <v>77.3</v>
      </c>
      <c r="K61" s="3003">
        <v>72.8</v>
      </c>
      <c r="L61" s="3003">
        <v>62.5</v>
      </c>
      <c r="M61" s="2991">
        <v>57.8</v>
      </c>
      <c r="N61" s="2992" t="s">
        <v>2810</v>
      </c>
      <c r="P61" s="2973"/>
      <c r="Q61" s="2973"/>
      <c r="R61" s="2973"/>
      <c r="S61" s="2973"/>
      <c r="T61" s="2973"/>
      <c r="U61" s="2973"/>
      <c r="V61" s="2973"/>
      <c r="W61" s="2973"/>
      <c r="X61" s="2973"/>
      <c r="Y61" s="2973"/>
      <c r="Z61" s="2973"/>
      <c r="AA61" s="2973"/>
      <c r="AB61" s="2973"/>
      <c r="AC61" s="2973"/>
      <c r="AD61" s="2973"/>
    </row>
    <row r="62" spans="4:30" s="2966" customFormat="1" ht="18.75">
      <c r="D62" s="3004"/>
      <c r="E62" s="3004"/>
      <c r="F62" s="3004"/>
      <c r="G62" s="3004"/>
      <c r="H62" s="3004"/>
      <c r="I62" s="3005"/>
      <c r="J62" s="3005"/>
      <c r="K62" s="3005"/>
      <c r="L62" s="3005"/>
      <c r="M62" s="3005"/>
      <c r="N62" s="3006"/>
      <c r="P62" s="2973"/>
      <c r="Q62" s="2973"/>
      <c r="R62" s="2973"/>
      <c r="S62" s="2973"/>
      <c r="T62" s="2973"/>
      <c r="U62" s="2973"/>
      <c r="V62" s="2973"/>
      <c r="W62" s="2973"/>
      <c r="X62" s="2973"/>
      <c r="Y62" s="2973"/>
      <c r="Z62" s="2973"/>
      <c r="AA62" s="2973"/>
      <c r="AB62" s="2973"/>
      <c r="AC62" s="2973"/>
      <c r="AD62" s="2973"/>
    </row>
    <row r="63" spans="4:30" s="2966" customFormat="1" ht="20.25">
      <c r="D63" s="2953" t="s">
        <v>545</v>
      </c>
      <c r="E63" s="2953"/>
      <c r="F63" s="2953"/>
      <c r="G63" s="2953"/>
      <c r="H63" s="2953"/>
      <c r="I63" s="3007"/>
      <c r="J63" s="3007"/>
      <c r="K63" s="3008"/>
      <c r="L63" s="3008"/>
      <c r="M63" s="3008"/>
      <c r="N63" s="2957" t="s">
        <v>1131</v>
      </c>
      <c r="P63" s="2973"/>
      <c r="Q63" s="2973"/>
      <c r="R63" s="2973"/>
      <c r="S63" s="2973"/>
      <c r="T63" s="2973"/>
      <c r="U63" s="2973"/>
      <c r="V63" s="2973"/>
      <c r="W63" s="2973"/>
      <c r="X63" s="2973"/>
      <c r="Y63" s="2973"/>
      <c r="Z63" s="2973"/>
      <c r="AA63" s="2973"/>
      <c r="AB63" s="2973"/>
      <c r="AC63" s="2973"/>
      <c r="AD63" s="2973"/>
    </row>
    <row r="64" spans="4:30" s="2966" customFormat="1" ht="24" customHeight="1">
      <c r="D64" s="2958"/>
      <c r="E64" s="4909" t="s">
        <v>3113</v>
      </c>
      <c r="F64" s="4909" t="s">
        <v>3103</v>
      </c>
      <c r="G64" s="4909" t="s">
        <v>3046</v>
      </c>
      <c r="H64" s="4909" t="s">
        <v>3025</v>
      </c>
      <c r="I64" s="4909" t="s">
        <v>2917</v>
      </c>
      <c r="J64" s="4909" t="s">
        <v>2809</v>
      </c>
      <c r="K64" s="4909" t="s">
        <v>2808</v>
      </c>
      <c r="L64" s="4909" t="s">
        <v>2807</v>
      </c>
      <c r="M64" s="4909" t="s">
        <v>2806</v>
      </c>
      <c r="N64" s="2959"/>
      <c r="P64" s="2973"/>
      <c r="Q64" s="2973"/>
      <c r="R64" s="2973"/>
      <c r="S64" s="2973"/>
      <c r="T64" s="2973"/>
      <c r="U64" s="2973"/>
      <c r="V64" s="2973"/>
      <c r="W64" s="2973"/>
      <c r="X64" s="2973"/>
      <c r="Y64" s="2973"/>
      <c r="Z64" s="2973"/>
      <c r="AA64" s="2973"/>
      <c r="AB64" s="2973"/>
      <c r="AC64" s="2973"/>
      <c r="AD64" s="2973"/>
    </row>
    <row r="65" spans="4:30" s="2966" customFormat="1" ht="20.25">
      <c r="D65" s="2960"/>
      <c r="E65" s="4910"/>
      <c r="F65" s="4910"/>
      <c r="G65" s="4910"/>
      <c r="H65" s="4910"/>
      <c r="I65" s="4910"/>
      <c r="J65" s="4910"/>
      <c r="K65" s="4910"/>
      <c r="L65" s="4910"/>
      <c r="M65" s="4910"/>
      <c r="N65" s="2961"/>
      <c r="P65" s="2973"/>
      <c r="Q65" s="2973"/>
      <c r="R65" s="2973"/>
      <c r="S65" s="2973"/>
      <c r="T65" s="2973"/>
      <c r="U65" s="2973"/>
      <c r="V65" s="2973"/>
      <c r="W65" s="2973"/>
      <c r="X65" s="2973"/>
      <c r="Y65" s="2973"/>
      <c r="Z65" s="2973"/>
      <c r="AA65" s="2973"/>
      <c r="AB65" s="2973"/>
      <c r="AC65" s="2973"/>
      <c r="AD65" s="2973"/>
    </row>
    <row r="66" spans="4:30" s="2966" customFormat="1" ht="20.25">
      <c r="D66" s="2960"/>
      <c r="E66" s="4910"/>
      <c r="F66" s="4910"/>
      <c r="G66" s="4910"/>
      <c r="H66" s="4910"/>
      <c r="I66" s="4910"/>
      <c r="J66" s="4910"/>
      <c r="K66" s="4910"/>
      <c r="L66" s="4910"/>
      <c r="M66" s="4910"/>
      <c r="N66" s="2961"/>
      <c r="P66" s="2973"/>
      <c r="Q66" s="2973"/>
      <c r="R66" s="2973"/>
      <c r="S66" s="2973"/>
      <c r="T66" s="2973"/>
      <c r="U66" s="2973"/>
      <c r="V66" s="2973"/>
      <c r="W66" s="2973"/>
      <c r="X66" s="2973"/>
      <c r="Y66" s="2973"/>
      <c r="Z66" s="2973"/>
      <c r="AA66" s="2973"/>
      <c r="AB66" s="2973"/>
      <c r="AC66" s="2973"/>
      <c r="AD66" s="2973"/>
    </row>
    <row r="67" spans="4:30" s="2966" customFormat="1" ht="20.25">
      <c r="D67" s="2960"/>
      <c r="E67" s="4910"/>
      <c r="F67" s="4910"/>
      <c r="G67" s="4910"/>
      <c r="H67" s="4910"/>
      <c r="I67" s="4910"/>
      <c r="J67" s="4910"/>
      <c r="K67" s="4910"/>
      <c r="L67" s="4910"/>
      <c r="M67" s="4910"/>
      <c r="N67" s="2961"/>
      <c r="P67" s="2973"/>
      <c r="Q67" s="2973"/>
      <c r="R67" s="2973"/>
      <c r="S67" s="2973"/>
      <c r="T67" s="2973"/>
      <c r="U67" s="2973"/>
      <c r="V67" s="2973"/>
      <c r="W67" s="2973"/>
      <c r="X67" s="2973"/>
      <c r="Y67" s="2973"/>
      <c r="Z67" s="2973"/>
      <c r="AA67" s="2973"/>
      <c r="AB67" s="2973"/>
      <c r="AC67" s="2973"/>
      <c r="AD67" s="2973"/>
    </row>
    <row r="68" spans="4:30" s="2966" customFormat="1" ht="20.25">
      <c r="D68" s="2962"/>
      <c r="E68" s="4910"/>
      <c r="F68" s="4910"/>
      <c r="G68" s="4910"/>
      <c r="H68" s="4910"/>
      <c r="I68" s="4910"/>
      <c r="J68" s="4910"/>
      <c r="K68" s="4910"/>
      <c r="L68" s="4910"/>
      <c r="M68" s="4910"/>
      <c r="N68" s="2963"/>
      <c r="P68" s="2973"/>
      <c r="Q68" s="2973"/>
      <c r="R68" s="2973"/>
      <c r="S68" s="2973"/>
      <c r="T68" s="2973"/>
      <c r="U68" s="2973"/>
      <c r="V68" s="2973"/>
      <c r="W68" s="2973"/>
      <c r="X68" s="2973"/>
      <c r="Y68" s="2973"/>
      <c r="Z68" s="2973"/>
      <c r="AA68" s="2973"/>
      <c r="AB68" s="2973"/>
      <c r="AC68" s="2973"/>
      <c r="AD68" s="2973"/>
    </row>
    <row r="69" spans="4:30" s="2966" customFormat="1" ht="20.25">
      <c r="D69" s="3009"/>
      <c r="E69" s="4911"/>
      <c r="F69" s="4911"/>
      <c r="G69" s="4911"/>
      <c r="H69" s="4911"/>
      <c r="I69" s="4911"/>
      <c r="J69" s="4911"/>
      <c r="K69" s="4911"/>
      <c r="L69" s="4911"/>
      <c r="M69" s="4911"/>
      <c r="N69" s="3010"/>
      <c r="P69" s="2973"/>
      <c r="Q69" s="2973"/>
      <c r="R69" s="2973"/>
      <c r="S69" s="2973"/>
      <c r="T69" s="2973"/>
      <c r="U69" s="2973"/>
      <c r="V69" s="2973"/>
      <c r="W69" s="2973"/>
      <c r="X69" s="2973"/>
      <c r="Y69" s="2973"/>
      <c r="Z69" s="2973"/>
      <c r="AA69" s="2973"/>
      <c r="AB69" s="2973"/>
      <c r="AC69" s="2973"/>
      <c r="AD69" s="2973"/>
    </row>
    <row r="70" spans="4:30" s="2966" customFormat="1" ht="18.600000000000001" customHeight="1">
      <c r="D70" s="2980" t="s">
        <v>2838</v>
      </c>
      <c r="E70" s="3011">
        <v>-359.1</v>
      </c>
      <c r="F70" s="3011">
        <v>-164.5</v>
      </c>
      <c r="G70" s="3011">
        <v>-87.929999999999978</v>
      </c>
      <c r="H70" s="3011">
        <v>5.7099999999999795</v>
      </c>
      <c r="I70" s="3011">
        <v>-141.60000000000002</v>
      </c>
      <c r="J70" s="3011">
        <v>-146.44</v>
      </c>
      <c r="K70" s="3011">
        <v>-216.60979500000002</v>
      </c>
      <c r="L70" s="3011">
        <v>-307.14000000000004</v>
      </c>
      <c r="M70" s="3012">
        <v>-295.84399999999999</v>
      </c>
      <c r="N70" s="2983" t="s">
        <v>2837</v>
      </c>
      <c r="P70" s="2973"/>
      <c r="Q70" s="2973"/>
      <c r="R70" s="2973"/>
      <c r="S70" s="2973"/>
      <c r="T70" s="2973"/>
      <c r="U70" s="2973"/>
      <c r="V70" s="2973"/>
      <c r="W70" s="2973"/>
      <c r="X70" s="2973"/>
      <c r="Y70" s="2973"/>
      <c r="Z70" s="2973"/>
      <c r="AA70" s="2973"/>
      <c r="AB70" s="2973"/>
      <c r="AC70" s="2973"/>
      <c r="AD70" s="2973"/>
    </row>
    <row r="71" spans="4:30" s="2966" customFormat="1" ht="18.600000000000001" customHeight="1">
      <c r="D71" s="2974" t="s">
        <v>2813</v>
      </c>
      <c r="E71" s="3013">
        <v>762.5</v>
      </c>
      <c r="F71" s="3013">
        <v>546.4</v>
      </c>
      <c r="G71" s="3013">
        <v>648.9</v>
      </c>
      <c r="H71" s="3013">
        <v>902.30000000000007</v>
      </c>
      <c r="I71" s="3013">
        <v>737</v>
      </c>
      <c r="J71" s="3013">
        <v>616.4</v>
      </c>
      <c r="K71" s="3013">
        <v>540.5</v>
      </c>
      <c r="L71" s="3013">
        <v>522.96</v>
      </c>
      <c r="M71" s="3014">
        <v>624.8599999999999</v>
      </c>
      <c r="N71" s="2977" t="s">
        <v>2812</v>
      </c>
      <c r="P71" s="2973"/>
      <c r="Q71" s="2973"/>
      <c r="R71" s="2973"/>
      <c r="S71" s="2973"/>
      <c r="T71" s="2973"/>
      <c r="U71" s="2973"/>
      <c r="V71" s="2973"/>
      <c r="W71" s="2973"/>
      <c r="X71" s="2973"/>
      <c r="Y71" s="2973"/>
      <c r="Z71" s="2973"/>
      <c r="AA71" s="2973"/>
      <c r="AB71" s="2973"/>
      <c r="AC71" s="2973"/>
      <c r="AD71" s="2973"/>
    </row>
    <row r="72" spans="4:30" s="2966" customFormat="1" ht="18.600000000000001" customHeight="1">
      <c r="D72" s="2980" t="s">
        <v>2811</v>
      </c>
      <c r="E72" s="3015">
        <v>1121.6000000000001</v>
      </c>
      <c r="F72" s="3015">
        <v>710.9</v>
      </c>
      <c r="G72" s="3015">
        <v>736.83</v>
      </c>
      <c r="H72" s="3015">
        <v>896.59</v>
      </c>
      <c r="I72" s="3015">
        <v>878.6</v>
      </c>
      <c r="J72" s="3015">
        <v>762.84</v>
      </c>
      <c r="K72" s="3015">
        <v>757.10979500000008</v>
      </c>
      <c r="L72" s="3015">
        <v>830.10000000000014</v>
      </c>
      <c r="M72" s="3012">
        <v>920.70399999999995</v>
      </c>
      <c r="N72" s="2983" t="s">
        <v>2810</v>
      </c>
      <c r="P72" s="2973"/>
      <c r="Q72" s="2973"/>
      <c r="R72" s="2973"/>
      <c r="S72" s="2973"/>
      <c r="T72" s="2973"/>
      <c r="U72" s="2973"/>
      <c r="V72" s="2973"/>
      <c r="W72" s="2973"/>
      <c r="X72" s="2973"/>
      <c r="Y72" s="2973"/>
      <c r="Z72" s="2973"/>
      <c r="AA72" s="2973"/>
      <c r="AB72" s="2973"/>
      <c r="AC72" s="2973"/>
      <c r="AD72" s="2973"/>
    </row>
    <row r="73" spans="4:30" s="2966" customFormat="1" ht="18.600000000000001" customHeight="1">
      <c r="D73" s="2984" t="s">
        <v>2836</v>
      </c>
      <c r="E73" s="3001">
        <v>201</v>
      </c>
      <c r="F73" s="3001">
        <v>196.70000000000002</v>
      </c>
      <c r="G73" s="3001">
        <v>206.1</v>
      </c>
      <c r="H73" s="3001">
        <v>217.5</v>
      </c>
      <c r="I73" s="3001">
        <v>210</v>
      </c>
      <c r="J73" s="3001">
        <v>216.5</v>
      </c>
      <c r="K73" s="3001">
        <v>222.7</v>
      </c>
      <c r="L73" s="3001">
        <v>229</v>
      </c>
      <c r="M73" s="3002">
        <v>223.6</v>
      </c>
      <c r="N73" s="2988" t="s">
        <v>2835</v>
      </c>
      <c r="P73" s="2973"/>
      <c r="Q73" s="2973"/>
      <c r="R73" s="2973"/>
      <c r="S73" s="2973"/>
      <c r="T73" s="2973"/>
      <c r="U73" s="2973"/>
      <c r="V73" s="2973"/>
      <c r="W73" s="2973"/>
      <c r="X73" s="2973"/>
      <c r="Y73" s="2973"/>
      <c r="Z73" s="2973"/>
      <c r="AA73" s="2973"/>
      <c r="AB73" s="2973"/>
      <c r="AC73" s="2973"/>
      <c r="AD73" s="2973"/>
    </row>
    <row r="74" spans="4:30" s="2966" customFormat="1" ht="18.600000000000001" customHeight="1">
      <c r="D74" s="2989" t="s">
        <v>2813</v>
      </c>
      <c r="E74" s="3016">
        <v>244.7</v>
      </c>
      <c r="F74" s="3016">
        <v>241.2</v>
      </c>
      <c r="G74" s="3016">
        <v>238.9</v>
      </c>
      <c r="H74" s="3016">
        <v>262.89999999999998</v>
      </c>
      <c r="I74" s="3016">
        <v>260.59999999999997</v>
      </c>
      <c r="J74" s="3016">
        <v>263.5</v>
      </c>
      <c r="K74" s="3016">
        <v>262.89999999999998</v>
      </c>
      <c r="L74" s="3016">
        <v>269.3</v>
      </c>
      <c r="M74" s="3017">
        <v>265.39999999999998</v>
      </c>
      <c r="N74" s="2998" t="s">
        <v>2812</v>
      </c>
      <c r="P74" s="2973"/>
      <c r="Q74" s="2973"/>
      <c r="R74" s="2973"/>
      <c r="S74" s="2973"/>
      <c r="T74" s="2973"/>
      <c r="U74" s="2973"/>
      <c r="V74" s="2973"/>
      <c r="W74" s="2973"/>
      <c r="X74" s="2973"/>
      <c r="Y74" s="2973"/>
      <c r="Z74" s="2973"/>
      <c r="AA74" s="2973"/>
      <c r="AB74" s="2973"/>
      <c r="AC74" s="2973"/>
      <c r="AD74" s="2973"/>
    </row>
    <row r="75" spans="4:30" s="2966" customFormat="1" ht="18.600000000000001" customHeight="1">
      <c r="D75" s="2984" t="s">
        <v>2811</v>
      </c>
      <c r="E75" s="3001">
        <v>43.7</v>
      </c>
      <c r="F75" s="3001">
        <v>44.5</v>
      </c>
      <c r="G75" s="3001">
        <v>32.799999999999997</v>
      </c>
      <c r="H75" s="3001">
        <v>45.400000000000006</v>
      </c>
      <c r="I75" s="3001">
        <v>50.6</v>
      </c>
      <c r="J75" s="3001">
        <v>47.000000000000007</v>
      </c>
      <c r="K75" s="3001">
        <v>40.200000000000003</v>
      </c>
      <c r="L75" s="3001">
        <v>40.299999999999997</v>
      </c>
      <c r="M75" s="3002">
        <v>41.800000000000004</v>
      </c>
      <c r="N75" s="2988" t="s">
        <v>2810</v>
      </c>
      <c r="P75" s="2973"/>
      <c r="Q75" s="2973"/>
      <c r="R75" s="2973"/>
      <c r="S75" s="2973"/>
      <c r="T75" s="2973"/>
      <c r="U75" s="2973"/>
      <c r="V75" s="2973"/>
      <c r="W75" s="2973"/>
      <c r="X75" s="2973"/>
      <c r="Y75" s="2973"/>
      <c r="Z75" s="2973"/>
      <c r="AA75" s="2973"/>
      <c r="AB75" s="2973"/>
      <c r="AC75" s="2973"/>
      <c r="AD75" s="2973"/>
    </row>
    <row r="76" spans="4:30" s="2966" customFormat="1" ht="18.600000000000001" customHeight="1">
      <c r="D76" s="2989" t="s">
        <v>2834</v>
      </c>
      <c r="E76" s="3016">
        <v>-560.1</v>
      </c>
      <c r="F76" s="3016">
        <v>-361.20000000000005</v>
      </c>
      <c r="G76" s="3016">
        <v>-294.02999999999997</v>
      </c>
      <c r="H76" s="3016">
        <v>-211.79</v>
      </c>
      <c r="I76" s="3016">
        <v>-351.6</v>
      </c>
      <c r="J76" s="3016">
        <v>-362.94</v>
      </c>
      <c r="K76" s="3016">
        <v>-439.30979500000001</v>
      </c>
      <c r="L76" s="3016">
        <v>-536.1400000000001</v>
      </c>
      <c r="M76" s="3017">
        <v>-519.44399999999996</v>
      </c>
      <c r="N76" s="2998" t="s">
        <v>2833</v>
      </c>
      <c r="P76" s="2973"/>
      <c r="Q76" s="2973"/>
      <c r="R76" s="2973"/>
      <c r="S76" s="2973"/>
      <c r="T76" s="2973"/>
      <c r="U76" s="2973"/>
      <c r="V76" s="2973"/>
      <c r="W76" s="2973"/>
      <c r="X76" s="2973"/>
      <c r="Y76" s="2973"/>
      <c r="Z76" s="2973"/>
      <c r="AA76" s="2973"/>
      <c r="AB76" s="2973"/>
      <c r="AC76" s="2973"/>
      <c r="AD76" s="2973"/>
    </row>
    <row r="77" spans="4:30" s="2966" customFormat="1" ht="18.600000000000001" customHeight="1">
      <c r="D77" s="2984" t="s">
        <v>2813</v>
      </c>
      <c r="E77" s="3001">
        <v>517.79999999999995</v>
      </c>
      <c r="F77" s="3001">
        <v>305.2</v>
      </c>
      <c r="G77" s="3001">
        <v>410</v>
      </c>
      <c r="H77" s="3001">
        <v>639.40000000000009</v>
      </c>
      <c r="I77" s="3001">
        <v>476.40000000000003</v>
      </c>
      <c r="J77" s="3001">
        <v>352.90000000000003</v>
      </c>
      <c r="K77" s="3001">
        <v>277.60000000000002</v>
      </c>
      <c r="L77" s="3001">
        <v>253.66</v>
      </c>
      <c r="M77" s="3002">
        <v>359.46000000000004</v>
      </c>
      <c r="N77" s="2988" t="s">
        <v>2812</v>
      </c>
      <c r="P77" s="2973"/>
      <c r="Q77" s="2973"/>
      <c r="R77" s="2973"/>
      <c r="S77" s="2973"/>
      <c r="T77" s="2973"/>
      <c r="U77" s="2973"/>
      <c r="V77" s="2973"/>
      <c r="W77" s="2973"/>
      <c r="X77" s="2973"/>
      <c r="Y77" s="2973"/>
      <c r="Z77" s="2973"/>
      <c r="AA77" s="2973"/>
      <c r="AB77" s="2973"/>
      <c r="AC77" s="2973"/>
      <c r="AD77" s="2973"/>
    </row>
    <row r="78" spans="4:30" s="2966" customFormat="1" ht="18.600000000000001" customHeight="1">
      <c r="D78" s="2989" t="s">
        <v>2811</v>
      </c>
      <c r="E78" s="3016">
        <v>1077.9000000000001</v>
      </c>
      <c r="F78" s="3016">
        <v>666.4</v>
      </c>
      <c r="G78" s="3016">
        <v>704.03000000000009</v>
      </c>
      <c r="H78" s="3016">
        <v>851.18999999999994</v>
      </c>
      <c r="I78" s="3016">
        <v>828</v>
      </c>
      <c r="J78" s="3016">
        <v>715.84</v>
      </c>
      <c r="K78" s="3016">
        <v>716.90979500000003</v>
      </c>
      <c r="L78" s="3016">
        <v>789.80000000000007</v>
      </c>
      <c r="M78" s="3017">
        <v>878.904</v>
      </c>
      <c r="N78" s="2998" t="s">
        <v>2810</v>
      </c>
      <c r="P78" s="2973"/>
      <c r="Q78" s="2973"/>
      <c r="R78" s="2973"/>
      <c r="S78" s="2973"/>
      <c r="T78" s="2973"/>
      <c r="U78" s="2973"/>
      <c r="V78" s="2973"/>
      <c r="W78" s="2973"/>
      <c r="X78" s="2973"/>
      <c r="Y78" s="2973"/>
      <c r="Z78" s="2973"/>
      <c r="AA78" s="2973"/>
      <c r="AB78" s="2973"/>
      <c r="AC78" s="2973"/>
      <c r="AD78" s="2973"/>
    </row>
    <row r="79" spans="4:30" s="2971" customFormat="1" ht="18.600000000000001" customHeight="1">
      <c r="D79" s="3000" t="s">
        <v>2832</v>
      </c>
      <c r="E79" s="3001">
        <v>157.5</v>
      </c>
      <c r="F79" s="3001">
        <v>61.699999999999996</v>
      </c>
      <c r="G79" s="3001">
        <v>110.47</v>
      </c>
      <c r="H79" s="3001">
        <v>194.51000000000005</v>
      </c>
      <c r="I79" s="3001">
        <v>178.4</v>
      </c>
      <c r="J79" s="3001">
        <v>119.16</v>
      </c>
      <c r="K79" s="3001">
        <v>89.590205000000012</v>
      </c>
      <c r="L79" s="3001">
        <v>63.360000000000007</v>
      </c>
      <c r="M79" s="3002">
        <v>87.635999999999996</v>
      </c>
      <c r="N79" s="2997" t="s">
        <v>480</v>
      </c>
      <c r="P79" s="2972"/>
      <c r="Q79" s="2972"/>
      <c r="R79" s="2972"/>
      <c r="S79" s="2972"/>
      <c r="T79" s="2972"/>
      <c r="U79" s="2972"/>
      <c r="V79" s="2972"/>
      <c r="W79" s="2972"/>
      <c r="X79" s="2972"/>
      <c r="Y79" s="2972"/>
      <c r="Z79" s="2972"/>
      <c r="AA79" s="2972"/>
      <c r="AB79" s="2972"/>
      <c r="AC79" s="2972"/>
      <c r="AD79" s="2972"/>
    </row>
    <row r="80" spans="4:30" s="2971" customFormat="1" ht="18.600000000000001" customHeight="1">
      <c r="D80" s="3018" t="s">
        <v>2830</v>
      </c>
      <c r="E80" s="3016">
        <v>172.3</v>
      </c>
      <c r="F80" s="3016">
        <v>73.599999999999994</v>
      </c>
      <c r="G80" s="3016">
        <v>146.4</v>
      </c>
      <c r="H80" s="3016">
        <v>252.60000000000002</v>
      </c>
      <c r="I80" s="3016">
        <v>206.9</v>
      </c>
      <c r="J80" s="3016">
        <v>138.30000000000001</v>
      </c>
      <c r="K80" s="3016">
        <v>104.80000000000001</v>
      </c>
      <c r="L80" s="3016">
        <v>74.960000000000008</v>
      </c>
      <c r="M80" s="3017">
        <v>97.640000000000015</v>
      </c>
      <c r="N80" s="3019" t="s">
        <v>2812</v>
      </c>
      <c r="P80" s="2972"/>
      <c r="Q80" s="2972"/>
      <c r="R80" s="2972"/>
      <c r="S80" s="2972"/>
      <c r="T80" s="2972"/>
      <c r="U80" s="2972"/>
      <c r="V80" s="2972"/>
      <c r="W80" s="2972"/>
      <c r="X80" s="2972"/>
      <c r="Y80" s="2972"/>
      <c r="Z80" s="2972"/>
      <c r="AA80" s="2972"/>
      <c r="AB80" s="2972"/>
      <c r="AC80" s="2972"/>
      <c r="AD80" s="2972"/>
    </row>
    <row r="81" spans="4:30" s="2971" customFormat="1" ht="18.600000000000001" customHeight="1">
      <c r="D81" s="3020" t="s">
        <v>2829</v>
      </c>
      <c r="E81" s="3001">
        <v>14.799999999999999</v>
      </c>
      <c r="F81" s="3001">
        <v>11.9</v>
      </c>
      <c r="G81" s="3001">
        <v>35.93</v>
      </c>
      <c r="H81" s="3001">
        <v>58.089999999999989</v>
      </c>
      <c r="I81" s="3001">
        <v>28.5</v>
      </c>
      <c r="J81" s="3001">
        <v>19.14</v>
      </c>
      <c r="K81" s="3001">
        <v>15.209795</v>
      </c>
      <c r="L81" s="3001">
        <v>11.6</v>
      </c>
      <c r="M81" s="3002">
        <v>10.004</v>
      </c>
      <c r="N81" s="3021" t="s">
        <v>2810</v>
      </c>
      <c r="P81" s="2972"/>
      <c r="Q81" s="2972"/>
      <c r="R81" s="2972"/>
      <c r="S81" s="2972"/>
      <c r="T81" s="2972"/>
      <c r="U81" s="2972"/>
      <c r="V81" s="2972"/>
      <c r="W81" s="2972"/>
      <c r="X81" s="2972"/>
      <c r="Y81" s="2972"/>
      <c r="Z81" s="2972"/>
      <c r="AA81" s="2972"/>
      <c r="AB81" s="2972"/>
      <c r="AC81" s="2972"/>
      <c r="AD81" s="2972"/>
    </row>
    <row r="82" spans="4:30" s="2971" customFormat="1" ht="18.600000000000001" customHeight="1">
      <c r="D82" s="2999" t="s">
        <v>192</v>
      </c>
      <c r="E82" s="3016">
        <v>216.59999999999997</v>
      </c>
      <c r="F82" s="3016">
        <v>142.80000000000001</v>
      </c>
      <c r="G82" s="3016">
        <v>160.69999999999999</v>
      </c>
      <c r="H82" s="3016">
        <v>244.4</v>
      </c>
      <c r="I82" s="3016">
        <v>161.5</v>
      </c>
      <c r="J82" s="3016">
        <v>131.5</v>
      </c>
      <c r="K82" s="3016">
        <v>107.4</v>
      </c>
      <c r="L82" s="3016">
        <v>106.69999999999999</v>
      </c>
      <c r="M82" s="3017">
        <v>176.98000000000002</v>
      </c>
      <c r="N82" s="2992" t="s">
        <v>168</v>
      </c>
      <c r="P82" s="2972"/>
      <c r="Q82" s="2972"/>
      <c r="R82" s="2972"/>
      <c r="S82" s="2972"/>
      <c r="T82" s="2972"/>
      <c r="U82" s="2972"/>
      <c r="V82" s="2972"/>
      <c r="W82" s="2972"/>
      <c r="X82" s="2972"/>
      <c r="Y82" s="2972"/>
      <c r="Z82" s="2972"/>
      <c r="AA82" s="2972"/>
      <c r="AB82" s="2972"/>
      <c r="AC82" s="2972"/>
      <c r="AD82" s="2972"/>
    </row>
    <row r="83" spans="4:30" s="2971" customFormat="1" ht="18.600000000000001" customHeight="1">
      <c r="D83" s="3020" t="s">
        <v>2830</v>
      </c>
      <c r="E83" s="3001">
        <v>276.7</v>
      </c>
      <c r="F83" s="3001">
        <v>171.39999999999998</v>
      </c>
      <c r="G83" s="3001">
        <v>201.7</v>
      </c>
      <c r="H83" s="3001">
        <v>314</v>
      </c>
      <c r="I83" s="3001">
        <v>207.2</v>
      </c>
      <c r="J83" s="3001">
        <v>165.4</v>
      </c>
      <c r="K83" s="3001">
        <v>127.80000000000001</v>
      </c>
      <c r="L83" s="3001">
        <v>128.6</v>
      </c>
      <c r="M83" s="3002">
        <v>199.27999999999997</v>
      </c>
      <c r="N83" s="3021" t="s">
        <v>2812</v>
      </c>
      <c r="P83" s="2972"/>
      <c r="Q83" s="2972"/>
      <c r="R83" s="2972"/>
      <c r="S83" s="2972"/>
      <c r="T83" s="2972"/>
      <c r="U83" s="2972"/>
      <c r="V83" s="2972"/>
      <c r="W83" s="2972"/>
      <c r="X83" s="2972"/>
      <c r="Y83" s="2972"/>
      <c r="Z83" s="2972"/>
      <c r="AA83" s="2972"/>
      <c r="AB83" s="2972"/>
      <c r="AC83" s="2972"/>
      <c r="AD83" s="2972"/>
    </row>
    <row r="84" spans="4:30" s="2971" customFormat="1" ht="18.600000000000001" customHeight="1">
      <c r="D84" s="3022" t="s">
        <v>2829</v>
      </c>
      <c r="E84" s="3016">
        <v>60.099999999999994</v>
      </c>
      <c r="F84" s="3016">
        <v>28.6</v>
      </c>
      <c r="G84" s="3016">
        <v>41</v>
      </c>
      <c r="H84" s="3016">
        <v>69.599999999999994</v>
      </c>
      <c r="I84" s="3016">
        <v>45.7</v>
      </c>
      <c r="J84" s="3016">
        <v>33.9</v>
      </c>
      <c r="K84" s="3016">
        <v>20.399999999999999</v>
      </c>
      <c r="L84" s="3016">
        <v>21.9</v>
      </c>
      <c r="M84" s="3017">
        <v>22.3</v>
      </c>
      <c r="N84" s="3019" t="s">
        <v>2810</v>
      </c>
      <c r="P84" s="2972"/>
      <c r="Q84" s="2972"/>
      <c r="R84" s="2972"/>
      <c r="S84" s="2972"/>
      <c r="T84" s="2972"/>
      <c r="U84" s="2972"/>
      <c r="V84" s="2972"/>
      <c r="W84" s="2972"/>
      <c r="X84" s="2972"/>
      <c r="Y84" s="2972"/>
      <c r="Z84" s="2972"/>
      <c r="AA84" s="2972"/>
      <c r="AB84" s="2972"/>
      <c r="AC84" s="2972"/>
      <c r="AD84" s="2972"/>
    </row>
    <row r="85" spans="4:30" s="2971" customFormat="1" ht="18.600000000000001" customHeight="1">
      <c r="D85" s="3000" t="s">
        <v>2831</v>
      </c>
      <c r="E85" s="3001">
        <v>-389.6</v>
      </c>
      <c r="F85" s="3001">
        <v>-354.4</v>
      </c>
      <c r="G85" s="3001">
        <v>-324.59999999999997</v>
      </c>
      <c r="H85" s="3001">
        <v>-351.20000000000005</v>
      </c>
      <c r="I85" s="3001">
        <v>-335.70000000000005</v>
      </c>
      <c r="J85" s="3001">
        <v>-255.6</v>
      </c>
      <c r="K85" s="3001">
        <v>-198.39999999999998</v>
      </c>
      <c r="L85" s="3001">
        <v>-191.9</v>
      </c>
      <c r="M85" s="3002">
        <v>-204.60000000000002</v>
      </c>
      <c r="N85" s="2997" t="s">
        <v>1208</v>
      </c>
      <c r="P85" s="2972"/>
      <c r="Q85" s="2972"/>
      <c r="R85" s="2972"/>
      <c r="S85" s="2972"/>
      <c r="T85" s="2972"/>
      <c r="U85" s="2972"/>
      <c r="V85" s="2972"/>
      <c r="W85" s="2972"/>
      <c r="X85" s="2972"/>
      <c r="Y85" s="2972"/>
      <c r="Z85" s="2972"/>
      <c r="AA85" s="2972"/>
      <c r="AB85" s="2972"/>
      <c r="AC85" s="2972"/>
      <c r="AD85" s="2972"/>
    </row>
    <row r="86" spans="4:30" s="2971" customFormat="1" ht="18.600000000000001" customHeight="1">
      <c r="D86" s="3018" t="s">
        <v>2830</v>
      </c>
      <c r="E86" s="3016">
        <v>0</v>
      </c>
      <c r="F86" s="3016">
        <v>0</v>
      </c>
      <c r="G86" s="3016">
        <v>0</v>
      </c>
      <c r="H86" s="3016">
        <v>0</v>
      </c>
      <c r="I86" s="3016">
        <v>0</v>
      </c>
      <c r="J86" s="3016">
        <v>0</v>
      </c>
      <c r="K86" s="3016">
        <v>0</v>
      </c>
      <c r="L86" s="3016">
        <v>0</v>
      </c>
      <c r="M86" s="3017">
        <v>0</v>
      </c>
      <c r="N86" s="3019" t="s">
        <v>2812</v>
      </c>
      <c r="P86" s="2972"/>
      <c r="Q86" s="2972"/>
      <c r="R86" s="2972"/>
      <c r="S86" s="2972"/>
      <c r="T86" s="2972"/>
      <c r="U86" s="2972"/>
      <c r="V86" s="2972"/>
      <c r="W86" s="2972"/>
      <c r="X86" s="2972"/>
      <c r="Y86" s="2972"/>
      <c r="Z86" s="2972"/>
      <c r="AA86" s="2972"/>
      <c r="AB86" s="2972"/>
      <c r="AC86" s="2972"/>
      <c r="AD86" s="2972"/>
    </row>
    <row r="87" spans="4:30" s="2971" customFormat="1" ht="18.600000000000001" customHeight="1">
      <c r="D87" s="3020" t="s">
        <v>2829</v>
      </c>
      <c r="E87" s="3001">
        <v>389.6</v>
      </c>
      <c r="F87" s="3001">
        <v>354.4</v>
      </c>
      <c r="G87" s="3001">
        <v>324.59999999999997</v>
      </c>
      <c r="H87" s="3001">
        <v>351.20000000000005</v>
      </c>
      <c r="I87" s="3001">
        <v>335.70000000000005</v>
      </c>
      <c r="J87" s="3001">
        <v>255.6</v>
      </c>
      <c r="K87" s="3001">
        <v>198.39999999999998</v>
      </c>
      <c r="L87" s="3001">
        <v>191.9</v>
      </c>
      <c r="M87" s="3002">
        <v>204.60000000000002</v>
      </c>
      <c r="N87" s="3021" t="s">
        <v>2810</v>
      </c>
      <c r="P87" s="2972"/>
      <c r="Q87" s="2972"/>
      <c r="R87" s="2972"/>
      <c r="S87" s="2972"/>
      <c r="T87" s="2972"/>
      <c r="U87" s="2972"/>
      <c r="V87" s="2972"/>
      <c r="W87" s="2972"/>
      <c r="X87" s="2972"/>
      <c r="Y87" s="2972"/>
      <c r="Z87" s="2972"/>
      <c r="AA87" s="2972"/>
      <c r="AB87" s="2972"/>
      <c r="AC87" s="2972"/>
      <c r="AD87" s="2972"/>
    </row>
    <row r="88" spans="4:30" s="2971" customFormat="1" ht="18.600000000000001" customHeight="1">
      <c r="D88" s="2999" t="s">
        <v>2825</v>
      </c>
      <c r="E88" s="3016">
        <v>-544.6</v>
      </c>
      <c r="F88" s="3016">
        <v>-211.3</v>
      </c>
      <c r="G88" s="3016">
        <v>-240.59999999999997</v>
      </c>
      <c r="H88" s="3016">
        <v>-299.5</v>
      </c>
      <c r="I88" s="3016">
        <v>-355.8</v>
      </c>
      <c r="J88" s="3016">
        <v>-358</v>
      </c>
      <c r="K88" s="3016">
        <v>-437.9</v>
      </c>
      <c r="L88" s="3016">
        <v>-514.30000000000007</v>
      </c>
      <c r="M88" s="3017">
        <v>-579.46</v>
      </c>
      <c r="N88" s="2992" t="s">
        <v>2797</v>
      </c>
      <c r="P88" s="2972"/>
      <c r="Q88" s="2972"/>
      <c r="R88" s="2972"/>
      <c r="S88" s="2972"/>
      <c r="T88" s="2972"/>
      <c r="U88" s="2972"/>
      <c r="V88" s="2972"/>
      <c r="W88" s="2972"/>
      <c r="X88" s="2972"/>
      <c r="Y88" s="2972"/>
      <c r="Z88" s="2972"/>
      <c r="AA88" s="2972"/>
      <c r="AB88" s="2972"/>
      <c r="AC88" s="2972"/>
      <c r="AD88" s="2972"/>
    </row>
    <row r="89" spans="4:30" s="2971" customFormat="1" ht="18.600000000000001" customHeight="1">
      <c r="D89" s="3020" t="s">
        <v>2830</v>
      </c>
      <c r="E89" s="3001">
        <v>68.8</v>
      </c>
      <c r="F89" s="3001">
        <v>60.2</v>
      </c>
      <c r="G89" s="3001">
        <v>61.899999999999991</v>
      </c>
      <c r="H89" s="3001">
        <v>72.800000000000011</v>
      </c>
      <c r="I89" s="3001">
        <v>62.300000000000004</v>
      </c>
      <c r="J89" s="3001">
        <v>49.2</v>
      </c>
      <c r="K89" s="3001">
        <v>44.999999999999993</v>
      </c>
      <c r="L89" s="3001">
        <v>50.099999999999994</v>
      </c>
      <c r="M89" s="3002">
        <v>62.54</v>
      </c>
      <c r="N89" s="3021" t="s">
        <v>2812</v>
      </c>
      <c r="P89" s="2972"/>
      <c r="Q89" s="2972"/>
      <c r="R89" s="2972"/>
      <c r="S89" s="2972"/>
      <c r="T89" s="2972"/>
      <c r="U89" s="2972"/>
      <c r="V89" s="2972"/>
      <c r="W89" s="2972"/>
      <c r="X89" s="2972"/>
      <c r="Y89" s="2972"/>
      <c r="Z89" s="2972"/>
      <c r="AA89" s="2972"/>
      <c r="AB89" s="2972"/>
      <c r="AC89" s="2972"/>
      <c r="AD89" s="2972"/>
    </row>
    <row r="90" spans="4:30" s="2971" customFormat="1" ht="18.600000000000001" customHeight="1">
      <c r="D90" s="3022" t="s">
        <v>2829</v>
      </c>
      <c r="E90" s="3016">
        <v>613.40000000000009</v>
      </c>
      <c r="F90" s="3016">
        <v>271.5</v>
      </c>
      <c r="G90" s="3016">
        <v>302.5</v>
      </c>
      <c r="H90" s="3016">
        <v>372.3</v>
      </c>
      <c r="I90" s="3016">
        <v>418.09999999999997</v>
      </c>
      <c r="J90" s="3016">
        <v>407.20000000000005</v>
      </c>
      <c r="K90" s="3016">
        <v>482.90000000000003</v>
      </c>
      <c r="L90" s="3016">
        <v>564.4</v>
      </c>
      <c r="M90" s="3017">
        <v>642</v>
      </c>
      <c r="N90" s="3019" t="s">
        <v>2810</v>
      </c>
      <c r="P90" s="2972"/>
      <c r="Q90" s="2972"/>
      <c r="R90" s="2972"/>
      <c r="S90" s="2972"/>
      <c r="T90" s="2972"/>
      <c r="U90" s="2972"/>
      <c r="V90" s="2972"/>
      <c r="W90" s="2972"/>
      <c r="X90" s="2972"/>
      <c r="Y90" s="2972"/>
      <c r="Z90" s="2972"/>
      <c r="AA90" s="2972"/>
      <c r="AB90" s="2972"/>
      <c r="AC90" s="2972"/>
      <c r="AD90" s="2972"/>
    </row>
    <row r="91" spans="4:30" s="2971" customFormat="1" ht="18.600000000000001" customHeight="1">
      <c r="D91" s="2974" t="s">
        <v>2828</v>
      </c>
      <c r="E91" s="3013">
        <v>4235.8999999999996</v>
      </c>
      <c r="F91" s="3013">
        <v>4235.7999999999993</v>
      </c>
      <c r="G91" s="3013">
        <v>3975</v>
      </c>
      <c r="H91" s="3013">
        <v>3558.8999999999996</v>
      </c>
      <c r="I91" s="3013">
        <v>3592.5999999999995</v>
      </c>
      <c r="J91" s="3013">
        <v>3229.9999999999991</v>
      </c>
      <c r="K91" s="3013">
        <v>3369.6000000000004</v>
      </c>
      <c r="L91" s="3013">
        <v>3989.3</v>
      </c>
      <c r="M91" s="3014">
        <v>5160.8999999999996</v>
      </c>
      <c r="N91" s="2977" t="s">
        <v>2827</v>
      </c>
      <c r="P91" s="2972"/>
      <c r="Q91" s="2972"/>
      <c r="R91" s="2972"/>
      <c r="S91" s="2972"/>
      <c r="T91" s="2972"/>
      <c r="U91" s="2972"/>
      <c r="V91" s="2972"/>
      <c r="W91" s="2972"/>
      <c r="X91" s="2972"/>
      <c r="Y91" s="2972"/>
      <c r="Z91" s="2972"/>
      <c r="AA91" s="2972"/>
      <c r="AB91" s="2972"/>
      <c r="AC91" s="2972"/>
      <c r="AD91" s="2972"/>
    </row>
    <row r="92" spans="4:30" s="2971" customFormat="1" ht="18.600000000000001" customHeight="1">
      <c r="D92" s="2980" t="s">
        <v>2813</v>
      </c>
      <c r="E92" s="3015">
        <v>4631</v>
      </c>
      <c r="F92" s="3015">
        <v>4634.2</v>
      </c>
      <c r="G92" s="3015">
        <v>4265.2999999999993</v>
      </c>
      <c r="H92" s="3015">
        <v>3984.3999999999996</v>
      </c>
      <c r="I92" s="3015">
        <v>4067.6</v>
      </c>
      <c r="J92" s="3015">
        <v>3736.0999999999995</v>
      </c>
      <c r="K92" s="3015">
        <v>3845.4</v>
      </c>
      <c r="L92" s="3015">
        <v>4425.8</v>
      </c>
      <c r="M92" s="3012">
        <v>5599.4</v>
      </c>
      <c r="N92" s="2983" t="s">
        <v>2812</v>
      </c>
      <c r="P92" s="2972"/>
      <c r="Q92" s="2972"/>
      <c r="R92" s="2972"/>
      <c r="S92" s="2972"/>
      <c r="T92" s="2972"/>
      <c r="U92" s="2972"/>
      <c r="V92" s="2972"/>
      <c r="W92" s="2972"/>
      <c r="X92" s="2972"/>
      <c r="Y92" s="2972"/>
      <c r="Z92" s="2972"/>
      <c r="AA92" s="2972"/>
      <c r="AB92" s="2972"/>
      <c r="AC92" s="2972"/>
      <c r="AD92" s="2972"/>
    </row>
    <row r="93" spans="4:30" s="2971" customFormat="1" ht="18.600000000000001" customHeight="1">
      <c r="D93" s="2974" t="s">
        <v>2811</v>
      </c>
      <c r="E93" s="3013">
        <v>395.09999999999997</v>
      </c>
      <c r="F93" s="3013">
        <v>398.40000000000003</v>
      </c>
      <c r="G93" s="3013">
        <v>290.29999999999995</v>
      </c>
      <c r="H93" s="3013">
        <v>425.5</v>
      </c>
      <c r="I93" s="3013">
        <v>474.99999999999994</v>
      </c>
      <c r="J93" s="3013">
        <v>506.1</v>
      </c>
      <c r="K93" s="3013">
        <v>475.8</v>
      </c>
      <c r="L93" s="3013">
        <v>436.5</v>
      </c>
      <c r="M93" s="3014">
        <v>438.5</v>
      </c>
      <c r="N93" s="2977" t="s">
        <v>2810</v>
      </c>
      <c r="P93" s="2972"/>
      <c r="Q93" s="2972"/>
      <c r="R93" s="2972"/>
      <c r="S93" s="2972"/>
      <c r="T93" s="2972"/>
      <c r="U93" s="2972"/>
      <c r="V93" s="2972"/>
      <c r="W93" s="2972"/>
      <c r="X93" s="2972"/>
      <c r="Y93" s="2972"/>
      <c r="Z93" s="2972"/>
      <c r="AA93" s="2972"/>
      <c r="AB93" s="2972"/>
      <c r="AC93" s="2972"/>
      <c r="AD93" s="2972"/>
    </row>
    <row r="94" spans="4:30" s="2971" customFormat="1" ht="18.600000000000001" customHeight="1">
      <c r="D94" s="2989" t="s">
        <v>2826</v>
      </c>
      <c r="E94" s="3016">
        <v>1319.6</v>
      </c>
      <c r="F94" s="3016">
        <v>1209</v>
      </c>
      <c r="G94" s="3016">
        <v>1038.5999999999999</v>
      </c>
      <c r="H94" s="3016">
        <v>944</v>
      </c>
      <c r="I94" s="3016">
        <v>1079.9000000000001</v>
      </c>
      <c r="J94" s="3016">
        <v>777.5</v>
      </c>
      <c r="K94" s="3016">
        <v>891</v>
      </c>
      <c r="L94" s="3016">
        <v>844.7</v>
      </c>
      <c r="M94" s="3017">
        <v>1341.4</v>
      </c>
      <c r="N94" s="2998" t="s">
        <v>1208</v>
      </c>
      <c r="P94" s="2972"/>
      <c r="Q94" s="2972"/>
      <c r="R94" s="2972"/>
      <c r="S94" s="2972"/>
      <c r="T94" s="2972"/>
      <c r="U94" s="2972"/>
      <c r="V94" s="2972"/>
      <c r="W94" s="2972"/>
      <c r="X94" s="2972"/>
      <c r="Y94" s="2972"/>
      <c r="Z94" s="2972"/>
      <c r="AA94" s="2972"/>
      <c r="AB94" s="2972"/>
      <c r="AC94" s="2972"/>
      <c r="AD94" s="2972"/>
    </row>
    <row r="95" spans="4:30" s="2971" customFormat="1" ht="18.600000000000001" customHeight="1">
      <c r="D95" s="2984" t="s">
        <v>2813</v>
      </c>
      <c r="E95" s="3001">
        <v>1319.6</v>
      </c>
      <c r="F95" s="3001">
        <v>1209</v>
      </c>
      <c r="G95" s="3001">
        <v>1038.5999999999999</v>
      </c>
      <c r="H95" s="3001">
        <v>944</v>
      </c>
      <c r="I95" s="3001">
        <v>1079.9000000000001</v>
      </c>
      <c r="J95" s="3001">
        <v>777.69999999999993</v>
      </c>
      <c r="K95" s="3001">
        <v>891.5</v>
      </c>
      <c r="L95" s="3001">
        <v>845.8</v>
      </c>
      <c r="M95" s="3002">
        <v>1342.3</v>
      </c>
      <c r="N95" s="2988" t="s">
        <v>2812</v>
      </c>
      <c r="P95" s="2972"/>
      <c r="Q95" s="2972"/>
      <c r="R95" s="2972"/>
      <c r="S95" s="2972"/>
      <c r="T95" s="2972"/>
      <c r="U95" s="2972"/>
      <c r="V95" s="2972"/>
      <c r="W95" s="2972"/>
      <c r="X95" s="2972"/>
      <c r="Y95" s="2972"/>
      <c r="Z95" s="2972"/>
      <c r="AA95" s="2972"/>
      <c r="AB95" s="2972"/>
      <c r="AC95" s="2972"/>
      <c r="AD95" s="2972"/>
    </row>
    <row r="96" spans="4:30" s="2971" customFormat="1" ht="18.600000000000001" customHeight="1">
      <c r="D96" s="2989" t="s">
        <v>2811</v>
      </c>
      <c r="E96" s="3016">
        <v>0</v>
      </c>
      <c r="F96" s="3016">
        <v>0</v>
      </c>
      <c r="G96" s="3016">
        <v>0</v>
      </c>
      <c r="H96" s="3016">
        <v>0</v>
      </c>
      <c r="I96" s="3016">
        <v>0</v>
      </c>
      <c r="J96" s="3016">
        <v>0.2</v>
      </c>
      <c r="K96" s="3016">
        <v>0.5</v>
      </c>
      <c r="L96" s="3016">
        <v>1.1000000000000001</v>
      </c>
      <c r="M96" s="3017">
        <v>0.89999999999999991</v>
      </c>
      <c r="N96" s="2998" t="s">
        <v>2810</v>
      </c>
      <c r="P96" s="2972"/>
      <c r="Q96" s="2972"/>
      <c r="R96" s="2972"/>
      <c r="S96" s="2972"/>
      <c r="T96" s="2972"/>
      <c r="U96" s="2972"/>
      <c r="V96" s="2972"/>
      <c r="W96" s="2972"/>
      <c r="X96" s="2972"/>
      <c r="Y96" s="2972"/>
      <c r="Z96" s="2972"/>
      <c r="AA96" s="2972"/>
      <c r="AB96" s="2972"/>
      <c r="AC96" s="2972"/>
      <c r="AD96" s="2972"/>
    </row>
    <row r="97" spans="4:30" s="2971" customFormat="1" ht="18.600000000000001" customHeight="1">
      <c r="D97" s="2984" t="s">
        <v>2825</v>
      </c>
      <c r="E97" s="3001">
        <v>2916.3</v>
      </c>
      <c r="F97" s="3001">
        <v>3026.7999999999997</v>
      </c>
      <c r="G97" s="3001">
        <v>2936.3999999999996</v>
      </c>
      <c r="H97" s="3001">
        <v>2614.9</v>
      </c>
      <c r="I97" s="3001">
        <v>2512.6999999999994</v>
      </c>
      <c r="J97" s="3001">
        <v>2452.4999999999995</v>
      </c>
      <c r="K97" s="3001">
        <v>2478.6000000000004</v>
      </c>
      <c r="L97" s="3001">
        <v>3144.6</v>
      </c>
      <c r="M97" s="3002">
        <v>3819.5</v>
      </c>
      <c r="N97" s="2988" t="s">
        <v>2797</v>
      </c>
      <c r="P97" s="2972"/>
      <c r="Q97" s="2972"/>
      <c r="R97" s="2972"/>
      <c r="S97" s="2972"/>
      <c r="T97" s="2972"/>
      <c r="U97" s="2972"/>
      <c r="V97" s="2972"/>
      <c r="W97" s="2972"/>
      <c r="X97" s="2972"/>
      <c r="Y97" s="2972"/>
      <c r="Z97" s="2972"/>
      <c r="AA97" s="2972"/>
      <c r="AB97" s="2972"/>
      <c r="AC97" s="2972"/>
      <c r="AD97" s="2972"/>
    </row>
    <row r="98" spans="4:30" s="2971" customFormat="1" ht="18.600000000000001" customHeight="1">
      <c r="D98" s="2989" t="s">
        <v>2813</v>
      </c>
      <c r="E98" s="3016">
        <v>3311.3999999999996</v>
      </c>
      <c r="F98" s="3016">
        <v>3425.2</v>
      </c>
      <c r="G98" s="3016">
        <v>3226.7</v>
      </c>
      <c r="H98" s="3016">
        <v>3040.4</v>
      </c>
      <c r="I98" s="3016">
        <v>2987.6999999999994</v>
      </c>
      <c r="J98" s="3016">
        <v>2958.3999999999996</v>
      </c>
      <c r="K98" s="3016">
        <v>2953.9</v>
      </c>
      <c r="L98" s="3016">
        <v>3580</v>
      </c>
      <c r="M98" s="3017">
        <v>4257.1000000000004</v>
      </c>
      <c r="N98" s="2998" t="s">
        <v>2812</v>
      </c>
      <c r="P98" s="2972"/>
      <c r="Q98" s="2972"/>
      <c r="R98" s="2972"/>
      <c r="S98" s="2972"/>
      <c r="T98" s="2972"/>
      <c r="U98" s="2972"/>
      <c r="V98" s="2972"/>
      <c r="W98" s="2972"/>
      <c r="X98" s="2972"/>
      <c r="Y98" s="2972"/>
      <c r="Z98" s="2972"/>
      <c r="AA98" s="2972"/>
      <c r="AB98" s="2972"/>
      <c r="AC98" s="2972"/>
      <c r="AD98" s="2972"/>
    </row>
    <row r="99" spans="4:30" s="2971" customFormat="1" ht="18.600000000000001" customHeight="1">
      <c r="D99" s="2984" t="s">
        <v>2811</v>
      </c>
      <c r="E99" s="3001">
        <v>395.09999999999997</v>
      </c>
      <c r="F99" s="3001">
        <v>398.40000000000003</v>
      </c>
      <c r="G99" s="3001">
        <v>290.29999999999995</v>
      </c>
      <c r="H99" s="3001">
        <v>425.5</v>
      </c>
      <c r="I99" s="3001">
        <v>474.99999999999994</v>
      </c>
      <c r="J99" s="3001">
        <v>505.90000000000003</v>
      </c>
      <c r="K99" s="3001">
        <v>475.3</v>
      </c>
      <c r="L99" s="3001">
        <v>435.40000000000003</v>
      </c>
      <c r="M99" s="3002">
        <v>437.59999999999997</v>
      </c>
      <c r="N99" s="2988" t="s">
        <v>2810</v>
      </c>
      <c r="P99" s="2972"/>
      <c r="Q99" s="2972"/>
      <c r="R99" s="2972"/>
      <c r="S99" s="2972"/>
      <c r="T99" s="2972"/>
      <c r="U99" s="2972"/>
      <c r="V99" s="2972"/>
      <c r="W99" s="2972"/>
      <c r="X99" s="2972"/>
      <c r="Y99" s="2972"/>
      <c r="Z99" s="2972"/>
      <c r="AA99" s="2972"/>
      <c r="AB99" s="2972"/>
      <c r="AC99" s="2972"/>
      <c r="AD99" s="2972"/>
    </row>
    <row r="100" spans="4:30" s="2971" customFormat="1" ht="18.600000000000001" customHeight="1">
      <c r="D100" s="2999" t="s">
        <v>2824</v>
      </c>
      <c r="E100" s="3016">
        <v>2916.3</v>
      </c>
      <c r="F100" s="3016">
        <v>3026.7999999999997</v>
      </c>
      <c r="G100" s="3016">
        <v>2936.3999999999996</v>
      </c>
      <c r="H100" s="3016">
        <v>2614.9</v>
      </c>
      <c r="I100" s="3016">
        <v>2512.6999999999998</v>
      </c>
      <c r="J100" s="3016">
        <v>2452.5</v>
      </c>
      <c r="K100" s="3016">
        <v>2478.6</v>
      </c>
      <c r="L100" s="3016">
        <v>3144.6</v>
      </c>
      <c r="M100" s="3017">
        <v>3819.5</v>
      </c>
      <c r="N100" s="2992" t="s">
        <v>2823</v>
      </c>
      <c r="P100" s="2972"/>
      <c r="Q100" s="2972"/>
      <c r="R100" s="2972"/>
      <c r="S100" s="2972"/>
      <c r="T100" s="2972"/>
      <c r="U100" s="2972"/>
      <c r="V100" s="2972"/>
      <c r="W100" s="2972"/>
      <c r="X100" s="2972"/>
      <c r="Y100" s="2972"/>
      <c r="Z100" s="2972"/>
      <c r="AA100" s="2972"/>
      <c r="AB100" s="2972"/>
      <c r="AC100" s="2972"/>
      <c r="AD100" s="2972"/>
    </row>
    <row r="101" spans="4:30" s="2971" customFormat="1" ht="18.600000000000001" customHeight="1">
      <c r="D101" s="3020" t="s">
        <v>2822</v>
      </c>
      <c r="E101" s="3001">
        <v>3243.3999999999996</v>
      </c>
      <c r="F101" s="3001">
        <v>3360</v>
      </c>
      <c r="G101" s="3001">
        <v>3182.7</v>
      </c>
      <c r="H101" s="3001">
        <v>2977.6</v>
      </c>
      <c r="I101" s="3001">
        <v>2914.5</v>
      </c>
      <c r="J101" s="3001">
        <v>2883.2</v>
      </c>
      <c r="K101" s="3001">
        <v>2843.1000000000004</v>
      </c>
      <c r="L101" s="3001">
        <v>3528</v>
      </c>
      <c r="M101" s="3002">
        <v>4257.1000000000004</v>
      </c>
      <c r="N101" s="3021" t="s">
        <v>2812</v>
      </c>
      <c r="P101" s="2972"/>
      <c r="Q101" s="2972"/>
      <c r="R101" s="2972"/>
      <c r="S101" s="2972"/>
      <c r="T101" s="2972"/>
      <c r="U101" s="2972"/>
      <c r="V101" s="2972"/>
      <c r="W101" s="2972"/>
      <c r="X101" s="2972"/>
      <c r="Y101" s="2972"/>
      <c r="Z101" s="2972"/>
      <c r="AA101" s="2972"/>
      <c r="AB101" s="2972"/>
      <c r="AC101" s="2972"/>
      <c r="AD101" s="2972"/>
    </row>
    <row r="102" spans="4:30" s="2971" customFormat="1" ht="18.600000000000001" customHeight="1">
      <c r="D102" s="3018" t="s">
        <v>2821</v>
      </c>
      <c r="E102" s="3016">
        <v>327.09999999999997</v>
      </c>
      <c r="F102" s="3016">
        <v>333.2</v>
      </c>
      <c r="G102" s="3016">
        <v>246.29999999999998</v>
      </c>
      <c r="H102" s="3016">
        <v>362.70000000000005</v>
      </c>
      <c r="I102" s="3016">
        <v>401.8</v>
      </c>
      <c r="J102" s="3016">
        <v>430.70000000000005</v>
      </c>
      <c r="K102" s="3016">
        <v>364.5</v>
      </c>
      <c r="L102" s="3016">
        <v>383.40000000000003</v>
      </c>
      <c r="M102" s="3017">
        <v>437.59999999999997</v>
      </c>
      <c r="N102" s="3019" t="s">
        <v>2810</v>
      </c>
      <c r="P102" s="2972"/>
      <c r="Q102" s="2972"/>
      <c r="R102" s="2972"/>
      <c r="S102" s="2972"/>
      <c r="T102" s="2972"/>
      <c r="U102" s="2972"/>
      <c r="V102" s="2972"/>
      <c r="W102" s="2972"/>
      <c r="X102" s="2972"/>
      <c r="Y102" s="2972"/>
      <c r="Z102" s="2972"/>
      <c r="AA102" s="2972"/>
      <c r="AB102" s="2972"/>
      <c r="AC102" s="2972"/>
      <c r="AD102" s="2972"/>
    </row>
    <row r="103" spans="4:30" s="2971" customFormat="1" ht="18.600000000000001" customHeight="1">
      <c r="D103" s="3023" t="s">
        <v>2820</v>
      </c>
      <c r="E103" s="3001">
        <v>1875.9999999999998</v>
      </c>
      <c r="F103" s="3001">
        <v>1837.6999999999998</v>
      </c>
      <c r="G103" s="3001">
        <v>1905.8</v>
      </c>
      <c r="H103" s="3001">
        <v>2027.6000000000001</v>
      </c>
      <c r="I103" s="3001">
        <v>1967.1999999999998</v>
      </c>
      <c r="J103" s="3001">
        <v>2020.1999999999998</v>
      </c>
      <c r="K103" s="3001">
        <v>2064.1000000000004</v>
      </c>
      <c r="L103" s="3001">
        <v>2122.6</v>
      </c>
      <c r="M103" s="3002">
        <v>2075.5</v>
      </c>
      <c r="N103" s="3024" t="s">
        <v>2819</v>
      </c>
      <c r="P103" s="2972"/>
      <c r="Q103" s="2972"/>
      <c r="R103" s="2972"/>
      <c r="S103" s="2972"/>
      <c r="T103" s="2972"/>
      <c r="U103" s="2972"/>
      <c r="V103" s="2972"/>
      <c r="W103" s="2972"/>
      <c r="X103" s="2972"/>
      <c r="Y103" s="2972"/>
      <c r="Z103" s="2972"/>
      <c r="AA103" s="2972"/>
      <c r="AB103" s="2972"/>
      <c r="AC103" s="2972"/>
      <c r="AD103" s="2972"/>
    </row>
    <row r="104" spans="4:30" s="2971" customFormat="1" ht="18.600000000000001" customHeight="1">
      <c r="D104" s="3025" t="s">
        <v>2813</v>
      </c>
      <c r="E104" s="3016">
        <v>2203.1</v>
      </c>
      <c r="F104" s="3016">
        <v>2170.9</v>
      </c>
      <c r="G104" s="3016">
        <v>2150.3999999999996</v>
      </c>
      <c r="H104" s="3016">
        <v>2366.8000000000002</v>
      </c>
      <c r="I104" s="3016">
        <v>2345.6999999999998</v>
      </c>
      <c r="J104" s="3016">
        <v>2371.8999999999996</v>
      </c>
      <c r="K104" s="3016">
        <v>2365.7000000000003</v>
      </c>
      <c r="L104" s="3016">
        <v>2423.3000000000002</v>
      </c>
      <c r="M104" s="3017">
        <v>2388</v>
      </c>
      <c r="N104" s="3026" t="s">
        <v>2812</v>
      </c>
      <c r="P104" s="2972"/>
      <c r="Q104" s="2972"/>
      <c r="R104" s="2972"/>
      <c r="S104" s="2972"/>
      <c r="T104" s="2972"/>
      <c r="U104" s="2972"/>
      <c r="V104" s="2972"/>
      <c r="W104" s="2972"/>
      <c r="X104" s="2972"/>
      <c r="Y104" s="2972"/>
      <c r="Z104" s="2972"/>
      <c r="AA104" s="2972"/>
      <c r="AB104" s="2972"/>
      <c r="AC104" s="2972"/>
      <c r="AD104" s="2972"/>
    </row>
    <row r="105" spans="4:30" s="2971" customFormat="1" ht="18.600000000000001" customHeight="1">
      <c r="D105" s="3023" t="s">
        <v>2811</v>
      </c>
      <c r="E105" s="3001">
        <v>327.09999999999997</v>
      </c>
      <c r="F105" s="3001">
        <v>333.2</v>
      </c>
      <c r="G105" s="3001">
        <v>244.6</v>
      </c>
      <c r="H105" s="3001">
        <v>339.2</v>
      </c>
      <c r="I105" s="3001">
        <v>378.5</v>
      </c>
      <c r="J105" s="3001">
        <v>351.70000000000005</v>
      </c>
      <c r="K105" s="3001">
        <v>301.60000000000002</v>
      </c>
      <c r="L105" s="3001">
        <v>300.70000000000005</v>
      </c>
      <c r="M105" s="3002">
        <v>312.5</v>
      </c>
      <c r="N105" s="3024" t="s">
        <v>2810</v>
      </c>
      <c r="P105" s="2972"/>
      <c r="Q105" s="2972"/>
      <c r="R105" s="2972"/>
      <c r="S105" s="2972"/>
      <c r="T105" s="2972"/>
      <c r="U105" s="2972"/>
      <c r="V105" s="2972"/>
      <c r="W105" s="2972"/>
      <c r="X105" s="2972"/>
      <c r="Y105" s="2972"/>
      <c r="Z105" s="2972"/>
      <c r="AA105" s="2972"/>
      <c r="AB105" s="2972"/>
      <c r="AC105" s="2972"/>
      <c r="AD105" s="2972"/>
    </row>
    <row r="106" spans="4:30" s="1792" customFormat="1" ht="18.600000000000001" customHeight="1">
      <c r="D106" s="2980" t="s">
        <v>2818</v>
      </c>
      <c r="E106" s="3015">
        <v>38</v>
      </c>
      <c r="F106" s="3015">
        <v>11</v>
      </c>
      <c r="G106" s="3015">
        <v>17</v>
      </c>
      <c r="H106" s="3015">
        <v>18</v>
      </c>
      <c r="I106" s="3015">
        <v>24</v>
      </c>
      <c r="J106" s="3015">
        <v>30</v>
      </c>
      <c r="K106" s="3015">
        <v>53</v>
      </c>
      <c r="L106" s="3015">
        <v>80</v>
      </c>
      <c r="M106" s="3012">
        <v>58.3</v>
      </c>
      <c r="N106" s="2983" t="s">
        <v>2817</v>
      </c>
      <c r="P106" s="2964"/>
      <c r="Q106" s="2964"/>
      <c r="R106" s="2964"/>
      <c r="S106" s="2964"/>
      <c r="T106" s="2964"/>
      <c r="U106" s="2964"/>
      <c r="V106" s="2964"/>
      <c r="W106" s="2964"/>
      <c r="X106" s="2964"/>
      <c r="Y106" s="2964"/>
      <c r="Z106" s="2964"/>
      <c r="AA106" s="2964"/>
      <c r="AB106" s="2964"/>
      <c r="AC106" s="2964"/>
      <c r="AD106" s="2964"/>
    </row>
    <row r="107" spans="4:30" s="1792" customFormat="1" ht="18.600000000000001" customHeight="1">
      <c r="D107" s="2974" t="s">
        <v>2813</v>
      </c>
      <c r="E107" s="3013">
        <v>38</v>
      </c>
      <c r="F107" s="3013">
        <v>11</v>
      </c>
      <c r="G107" s="3013">
        <v>17</v>
      </c>
      <c r="H107" s="3013">
        <v>18</v>
      </c>
      <c r="I107" s="3013">
        <v>24</v>
      </c>
      <c r="J107" s="3013">
        <v>30</v>
      </c>
      <c r="K107" s="3013">
        <v>53</v>
      </c>
      <c r="L107" s="3013">
        <v>80</v>
      </c>
      <c r="M107" s="3014">
        <v>58.3</v>
      </c>
      <c r="N107" s="2977" t="s">
        <v>2812</v>
      </c>
      <c r="P107" s="2964"/>
      <c r="Q107" s="2964"/>
      <c r="R107" s="2964"/>
      <c r="S107" s="2964"/>
      <c r="T107" s="2964"/>
      <c r="U107" s="2964"/>
      <c r="V107" s="2964"/>
      <c r="W107" s="2964"/>
      <c r="X107" s="2964"/>
      <c r="Y107" s="2964"/>
      <c r="Z107" s="2964"/>
      <c r="AA107" s="2964"/>
      <c r="AB107" s="2964"/>
      <c r="AC107" s="2964"/>
      <c r="AD107" s="2964"/>
    </row>
    <row r="108" spans="4:30" s="1792" customFormat="1" ht="18.600000000000001" customHeight="1">
      <c r="D108" s="2980" t="s">
        <v>2811</v>
      </c>
      <c r="E108" s="3015">
        <v>0</v>
      </c>
      <c r="F108" s="3015">
        <v>0</v>
      </c>
      <c r="G108" s="3015">
        <v>0</v>
      </c>
      <c r="H108" s="3015">
        <v>0</v>
      </c>
      <c r="I108" s="3015">
        <v>0</v>
      </c>
      <c r="J108" s="3015">
        <v>0</v>
      </c>
      <c r="K108" s="3015">
        <v>0</v>
      </c>
      <c r="L108" s="3015">
        <v>0</v>
      </c>
      <c r="M108" s="3012">
        <v>0</v>
      </c>
      <c r="N108" s="2983" t="s">
        <v>2810</v>
      </c>
      <c r="P108" s="2964"/>
      <c r="Q108" s="2964"/>
      <c r="R108" s="2964"/>
      <c r="S108" s="2964"/>
      <c r="T108" s="2964"/>
      <c r="U108" s="2964"/>
      <c r="V108" s="2964"/>
      <c r="W108" s="2964"/>
      <c r="X108" s="2964"/>
      <c r="Y108" s="2964"/>
      <c r="Z108" s="2964"/>
      <c r="AA108" s="2964"/>
      <c r="AB108" s="2964"/>
      <c r="AC108" s="2964"/>
      <c r="AD108" s="2964"/>
    </row>
    <row r="109" spans="4:30" s="1792" customFormat="1" ht="18.600000000000001" customHeight="1">
      <c r="D109" s="2984" t="s">
        <v>2816</v>
      </c>
      <c r="E109" s="3001">
        <v>0</v>
      </c>
      <c r="F109" s="3001">
        <v>0</v>
      </c>
      <c r="G109" s="3001">
        <v>0</v>
      </c>
      <c r="H109" s="3001">
        <v>0</v>
      </c>
      <c r="I109" s="3001">
        <v>0</v>
      </c>
      <c r="J109" s="3001">
        <v>0</v>
      </c>
      <c r="K109" s="3001">
        <v>0</v>
      </c>
      <c r="L109" s="3001">
        <v>0</v>
      </c>
      <c r="M109" s="3002">
        <v>0</v>
      </c>
      <c r="N109" s="2988" t="s">
        <v>2815</v>
      </c>
      <c r="P109" s="2964"/>
      <c r="Q109" s="2964"/>
      <c r="R109" s="2964"/>
      <c r="S109" s="2964"/>
      <c r="T109" s="2964"/>
      <c r="U109" s="2964"/>
      <c r="V109" s="2964"/>
      <c r="W109" s="2964"/>
      <c r="X109" s="2964"/>
      <c r="Y109" s="2964"/>
      <c r="Z109" s="2964"/>
      <c r="AA109" s="2964"/>
      <c r="AB109" s="2964"/>
      <c r="AC109" s="2964"/>
      <c r="AD109" s="2964"/>
    </row>
    <row r="110" spans="4:30" s="1792" customFormat="1" ht="18.600000000000001" customHeight="1">
      <c r="D110" s="2989" t="s">
        <v>2814</v>
      </c>
      <c r="E110" s="3016">
        <v>38</v>
      </c>
      <c r="F110" s="3016">
        <v>11</v>
      </c>
      <c r="G110" s="3016">
        <v>17</v>
      </c>
      <c r="H110" s="3016">
        <v>18</v>
      </c>
      <c r="I110" s="3016">
        <v>24</v>
      </c>
      <c r="J110" s="3016">
        <v>30</v>
      </c>
      <c r="K110" s="3016">
        <v>53</v>
      </c>
      <c r="L110" s="3016">
        <v>80</v>
      </c>
      <c r="M110" s="3017">
        <v>58.3</v>
      </c>
      <c r="N110" s="2998" t="s">
        <v>1192</v>
      </c>
      <c r="P110" s="2964"/>
      <c r="Q110" s="2964"/>
      <c r="R110" s="2964"/>
      <c r="S110" s="2964"/>
      <c r="T110" s="2964"/>
      <c r="U110" s="2964"/>
      <c r="V110" s="2964"/>
      <c r="W110" s="2964"/>
      <c r="X110" s="2964"/>
      <c r="Y110" s="2964"/>
      <c r="Z110" s="2964"/>
      <c r="AA110" s="2964"/>
      <c r="AB110" s="2964"/>
      <c r="AC110" s="2964"/>
      <c r="AD110" s="2964"/>
    </row>
    <row r="111" spans="4:30" s="1792" customFormat="1" ht="18.600000000000001" customHeight="1">
      <c r="D111" s="2984" t="s">
        <v>2813</v>
      </c>
      <c r="E111" s="3001">
        <v>38</v>
      </c>
      <c r="F111" s="3001">
        <v>11</v>
      </c>
      <c r="G111" s="3001">
        <v>17</v>
      </c>
      <c r="H111" s="3001">
        <v>18</v>
      </c>
      <c r="I111" s="3001">
        <v>24</v>
      </c>
      <c r="J111" s="3001">
        <v>30</v>
      </c>
      <c r="K111" s="3001">
        <v>53</v>
      </c>
      <c r="L111" s="3001">
        <v>80</v>
      </c>
      <c r="M111" s="3002">
        <v>58.3</v>
      </c>
      <c r="N111" s="2988" t="s">
        <v>2812</v>
      </c>
      <c r="P111" s="2964"/>
      <c r="Q111" s="2964"/>
      <c r="R111" s="2964"/>
      <c r="S111" s="2964"/>
      <c r="T111" s="2964"/>
      <c r="U111" s="2964"/>
      <c r="V111" s="2964"/>
      <c r="W111" s="2964"/>
      <c r="X111" s="2964"/>
      <c r="Y111" s="2964"/>
      <c r="Z111" s="2964"/>
      <c r="AA111" s="2964"/>
      <c r="AB111" s="2964"/>
      <c r="AC111" s="2964"/>
      <c r="AD111" s="2964"/>
    </row>
    <row r="112" spans="4:30" s="1792" customFormat="1" ht="18.600000000000001" customHeight="1">
      <c r="D112" s="2989" t="s">
        <v>2811</v>
      </c>
      <c r="E112" s="3027">
        <v>0</v>
      </c>
      <c r="F112" s="3027">
        <v>0</v>
      </c>
      <c r="G112" s="3027">
        <v>0</v>
      </c>
      <c r="H112" s="3027">
        <v>0</v>
      </c>
      <c r="I112" s="3027">
        <v>0</v>
      </c>
      <c r="J112" s="3027">
        <v>0</v>
      </c>
      <c r="K112" s="3027">
        <v>0</v>
      </c>
      <c r="L112" s="3027">
        <v>0</v>
      </c>
      <c r="M112" s="3028">
        <v>0</v>
      </c>
      <c r="N112" s="2998" t="s">
        <v>2810</v>
      </c>
      <c r="P112" s="2964"/>
      <c r="Q112" s="2964"/>
      <c r="R112" s="2964"/>
      <c r="S112" s="2964"/>
      <c r="T112" s="2964"/>
      <c r="U112" s="2964"/>
      <c r="V112" s="2964"/>
      <c r="W112" s="2964"/>
      <c r="X112" s="2964"/>
      <c r="Y112" s="2964"/>
      <c r="Z112" s="2964"/>
      <c r="AA112" s="2964"/>
      <c r="AB112" s="2964"/>
      <c r="AC112" s="2964"/>
      <c r="AD112" s="2964"/>
    </row>
    <row r="113" spans="4:30" s="1792" customFormat="1" ht="18.75">
      <c r="D113" s="3029"/>
      <c r="E113" s="3029"/>
      <c r="F113" s="3029"/>
      <c r="G113" s="3029"/>
      <c r="H113" s="3029"/>
      <c r="I113" s="3005"/>
      <c r="J113" s="3005"/>
      <c r="K113" s="3005"/>
      <c r="L113" s="3005"/>
      <c r="M113" s="3005"/>
      <c r="N113" s="3030"/>
      <c r="P113" s="2964"/>
      <c r="Q113" s="2964"/>
      <c r="R113" s="2964"/>
      <c r="S113" s="2964"/>
      <c r="T113" s="2964"/>
      <c r="U113" s="2964"/>
      <c r="V113" s="2964"/>
      <c r="W113" s="2964"/>
      <c r="X113" s="2964"/>
      <c r="Y113" s="2964"/>
      <c r="Z113" s="2964"/>
      <c r="AA113" s="2964"/>
      <c r="AB113" s="2964"/>
      <c r="AC113" s="2964"/>
      <c r="AD113" s="2964"/>
    </row>
    <row r="114" spans="4:30" s="1792" customFormat="1" ht="20.25">
      <c r="D114" s="2953" t="s">
        <v>545</v>
      </c>
      <c r="E114" s="2953"/>
      <c r="F114" s="2953"/>
      <c r="G114" s="2953"/>
      <c r="H114" s="2953"/>
      <c r="I114" s="3007"/>
      <c r="J114" s="3007"/>
      <c r="K114" s="3008"/>
      <c r="L114" s="3008"/>
      <c r="M114" s="3008"/>
      <c r="N114" s="2957" t="s">
        <v>1131</v>
      </c>
      <c r="P114" s="2964"/>
      <c r="Q114" s="2964"/>
      <c r="R114" s="2964"/>
      <c r="S114" s="2964"/>
      <c r="T114" s="2964"/>
      <c r="U114" s="2964"/>
      <c r="V114" s="2964"/>
      <c r="W114" s="2964"/>
      <c r="X114" s="2964"/>
      <c r="Y114" s="2964"/>
      <c r="Z114" s="2964"/>
      <c r="AA114" s="2964"/>
      <c r="AB114" s="2964"/>
      <c r="AC114" s="2964"/>
      <c r="AD114" s="2964"/>
    </row>
    <row r="115" spans="4:30" s="1792" customFormat="1" ht="24" customHeight="1">
      <c r="D115" s="2958"/>
      <c r="E115" s="4909" t="s">
        <v>3113</v>
      </c>
      <c r="F115" s="4909" t="s">
        <v>3103</v>
      </c>
      <c r="G115" s="4909" t="s">
        <v>3046</v>
      </c>
      <c r="H115" s="4909" t="s">
        <v>3025</v>
      </c>
      <c r="I115" s="4909" t="s">
        <v>2917</v>
      </c>
      <c r="J115" s="4909" t="s">
        <v>2809</v>
      </c>
      <c r="K115" s="4909" t="s">
        <v>2808</v>
      </c>
      <c r="L115" s="4909" t="s">
        <v>2807</v>
      </c>
      <c r="M115" s="4909" t="s">
        <v>2806</v>
      </c>
      <c r="N115" s="2959"/>
      <c r="P115" s="2964"/>
      <c r="Q115" s="2964"/>
      <c r="R115" s="2964"/>
      <c r="S115" s="2964"/>
      <c r="T115" s="2964"/>
      <c r="U115" s="2964"/>
      <c r="V115" s="2964"/>
      <c r="W115" s="2964"/>
      <c r="X115" s="2964"/>
      <c r="Y115" s="2964"/>
      <c r="Z115" s="2964"/>
      <c r="AA115" s="2964"/>
      <c r="AB115" s="2964"/>
      <c r="AC115" s="2964"/>
      <c r="AD115" s="2964"/>
    </row>
    <row r="116" spans="4:30" s="1792" customFormat="1" ht="20.25">
      <c r="D116" s="2960"/>
      <c r="E116" s="4910"/>
      <c r="F116" s="4910"/>
      <c r="G116" s="4910"/>
      <c r="H116" s="4910"/>
      <c r="I116" s="4910"/>
      <c r="J116" s="4910"/>
      <c r="K116" s="4910"/>
      <c r="L116" s="4910"/>
      <c r="M116" s="4910"/>
      <c r="N116" s="2961"/>
      <c r="P116" s="2964"/>
      <c r="Q116" s="2964"/>
      <c r="R116" s="2964"/>
      <c r="S116" s="2964"/>
      <c r="T116" s="2964"/>
      <c r="U116" s="2964"/>
      <c r="V116" s="2964"/>
      <c r="W116" s="2964"/>
      <c r="X116" s="2964"/>
      <c r="Y116" s="2964"/>
      <c r="Z116" s="2964"/>
      <c r="AA116" s="2964"/>
      <c r="AB116" s="2964"/>
      <c r="AC116" s="2964"/>
      <c r="AD116" s="2964"/>
    </row>
    <row r="117" spans="4:30" s="1792" customFormat="1" ht="20.25">
      <c r="D117" s="2960"/>
      <c r="E117" s="4910"/>
      <c r="F117" s="4910"/>
      <c r="G117" s="4910"/>
      <c r="H117" s="4910"/>
      <c r="I117" s="4910"/>
      <c r="J117" s="4910"/>
      <c r="K117" s="4910"/>
      <c r="L117" s="4910"/>
      <c r="M117" s="4910"/>
      <c r="N117" s="2961"/>
      <c r="P117" s="2964"/>
      <c r="Q117" s="2964"/>
      <c r="R117" s="2964"/>
      <c r="S117" s="2964"/>
      <c r="T117" s="2964"/>
      <c r="U117" s="2964"/>
      <c r="V117" s="2964"/>
      <c r="W117" s="2964"/>
      <c r="X117" s="2964"/>
      <c r="Y117" s="2964"/>
      <c r="Z117" s="2964"/>
      <c r="AA117" s="2964"/>
      <c r="AB117" s="2964"/>
      <c r="AC117" s="2964"/>
      <c r="AD117" s="2964"/>
    </row>
    <row r="118" spans="4:30" s="1792" customFormat="1" ht="20.25">
      <c r="D118" s="2960"/>
      <c r="E118" s="4910"/>
      <c r="F118" s="4910"/>
      <c r="G118" s="4910"/>
      <c r="H118" s="4910"/>
      <c r="I118" s="4910"/>
      <c r="J118" s="4910"/>
      <c r="K118" s="4910"/>
      <c r="L118" s="4910"/>
      <c r="M118" s="4910"/>
      <c r="N118" s="2961"/>
      <c r="P118" s="2964"/>
      <c r="Q118" s="2964"/>
      <c r="R118" s="2964"/>
      <c r="S118" s="2964"/>
      <c r="T118" s="2964"/>
      <c r="U118" s="2964"/>
      <c r="V118" s="2964"/>
      <c r="W118" s="2964"/>
      <c r="X118" s="2964"/>
      <c r="Y118" s="2964"/>
      <c r="Z118" s="2964"/>
      <c r="AA118" s="2964"/>
      <c r="AB118" s="2964"/>
      <c r="AC118" s="2964"/>
      <c r="AD118" s="2964"/>
    </row>
    <row r="119" spans="4:30" s="1792" customFormat="1" ht="20.25">
      <c r="D119" s="2962"/>
      <c r="E119" s="4910"/>
      <c r="F119" s="4910"/>
      <c r="G119" s="4910"/>
      <c r="H119" s="4910"/>
      <c r="I119" s="4910"/>
      <c r="J119" s="4910"/>
      <c r="K119" s="4910"/>
      <c r="L119" s="4910"/>
      <c r="M119" s="4910"/>
      <c r="N119" s="2963"/>
      <c r="P119" s="2964"/>
      <c r="Q119" s="2964"/>
      <c r="R119" s="2964"/>
      <c r="S119" s="2964"/>
      <c r="T119" s="2964"/>
      <c r="U119" s="2964"/>
      <c r="V119" s="2964"/>
      <c r="W119" s="2964"/>
      <c r="X119" s="2964"/>
      <c r="Y119" s="2964"/>
      <c r="Z119" s="2964"/>
      <c r="AA119" s="2964"/>
      <c r="AB119" s="2964"/>
      <c r="AC119" s="2964"/>
      <c r="AD119" s="2964"/>
    </row>
    <row r="120" spans="4:30" s="1792" customFormat="1" ht="20.25">
      <c r="D120" s="3009"/>
      <c r="E120" s="4911"/>
      <c r="F120" s="4911"/>
      <c r="G120" s="4911"/>
      <c r="H120" s="4911"/>
      <c r="I120" s="4911"/>
      <c r="J120" s="4911"/>
      <c r="K120" s="4911"/>
      <c r="L120" s="4911"/>
      <c r="M120" s="4911"/>
      <c r="N120" s="3010"/>
      <c r="P120" s="2964"/>
      <c r="Q120" s="2964"/>
      <c r="R120" s="2964"/>
      <c r="S120" s="2964"/>
      <c r="T120" s="2964"/>
      <c r="U120" s="2964"/>
      <c r="V120" s="2964"/>
      <c r="W120" s="2964"/>
      <c r="X120" s="2964"/>
      <c r="Y120" s="2964"/>
      <c r="Z120" s="2964"/>
      <c r="AA120" s="2964"/>
      <c r="AB120" s="2964"/>
      <c r="AC120" s="2964"/>
      <c r="AD120" s="2964"/>
    </row>
    <row r="121" spans="4:30" s="1792" customFormat="1" ht="18.600000000000001" customHeight="1">
      <c r="D121" s="3031" t="s">
        <v>2805</v>
      </c>
      <c r="E121" s="3011">
        <v>-2045.8000000000002</v>
      </c>
      <c r="F121" s="3011">
        <v>-1331.2000000000003</v>
      </c>
      <c r="G121" s="3011">
        <v>-1879</v>
      </c>
      <c r="H121" s="3011">
        <v>-761.6</v>
      </c>
      <c r="I121" s="3011">
        <v>-2811.7000000000003</v>
      </c>
      <c r="J121" s="3011">
        <v>-2361.9</v>
      </c>
      <c r="K121" s="3011">
        <v>-2438.2999999999997</v>
      </c>
      <c r="L121" s="3011">
        <v>-1911.0048699999998</v>
      </c>
      <c r="M121" s="3012">
        <v>-1025.8481300000001</v>
      </c>
      <c r="N121" s="3032" t="s">
        <v>2804</v>
      </c>
      <c r="P121" s="2964"/>
      <c r="Q121" s="2964"/>
      <c r="R121" s="2964"/>
      <c r="S121" s="2964"/>
      <c r="T121" s="2964"/>
      <c r="U121" s="2964"/>
      <c r="V121" s="2964"/>
      <c r="W121" s="2964"/>
      <c r="X121" s="2964"/>
      <c r="Y121" s="2964"/>
      <c r="Z121" s="2964"/>
      <c r="AA121" s="2964"/>
      <c r="AB121" s="2964"/>
      <c r="AC121" s="2964"/>
      <c r="AD121" s="2964"/>
    </row>
    <row r="122" spans="4:30" s="1792" customFormat="1" ht="18.600000000000001" customHeight="1">
      <c r="D122" s="2974" t="s">
        <v>2803</v>
      </c>
      <c r="E122" s="3013">
        <v>-899.7</v>
      </c>
      <c r="F122" s="3013">
        <v>-430.2</v>
      </c>
      <c r="G122" s="3013">
        <v>-521.1</v>
      </c>
      <c r="H122" s="3013">
        <v>-487.3</v>
      </c>
      <c r="I122" s="3013">
        <v>-683.4</v>
      </c>
      <c r="J122" s="3013">
        <v>-1436.4</v>
      </c>
      <c r="K122" s="3013">
        <v>-1100.3</v>
      </c>
      <c r="L122" s="3013">
        <v>-1135.5</v>
      </c>
      <c r="M122" s="3014">
        <v>-1487.4</v>
      </c>
      <c r="N122" s="2977" t="s">
        <v>1196</v>
      </c>
      <c r="P122" s="2964"/>
      <c r="Q122" s="2964"/>
      <c r="R122" s="2964"/>
      <c r="S122" s="2964"/>
      <c r="T122" s="2964"/>
      <c r="U122" s="2964"/>
      <c r="V122" s="2964"/>
      <c r="W122" s="2964"/>
      <c r="X122" s="2964"/>
      <c r="Y122" s="2964"/>
      <c r="Z122" s="2964"/>
      <c r="AA122" s="2964"/>
      <c r="AB122" s="2964"/>
      <c r="AC122" s="2964"/>
      <c r="AD122" s="2964"/>
    </row>
    <row r="123" spans="4:30" s="1792" customFormat="1" ht="18.600000000000001" customHeight="1">
      <c r="D123" s="3033" t="s">
        <v>3067</v>
      </c>
      <c r="E123" s="3015">
        <v>-11.200000000000001</v>
      </c>
      <c r="F123" s="3015">
        <v>11.3</v>
      </c>
      <c r="G123" s="3015">
        <v>18.700000000000003</v>
      </c>
      <c r="H123" s="3015">
        <v>30.799999999999997</v>
      </c>
      <c r="I123" s="3015">
        <v>-5.4</v>
      </c>
      <c r="J123" s="3015">
        <v>4.7</v>
      </c>
      <c r="K123" s="3015">
        <v>2.2999999999999976</v>
      </c>
      <c r="L123" s="3015">
        <v>0.69999999999999929</v>
      </c>
      <c r="M123" s="3012">
        <v>59.3</v>
      </c>
      <c r="N123" s="3034" t="s">
        <v>2791</v>
      </c>
      <c r="P123" s="2964"/>
      <c r="Q123" s="2964"/>
      <c r="R123" s="2964"/>
      <c r="S123" s="2964"/>
      <c r="T123" s="2964"/>
      <c r="U123" s="2964"/>
      <c r="V123" s="2964"/>
      <c r="W123" s="2964"/>
      <c r="X123" s="2964"/>
      <c r="Y123" s="2964"/>
      <c r="Z123" s="2964"/>
      <c r="AA123" s="2964"/>
      <c r="AB123" s="2964"/>
      <c r="AC123" s="2964"/>
      <c r="AD123" s="2964"/>
    </row>
    <row r="124" spans="4:30" s="1792" customFormat="1" ht="18.600000000000001" customHeight="1">
      <c r="D124" s="3035" t="s">
        <v>3068</v>
      </c>
      <c r="E124" s="3013">
        <v>888.5</v>
      </c>
      <c r="F124" s="3013">
        <v>441.5</v>
      </c>
      <c r="G124" s="3013">
        <v>539.79999999999995</v>
      </c>
      <c r="H124" s="3013">
        <v>518.1</v>
      </c>
      <c r="I124" s="3013">
        <v>678</v>
      </c>
      <c r="J124" s="3013">
        <v>1441.1</v>
      </c>
      <c r="K124" s="3013">
        <v>1102.5999999999999</v>
      </c>
      <c r="L124" s="3013">
        <v>1136.2</v>
      </c>
      <c r="M124" s="3014">
        <v>1546.7</v>
      </c>
      <c r="N124" s="3036" t="s">
        <v>2787</v>
      </c>
      <c r="P124" s="2964"/>
      <c r="Q124" s="2964"/>
      <c r="R124" s="2964"/>
      <c r="S124" s="2964"/>
      <c r="T124" s="2964"/>
      <c r="U124" s="2964"/>
      <c r="V124" s="2964"/>
      <c r="W124" s="2964"/>
      <c r="X124" s="2964"/>
      <c r="Y124" s="2964"/>
      <c r="Z124" s="2964"/>
      <c r="AA124" s="2964"/>
      <c r="AB124" s="2964"/>
      <c r="AC124" s="2964"/>
      <c r="AD124" s="2964"/>
    </row>
    <row r="125" spans="4:30" s="1792" customFormat="1" ht="18.600000000000001" customHeight="1">
      <c r="D125" s="2980" t="s">
        <v>2802</v>
      </c>
      <c r="E125" s="3015">
        <v>487.3</v>
      </c>
      <c r="F125" s="3015">
        <v>165</v>
      </c>
      <c r="G125" s="3015">
        <v>-301.60000000000002</v>
      </c>
      <c r="H125" s="3015">
        <v>757.40000000000009</v>
      </c>
      <c r="I125" s="3015">
        <v>129.69999999999999</v>
      </c>
      <c r="J125" s="3015">
        <v>-676.80000000000007</v>
      </c>
      <c r="K125" s="3015">
        <v>-845.89999999999986</v>
      </c>
      <c r="L125" s="3015">
        <v>-919.59999999999991</v>
      </c>
      <c r="M125" s="3012">
        <v>-825.00000000000011</v>
      </c>
      <c r="N125" s="2983" t="s">
        <v>1202</v>
      </c>
      <c r="P125" s="2964"/>
      <c r="Q125" s="2964"/>
      <c r="R125" s="2964"/>
      <c r="S125" s="2964"/>
      <c r="T125" s="2964"/>
      <c r="U125" s="2964"/>
      <c r="V125" s="2964"/>
      <c r="W125" s="2964"/>
      <c r="X125" s="2964"/>
      <c r="Y125" s="2964"/>
      <c r="Z125" s="2964"/>
      <c r="AA125" s="2964"/>
      <c r="AB125" s="2964"/>
      <c r="AC125" s="2964"/>
      <c r="AD125" s="2964"/>
    </row>
    <row r="126" spans="4:30" s="1792" customFormat="1" ht="18.600000000000001" customHeight="1">
      <c r="D126" s="3035" t="s">
        <v>3069</v>
      </c>
      <c r="E126" s="3013">
        <v>124.7</v>
      </c>
      <c r="F126" s="3013">
        <v>35.799999999999997</v>
      </c>
      <c r="G126" s="3013">
        <v>-20</v>
      </c>
      <c r="H126" s="3013">
        <v>22.599999999999998</v>
      </c>
      <c r="I126" s="3013">
        <v>22.2</v>
      </c>
      <c r="J126" s="3013">
        <v>10.7</v>
      </c>
      <c r="K126" s="3013">
        <v>22.000000000000007</v>
      </c>
      <c r="L126" s="3013">
        <v>50</v>
      </c>
      <c r="M126" s="3014">
        <v>73.700000000000017</v>
      </c>
      <c r="N126" s="3036" t="s">
        <v>2791</v>
      </c>
      <c r="P126" s="2964"/>
      <c r="Q126" s="2964"/>
      <c r="R126" s="2964"/>
      <c r="S126" s="2964"/>
      <c r="T126" s="2964"/>
      <c r="U126" s="2964"/>
      <c r="V126" s="2964"/>
      <c r="W126" s="2964"/>
      <c r="X126" s="2964"/>
      <c r="Y126" s="2964"/>
      <c r="Z126" s="2964"/>
      <c r="AA126" s="2964"/>
      <c r="AB126" s="2964"/>
      <c r="AC126" s="2964"/>
      <c r="AD126" s="2964"/>
    </row>
    <row r="127" spans="4:30" s="1792" customFormat="1" ht="18.600000000000001" customHeight="1">
      <c r="D127" s="3037" t="s">
        <v>2800</v>
      </c>
      <c r="E127" s="3016">
        <v>-3.3</v>
      </c>
      <c r="F127" s="3016">
        <v>3.0999999999999996</v>
      </c>
      <c r="G127" s="3016">
        <v>5.1999999999999993</v>
      </c>
      <c r="H127" s="3016">
        <v>8.8000000000000007</v>
      </c>
      <c r="I127" s="3016">
        <v>-1.6</v>
      </c>
      <c r="J127" s="3016">
        <v>1.2999999999999998</v>
      </c>
      <c r="K127" s="3016">
        <v>0.6000000000000002</v>
      </c>
      <c r="L127" s="3016">
        <v>0.29999999999999982</v>
      </c>
      <c r="M127" s="3017">
        <v>16.7</v>
      </c>
      <c r="N127" s="3038" t="s">
        <v>2799</v>
      </c>
      <c r="P127" s="2964"/>
      <c r="Q127" s="2964"/>
      <c r="R127" s="2964"/>
      <c r="S127" s="2964"/>
      <c r="T127" s="2964"/>
      <c r="U127" s="2964"/>
      <c r="V127" s="2964"/>
      <c r="W127" s="2964"/>
      <c r="X127" s="2964"/>
      <c r="Y127" s="2964"/>
      <c r="Z127" s="2964"/>
      <c r="AA127" s="2964"/>
      <c r="AB127" s="2964"/>
      <c r="AC127" s="2964"/>
      <c r="AD127" s="2964"/>
    </row>
    <row r="128" spans="4:30" s="1792" customFormat="1" ht="18.600000000000001" customHeight="1">
      <c r="D128" s="3039" t="s">
        <v>3070</v>
      </c>
      <c r="E128" s="3001">
        <v>-3.3</v>
      </c>
      <c r="F128" s="3001">
        <v>3.0999999999999996</v>
      </c>
      <c r="G128" s="3001">
        <v>5.1999999999999993</v>
      </c>
      <c r="H128" s="3001">
        <v>8.8000000000000007</v>
      </c>
      <c r="I128" s="3001">
        <v>-1.6</v>
      </c>
      <c r="J128" s="3001">
        <v>1.2999999999999998</v>
      </c>
      <c r="K128" s="3001">
        <v>0.6000000000000002</v>
      </c>
      <c r="L128" s="3001">
        <v>0.29999999999999982</v>
      </c>
      <c r="M128" s="3002">
        <v>16.7</v>
      </c>
      <c r="N128" s="3040" t="s">
        <v>2801</v>
      </c>
      <c r="P128" s="2964"/>
      <c r="Q128" s="2964"/>
      <c r="R128" s="2964"/>
      <c r="S128" s="2964"/>
      <c r="T128" s="2964"/>
      <c r="U128" s="2964"/>
      <c r="V128" s="2964"/>
      <c r="W128" s="2964"/>
      <c r="X128" s="2964"/>
      <c r="Y128" s="2964"/>
      <c r="Z128" s="2964"/>
      <c r="AA128" s="2964"/>
      <c r="AB128" s="2964"/>
      <c r="AC128" s="2964"/>
      <c r="AD128" s="2964"/>
    </row>
    <row r="129" spans="4:30" s="1792" customFormat="1" ht="18.600000000000001" customHeight="1">
      <c r="D129" s="3037" t="s">
        <v>2758</v>
      </c>
      <c r="E129" s="3016">
        <v>128</v>
      </c>
      <c r="F129" s="3016">
        <v>32.700000000000003</v>
      </c>
      <c r="G129" s="3016">
        <v>-25.199999999999996</v>
      </c>
      <c r="H129" s="3016">
        <v>13.799999999999997</v>
      </c>
      <c r="I129" s="3016">
        <v>23.799999999999997</v>
      </c>
      <c r="J129" s="3016">
        <v>9.4</v>
      </c>
      <c r="K129" s="3016">
        <v>21.4</v>
      </c>
      <c r="L129" s="3016">
        <v>49.7</v>
      </c>
      <c r="M129" s="3017">
        <v>57</v>
      </c>
      <c r="N129" s="3038" t="s">
        <v>2757</v>
      </c>
      <c r="P129" s="2964"/>
      <c r="Q129" s="2964"/>
      <c r="R129" s="2964"/>
      <c r="S129" s="2964"/>
      <c r="T129" s="2964"/>
      <c r="U129" s="2964"/>
      <c r="V129" s="2964"/>
      <c r="W129" s="2964"/>
      <c r="X129" s="2964"/>
      <c r="Y129" s="2964"/>
      <c r="Z129" s="2964"/>
      <c r="AA129" s="2964"/>
      <c r="AB129" s="2964"/>
      <c r="AC129" s="2964"/>
      <c r="AD129" s="2964"/>
    </row>
    <row r="130" spans="4:30" s="1792" customFormat="1" ht="18.600000000000001" customHeight="1">
      <c r="D130" s="3039" t="s">
        <v>3070</v>
      </c>
      <c r="E130" s="3001">
        <v>128</v>
      </c>
      <c r="F130" s="3001">
        <v>32.700000000000003</v>
      </c>
      <c r="G130" s="3001">
        <v>-25.199999999999996</v>
      </c>
      <c r="H130" s="3001">
        <v>13.799999999999997</v>
      </c>
      <c r="I130" s="3001">
        <v>23.799999999999997</v>
      </c>
      <c r="J130" s="3001">
        <v>9.4</v>
      </c>
      <c r="K130" s="3001">
        <v>21.4</v>
      </c>
      <c r="L130" s="3001">
        <v>49.7</v>
      </c>
      <c r="M130" s="3002">
        <v>57</v>
      </c>
      <c r="N130" s="3040" t="s">
        <v>2801</v>
      </c>
      <c r="P130" s="2964"/>
      <c r="Q130" s="2964"/>
      <c r="R130" s="2964"/>
      <c r="S130" s="2964"/>
      <c r="T130" s="2964"/>
      <c r="U130" s="2964"/>
      <c r="V130" s="2964"/>
      <c r="W130" s="2964"/>
      <c r="X130" s="2964"/>
      <c r="Y130" s="2964"/>
      <c r="Z130" s="2964"/>
      <c r="AA130" s="2964"/>
      <c r="AB130" s="2964"/>
      <c r="AC130" s="2964"/>
      <c r="AD130" s="2964"/>
    </row>
    <row r="131" spans="4:30" s="1792" customFormat="1" ht="18.600000000000001" customHeight="1">
      <c r="D131" s="3033" t="s">
        <v>2788</v>
      </c>
      <c r="E131" s="3015">
        <v>-362.59999999999997</v>
      </c>
      <c r="F131" s="3015">
        <v>-129.20000000000002</v>
      </c>
      <c r="G131" s="3015">
        <v>281.60000000000002</v>
      </c>
      <c r="H131" s="3015">
        <v>-734.8</v>
      </c>
      <c r="I131" s="3015">
        <v>-107.49999999999999</v>
      </c>
      <c r="J131" s="3015">
        <v>687.50000000000011</v>
      </c>
      <c r="K131" s="3015">
        <v>867.9</v>
      </c>
      <c r="L131" s="3015">
        <v>969.6</v>
      </c>
      <c r="M131" s="3012">
        <v>898.7</v>
      </c>
      <c r="N131" s="3034" t="s">
        <v>2787</v>
      </c>
      <c r="P131" s="2964"/>
      <c r="Q131" s="2964"/>
      <c r="R131" s="2964"/>
      <c r="S131" s="2964"/>
      <c r="T131" s="2964"/>
      <c r="U131" s="2964"/>
      <c r="V131" s="2964"/>
      <c r="W131" s="2964"/>
      <c r="X131" s="2964"/>
      <c r="Y131" s="2964"/>
      <c r="Z131" s="2964"/>
      <c r="AA131" s="2964"/>
      <c r="AB131" s="2964"/>
      <c r="AC131" s="2964"/>
      <c r="AD131" s="2964"/>
    </row>
    <row r="132" spans="4:30" s="1792" customFormat="1" ht="18.600000000000001" customHeight="1">
      <c r="D132" s="2984" t="s">
        <v>2800</v>
      </c>
      <c r="E132" s="3001">
        <v>-67.900000000000006</v>
      </c>
      <c r="F132" s="3001">
        <v>-60.899999999999991</v>
      </c>
      <c r="G132" s="3001">
        <v>-67.599999999999994</v>
      </c>
      <c r="H132" s="3001">
        <v>-44.199999999999996</v>
      </c>
      <c r="I132" s="3001">
        <v>29.300000000000004</v>
      </c>
      <c r="J132" s="3001">
        <v>-338.3</v>
      </c>
      <c r="K132" s="3001">
        <v>236.9</v>
      </c>
      <c r="L132" s="3001">
        <v>10.4</v>
      </c>
      <c r="M132" s="3002">
        <v>-22.099999999999994</v>
      </c>
      <c r="N132" s="2988" t="s">
        <v>2799</v>
      </c>
      <c r="P132" s="2964"/>
      <c r="Q132" s="2964"/>
      <c r="R132" s="2964"/>
      <c r="S132" s="2964"/>
      <c r="T132" s="2964"/>
      <c r="U132" s="2964"/>
      <c r="V132" s="2964"/>
      <c r="W132" s="2964"/>
      <c r="X132" s="2964"/>
      <c r="Y132" s="2964"/>
      <c r="Z132" s="2964"/>
      <c r="AA132" s="2964"/>
      <c r="AB132" s="2964"/>
      <c r="AC132" s="2964"/>
      <c r="AD132" s="2964"/>
    </row>
    <row r="133" spans="4:30" s="1792" customFormat="1" ht="18.600000000000001" customHeight="1">
      <c r="D133" s="2999" t="s">
        <v>2798</v>
      </c>
      <c r="E133" s="3016">
        <v>-67.900000000000006</v>
      </c>
      <c r="F133" s="3016">
        <v>-60.899999999999991</v>
      </c>
      <c r="G133" s="3016">
        <v>-67.599999999999994</v>
      </c>
      <c r="H133" s="3016">
        <v>-44.199999999999996</v>
      </c>
      <c r="I133" s="3016">
        <v>29.300000000000004</v>
      </c>
      <c r="J133" s="3016">
        <v>-338.3</v>
      </c>
      <c r="K133" s="3016">
        <v>236.9</v>
      </c>
      <c r="L133" s="3016">
        <v>10.4</v>
      </c>
      <c r="M133" s="3017">
        <v>-22.099999999999994</v>
      </c>
      <c r="N133" s="2992" t="s">
        <v>2797</v>
      </c>
      <c r="P133" s="2964"/>
      <c r="Q133" s="2964"/>
      <c r="R133" s="2964"/>
      <c r="S133" s="2964"/>
      <c r="T133" s="2964"/>
      <c r="U133" s="2964"/>
      <c r="V133" s="2964"/>
      <c r="W133" s="2964"/>
      <c r="X133" s="2964"/>
      <c r="Y133" s="2964"/>
      <c r="Z133" s="2964"/>
      <c r="AA133" s="2964"/>
      <c r="AB133" s="2964"/>
      <c r="AC133" s="2964"/>
      <c r="AD133" s="2964"/>
    </row>
    <row r="134" spans="4:30" s="1792" customFormat="1" ht="18.600000000000001" customHeight="1">
      <c r="D134" s="2984" t="s">
        <v>2796</v>
      </c>
      <c r="E134" s="3001">
        <v>-294.69999999999993</v>
      </c>
      <c r="F134" s="3001">
        <v>-68.3</v>
      </c>
      <c r="G134" s="3001">
        <v>349.19999999999993</v>
      </c>
      <c r="H134" s="3001">
        <v>-690.6</v>
      </c>
      <c r="I134" s="3001">
        <v>-136.79999999999998</v>
      </c>
      <c r="J134" s="3001">
        <v>1025.8</v>
      </c>
      <c r="K134" s="3001">
        <v>631</v>
      </c>
      <c r="L134" s="3001">
        <v>959.2</v>
      </c>
      <c r="M134" s="3002">
        <v>920.80000000000007</v>
      </c>
      <c r="N134" s="2988" t="s">
        <v>2757</v>
      </c>
      <c r="P134" s="2964"/>
      <c r="Q134" s="2964"/>
      <c r="R134" s="2964"/>
      <c r="S134" s="2964"/>
      <c r="T134" s="2964"/>
      <c r="U134" s="2964"/>
      <c r="V134" s="2964"/>
      <c r="W134" s="2964"/>
      <c r="X134" s="2964"/>
      <c r="Y134" s="2964"/>
      <c r="Z134" s="2964"/>
      <c r="AA134" s="2964"/>
      <c r="AB134" s="2964"/>
      <c r="AC134" s="2964"/>
      <c r="AD134" s="2964"/>
    </row>
    <row r="135" spans="4:30" s="1792" customFormat="1" ht="18.600000000000001" customHeight="1">
      <c r="D135" s="2999" t="s">
        <v>3071</v>
      </c>
      <c r="E135" s="3016">
        <v>-294.69999999999993</v>
      </c>
      <c r="F135" s="3016">
        <v>-68.3</v>
      </c>
      <c r="G135" s="3016">
        <v>349.19999999999993</v>
      </c>
      <c r="H135" s="3016">
        <v>-690.6</v>
      </c>
      <c r="I135" s="3016">
        <v>-136.79999999999998</v>
      </c>
      <c r="J135" s="3016">
        <v>1025.8</v>
      </c>
      <c r="K135" s="3016">
        <v>631</v>
      </c>
      <c r="L135" s="3016">
        <v>959.2</v>
      </c>
      <c r="M135" s="3017">
        <v>920.80000000000007</v>
      </c>
      <c r="N135" s="2992" t="s">
        <v>2779</v>
      </c>
      <c r="P135" s="2964"/>
      <c r="Q135" s="2964"/>
      <c r="R135" s="2964"/>
      <c r="S135" s="2964"/>
      <c r="T135" s="2964"/>
      <c r="U135" s="2964"/>
      <c r="V135" s="2964"/>
      <c r="W135" s="2964"/>
      <c r="X135" s="2964"/>
      <c r="Y135" s="2964"/>
      <c r="Z135" s="2964"/>
      <c r="AA135" s="2964"/>
      <c r="AB135" s="2964"/>
      <c r="AC135" s="2964"/>
      <c r="AD135" s="2964"/>
    </row>
    <row r="136" spans="4:30" s="1792" customFormat="1" ht="18.600000000000001" customHeight="1">
      <c r="D136" s="2974" t="s">
        <v>2795</v>
      </c>
      <c r="E136" s="3013">
        <v>0</v>
      </c>
      <c r="F136" s="3013">
        <v>0</v>
      </c>
      <c r="G136" s="3013">
        <v>0</v>
      </c>
      <c r="H136" s="3013">
        <v>0</v>
      </c>
      <c r="I136" s="3013">
        <v>0</v>
      </c>
      <c r="J136" s="3013">
        <v>0</v>
      </c>
      <c r="K136" s="3013">
        <v>0</v>
      </c>
      <c r="L136" s="3013">
        <v>0</v>
      </c>
      <c r="M136" s="3014">
        <v>0</v>
      </c>
      <c r="N136" s="2977" t="s">
        <v>2794</v>
      </c>
      <c r="P136" s="2964"/>
      <c r="Q136" s="2964"/>
      <c r="R136" s="2964"/>
      <c r="S136" s="2964"/>
      <c r="T136" s="2964"/>
      <c r="U136" s="2964"/>
      <c r="V136" s="2964"/>
      <c r="W136" s="2964"/>
      <c r="X136" s="2964"/>
      <c r="Y136" s="2964"/>
      <c r="Z136" s="2964"/>
      <c r="AA136" s="2964"/>
      <c r="AB136" s="2964"/>
      <c r="AC136" s="2964"/>
      <c r="AD136" s="2964"/>
    </row>
    <row r="137" spans="4:30" s="1792" customFormat="1" ht="18.600000000000001" customHeight="1">
      <c r="D137" s="2980" t="s">
        <v>2793</v>
      </c>
      <c r="E137" s="3015">
        <v>-1106.2</v>
      </c>
      <c r="F137" s="3015">
        <v>-2758.1000000000004</v>
      </c>
      <c r="G137" s="3015">
        <v>-1843.5</v>
      </c>
      <c r="H137" s="3015">
        <v>-1436.8000000000002</v>
      </c>
      <c r="I137" s="3015">
        <v>-1581.8</v>
      </c>
      <c r="J137" s="3015">
        <v>-156.30000000000001</v>
      </c>
      <c r="K137" s="3015">
        <v>291</v>
      </c>
      <c r="L137" s="3015">
        <v>-403.50487000000004</v>
      </c>
      <c r="M137" s="3012">
        <v>-391.44812999999999</v>
      </c>
      <c r="N137" s="2983" t="s">
        <v>2792</v>
      </c>
      <c r="P137" s="2964"/>
      <c r="Q137" s="2964"/>
      <c r="R137" s="2964"/>
      <c r="S137" s="2964"/>
      <c r="T137" s="2964"/>
      <c r="U137" s="2964"/>
      <c r="V137" s="2964"/>
      <c r="W137" s="2964"/>
      <c r="X137" s="2964"/>
      <c r="Y137" s="2964"/>
      <c r="Z137" s="2964"/>
      <c r="AA137" s="2964"/>
      <c r="AB137" s="2964"/>
      <c r="AC137" s="2964"/>
      <c r="AD137" s="2964"/>
    </row>
    <row r="138" spans="4:30" s="1792" customFormat="1" ht="18.600000000000001" customHeight="1">
      <c r="D138" s="3035" t="s">
        <v>3072</v>
      </c>
      <c r="E138" s="3013">
        <v>-414.9</v>
      </c>
      <c r="F138" s="3013">
        <v>71.199999999999918</v>
      </c>
      <c r="G138" s="3013">
        <v>633.29999999999995</v>
      </c>
      <c r="H138" s="3013">
        <v>-20.200000000000024</v>
      </c>
      <c r="I138" s="3013">
        <v>-156.80000000000001</v>
      </c>
      <c r="J138" s="3013">
        <v>-10.099999999999994</v>
      </c>
      <c r="K138" s="3013">
        <v>549.79999999999995</v>
      </c>
      <c r="L138" s="3013">
        <v>-279.2</v>
      </c>
      <c r="M138" s="3014">
        <v>-167.87000000000018</v>
      </c>
      <c r="N138" s="3036" t="s">
        <v>2791</v>
      </c>
      <c r="P138" s="2964"/>
      <c r="Q138" s="2964"/>
      <c r="R138" s="2964"/>
      <c r="S138" s="2964"/>
      <c r="T138" s="2964"/>
      <c r="U138" s="2964"/>
      <c r="V138" s="2964"/>
      <c r="W138" s="2964"/>
      <c r="X138" s="2964"/>
      <c r="Y138" s="2964"/>
      <c r="Z138" s="2964"/>
      <c r="AA138" s="2964"/>
      <c r="AB138" s="2964"/>
      <c r="AC138" s="2964"/>
      <c r="AD138" s="2964"/>
    </row>
    <row r="139" spans="4:30" s="1792" customFormat="1" ht="18.600000000000001" customHeight="1">
      <c r="D139" s="3041" t="s">
        <v>3073</v>
      </c>
      <c r="E139" s="3016">
        <v>0</v>
      </c>
      <c r="F139" s="3016">
        <v>0</v>
      </c>
      <c r="G139" s="3016">
        <v>0.2</v>
      </c>
      <c r="H139" s="3016">
        <v>10.3</v>
      </c>
      <c r="I139" s="3016">
        <v>13.4</v>
      </c>
      <c r="J139" s="3016">
        <v>11.4</v>
      </c>
      <c r="K139" s="3016">
        <v>9.6</v>
      </c>
      <c r="L139" s="3016">
        <v>12.200000000000001</v>
      </c>
      <c r="M139" s="3017">
        <v>2.2999999999999998</v>
      </c>
      <c r="N139" s="3042" t="s">
        <v>2786</v>
      </c>
      <c r="P139" s="2964"/>
      <c r="Q139" s="2964"/>
      <c r="R139" s="2964"/>
      <c r="S139" s="2964"/>
      <c r="T139" s="2964"/>
      <c r="U139" s="2964"/>
      <c r="V139" s="2964"/>
      <c r="W139" s="2964"/>
      <c r="X139" s="2964"/>
      <c r="Y139" s="2964"/>
      <c r="Z139" s="2964"/>
      <c r="AA139" s="2964"/>
      <c r="AB139" s="2964"/>
      <c r="AC139" s="2964"/>
      <c r="AD139" s="2964"/>
    </row>
    <row r="140" spans="4:30" s="1792" customFormat="1" ht="18.600000000000001" customHeight="1">
      <c r="D140" s="3043" t="s">
        <v>2760</v>
      </c>
      <c r="E140" s="3001">
        <v>-504.60000000000008</v>
      </c>
      <c r="F140" s="3001">
        <v>-100.39999999999995</v>
      </c>
      <c r="G140" s="3001">
        <v>700.3</v>
      </c>
      <c r="H140" s="3001">
        <v>-33.4</v>
      </c>
      <c r="I140" s="3001">
        <v>-259</v>
      </c>
      <c r="J140" s="3001">
        <v>62.800000000000011</v>
      </c>
      <c r="K140" s="3001">
        <v>503</v>
      </c>
      <c r="L140" s="3001">
        <v>-283.90000000000003</v>
      </c>
      <c r="M140" s="3002">
        <v>-239.10000000000002</v>
      </c>
      <c r="N140" s="3044" t="s">
        <v>2759</v>
      </c>
      <c r="P140" s="2964"/>
      <c r="Q140" s="2964"/>
      <c r="R140" s="2964"/>
      <c r="S140" s="2964"/>
      <c r="T140" s="2964"/>
      <c r="U140" s="2964"/>
      <c r="V140" s="2964"/>
      <c r="W140" s="2964"/>
      <c r="X140" s="2964"/>
      <c r="Y140" s="2964"/>
      <c r="Z140" s="2964"/>
      <c r="AA140" s="2964"/>
      <c r="AB140" s="2964"/>
      <c r="AC140" s="2964"/>
      <c r="AD140" s="2964"/>
    </row>
    <row r="141" spans="4:30" s="1792" customFormat="1" ht="18.600000000000001" customHeight="1">
      <c r="D141" s="2999" t="s">
        <v>3074</v>
      </c>
      <c r="E141" s="3016">
        <v>-512.29999999999995</v>
      </c>
      <c r="F141" s="3016">
        <v>-70.299999999999883</v>
      </c>
      <c r="G141" s="3016">
        <v>753.9</v>
      </c>
      <c r="H141" s="3016">
        <v>-54.399999999999977</v>
      </c>
      <c r="I141" s="3016">
        <v>-188</v>
      </c>
      <c r="J141" s="3016">
        <v>157</v>
      </c>
      <c r="K141" s="3016">
        <v>666.7</v>
      </c>
      <c r="L141" s="3016">
        <v>-57.399999999999977</v>
      </c>
      <c r="M141" s="3017">
        <v>-86.700000000000017</v>
      </c>
      <c r="N141" s="2992" t="s">
        <v>3047</v>
      </c>
      <c r="P141" s="2964"/>
      <c r="Q141" s="2964"/>
      <c r="R141" s="2964"/>
      <c r="S141" s="2964"/>
      <c r="T141" s="2964"/>
      <c r="U141" s="2964"/>
      <c r="V141" s="2964"/>
      <c r="W141" s="2964"/>
      <c r="X141" s="2964"/>
      <c r="Y141" s="2964"/>
      <c r="Z141" s="2964"/>
      <c r="AA141" s="2964"/>
      <c r="AB141" s="2964"/>
      <c r="AC141" s="2964"/>
      <c r="AD141" s="2964"/>
    </row>
    <row r="142" spans="4:30" s="1792" customFormat="1" ht="18.600000000000001" customHeight="1">
      <c r="D142" s="3043" t="s">
        <v>3075</v>
      </c>
      <c r="E142" s="3001">
        <v>-71.899999999999991</v>
      </c>
      <c r="F142" s="3001">
        <v>-21.9</v>
      </c>
      <c r="G142" s="3001">
        <v>-102.4</v>
      </c>
      <c r="H142" s="3001">
        <v>175.6</v>
      </c>
      <c r="I142" s="3001">
        <v>234.6</v>
      </c>
      <c r="J142" s="3001">
        <v>7.100000000000005</v>
      </c>
      <c r="K142" s="3001">
        <v>12.799999999999997</v>
      </c>
      <c r="L142" s="3001">
        <v>52.900000000000006</v>
      </c>
      <c r="M142" s="3002">
        <v>0</v>
      </c>
      <c r="N142" s="3044" t="s">
        <v>3048</v>
      </c>
      <c r="P142" s="2964"/>
      <c r="Q142" s="2964"/>
      <c r="R142" s="2964"/>
      <c r="S142" s="2964"/>
      <c r="T142" s="2964"/>
      <c r="U142" s="2964"/>
      <c r="V142" s="2964"/>
      <c r="W142" s="2964"/>
      <c r="X142" s="2964"/>
      <c r="Y142" s="2964"/>
      <c r="Z142" s="2964"/>
      <c r="AA142" s="2964"/>
      <c r="AB142" s="2964"/>
      <c r="AC142" s="2964"/>
      <c r="AD142" s="2964"/>
    </row>
    <row r="143" spans="4:30" s="1792" customFormat="1" ht="18.600000000000001" customHeight="1">
      <c r="D143" s="2999" t="s">
        <v>3076</v>
      </c>
      <c r="E143" s="3016">
        <v>-440.5</v>
      </c>
      <c r="F143" s="3016">
        <v>-48.499999999999979</v>
      </c>
      <c r="G143" s="3016">
        <v>856.3</v>
      </c>
      <c r="H143" s="3016">
        <v>-229.99999999999997</v>
      </c>
      <c r="I143" s="3016">
        <v>-422.59999999999997</v>
      </c>
      <c r="J143" s="3016">
        <v>149.89999999999998</v>
      </c>
      <c r="K143" s="3016">
        <v>653.9</v>
      </c>
      <c r="L143" s="3016">
        <v>-110.29999999999998</v>
      </c>
      <c r="M143" s="3017">
        <v>-86.700000000000045</v>
      </c>
      <c r="N143" s="4468" t="s">
        <v>3049</v>
      </c>
      <c r="P143" s="2964"/>
      <c r="Q143" s="2964"/>
      <c r="R143" s="2964"/>
      <c r="S143" s="2964"/>
      <c r="T143" s="2964"/>
      <c r="U143" s="2964"/>
      <c r="V143" s="2964"/>
      <c r="W143" s="2964"/>
      <c r="X143" s="2964"/>
      <c r="Y143" s="2964"/>
      <c r="Z143" s="2964"/>
      <c r="AA143" s="2964"/>
      <c r="AB143" s="2964"/>
      <c r="AC143" s="2964"/>
      <c r="AD143" s="2964"/>
    </row>
    <row r="144" spans="4:30" s="1792" customFormat="1" ht="18.600000000000001" customHeight="1">
      <c r="D144" s="3043" t="s">
        <v>2785</v>
      </c>
      <c r="E144" s="3001">
        <v>-22.999999999999996</v>
      </c>
      <c r="F144" s="3001">
        <v>75</v>
      </c>
      <c r="G144" s="3001">
        <v>-61.600000000000009</v>
      </c>
      <c r="H144" s="3001">
        <v>19.099999999999994</v>
      </c>
      <c r="I144" s="3001">
        <v>155.1</v>
      </c>
      <c r="J144" s="3001">
        <v>20.399999999999999</v>
      </c>
      <c r="K144" s="3001">
        <v>2.699999999999998</v>
      </c>
      <c r="L144" s="3001">
        <v>-4.8000000000000007</v>
      </c>
      <c r="M144" s="3002">
        <v>213.39999999999998</v>
      </c>
      <c r="N144" s="3044" t="s">
        <v>2784</v>
      </c>
      <c r="P144" s="2964"/>
      <c r="Q144" s="2964"/>
      <c r="R144" s="2964"/>
      <c r="S144" s="2964"/>
      <c r="T144" s="2964"/>
      <c r="U144" s="2964"/>
      <c r="V144" s="2964"/>
      <c r="W144" s="2964"/>
      <c r="X144" s="2964"/>
      <c r="Y144" s="2964"/>
      <c r="Z144" s="2964"/>
      <c r="AA144" s="2964"/>
      <c r="AB144" s="2964"/>
      <c r="AC144" s="2964"/>
      <c r="AD144" s="2964"/>
    </row>
    <row r="145" spans="4:30" s="1792" customFormat="1" ht="18.600000000000001" customHeight="1">
      <c r="D145" s="2999" t="s">
        <v>3077</v>
      </c>
      <c r="E145" s="3016">
        <v>-22.999999999999996</v>
      </c>
      <c r="F145" s="3016">
        <v>75</v>
      </c>
      <c r="G145" s="3016">
        <v>-61.600000000000009</v>
      </c>
      <c r="H145" s="3016">
        <v>19.099999999999994</v>
      </c>
      <c r="I145" s="3016">
        <v>155.1</v>
      </c>
      <c r="J145" s="3016">
        <v>20.399999999999999</v>
      </c>
      <c r="K145" s="3016">
        <v>2.699999999999998</v>
      </c>
      <c r="L145" s="3016">
        <v>-4.8000000000000007</v>
      </c>
      <c r="M145" s="3017">
        <v>213.39999999999998</v>
      </c>
      <c r="N145" s="2992" t="s">
        <v>3050</v>
      </c>
      <c r="P145" s="2964"/>
      <c r="Q145" s="2964"/>
      <c r="R145" s="2964"/>
      <c r="S145" s="2964"/>
      <c r="T145" s="2964"/>
      <c r="U145" s="2964"/>
      <c r="V145" s="2964"/>
      <c r="W145" s="2964"/>
      <c r="X145" s="2964"/>
      <c r="Y145" s="2964"/>
      <c r="Z145" s="2964"/>
      <c r="AA145" s="2964"/>
      <c r="AB145" s="2964"/>
      <c r="AC145" s="2964"/>
      <c r="AD145" s="2964"/>
    </row>
    <row r="146" spans="4:30" s="1792" customFormat="1" ht="18.600000000000001" customHeight="1">
      <c r="D146" s="3043" t="s">
        <v>2773</v>
      </c>
      <c r="E146" s="3001">
        <v>110.6</v>
      </c>
      <c r="F146" s="3001">
        <v>122.4</v>
      </c>
      <c r="G146" s="3001">
        <v>-14.800000000000002</v>
      </c>
      <c r="H146" s="3001">
        <v>0.19999999999999929</v>
      </c>
      <c r="I146" s="3001">
        <v>-6.5</v>
      </c>
      <c r="J146" s="3001">
        <v>15.599999999999998</v>
      </c>
      <c r="K146" s="3001">
        <v>-12.099999999999998</v>
      </c>
      <c r="L146" s="3001">
        <v>17.299999999999997</v>
      </c>
      <c r="M146" s="3002">
        <v>-16.7</v>
      </c>
      <c r="N146" s="3044" t="s">
        <v>2772</v>
      </c>
      <c r="P146" s="2964"/>
      <c r="Q146" s="2964"/>
      <c r="R146" s="2964"/>
      <c r="S146" s="2964"/>
      <c r="T146" s="2964"/>
      <c r="U146" s="2964"/>
      <c r="V146" s="2964"/>
      <c r="W146" s="2964"/>
      <c r="X146" s="2964"/>
      <c r="Y146" s="2964"/>
      <c r="Z146" s="2964"/>
      <c r="AA146" s="2964"/>
      <c r="AB146" s="2964"/>
      <c r="AC146" s="2964"/>
      <c r="AD146" s="2964"/>
    </row>
    <row r="147" spans="4:30" s="1792" customFormat="1" ht="18.600000000000001" customHeight="1">
      <c r="D147" s="2999" t="s">
        <v>3078</v>
      </c>
      <c r="E147" s="3016">
        <v>110.6</v>
      </c>
      <c r="F147" s="3016">
        <v>122.4</v>
      </c>
      <c r="G147" s="3016">
        <v>-14.800000000000002</v>
      </c>
      <c r="H147" s="3016">
        <v>0.19999999999999929</v>
      </c>
      <c r="I147" s="3016">
        <v>-6.5</v>
      </c>
      <c r="J147" s="3016">
        <v>15.599999999999998</v>
      </c>
      <c r="K147" s="3016">
        <v>-12.099999999999998</v>
      </c>
      <c r="L147" s="3016">
        <v>17.299999999999997</v>
      </c>
      <c r="M147" s="3017">
        <v>-16.7</v>
      </c>
      <c r="N147" s="2992" t="s">
        <v>2771</v>
      </c>
      <c r="P147" s="2964"/>
      <c r="Q147" s="2964"/>
      <c r="R147" s="2964"/>
      <c r="S147" s="2964"/>
      <c r="T147" s="2964"/>
      <c r="U147" s="2964"/>
      <c r="V147" s="2964"/>
      <c r="W147" s="2964"/>
      <c r="X147" s="2964"/>
      <c r="Y147" s="2964"/>
      <c r="Z147" s="2964"/>
      <c r="AA147" s="2964"/>
      <c r="AB147" s="2964"/>
      <c r="AC147" s="2964"/>
      <c r="AD147" s="2964"/>
    </row>
    <row r="148" spans="4:30" s="1792" customFormat="1" ht="18.600000000000001" customHeight="1">
      <c r="D148" s="3043" t="s">
        <v>2790</v>
      </c>
      <c r="E148" s="3001">
        <v>9.7000000000000028</v>
      </c>
      <c r="F148" s="3001">
        <v>-25</v>
      </c>
      <c r="G148" s="3001">
        <v>18</v>
      </c>
      <c r="H148" s="3001">
        <v>-10</v>
      </c>
      <c r="I148" s="3001">
        <v>-45.800000000000011</v>
      </c>
      <c r="J148" s="3001">
        <v>10.099999999999993</v>
      </c>
      <c r="K148" s="3001">
        <v>71.800000000000011</v>
      </c>
      <c r="L148" s="3001">
        <v>-32.400000000000006</v>
      </c>
      <c r="M148" s="3002">
        <v>-127.77000000000001</v>
      </c>
      <c r="N148" s="3044" t="s">
        <v>2789</v>
      </c>
      <c r="P148" s="2964"/>
      <c r="Q148" s="2964"/>
      <c r="R148" s="2964"/>
      <c r="S148" s="2964"/>
      <c r="T148" s="2964"/>
      <c r="U148" s="2964"/>
      <c r="V148" s="2964"/>
      <c r="W148" s="2964"/>
      <c r="X148" s="2964"/>
      <c r="Y148" s="2964"/>
      <c r="Z148" s="2964"/>
      <c r="AA148" s="2964"/>
      <c r="AB148" s="2964"/>
      <c r="AC148" s="2964"/>
      <c r="AD148" s="2964"/>
    </row>
    <row r="149" spans="4:30" s="1792" customFormat="1" ht="18.600000000000001" customHeight="1">
      <c r="D149" s="2999" t="s">
        <v>3079</v>
      </c>
      <c r="E149" s="3016">
        <v>42.5</v>
      </c>
      <c r="F149" s="3016">
        <v>-7.6000000000000005</v>
      </c>
      <c r="G149" s="3016">
        <v>-11.6</v>
      </c>
      <c r="H149" s="3016">
        <v>-13.7</v>
      </c>
      <c r="I149" s="3016">
        <v>14.200000000000001</v>
      </c>
      <c r="J149" s="3016">
        <v>10.700000000000001</v>
      </c>
      <c r="K149" s="3016">
        <v>5.4</v>
      </c>
      <c r="L149" s="3016">
        <v>2.5999999999999996</v>
      </c>
      <c r="M149" s="3017">
        <v>3.41</v>
      </c>
      <c r="N149" s="2992" t="s">
        <v>3051</v>
      </c>
      <c r="P149" s="2964"/>
      <c r="Q149" s="2964"/>
      <c r="R149" s="2964"/>
      <c r="S149" s="2964"/>
      <c r="T149" s="2964"/>
      <c r="U149" s="2964"/>
      <c r="V149" s="2964"/>
      <c r="W149" s="2964"/>
      <c r="X149" s="2964"/>
      <c r="Y149" s="2964"/>
      <c r="Z149" s="2964"/>
      <c r="AA149" s="2964"/>
      <c r="AB149" s="2964"/>
      <c r="AC149" s="2964"/>
      <c r="AD149" s="2964"/>
    </row>
    <row r="150" spans="4:30" s="1792" customFormat="1" ht="18.600000000000001" customHeight="1">
      <c r="D150" s="3000" t="s">
        <v>3080</v>
      </c>
      <c r="E150" s="3001">
        <v>-32.799999999999997</v>
      </c>
      <c r="F150" s="3001">
        <v>-17.399999999999999</v>
      </c>
      <c r="G150" s="3001">
        <v>29.6</v>
      </c>
      <c r="H150" s="3001">
        <v>3.6999999999999993</v>
      </c>
      <c r="I150" s="3001">
        <v>-60.000000000000007</v>
      </c>
      <c r="J150" s="3001">
        <v>-0.60000000000000497</v>
      </c>
      <c r="K150" s="3001">
        <v>66.400000000000006</v>
      </c>
      <c r="L150" s="3001">
        <v>-35</v>
      </c>
      <c r="M150" s="3002">
        <v>-131.18</v>
      </c>
      <c r="N150" s="2997" t="s">
        <v>3052</v>
      </c>
      <c r="P150" s="2964"/>
      <c r="Q150" s="2964"/>
      <c r="R150" s="2964"/>
      <c r="S150" s="2964"/>
      <c r="T150" s="2964"/>
      <c r="U150" s="2964"/>
      <c r="V150" s="2964"/>
      <c r="W150" s="2964"/>
      <c r="X150" s="2964"/>
      <c r="Y150" s="2964"/>
      <c r="Z150" s="2964"/>
      <c r="AA150" s="2964"/>
      <c r="AB150" s="2964"/>
      <c r="AC150" s="2964"/>
      <c r="AD150" s="2964"/>
    </row>
    <row r="151" spans="4:30" s="1792" customFormat="1" ht="18.600000000000001" customHeight="1">
      <c r="D151" s="3033" t="s">
        <v>3081</v>
      </c>
      <c r="E151" s="3015">
        <v>-7.6000000000000005</v>
      </c>
      <c r="F151" s="3015">
        <v>-0.80000000000000027</v>
      </c>
      <c r="G151" s="3015">
        <v>-8.8000000000000007</v>
      </c>
      <c r="H151" s="3015">
        <v>-6.4</v>
      </c>
      <c r="I151" s="3015">
        <v>-14</v>
      </c>
      <c r="J151" s="3015">
        <v>-130.4</v>
      </c>
      <c r="K151" s="3015">
        <v>-25.2</v>
      </c>
      <c r="L151" s="3015">
        <v>12.4</v>
      </c>
      <c r="M151" s="3012">
        <v>0</v>
      </c>
      <c r="N151" s="3034" t="s">
        <v>3053</v>
      </c>
      <c r="P151" s="2964"/>
      <c r="Q151" s="2964"/>
      <c r="R151" s="2964"/>
      <c r="S151" s="2964"/>
      <c r="T151" s="2964"/>
      <c r="U151" s="2964"/>
      <c r="V151" s="2964"/>
      <c r="W151" s="2964"/>
      <c r="X151" s="2964"/>
      <c r="Y151" s="2964"/>
      <c r="Z151" s="2964"/>
      <c r="AA151" s="2964"/>
      <c r="AB151" s="2964"/>
      <c r="AC151" s="2964"/>
      <c r="AD151" s="2964"/>
    </row>
    <row r="152" spans="4:30" s="1792" customFormat="1" ht="18.600000000000001" customHeight="1">
      <c r="D152" s="3043" t="s">
        <v>3082</v>
      </c>
      <c r="E152" s="3001">
        <v>-14.4</v>
      </c>
      <c r="F152" s="3001">
        <v>-4.4000000000000004</v>
      </c>
      <c r="G152" s="3001">
        <v>-6.4</v>
      </c>
      <c r="H152" s="3001">
        <v>-4.8</v>
      </c>
      <c r="I152" s="3001">
        <v>-13.2</v>
      </c>
      <c r="J152" s="3001">
        <v>-130.80000000000001</v>
      </c>
      <c r="K152" s="3001">
        <v>-24</v>
      </c>
      <c r="L152" s="3001">
        <v>0.4</v>
      </c>
      <c r="M152" s="3002">
        <v>0</v>
      </c>
      <c r="N152" s="3044" t="s">
        <v>3054</v>
      </c>
      <c r="P152" s="2964"/>
      <c r="Q152" s="2964"/>
      <c r="R152" s="2964"/>
      <c r="S152" s="2964"/>
      <c r="T152" s="2964"/>
      <c r="U152" s="2964"/>
      <c r="V152" s="2964"/>
      <c r="W152" s="2964"/>
      <c r="X152" s="2964"/>
      <c r="Y152" s="2964"/>
      <c r="Z152" s="2964"/>
      <c r="AA152" s="2964"/>
      <c r="AB152" s="2964"/>
      <c r="AC152" s="2964"/>
      <c r="AD152" s="2964"/>
    </row>
    <row r="153" spans="4:30" s="1792" customFormat="1" ht="18.600000000000001" customHeight="1">
      <c r="D153" s="3041" t="s">
        <v>3083</v>
      </c>
      <c r="E153" s="3016">
        <v>6.8</v>
      </c>
      <c r="F153" s="3016">
        <v>3.6</v>
      </c>
      <c r="G153" s="3016">
        <v>-2.4</v>
      </c>
      <c r="H153" s="3016">
        <v>-1.6</v>
      </c>
      <c r="I153" s="3016">
        <v>-0.8</v>
      </c>
      <c r="J153" s="3016">
        <v>0.4</v>
      </c>
      <c r="K153" s="3016">
        <v>-1.2</v>
      </c>
      <c r="L153" s="3016">
        <v>12</v>
      </c>
      <c r="M153" s="3017">
        <v>0</v>
      </c>
      <c r="N153" s="3042" t="s">
        <v>3055</v>
      </c>
      <c r="P153" s="2964"/>
      <c r="Q153" s="2964"/>
      <c r="R153" s="2964"/>
      <c r="S153" s="2964"/>
      <c r="T153" s="2964"/>
      <c r="U153" s="2964"/>
      <c r="V153" s="2964"/>
      <c r="W153" s="2964"/>
      <c r="X153" s="2964"/>
      <c r="Y153" s="2964"/>
      <c r="Z153" s="2964"/>
      <c r="AA153" s="2964"/>
      <c r="AB153" s="2964"/>
      <c r="AC153" s="2964"/>
      <c r="AD153" s="2964"/>
    </row>
    <row r="154" spans="4:30" s="1792" customFormat="1" ht="18.600000000000001" customHeight="1">
      <c r="D154" s="3000" t="s">
        <v>2788</v>
      </c>
      <c r="E154" s="3001">
        <v>691.3</v>
      </c>
      <c r="F154" s="3001">
        <v>2829.3</v>
      </c>
      <c r="G154" s="3001">
        <v>2476.8000000000002</v>
      </c>
      <c r="H154" s="3001">
        <v>1416.6</v>
      </c>
      <c r="I154" s="3001">
        <v>1425</v>
      </c>
      <c r="J154" s="3001">
        <v>146.19999999999999</v>
      </c>
      <c r="K154" s="3001">
        <v>258.8</v>
      </c>
      <c r="L154" s="3001">
        <v>124.30486999999999</v>
      </c>
      <c r="M154" s="3002">
        <v>223.57812999999985</v>
      </c>
      <c r="N154" s="2997" t="s">
        <v>2787</v>
      </c>
      <c r="P154" s="2964"/>
      <c r="Q154" s="2964"/>
      <c r="R154" s="2964"/>
      <c r="S154" s="2964"/>
      <c r="T154" s="2964"/>
      <c r="U154" s="2964"/>
      <c r="V154" s="2964"/>
      <c r="W154" s="2964"/>
      <c r="X154" s="2964"/>
      <c r="Y154" s="2964"/>
      <c r="Z154" s="2964"/>
      <c r="AA154" s="2964"/>
      <c r="AB154" s="2964"/>
      <c r="AC154" s="2964"/>
      <c r="AD154" s="2964"/>
    </row>
    <row r="155" spans="4:30" s="1792" customFormat="1" ht="18.600000000000001" customHeight="1">
      <c r="D155" s="2999" t="s">
        <v>3084</v>
      </c>
      <c r="E155" s="3016">
        <v>0</v>
      </c>
      <c r="F155" s="3016">
        <v>0</v>
      </c>
      <c r="G155" s="3016">
        <v>0</v>
      </c>
      <c r="H155" s="3016">
        <v>0</v>
      </c>
      <c r="I155" s="3016">
        <v>0</v>
      </c>
      <c r="J155" s="3016">
        <v>0</v>
      </c>
      <c r="K155" s="3016">
        <v>0</v>
      </c>
      <c r="L155" s="3016">
        <v>0</v>
      </c>
      <c r="M155" s="3017">
        <v>0</v>
      </c>
      <c r="N155" s="2992" t="s">
        <v>3056</v>
      </c>
      <c r="P155" s="2964"/>
      <c r="Q155" s="2964"/>
      <c r="R155" s="2964"/>
      <c r="S155" s="2964"/>
      <c r="T155" s="2964"/>
      <c r="U155" s="2964"/>
      <c r="V155" s="2964"/>
      <c r="W155" s="2964"/>
      <c r="X155" s="2964"/>
      <c r="Y155" s="2964"/>
      <c r="Z155" s="2964"/>
      <c r="AA155" s="2964"/>
      <c r="AB155" s="2964"/>
      <c r="AC155" s="2964"/>
      <c r="AD155" s="2964"/>
    </row>
    <row r="156" spans="4:30" s="1792" customFormat="1" ht="18.600000000000001" customHeight="1">
      <c r="D156" s="3043" t="s">
        <v>3085</v>
      </c>
      <c r="E156" s="3001">
        <v>-660.80000000000007</v>
      </c>
      <c r="F156" s="3001">
        <v>716.60000000000014</v>
      </c>
      <c r="G156" s="3001">
        <v>1227.8000000000002</v>
      </c>
      <c r="H156" s="3001">
        <v>592.5</v>
      </c>
      <c r="I156" s="3001">
        <v>1189.2000000000003</v>
      </c>
      <c r="J156" s="3001">
        <v>321.09999999999997</v>
      </c>
      <c r="K156" s="3001">
        <v>-408.70000000000005</v>
      </c>
      <c r="L156" s="3001">
        <v>-252.40000000000003</v>
      </c>
      <c r="M156" s="3002">
        <v>-158.59999999999994</v>
      </c>
      <c r="N156" s="3044" t="s">
        <v>2759</v>
      </c>
      <c r="P156" s="2964"/>
      <c r="Q156" s="2964"/>
      <c r="R156" s="2964"/>
      <c r="S156" s="2964"/>
      <c r="T156" s="2964"/>
      <c r="U156" s="2964"/>
      <c r="V156" s="2964"/>
      <c r="W156" s="2964"/>
      <c r="X156" s="2964"/>
      <c r="Y156" s="2964"/>
      <c r="Z156" s="2964"/>
      <c r="AA156" s="2964"/>
      <c r="AB156" s="2964"/>
      <c r="AC156" s="2964"/>
      <c r="AD156" s="2964"/>
    </row>
    <row r="157" spans="4:30" s="1792" customFormat="1" ht="18.600000000000001" customHeight="1">
      <c r="D157" s="2999" t="s">
        <v>3086</v>
      </c>
      <c r="E157" s="3016">
        <v>-304.29999999999995</v>
      </c>
      <c r="F157" s="3016">
        <v>-175.79999999999995</v>
      </c>
      <c r="G157" s="3016">
        <v>-60.8</v>
      </c>
      <c r="H157" s="3016">
        <v>-64.900000000000006</v>
      </c>
      <c r="I157" s="3016">
        <v>748.6</v>
      </c>
      <c r="J157" s="3016">
        <v>-102.80000000000001</v>
      </c>
      <c r="K157" s="3016">
        <v>-194.39999999999998</v>
      </c>
      <c r="L157" s="3016">
        <v>-235.29999999999998</v>
      </c>
      <c r="M157" s="3017">
        <v>-152.30000000000001</v>
      </c>
      <c r="N157" s="2992" t="s">
        <v>3057</v>
      </c>
      <c r="P157" s="2964"/>
      <c r="Q157" s="2964"/>
      <c r="R157" s="2964"/>
      <c r="S157" s="2964"/>
      <c r="T157" s="2964"/>
      <c r="U157" s="2964"/>
      <c r="V157" s="2964"/>
      <c r="W157" s="2964"/>
      <c r="X157" s="2964"/>
      <c r="Y157" s="2964"/>
      <c r="Z157" s="2964"/>
      <c r="AA157" s="2964"/>
      <c r="AB157" s="2964"/>
      <c r="AC157" s="2964"/>
      <c r="AD157" s="2964"/>
    </row>
    <row r="158" spans="4:30" s="1792" customFormat="1" ht="18.600000000000001" customHeight="1">
      <c r="D158" s="3020" t="s">
        <v>3074</v>
      </c>
      <c r="E158" s="3001">
        <v>-409.29999999999995</v>
      </c>
      <c r="F158" s="3001">
        <v>825.2</v>
      </c>
      <c r="G158" s="3001">
        <v>1256.2</v>
      </c>
      <c r="H158" s="3001">
        <v>592.20000000000005</v>
      </c>
      <c r="I158" s="3001">
        <v>412.19999999999993</v>
      </c>
      <c r="J158" s="3001">
        <v>487.5</v>
      </c>
      <c r="K158" s="3001">
        <v>-271.5</v>
      </c>
      <c r="L158" s="3001">
        <v>-87.900000000000034</v>
      </c>
      <c r="M158" s="3002">
        <v>-6.2999999999999829</v>
      </c>
      <c r="N158" s="3021" t="s">
        <v>3047</v>
      </c>
      <c r="P158" s="2964"/>
      <c r="Q158" s="2964"/>
      <c r="R158" s="2964"/>
      <c r="S158" s="2964"/>
      <c r="T158" s="2964"/>
      <c r="U158" s="2964"/>
      <c r="V158" s="2964"/>
      <c r="W158" s="2964"/>
      <c r="X158" s="2964"/>
      <c r="Y158" s="2964"/>
      <c r="Z158" s="2964"/>
      <c r="AA158" s="2964"/>
      <c r="AB158" s="2964"/>
      <c r="AC158" s="2964"/>
      <c r="AD158" s="2964"/>
    </row>
    <row r="159" spans="4:30" s="1792" customFormat="1" ht="18.600000000000001" customHeight="1">
      <c r="D159" s="3022" t="s">
        <v>3087</v>
      </c>
      <c r="E159" s="4476">
        <v>-97.399999999999991</v>
      </c>
      <c r="F159" s="4476">
        <v>113.89999999999999</v>
      </c>
      <c r="G159" s="4476">
        <v>52.700000000000017</v>
      </c>
      <c r="H159" s="4476">
        <v>85.100000000000009</v>
      </c>
      <c r="I159" s="4476">
        <v>159.10000000000002</v>
      </c>
      <c r="J159" s="4476">
        <v>28.699999999999989</v>
      </c>
      <c r="K159" s="4476">
        <v>-71.400000000000006</v>
      </c>
      <c r="L159" s="4476">
        <v>107.3</v>
      </c>
      <c r="M159" s="4477">
        <v>0</v>
      </c>
      <c r="N159" s="4468" t="s">
        <v>3058</v>
      </c>
      <c r="P159" s="2964"/>
      <c r="Q159" s="2964"/>
      <c r="R159" s="2964"/>
      <c r="S159" s="2964"/>
      <c r="T159" s="2964"/>
      <c r="U159" s="2964"/>
      <c r="V159" s="2964"/>
      <c r="W159" s="2964"/>
      <c r="X159" s="2964"/>
      <c r="Y159" s="2964"/>
      <c r="Z159" s="2964"/>
      <c r="AA159" s="2964"/>
      <c r="AB159" s="2964"/>
      <c r="AC159" s="2964"/>
      <c r="AD159" s="2964"/>
    </row>
    <row r="160" spans="4:30" s="1792" customFormat="1" ht="18.600000000000001" customHeight="1">
      <c r="D160" s="3020" t="s">
        <v>3076</v>
      </c>
      <c r="E160" s="3001">
        <v>-312</v>
      </c>
      <c r="F160" s="3001">
        <v>711.5</v>
      </c>
      <c r="G160" s="3001">
        <v>1203.5</v>
      </c>
      <c r="H160" s="3001">
        <v>507.1</v>
      </c>
      <c r="I160" s="3001">
        <v>253.09999999999997</v>
      </c>
      <c r="J160" s="3001">
        <v>458.8</v>
      </c>
      <c r="K160" s="3001">
        <v>-200.10000000000002</v>
      </c>
      <c r="L160" s="3001">
        <v>-195.20000000000002</v>
      </c>
      <c r="M160" s="3002">
        <v>0</v>
      </c>
      <c r="N160" s="4469" t="s">
        <v>3049</v>
      </c>
      <c r="P160" s="2964"/>
      <c r="Q160" s="2964"/>
      <c r="R160" s="2964"/>
      <c r="S160" s="2964"/>
      <c r="T160" s="2964"/>
      <c r="U160" s="2964"/>
      <c r="V160" s="2964"/>
      <c r="W160" s="2964"/>
      <c r="X160" s="2964"/>
      <c r="Y160" s="2964"/>
      <c r="Z160" s="2964"/>
      <c r="AA160" s="2964"/>
      <c r="AB160" s="2964"/>
      <c r="AC160" s="2964"/>
      <c r="AD160" s="2964"/>
    </row>
    <row r="161" spans="4:30" s="1792" customFormat="1" ht="18.600000000000001" customHeight="1">
      <c r="D161" s="3025" t="s">
        <v>2785</v>
      </c>
      <c r="E161" s="3016">
        <v>1194.7</v>
      </c>
      <c r="F161" s="3016">
        <v>1523.8000000000002</v>
      </c>
      <c r="G161" s="3016">
        <v>1393.9</v>
      </c>
      <c r="H161" s="3016">
        <v>817.80000000000007</v>
      </c>
      <c r="I161" s="3016">
        <v>223.10000000000002</v>
      </c>
      <c r="J161" s="3016">
        <v>-110.70000000000002</v>
      </c>
      <c r="K161" s="3016">
        <v>287.00000000000006</v>
      </c>
      <c r="L161" s="3016">
        <v>485.40487000000007</v>
      </c>
      <c r="M161" s="3017">
        <v>394.97812999999996</v>
      </c>
      <c r="N161" s="3026" t="s">
        <v>2784</v>
      </c>
      <c r="P161" s="2964"/>
      <c r="Q161" s="2964"/>
      <c r="R161" s="2964"/>
      <c r="S161" s="2964"/>
      <c r="T161" s="2964"/>
      <c r="U161" s="2964"/>
      <c r="V161" s="2964"/>
      <c r="W161" s="2964"/>
      <c r="X161" s="2964"/>
      <c r="Y161" s="2964"/>
      <c r="Z161" s="2964"/>
      <c r="AA161" s="2964"/>
      <c r="AB161" s="2964"/>
      <c r="AC161" s="2964"/>
      <c r="AD161" s="2964"/>
    </row>
    <row r="162" spans="4:30" s="1792" customFormat="1" ht="18.600000000000001" customHeight="1">
      <c r="D162" s="3023" t="s">
        <v>3088</v>
      </c>
      <c r="E162" s="3001">
        <v>304.7</v>
      </c>
      <c r="F162" s="3001">
        <v>428.3</v>
      </c>
      <c r="G162" s="3001">
        <v>381</v>
      </c>
      <c r="H162" s="3001">
        <v>-186.60000000000002</v>
      </c>
      <c r="I162" s="3001">
        <v>-394</v>
      </c>
      <c r="J162" s="3001">
        <v>-270.70000000000005</v>
      </c>
      <c r="K162" s="3001">
        <v>-113.4</v>
      </c>
      <c r="L162" s="3001">
        <v>390.80486999999999</v>
      </c>
      <c r="M162" s="3002">
        <v>259.73813000000001</v>
      </c>
      <c r="N162" s="3024" t="s">
        <v>3059</v>
      </c>
      <c r="P162" s="2964"/>
      <c r="Q162" s="2964"/>
      <c r="R162" s="2964"/>
      <c r="S162" s="2964"/>
      <c r="T162" s="2964"/>
      <c r="U162" s="2964"/>
      <c r="V162" s="2964"/>
      <c r="W162" s="2964"/>
      <c r="X162" s="2964"/>
      <c r="Y162" s="2964"/>
      <c r="Z162" s="2964"/>
      <c r="AA162" s="2964"/>
      <c r="AB162" s="2964"/>
      <c r="AC162" s="2964"/>
      <c r="AD162" s="2964"/>
    </row>
    <row r="163" spans="4:30" s="1792" customFormat="1" ht="18.600000000000001" customHeight="1">
      <c r="D163" s="3018" t="s">
        <v>2783</v>
      </c>
      <c r="E163" s="3016">
        <v>372.1</v>
      </c>
      <c r="F163" s="3016">
        <v>384.6</v>
      </c>
      <c r="G163" s="3016">
        <v>349.7</v>
      </c>
      <c r="H163" s="3016">
        <v>-175.70000000000002</v>
      </c>
      <c r="I163" s="3016">
        <v>-349.4</v>
      </c>
      <c r="J163" s="3016">
        <v>-293.90000000000003</v>
      </c>
      <c r="K163" s="3016">
        <v>-139.1</v>
      </c>
      <c r="L163" s="3016">
        <v>393.5</v>
      </c>
      <c r="M163" s="3017">
        <v>276.5</v>
      </c>
      <c r="N163" s="3019" t="s">
        <v>2782</v>
      </c>
      <c r="P163" s="2964"/>
      <c r="Q163" s="2964"/>
      <c r="R163" s="2964"/>
      <c r="S163" s="2964"/>
      <c r="T163" s="2964"/>
      <c r="U163" s="2964"/>
      <c r="V163" s="2964"/>
      <c r="W163" s="2964"/>
      <c r="X163" s="2964"/>
      <c r="Y163" s="2964"/>
      <c r="Z163" s="2964"/>
      <c r="AA163" s="2964"/>
      <c r="AB163" s="2964"/>
      <c r="AC163" s="2964"/>
      <c r="AD163" s="2964"/>
    </row>
    <row r="164" spans="4:30" s="1792" customFormat="1" ht="18.600000000000001" customHeight="1">
      <c r="D164" s="3023" t="s">
        <v>2777</v>
      </c>
      <c r="E164" s="3001">
        <v>372.1</v>
      </c>
      <c r="F164" s="3001">
        <v>384.6</v>
      </c>
      <c r="G164" s="3001">
        <v>489</v>
      </c>
      <c r="H164" s="3001">
        <v>117.5</v>
      </c>
      <c r="I164" s="3001">
        <v>0</v>
      </c>
      <c r="J164" s="3001">
        <v>50.8</v>
      </c>
      <c r="K164" s="3001">
        <v>50.9</v>
      </c>
      <c r="L164" s="3001">
        <v>425.1</v>
      </c>
      <c r="M164" s="3002">
        <v>276.5</v>
      </c>
      <c r="N164" s="3024" t="s">
        <v>2776</v>
      </c>
      <c r="P164" s="2964"/>
      <c r="Q164" s="2964"/>
      <c r="R164" s="2964"/>
      <c r="S164" s="2964"/>
      <c r="T164" s="2964"/>
      <c r="U164" s="2964"/>
      <c r="V164" s="2964"/>
      <c r="W164" s="2964"/>
      <c r="X164" s="2964"/>
      <c r="Y164" s="2964"/>
      <c r="Z164" s="2964"/>
      <c r="AA164" s="2964"/>
      <c r="AB164" s="2964"/>
      <c r="AC164" s="2964"/>
      <c r="AD164" s="2964"/>
    </row>
    <row r="165" spans="4:30" s="1792" customFormat="1" ht="18.600000000000001" customHeight="1">
      <c r="D165" s="3025" t="s">
        <v>2775</v>
      </c>
      <c r="E165" s="3016">
        <v>0</v>
      </c>
      <c r="F165" s="3016">
        <v>0</v>
      </c>
      <c r="G165" s="3016">
        <v>-139.30000000000001</v>
      </c>
      <c r="H165" s="3016">
        <v>-293.20000000000005</v>
      </c>
      <c r="I165" s="3016">
        <v>-349.4</v>
      </c>
      <c r="J165" s="3016">
        <v>-344.7</v>
      </c>
      <c r="K165" s="3016">
        <v>-190</v>
      </c>
      <c r="L165" s="3016">
        <v>-31.6</v>
      </c>
      <c r="M165" s="3017">
        <v>0</v>
      </c>
      <c r="N165" s="3026" t="s">
        <v>2774</v>
      </c>
      <c r="P165" s="2964"/>
      <c r="Q165" s="2964"/>
      <c r="R165" s="2964"/>
      <c r="S165" s="2964"/>
      <c r="T165" s="2964"/>
      <c r="U165" s="2964"/>
      <c r="V165" s="2964"/>
      <c r="W165" s="2964"/>
      <c r="X165" s="2964"/>
      <c r="Y165" s="2964"/>
      <c r="Z165" s="2964"/>
      <c r="AA165" s="2964"/>
      <c r="AB165" s="2964"/>
      <c r="AC165" s="2964"/>
      <c r="AD165" s="2964"/>
    </row>
    <row r="166" spans="4:30" s="1792" customFormat="1" ht="18.600000000000001" customHeight="1">
      <c r="D166" s="3000" t="s">
        <v>2781</v>
      </c>
      <c r="E166" s="3001">
        <v>-67.400000000000006</v>
      </c>
      <c r="F166" s="3001">
        <v>43.7</v>
      </c>
      <c r="G166" s="3001">
        <v>31.299999999999997</v>
      </c>
      <c r="H166" s="3001">
        <v>-10.900000000000006</v>
      </c>
      <c r="I166" s="3001">
        <v>-44.599999999999994</v>
      </c>
      <c r="J166" s="3001">
        <v>23.200000000000003</v>
      </c>
      <c r="K166" s="3001">
        <v>25.700000000000003</v>
      </c>
      <c r="L166" s="3001">
        <v>-2.6951300000000025</v>
      </c>
      <c r="M166" s="3002">
        <v>-16.761869999999991</v>
      </c>
      <c r="N166" s="2997" t="s">
        <v>2780</v>
      </c>
      <c r="P166" s="2964"/>
      <c r="Q166" s="2964"/>
      <c r="R166" s="2964"/>
      <c r="S166" s="2964"/>
      <c r="T166" s="2964"/>
      <c r="U166" s="2964"/>
      <c r="V166" s="2964"/>
      <c r="W166" s="2964"/>
      <c r="X166" s="2964"/>
      <c r="Y166" s="2964"/>
      <c r="Z166" s="2964"/>
      <c r="AA166" s="2964"/>
      <c r="AB166" s="2964"/>
      <c r="AC166" s="2964"/>
      <c r="AD166" s="2964"/>
    </row>
    <row r="167" spans="4:30" s="1792" customFormat="1" ht="18.600000000000001" customHeight="1">
      <c r="D167" s="2999" t="s">
        <v>2777</v>
      </c>
      <c r="E167" s="3016">
        <v>0</v>
      </c>
      <c r="F167" s="3016">
        <v>66.5</v>
      </c>
      <c r="G167" s="3016">
        <v>56.9</v>
      </c>
      <c r="H167" s="3016">
        <v>41.1</v>
      </c>
      <c r="I167" s="3016">
        <v>0</v>
      </c>
      <c r="J167" s="3016">
        <v>39.1</v>
      </c>
      <c r="K167" s="3016">
        <v>44.8</v>
      </c>
      <c r="L167" s="3016">
        <v>41.904869999999995</v>
      </c>
      <c r="M167" s="3017">
        <v>11.83813000000001</v>
      </c>
      <c r="N167" s="2992" t="s">
        <v>2776</v>
      </c>
      <c r="P167" s="2964"/>
      <c r="Q167" s="2964"/>
      <c r="R167" s="2964"/>
      <c r="S167" s="2964"/>
      <c r="T167" s="2964"/>
      <c r="U167" s="2964"/>
      <c r="V167" s="2964"/>
      <c r="W167" s="2964"/>
      <c r="X167" s="2964"/>
      <c r="Y167" s="2964"/>
      <c r="Z167" s="2964"/>
      <c r="AA167" s="2964"/>
      <c r="AB167" s="2964"/>
      <c r="AC167" s="2964"/>
      <c r="AD167" s="2964"/>
    </row>
    <row r="168" spans="4:30" s="1792" customFormat="1" ht="18.600000000000001" customHeight="1">
      <c r="D168" s="3023" t="s">
        <v>2775</v>
      </c>
      <c r="E168" s="3001">
        <v>-67.400000000000006</v>
      </c>
      <c r="F168" s="3001">
        <v>-22.8</v>
      </c>
      <c r="G168" s="3001">
        <v>-25.6</v>
      </c>
      <c r="H168" s="3001">
        <v>-52.000000000000007</v>
      </c>
      <c r="I168" s="3001">
        <v>-44.599999999999994</v>
      </c>
      <c r="J168" s="3001">
        <v>-15.9</v>
      </c>
      <c r="K168" s="3001">
        <v>-19.100000000000001</v>
      </c>
      <c r="L168" s="3001">
        <v>-44.599999999999994</v>
      </c>
      <c r="M168" s="3002">
        <v>-28.6</v>
      </c>
      <c r="N168" s="3024" t="s">
        <v>2774</v>
      </c>
      <c r="P168" s="2964"/>
      <c r="Q168" s="2964"/>
      <c r="R168" s="2964"/>
      <c r="S168" s="2964"/>
      <c r="T168" s="2964"/>
      <c r="U168" s="2964"/>
      <c r="V168" s="2964"/>
      <c r="W168" s="2964"/>
      <c r="X168" s="2964"/>
      <c r="Y168" s="2964"/>
      <c r="Z168" s="2964"/>
      <c r="AA168" s="2964"/>
      <c r="AB168" s="2964"/>
      <c r="AC168" s="2964"/>
      <c r="AD168" s="2964"/>
    </row>
    <row r="169" spans="4:30" s="1792" customFormat="1" ht="18.600000000000001" customHeight="1">
      <c r="D169" s="3025" t="s">
        <v>3077</v>
      </c>
      <c r="E169" s="3016">
        <v>223.10000000000002</v>
      </c>
      <c r="F169" s="3016">
        <v>146.1</v>
      </c>
      <c r="G169" s="3016">
        <v>208.29999999999998</v>
      </c>
      <c r="H169" s="3016">
        <v>40.800000000000004</v>
      </c>
      <c r="I169" s="3016">
        <v>113</v>
      </c>
      <c r="J169" s="3016">
        <v>-37.400000000000006</v>
      </c>
      <c r="K169" s="3016">
        <v>78.3</v>
      </c>
      <c r="L169" s="3016">
        <v>-1.7999999999999998</v>
      </c>
      <c r="M169" s="3017">
        <v>2.6999999999999997</v>
      </c>
      <c r="N169" s="3026" t="s">
        <v>3060</v>
      </c>
      <c r="P169" s="2964"/>
      <c r="Q169" s="2964"/>
      <c r="R169" s="2964"/>
      <c r="S169" s="2964"/>
      <c r="T169" s="2964"/>
      <c r="U169" s="2964"/>
      <c r="V169" s="2964"/>
      <c r="W169" s="2964"/>
      <c r="X169" s="2964"/>
      <c r="Y169" s="2964"/>
      <c r="Z169" s="2964"/>
      <c r="AA169" s="2964"/>
      <c r="AB169" s="2964"/>
      <c r="AC169" s="2964"/>
      <c r="AD169" s="2964"/>
    </row>
    <row r="170" spans="4:30" s="1792" customFormat="1" ht="18.600000000000001" customHeight="1">
      <c r="D170" s="3000" t="s">
        <v>3089</v>
      </c>
      <c r="E170" s="3001">
        <v>747.90000000000009</v>
      </c>
      <c r="F170" s="3001">
        <v>865.40000000000009</v>
      </c>
      <c r="G170" s="3001">
        <v>685.7</v>
      </c>
      <c r="H170" s="3001">
        <v>721.30000000000018</v>
      </c>
      <c r="I170" s="3001">
        <v>232.09999999999997</v>
      </c>
      <c r="J170" s="3001">
        <v>270.19999999999993</v>
      </c>
      <c r="K170" s="3001">
        <v>347.60000000000008</v>
      </c>
      <c r="L170" s="3001">
        <v>223.40000000000003</v>
      </c>
      <c r="M170" s="3002">
        <v>113.33999999999997</v>
      </c>
      <c r="N170" s="2997" t="s">
        <v>2779</v>
      </c>
      <c r="P170" s="2964"/>
      <c r="Q170" s="2964"/>
      <c r="R170" s="2964"/>
      <c r="S170" s="2964"/>
      <c r="T170" s="2964"/>
      <c r="U170" s="2964"/>
      <c r="V170" s="2964"/>
      <c r="W170" s="2964"/>
      <c r="X170" s="2964"/>
      <c r="Y170" s="2964"/>
      <c r="Z170" s="2964"/>
      <c r="AA170" s="2964"/>
      <c r="AB170" s="2964"/>
      <c r="AC170" s="2964"/>
      <c r="AD170" s="2964"/>
    </row>
    <row r="171" spans="4:30" s="1792" customFormat="1" ht="18.600000000000001" customHeight="1">
      <c r="D171" s="3025" t="s">
        <v>2777</v>
      </c>
      <c r="E171" s="3016">
        <v>1255.5</v>
      </c>
      <c r="F171" s="3016">
        <v>1235.2</v>
      </c>
      <c r="G171" s="3016">
        <v>1008.6</v>
      </c>
      <c r="H171" s="3016">
        <v>1074.8</v>
      </c>
      <c r="I171" s="3016">
        <v>601</v>
      </c>
      <c r="J171" s="3016">
        <v>618.80000000000007</v>
      </c>
      <c r="K171" s="3016">
        <v>664.9</v>
      </c>
      <c r="L171" s="3016">
        <v>697</v>
      </c>
      <c r="M171" s="3017">
        <v>686.2</v>
      </c>
      <c r="N171" s="3026" t="s">
        <v>2776</v>
      </c>
      <c r="P171" s="2964"/>
      <c r="Q171" s="2964"/>
      <c r="R171" s="2964"/>
      <c r="S171" s="2964"/>
      <c r="T171" s="2964"/>
      <c r="U171" s="2964"/>
      <c r="V171" s="2964"/>
      <c r="W171" s="2964"/>
      <c r="X171" s="2964"/>
      <c r="Y171" s="2964"/>
      <c r="Z171" s="2964"/>
      <c r="AA171" s="2964"/>
      <c r="AB171" s="2964"/>
      <c r="AC171" s="2964"/>
      <c r="AD171" s="2964"/>
    </row>
    <row r="172" spans="4:30" s="1792" customFormat="1" ht="18.600000000000001" customHeight="1">
      <c r="D172" s="3023" t="s">
        <v>2775</v>
      </c>
      <c r="E172" s="3001">
        <v>-507.6</v>
      </c>
      <c r="F172" s="3001">
        <v>-369.79999999999995</v>
      </c>
      <c r="G172" s="3001">
        <v>-322.89999999999998</v>
      </c>
      <c r="H172" s="3001">
        <v>-353.49999999999989</v>
      </c>
      <c r="I172" s="3001">
        <v>-368.9</v>
      </c>
      <c r="J172" s="3001">
        <v>-348.6</v>
      </c>
      <c r="K172" s="3001">
        <v>-317.29999999999995</v>
      </c>
      <c r="L172" s="3001">
        <v>-473.6</v>
      </c>
      <c r="M172" s="3002">
        <v>-572.86</v>
      </c>
      <c r="N172" s="3024" t="s">
        <v>2774</v>
      </c>
      <c r="P172" s="2964"/>
      <c r="Q172" s="2964"/>
      <c r="R172" s="2964"/>
      <c r="S172" s="2964"/>
      <c r="T172" s="2964"/>
      <c r="U172" s="2964"/>
      <c r="V172" s="2964"/>
      <c r="W172" s="2964"/>
      <c r="X172" s="2964"/>
      <c r="Y172" s="2964"/>
      <c r="Z172" s="2964"/>
      <c r="AA172" s="2964"/>
      <c r="AB172" s="2964"/>
      <c r="AC172" s="2964"/>
      <c r="AD172" s="2964"/>
    </row>
    <row r="173" spans="4:30" s="1792" customFormat="1" ht="18.600000000000001" customHeight="1">
      <c r="D173" s="3041" t="s">
        <v>3090</v>
      </c>
      <c r="E173" s="3016">
        <v>-81</v>
      </c>
      <c r="F173" s="3016">
        <v>84</v>
      </c>
      <c r="G173" s="3016">
        <v>118.9</v>
      </c>
      <c r="H173" s="3016">
        <v>242.3</v>
      </c>
      <c r="I173" s="3016">
        <v>272</v>
      </c>
      <c r="J173" s="3016">
        <v>-72.799999999999983</v>
      </c>
      <c r="K173" s="3016">
        <v>-25.5</v>
      </c>
      <c r="L173" s="3016">
        <v>-126.99999999999997</v>
      </c>
      <c r="M173" s="3017">
        <v>19.199999999999989</v>
      </c>
      <c r="N173" s="3042" t="s">
        <v>2778</v>
      </c>
      <c r="P173" s="2964"/>
      <c r="Q173" s="2964"/>
      <c r="R173" s="2964"/>
      <c r="S173" s="2964"/>
      <c r="T173" s="2964"/>
      <c r="U173" s="2964"/>
      <c r="V173" s="2964"/>
      <c r="W173" s="2964"/>
      <c r="X173" s="2964"/>
      <c r="Y173" s="2964"/>
      <c r="Z173" s="2964"/>
      <c r="AA173" s="2964"/>
      <c r="AB173" s="2964"/>
      <c r="AC173" s="2964"/>
      <c r="AD173" s="2964"/>
    </row>
    <row r="174" spans="4:30" s="1792" customFormat="1" ht="18.600000000000001" customHeight="1">
      <c r="D174" s="3000" t="s">
        <v>2777</v>
      </c>
      <c r="E174" s="3001">
        <v>19.3</v>
      </c>
      <c r="F174" s="3001">
        <v>163.80000000000001</v>
      </c>
      <c r="G174" s="3001">
        <v>191.79999999999998</v>
      </c>
      <c r="H174" s="3001">
        <v>360.6</v>
      </c>
      <c r="I174" s="3001">
        <v>451.70000000000005</v>
      </c>
      <c r="J174" s="3001">
        <v>74.3</v>
      </c>
      <c r="K174" s="3001">
        <v>99.2</v>
      </c>
      <c r="L174" s="3001">
        <v>31.700000000000003</v>
      </c>
      <c r="M174" s="3002">
        <v>162.1</v>
      </c>
      <c r="N174" s="2997" t="s">
        <v>2776</v>
      </c>
      <c r="P174" s="2964"/>
      <c r="Q174" s="2964"/>
      <c r="R174" s="2964"/>
      <c r="S174" s="2964"/>
      <c r="T174" s="2964"/>
      <c r="U174" s="2964"/>
      <c r="V174" s="2964"/>
      <c r="W174" s="2964"/>
      <c r="X174" s="2964"/>
      <c r="Y174" s="2964"/>
      <c r="Z174" s="2964"/>
      <c r="AA174" s="2964"/>
      <c r="AB174" s="2964"/>
      <c r="AC174" s="2964"/>
      <c r="AD174" s="2964"/>
    </row>
    <row r="175" spans="4:30" ht="18.600000000000001" customHeight="1">
      <c r="D175" s="3041" t="s">
        <v>2775</v>
      </c>
      <c r="E175" s="3016">
        <v>-100.30000000000001</v>
      </c>
      <c r="F175" s="3016">
        <v>-79.8</v>
      </c>
      <c r="G175" s="3016">
        <v>-72.900000000000006</v>
      </c>
      <c r="H175" s="3016">
        <v>-118.3</v>
      </c>
      <c r="I175" s="3016">
        <v>-179.7</v>
      </c>
      <c r="J175" s="3016">
        <v>-147.1</v>
      </c>
      <c r="K175" s="3016">
        <v>-124.69999999999999</v>
      </c>
      <c r="L175" s="3016">
        <v>-158.69999999999999</v>
      </c>
      <c r="M175" s="3017">
        <v>-142.9</v>
      </c>
      <c r="N175" s="3042" t="s">
        <v>2774</v>
      </c>
    </row>
    <row r="176" spans="4:30" ht="18.600000000000001" customHeight="1">
      <c r="D176" s="3000" t="s">
        <v>2773</v>
      </c>
      <c r="E176" s="3001">
        <v>166.99999999999994</v>
      </c>
      <c r="F176" s="3001">
        <v>167.89999999999998</v>
      </c>
      <c r="G176" s="3001">
        <v>-169.10000000000002</v>
      </c>
      <c r="H176" s="3001">
        <v>-36.300000000000004</v>
      </c>
      <c r="I176" s="3001">
        <v>-1.0999999999999943</v>
      </c>
      <c r="J176" s="3001">
        <v>14.200000000000003</v>
      </c>
      <c r="K176" s="3001">
        <v>285.2</v>
      </c>
      <c r="L176" s="3001">
        <v>-129.1</v>
      </c>
      <c r="M176" s="3002">
        <v>-18.500000000000014</v>
      </c>
      <c r="N176" s="2997" t="s">
        <v>2772</v>
      </c>
    </row>
    <row r="177" spans="4:14" ht="18.600000000000001" customHeight="1">
      <c r="D177" s="3041" t="s">
        <v>3091</v>
      </c>
      <c r="E177" s="3016">
        <v>166.99999999999994</v>
      </c>
      <c r="F177" s="3016">
        <v>167.89999999999998</v>
      </c>
      <c r="G177" s="3016">
        <v>-169.10000000000002</v>
      </c>
      <c r="H177" s="3016">
        <v>-36.300000000000004</v>
      </c>
      <c r="I177" s="3016">
        <v>-1.0999999999999943</v>
      </c>
      <c r="J177" s="3016">
        <v>14.200000000000003</v>
      </c>
      <c r="K177" s="3016">
        <v>285.2</v>
      </c>
      <c r="L177" s="3016">
        <v>-129.1</v>
      </c>
      <c r="M177" s="3017">
        <v>-18.500000000000014</v>
      </c>
      <c r="N177" s="3042" t="s">
        <v>2771</v>
      </c>
    </row>
    <row r="178" spans="4:14" ht="18.600000000000001" customHeight="1">
      <c r="D178" s="2974" t="s">
        <v>2770</v>
      </c>
      <c r="E178" s="3013">
        <v>-10.799999999999997</v>
      </c>
      <c r="F178" s="3013">
        <v>92.2</v>
      </c>
      <c r="G178" s="3013">
        <v>25.4</v>
      </c>
      <c r="H178" s="3013">
        <v>47</v>
      </c>
      <c r="I178" s="3013">
        <v>45.4</v>
      </c>
      <c r="J178" s="3013">
        <v>-81.600000000000009</v>
      </c>
      <c r="K178" s="3013">
        <v>64.5</v>
      </c>
      <c r="L178" s="3013">
        <v>22.8</v>
      </c>
      <c r="M178" s="3014">
        <v>5.7000000000000028</v>
      </c>
      <c r="N178" s="2977" t="s">
        <v>2769</v>
      </c>
    </row>
    <row r="179" spans="4:14" ht="18.600000000000001" customHeight="1">
      <c r="D179" s="3041" t="s">
        <v>3092</v>
      </c>
      <c r="E179" s="3016">
        <v>-10.799999999999997</v>
      </c>
      <c r="F179" s="3016">
        <v>92.2</v>
      </c>
      <c r="G179" s="3016">
        <v>25.4</v>
      </c>
      <c r="H179" s="3016">
        <v>47</v>
      </c>
      <c r="I179" s="3016">
        <v>45.4</v>
      </c>
      <c r="J179" s="3016">
        <v>-81.600000000000009</v>
      </c>
      <c r="K179" s="3016">
        <v>64.5</v>
      </c>
      <c r="L179" s="3016">
        <v>22.8</v>
      </c>
      <c r="M179" s="3017">
        <v>5.7000000000000028</v>
      </c>
      <c r="N179" s="3042" t="s">
        <v>3061</v>
      </c>
    </row>
    <row r="180" spans="4:14" ht="18.600000000000001" customHeight="1">
      <c r="D180" s="3043" t="s">
        <v>2766</v>
      </c>
      <c r="E180" s="3001">
        <v>0</v>
      </c>
      <c r="F180" s="3001">
        <v>328</v>
      </c>
      <c r="G180" s="3001">
        <v>0</v>
      </c>
      <c r="H180" s="3001">
        <v>0</v>
      </c>
      <c r="I180" s="3001">
        <v>0</v>
      </c>
      <c r="J180" s="3001">
        <v>0</v>
      </c>
      <c r="K180" s="3001">
        <v>0</v>
      </c>
      <c r="L180" s="3001">
        <v>0</v>
      </c>
      <c r="M180" s="3002">
        <v>0</v>
      </c>
      <c r="N180" s="3044" t="s">
        <v>2765</v>
      </c>
    </row>
    <row r="181" spans="4:14" ht="18.600000000000001" customHeight="1">
      <c r="D181" s="3041" t="s">
        <v>3093</v>
      </c>
      <c r="E181" s="3016">
        <v>1.2000000000000002</v>
      </c>
      <c r="F181" s="3016">
        <v>0.80000000000000027</v>
      </c>
      <c r="G181" s="3016">
        <v>-1.1999999999999997</v>
      </c>
      <c r="H181" s="3016">
        <v>-4.4000000000000004</v>
      </c>
      <c r="I181" s="3016">
        <v>-31.599999999999998</v>
      </c>
      <c r="J181" s="3016">
        <v>3.1999999999999997</v>
      </c>
      <c r="K181" s="3016">
        <v>30.8</v>
      </c>
      <c r="L181" s="3016">
        <v>-2.4000000000000004</v>
      </c>
      <c r="M181" s="3017">
        <v>0</v>
      </c>
      <c r="N181" s="3042" t="s">
        <v>3062</v>
      </c>
    </row>
    <row r="182" spans="4:14" ht="18.600000000000001" customHeight="1">
      <c r="D182" s="3043" t="s">
        <v>3094</v>
      </c>
      <c r="E182" s="3001">
        <v>0.4</v>
      </c>
      <c r="F182" s="3001">
        <v>3.6</v>
      </c>
      <c r="G182" s="3001">
        <v>1.6</v>
      </c>
      <c r="H182" s="3001">
        <v>-2.8</v>
      </c>
      <c r="I182" s="3001">
        <v>-2.4</v>
      </c>
      <c r="J182" s="3001">
        <v>4.8</v>
      </c>
      <c r="K182" s="3001">
        <v>40</v>
      </c>
      <c r="L182" s="3001">
        <v>1.2</v>
      </c>
      <c r="M182" s="3002">
        <v>0</v>
      </c>
      <c r="N182" s="3044" t="s">
        <v>3063</v>
      </c>
    </row>
    <row r="183" spans="4:14" ht="18.600000000000001" customHeight="1">
      <c r="D183" s="2989" t="s">
        <v>3095</v>
      </c>
      <c r="E183" s="3016">
        <v>0.8</v>
      </c>
      <c r="F183" s="3016">
        <v>-2.8</v>
      </c>
      <c r="G183" s="3016">
        <v>-2.8</v>
      </c>
      <c r="H183" s="3016">
        <v>-1.6</v>
      </c>
      <c r="I183" s="3016">
        <v>-29.2</v>
      </c>
      <c r="J183" s="3016">
        <v>-1.6</v>
      </c>
      <c r="K183" s="3016">
        <v>-9.1999999999999993</v>
      </c>
      <c r="L183" s="3016">
        <v>-3.6</v>
      </c>
      <c r="M183" s="3017">
        <v>0</v>
      </c>
      <c r="N183" s="2998" t="s">
        <v>3064</v>
      </c>
    </row>
    <row r="184" spans="4:14" ht="18.75">
      <c r="D184" s="4473" t="s">
        <v>2768</v>
      </c>
      <c r="E184" s="3013">
        <v>-527.19999999999993</v>
      </c>
      <c r="F184" s="3013">
        <v>1692.1</v>
      </c>
      <c r="G184" s="3013">
        <v>787.20000000000016</v>
      </c>
      <c r="H184" s="3013">
        <v>405.10000000000014</v>
      </c>
      <c r="I184" s="3013">
        <v>-676.2</v>
      </c>
      <c r="J184" s="3013">
        <v>-92.400000000000091</v>
      </c>
      <c r="K184" s="3013">
        <v>-783.10000000000025</v>
      </c>
      <c r="L184" s="3013">
        <v>547.6</v>
      </c>
      <c r="M184" s="3014">
        <v>1678</v>
      </c>
      <c r="N184" s="4470" t="s">
        <v>1265</v>
      </c>
    </row>
    <row r="185" spans="4:14" ht="18.75">
      <c r="D185" s="2999" t="s">
        <v>2767</v>
      </c>
      <c r="E185" s="3016">
        <v>273.10000000000002</v>
      </c>
      <c r="F185" s="3016">
        <v>208.3</v>
      </c>
      <c r="G185" s="3016">
        <v>813.9</v>
      </c>
      <c r="H185" s="3016">
        <v>42.79999999999999</v>
      </c>
      <c r="I185" s="3016">
        <v>-136.89999999999998</v>
      </c>
      <c r="J185" s="3016">
        <v>268.3</v>
      </c>
      <c r="K185" s="3016">
        <v>32.799999999999983</v>
      </c>
      <c r="L185" s="3016">
        <v>611</v>
      </c>
      <c r="M185" s="3017">
        <v>110</v>
      </c>
      <c r="N185" s="2992" t="s">
        <v>1267</v>
      </c>
    </row>
    <row r="186" spans="4:14" ht="18.75">
      <c r="D186" s="2984" t="s">
        <v>2766</v>
      </c>
      <c r="E186" s="3001">
        <v>-4</v>
      </c>
      <c r="F186" s="3001">
        <v>-2.2000000000000006</v>
      </c>
      <c r="G186" s="3001">
        <v>2.1000000000000005</v>
      </c>
      <c r="H186" s="3001">
        <v>-11</v>
      </c>
      <c r="I186" s="3001">
        <v>-20.400000000000002</v>
      </c>
      <c r="J186" s="3001">
        <v>-24.7</v>
      </c>
      <c r="K186" s="3001">
        <v>-29.5</v>
      </c>
      <c r="L186" s="3001">
        <v>-29.9</v>
      </c>
      <c r="M186" s="3002">
        <v>-24.6</v>
      </c>
      <c r="N186" s="2988" t="s">
        <v>2765</v>
      </c>
    </row>
    <row r="187" spans="4:14" ht="18.75">
      <c r="D187" s="4474" t="s">
        <v>2764</v>
      </c>
      <c r="E187" s="3016">
        <v>0</v>
      </c>
      <c r="F187" s="3016">
        <v>0</v>
      </c>
      <c r="G187" s="3016">
        <v>0</v>
      </c>
      <c r="H187" s="3016">
        <v>0</v>
      </c>
      <c r="I187" s="3016">
        <v>0</v>
      </c>
      <c r="J187" s="3016">
        <v>0</v>
      </c>
      <c r="K187" s="3016">
        <v>0</v>
      </c>
      <c r="L187" s="3016">
        <v>0</v>
      </c>
      <c r="M187" s="3017">
        <v>0</v>
      </c>
      <c r="N187" s="4471" t="s">
        <v>2763</v>
      </c>
    </row>
    <row r="188" spans="4:14" ht="18.75">
      <c r="D188" s="2984" t="s">
        <v>2762</v>
      </c>
      <c r="E188" s="3001">
        <v>-796.3</v>
      </c>
      <c r="F188" s="3001">
        <v>1486</v>
      </c>
      <c r="G188" s="3001">
        <v>-28.799999999999955</v>
      </c>
      <c r="H188" s="3001">
        <v>373.30000000000007</v>
      </c>
      <c r="I188" s="3001">
        <v>-518.90000000000009</v>
      </c>
      <c r="J188" s="3001">
        <v>-336</v>
      </c>
      <c r="K188" s="3001">
        <v>-786.4</v>
      </c>
      <c r="L188" s="3001">
        <v>-33.5</v>
      </c>
      <c r="M188" s="3002">
        <v>1592.6000000000001</v>
      </c>
      <c r="N188" s="2988" t="s">
        <v>2761</v>
      </c>
    </row>
    <row r="189" spans="4:14" ht="18.75">
      <c r="D189" s="4474" t="s">
        <v>2760</v>
      </c>
      <c r="E189" s="3016">
        <v>-884.30000000000007</v>
      </c>
      <c r="F189" s="3016">
        <v>1442.8</v>
      </c>
      <c r="G189" s="3016">
        <v>705</v>
      </c>
      <c r="H189" s="3016">
        <v>455.20000000000005</v>
      </c>
      <c r="I189" s="3016">
        <v>526.59999999999991</v>
      </c>
      <c r="J189" s="3016">
        <v>32.799999999999955</v>
      </c>
      <c r="K189" s="3016">
        <v>17.199999999999932</v>
      </c>
      <c r="L189" s="3016">
        <v>-1037.5999999999999</v>
      </c>
      <c r="M189" s="3017">
        <v>1763.7</v>
      </c>
      <c r="N189" s="4471" t="s">
        <v>2759</v>
      </c>
    </row>
    <row r="190" spans="4:14" ht="18.75">
      <c r="D190" s="2984" t="s">
        <v>3096</v>
      </c>
      <c r="E190" s="3001">
        <v>42.799999999999955</v>
      </c>
      <c r="F190" s="3001">
        <v>51.29999999999999</v>
      </c>
      <c r="G190" s="3001">
        <v>-721.3</v>
      </c>
      <c r="H190" s="3001">
        <v>-68.100000000000023</v>
      </c>
      <c r="I190" s="3001">
        <v>-1060</v>
      </c>
      <c r="J190" s="3001">
        <v>-379.9</v>
      </c>
      <c r="K190" s="3001">
        <v>-809.3</v>
      </c>
      <c r="L190" s="3001">
        <v>1001.6</v>
      </c>
      <c r="M190" s="3002">
        <v>-174.5</v>
      </c>
      <c r="N190" s="2988" t="s">
        <v>3065</v>
      </c>
    </row>
    <row r="191" spans="4:14" ht="18.75">
      <c r="D191" s="4474" t="s">
        <v>3097</v>
      </c>
      <c r="E191" s="3016">
        <v>42.799999999999955</v>
      </c>
      <c r="F191" s="3016">
        <v>51.29999999999999</v>
      </c>
      <c r="G191" s="3016">
        <v>-721.3</v>
      </c>
      <c r="H191" s="3016">
        <v>-68.100000000000023</v>
      </c>
      <c r="I191" s="3016">
        <v>-1060</v>
      </c>
      <c r="J191" s="3016">
        <v>-379.9</v>
      </c>
      <c r="K191" s="3016">
        <v>-809.3</v>
      </c>
      <c r="L191" s="3016">
        <v>1001.6</v>
      </c>
      <c r="M191" s="3017">
        <v>-174.5</v>
      </c>
      <c r="N191" s="4471" t="s">
        <v>2757</v>
      </c>
    </row>
    <row r="192" spans="4:14" ht="18.75">
      <c r="D192" s="2984" t="s">
        <v>3098</v>
      </c>
      <c r="E192" s="3001">
        <v>45.2</v>
      </c>
      <c r="F192" s="3001">
        <v>-8.1000000000000014</v>
      </c>
      <c r="G192" s="3001">
        <v>-12.5</v>
      </c>
      <c r="H192" s="3001">
        <v>-13.799999999999999</v>
      </c>
      <c r="I192" s="3001">
        <v>14.5</v>
      </c>
      <c r="J192" s="3001">
        <v>11.1</v>
      </c>
      <c r="K192" s="3001">
        <v>5.7</v>
      </c>
      <c r="L192" s="3001">
        <v>2.5</v>
      </c>
      <c r="M192" s="3002">
        <v>3.4</v>
      </c>
      <c r="N192" s="2988" t="s">
        <v>3066</v>
      </c>
    </row>
    <row r="193" spans="4:14" ht="18.75">
      <c r="D193" s="4475" t="s">
        <v>2756</v>
      </c>
      <c r="E193" s="4478">
        <v>583.599999999999</v>
      </c>
      <c r="F193" s="3045">
        <v>1297.2999999999997</v>
      </c>
      <c r="G193" s="3045">
        <v>-117.47000000000003</v>
      </c>
      <c r="H193" s="3045">
        <v>-230.90999999999997</v>
      </c>
      <c r="I193" s="3045">
        <v>-732.3000000000003</v>
      </c>
      <c r="J193" s="3045">
        <v>727.24000000000103</v>
      </c>
      <c r="K193" s="3045">
        <v>243.50979499999954</v>
      </c>
      <c r="L193" s="3045">
        <v>472.73513000000008</v>
      </c>
      <c r="M193" s="3046">
        <v>767.59999999999945</v>
      </c>
      <c r="N193" s="4472" t="s">
        <v>2755</v>
      </c>
    </row>
    <row r="194" spans="4:14">
      <c r="D194" s="3047"/>
      <c r="E194" s="3047"/>
      <c r="F194" s="3047"/>
      <c r="G194" s="3047"/>
      <c r="H194" s="3047"/>
      <c r="I194" s="3047"/>
    </row>
    <row r="195" spans="4:14">
      <c r="D195" s="3047"/>
      <c r="E195" s="3047"/>
      <c r="F195" s="3047"/>
      <c r="G195" s="3047"/>
      <c r="H195" s="3047"/>
      <c r="I195" s="3047"/>
    </row>
    <row r="196" spans="4:14">
      <c r="D196" s="3047"/>
      <c r="E196" s="3047"/>
      <c r="F196" s="3047"/>
      <c r="G196" s="3047"/>
      <c r="H196" s="3047"/>
      <c r="I196" s="3047"/>
    </row>
    <row r="197" spans="4:14">
      <c r="D197" s="3047"/>
      <c r="E197" s="3047"/>
      <c r="F197" s="3047"/>
      <c r="G197" s="3047"/>
      <c r="H197" s="3047"/>
      <c r="I197" s="3047"/>
    </row>
    <row r="198" spans="4:14">
      <c r="D198" s="3047"/>
      <c r="E198" s="3047"/>
      <c r="F198" s="3047"/>
      <c r="G198" s="3047"/>
      <c r="H198" s="3047"/>
      <c r="I198" s="3047"/>
    </row>
  </sheetData>
  <mergeCells count="29">
    <mergeCell ref="E5:E10"/>
    <mergeCell ref="E64:E69"/>
    <mergeCell ref="E115:E120"/>
    <mergeCell ref="F64:F69"/>
    <mergeCell ref="G64:G69"/>
    <mergeCell ref="F115:F120"/>
    <mergeCell ref="G115:G120"/>
    <mergeCell ref="K115:K120"/>
    <mergeCell ref="L115:L120"/>
    <mergeCell ref="M115:M120"/>
    <mergeCell ref="H115:H120"/>
    <mergeCell ref="I115:I120"/>
    <mergeCell ref="J115:J120"/>
    <mergeCell ref="D2:N2"/>
    <mergeCell ref="D3:N3"/>
    <mergeCell ref="I5:I10"/>
    <mergeCell ref="J5:J10"/>
    <mergeCell ref="I64:I69"/>
    <mergeCell ref="J64:J69"/>
    <mergeCell ref="K64:K69"/>
    <mergeCell ref="L64:L69"/>
    <mergeCell ref="H5:H10"/>
    <mergeCell ref="H64:H69"/>
    <mergeCell ref="K5:K10"/>
    <mergeCell ref="M64:M69"/>
    <mergeCell ref="L5:L10"/>
    <mergeCell ref="M5:M10"/>
    <mergeCell ref="G5:G10"/>
    <mergeCell ref="F5:F10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54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AZ58"/>
  <sheetViews>
    <sheetView zoomScale="75" zoomScaleNormal="75" workbookViewId="0"/>
  </sheetViews>
  <sheetFormatPr defaultRowHeight="20.25"/>
  <cols>
    <col min="1" max="2" width="10" style="201" customWidth="1"/>
    <col min="3" max="3" width="9.85546875" style="201" customWidth="1"/>
    <col min="4" max="9" width="2.42578125" style="211" customWidth="1"/>
    <col min="10" max="10" width="39.7109375" style="211" customWidth="1"/>
    <col min="11" max="46" width="13.7109375" style="211" customWidth="1"/>
    <col min="47" max="47" width="43.7109375" style="211" customWidth="1"/>
    <col min="48" max="51" width="2.42578125" style="211" customWidth="1"/>
    <col min="52" max="258" width="9" style="201"/>
    <col min="259" max="259" width="22.42578125" style="201" customWidth="1"/>
    <col min="260" max="265" width="2.42578125" style="201" customWidth="1"/>
    <col min="266" max="266" width="39.7109375" style="201" customWidth="1"/>
    <col min="267" max="302" width="13.7109375" style="201" customWidth="1"/>
    <col min="303" max="303" width="43.7109375" style="201" customWidth="1"/>
    <col min="304" max="307" width="2.42578125" style="201" customWidth="1"/>
    <col min="308" max="514" width="9" style="201"/>
    <col min="515" max="515" width="22.42578125" style="201" customWidth="1"/>
    <col min="516" max="521" width="2.42578125" style="201" customWidth="1"/>
    <col min="522" max="522" width="39.7109375" style="201" customWidth="1"/>
    <col min="523" max="558" width="13.7109375" style="201" customWidth="1"/>
    <col min="559" max="559" width="43.7109375" style="201" customWidth="1"/>
    <col min="560" max="563" width="2.42578125" style="201" customWidth="1"/>
    <col min="564" max="770" width="9" style="201"/>
    <col min="771" max="771" width="22.42578125" style="201" customWidth="1"/>
    <col min="772" max="777" width="2.42578125" style="201" customWidth="1"/>
    <col min="778" max="778" width="39.7109375" style="201" customWidth="1"/>
    <col min="779" max="814" width="13.7109375" style="201" customWidth="1"/>
    <col min="815" max="815" width="43.7109375" style="201" customWidth="1"/>
    <col min="816" max="819" width="2.42578125" style="201" customWidth="1"/>
    <col min="820" max="1026" width="9" style="201"/>
    <col min="1027" max="1027" width="22.42578125" style="201" customWidth="1"/>
    <col min="1028" max="1033" width="2.42578125" style="201" customWidth="1"/>
    <col min="1034" max="1034" width="39.7109375" style="201" customWidth="1"/>
    <col min="1035" max="1070" width="13.7109375" style="201" customWidth="1"/>
    <col min="1071" max="1071" width="43.7109375" style="201" customWidth="1"/>
    <col min="1072" max="1075" width="2.42578125" style="201" customWidth="1"/>
    <col min="1076" max="1282" width="9" style="201"/>
    <col min="1283" max="1283" width="22.42578125" style="201" customWidth="1"/>
    <col min="1284" max="1289" width="2.42578125" style="201" customWidth="1"/>
    <col min="1290" max="1290" width="39.7109375" style="201" customWidth="1"/>
    <col min="1291" max="1326" width="13.7109375" style="201" customWidth="1"/>
    <col min="1327" max="1327" width="43.7109375" style="201" customWidth="1"/>
    <col min="1328" max="1331" width="2.42578125" style="201" customWidth="1"/>
    <col min="1332" max="1538" width="9" style="201"/>
    <col min="1539" max="1539" width="22.42578125" style="201" customWidth="1"/>
    <col min="1540" max="1545" width="2.42578125" style="201" customWidth="1"/>
    <col min="1546" max="1546" width="39.7109375" style="201" customWidth="1"/>
    <col min="1547" max="1582" width="13.7109375" style="201" customWidth="1"/>
    <col min="1583" max="1583" width="43.7109375" style="201" customWidth="1"/>
    <col min="1584" max="1587" width="2.42578125" style="201" customWidth="1"/>
    <col min="1588" max="1794" width="9" style="201"/>
    <col min="1795" max="1795" width="22.42578125" style="201" customWidth="1"/>
    <col min="1796" max="1801" width="2.42578125" style="201" customWidth="1"/>
    <col min="1802" max="1802" width="39.7109375" style="201" customWidth="1"/>
    <col min="1803" max="1838" width="13.7109375" style="201" customWidth="1"/>
    <col min="1839" max="1839" width="43.7109375" style="201" customWidth="1"/>
    <col min="1840" max="1843" width="2.42578125" style="201" customWidth="1"/>
    <col min="1844" max="2050" width="9" style="201"/>
    <col min="2051" max="2051" width="22.42578125" style="201" customWidth="1"/>
    <col min="2052" max="2057" width="2.42578125" style="201" customWidth="1"/>
    <col min="2058" max="2058" width="39.7109375" style="201" customWidth="1"/>
    <col min="2059" max="2094" width="13.7109375" style="201" customWidth="1"/>
    <col min="2095" max="2095" width="43.7109375" style="201" customWidth="1"/>
    <col min="2096" max="2099" width="2.42578125" style="201" customWidth="1"/>
    <col min="2100" max="2306" width="9" style="201"/>
    <col min="2307" max="2307" width="22.42578125" style="201" customWidth="1"/>
    <col min="2308" max="2313" width="2.42578125" style="201" customWidth="1"/>
    <col min="2314" max="2314" width="39.7109375" style="201" customWidth="1"/>
    <col min="2315" max="2350" width="13.7109375" style="201" customWidth="1"/>
    <col min="2351" max="2351" width="43.7109375" style="201" customWidth="1"/>
    <col min="2352" max="2355" width="2.42578125" style="201" customWidth="1"/>
    <col min="2356" max="2562" width="9" style="201"/>
    <col min="2563" max="2563" width="22.42578125" style="201" customWidth="1"/>
    <col min="2564" max="2569" width="2.42578125" style="201" customWidth="1"/>
    <col min="2570" max="2570" width="39.7109375" style="201" customWidth="1"/>
    <col min="2571" max="2606" width="13.7109375" style="201" customWidth="1"/>
    <col min="2607" max="2607" width="43.7109375" style="201" customWidth="1"/>
    <col min="2608" max="2611" width="2.42578125" style="201" customWidth="1"/>
    <col min="2612" max="2818" width="9" style="201"/>
    <col min="2819" max="2819" width="22.42578125" style="201" customWidth="1"/>
    <col min="2820" max="2825" width="2.42578125" style="201" customWidth="1"/>
    <col min="2826" max="2826" width="39.7109375" style="201" customWidth="1"/>
    <col min="2827" max="2862" width="13.7109375" style="201" customWidth="1"/>
    <col min="2863" max="2863" width="43.7109375" style="201" customWidth="1"/>
    <col min="2864" max="2867" width="2.42578125" style="201" customWidth="1"/>
    <col min="2868" max="3074" width="9" style="201"/>
    <col min="3075" max="3075" width="22.42578125" style="201" customWidth="1"/>
    <col min="3076" max="3081" width="2.42578125" style="201" customWidth="1"/>
    <col min="3082" max="3082" width="39.7109375" style="201" customWidth="1"/>
    <col min="3083" max="3118" width="13.7109375" style="201" customWidth="1"/>
    <col min="3119" max="3119" width="43.7109375" style="201" customWidth="1"/>
    <col min="3120" max="3123" width="2.42578125" style="201" customWidth="1"/>
    <col min="3124" max="3330" width="9" style="201"/>
    <col min="3331" max="3331" width="22.42578125" style="201" customWidth="1"/>
    <col min="3332" max="3337" width="2.42578125" style="201" customWidth="1"/>
    <col min="3338" max="3338" width="39.7109375" style="201" customWidth="1"/>
    <col min="3339" max="3374" width="13.7109375" style="201" customWidth="1"/>
    <col min="3375" max="3375" width="43.7109375" style="201" customWidth="1"/>
    <col min="3376" max="3379" width="2.42578125" style="201" customWidth="1"/>
    <col min="3380" max="3586" width="9" style="201"/>
    <col min="3587" max="3587" width="22.42578125" style="201" customWidth="1"/>
    <col min="3588" max="3593" width="2.42578125" style="201" customWidth="1"/>
    <col min="3594" max="3594" width="39.7109375" style="201" customWidth="1"/>
    <col min="3595" max="3630" width="13.7109375" style="201" customWidth="1"/>
    <col min="3631" max="3631" width="43.7109375" style="201" customWidth="1"/>
    <col min="3632" max="3635" width="2.42578125" style="201" customWidth="1"/>
    <col min="3636" max="3842" width="9" style="201"/>
    <col min="3843" max="3843" width="22.42578125" style="201" customWidth="1"/>
    <col min="3844" max="3849" width="2.42578125" style="201" customWidth="1"/>
    <col min="3850" max="3850" width="39.7109375" style="201" customWidth="1"/>
    <col min="3851" max="3886" width="13.7109375" style="201" customWidth="1"/>
    <col min="3887" max="3887" width="43.7109375" style="201" customWidth="1"/>
    <col min="3888" max="3891" width="2.42578125" style="201" customWidth="1"/>
    <col min="3892" max="4098" width="9" style="201"/>
    <col min="4099" max="4099" width="22.42578125" style="201" customWidth="1"/>
    <col min="4100" max="4105" width="2.42578125" style="201" customWidth="1"/>
    <col min="4106" max="4106" width="39.7109375" style="201" customWidth="1"/>
    <col min="4107" max="4142" width="13.7109375" style="201" customWidth="1"/>
    <col min="4143" max="4143" width="43.7109375" style="201" customWidth="1"/>
    <col min="4144" max="4147" width="2.42578125" style="201" customWidth="1"/>
    <col min="4148" max="4354" width="9" style="201"/>
    <col min="4355" max="4355" width="22.42578125" style="201" customWidth="1"/>
    <col min="4356" max="4361" width="2.42578125" style="201" customWidth="1"/>
    <col min="4362" max="4362" width="39.7109375" style="201" customWidth="1"/>
    <col min="4363" max="4398" width="13.7109375" style="201" customWidth="1"/>
    <col min="4399" max="4399" width="43.7109375" style="201" customWidth="1"/>
    <col min="4400" max="4403" width="2.42578125" style="201" customWidth="1"/>
    <col min="4404" max="4610" width="9" style="201"/>
    <col min="4611" max="4611" width="22.42578125" style="201" customWidth="1"/>
    <col min="4612" max="4617" width="2.42578125" style="201" customWidth="1"/>
    <col min="4618" max="4618" width="39.7109375" style="201" customWidth="1"/>
    <col min="4619" max="4654" width="13.7109375" style="201" customWidth="1"/>
    <col min="4655" max="4655" width="43.7109375" style="201" customWidth="1"/>
    <col min="4656" max="4659" width="2.42578125" style="201" customWidth="1"/>
    <col min="4660" max="4866" width="9" style="201"/>
    <col min="4867" max="4867" width="22.42578125" style="201" customWidth="1"/>
    <col min="4868" max="4873" width="2.42578125" style="201" customWidth="1"/>
    <col min="4874" max="4874" width="39.7109375" style="201" customWidth="1"/>
    <col min="4875" max="4910" width="13.7109375" style="201" customWidth="1"/>
    <col min="4911" max="4911" width="43.7109375" style="201" customWidth="1"/>
    <col min="4912" max="4915" width="2.42578125" style="201" customWidth="1"/>
    <col min="4916" max="5122" width="9" style="201"/>
    <col min="5123" max="5123" width="22.42578125" style="201" customWidth="1"/>
    <col min="5124" max="5129" width="2.42578125" style="201" customWidth="1"/>
    <col min="5130" max="5130" width="39.7109375" style="201" customWidth="1"/>
    <col min="5131" max="5166" width="13.7109375" style="201" customWidth="1"/>
    <col min="5167" max="5167" width="43.7109375" style="201" customWidth="1"/>
    <col min="5168" max="5171" width="2.42578125" style="201" customWidth="1"/>
    <col min="5172" max="5378" width="9" style="201"/>
    <col min="5379" max="5379" width="22.42578125" style="201" customWidth="1"/>
    <col min="5380" max="5385" width="2.42578125" style="201" customWidth="1"/>
    <col min="5386" max="5386" width="39.7109375" style="201" customWidth="1"/>
    <col min="5387" max="5422" width="13.7109375" style="201" customWidth="1"/>
    <col min="5423" max="5423" width="43.7109375" style="201" customWidth="1"/>
    <col min="5424" max="5427" width="2.42578125" style="201" customWidth="1"/>
    <col min="5428" max="5634" width="9" style="201"/>
    <col min="5635" max="5635" width="22.42578125" style="201" customWidth="1"/>
    <col min="5636" max="5641" width="2.42578125" style="201" customWidth="1"/>
    <col min="5642" max="5642" width="39.7109375" style="201" customWidth="1"/>
    <col min="5643" max="5678" width="13.7109375" style="201" customWidth="1"/>
    <col min="5679" max="5679" width="43.7109375" style="201" customWidth="1"/>
    <col min="5680" max="5683" width="2.42578125" style="201" customWidth="1"/>
    <col min="5684" max="5890" width="9" style="201"/>
    <col min="5891" max="5891" width="22.42578125" style="201" customWidth="1"/>
    <col min="5892" max="5897" width="2.42578125" style="201" customWidth="1"/>
    <col min="5898" max="5898" width="39.7109375" style="201" customWidth="1"/>
    <col min="5899" max="5934" width="13.7109375" style="201" customWidth="1"/>
    <col min="5935" max="5935" width="43.7109375" style="201" customWidth="1"/>
    <col min="5936" max="5939" width="2.42578125" style="201" customWidth="1"/>
    <col min="5940" max="6146" width="9" style="201"/>
    <col min="6147" max="6147" width="22.42578125" style="201" customWidth="1"/>
    <col min="6148" max="6153" width="2.42578125" style="201" customWidth="1"/>
    <col min="6154" max="6154" width="39.7109375" style="201" customWidth="1"/>
    <col min="6155" max="6190" width="13.7109375" style="201" customWidth="1"/>
    <col min="6191" max="6191" width="43.7109375" style="201" customWidth="1"/>
    <col min="6192" max="6195" width="2.42578125" style="201" customWidth="1"/>
    <col min="6196" max="6402" width="9" style="201"/>
    <col min="6403" max="6403" width="22.42578125" style="201" customWidth="1"/>
    <col min="6404" max="6409" width="2.42578125" style="201" customWidth="1"/>
    <col min="6410" max="6410" width="39.7109375" style="201" customWidth="1"/>
    <col min="6411" max="6446" width="13.7109375" style="201" customWidth="1"/>
    <col min="6447" max="6447" width="43.7109375" style="201" customWidth="1"/>
    <col min="6448" max="6451" width="2.42578125" style="201" customWidth="1"/>
    <col min="6452" max="6658" width="9" style="201"/>
    <col min="6659" max="6659" width="22.42578125" style="201" customWidth="1"/>
    <col min="6660" max="6665" width="2.42578125" style="201" customWidth="1"/>
    <col min="6666" max="6666" width="39.7109375" style="201" customWidth="1"/>
    <col min="6667" max="6702" width="13.7109375" style="201" customWidth="1"/>
    <col min="6703" max="6703" width="43.7109375" style="201" customWidth="1"/>
    <col min="6704" max="6707" width="2.42578125" style="201" customWidth="1"/>
    <col min="6708" max="6914" width="9" style="201"/>
    <col min="6915" max="6915" width="22.42578125" style="201" customWidth="1"/>
    <col min="6916" max="6921" width="2.42578125" style="201" customWidth="1"/>
    <col min="6922" max="6922" width="39.7109375" style="201" customWidth="1"/>
    <col min="6923" max="6958" width="13.7109375" style="201" customWidth="1"/>
    <col min="6959" max="6959" width="43.7109375" style="201" customWidth="1"/>
    <col min="6960" max="6963" width="2.42578125" style="201" customWidth="1"/>
    <col min="6964" max="7170" width="9" style="201"/>
    <col min="7171" max="7171" width="22.42578125" style="201" customWidth="1"/>
    <col min="7172" max="7177" width="2.42578125" style="201" customWidth="1"/>
    <col min="7178" max="7178" width="39.7109375" style="201" customWidth="1"/>
    <col min="7179" max="7214" width="13.7109375" style="201" customWidth="1"/>
    <col min="7215" max="7215" width="43.7109375" style="201" customWidth="1"/>
    <col min="7216" max="7219" width="2.42578125" style="201" customWidth="1"/>
    <col min="7220" max="7426" width="9" style="201"/>
    <col min="7427" max="7427" width="22.42578125" style="201" customWidth="1"/>
    <col min="7428" max="7433" width="2.42578125" style="201" customWidth="1"/>
    <col min="7434" max="7434" width="39.7109375" style="201" customWidth="1"/>
    <col min="7435" max="7470" width="13.7109375" style="201" customWidth="1"/>
    <col min="7471" max="7471" width="43.7109375" style="201" customWidth="1"/>
    <col min="7472" max="7475" width="2.42578125" style="201" customWidth="1"/>
    <col min="7476" max="7682" width="9" style="201"/>
    <col min="7683" max="7683" width="22.42578125" style="201" customWidth="1"/>
    <col min="7684" max="7689" width="2.42578125" style="201" customWidth="1"/>
    <col min="7690" max="7690" width="39.7109375" style="201" customWidth="1"/>
    <col min="7691" max="7726" width="13.7109375" style="201" customWidth="1"/>
    <col min="7727" max="7727" width="43.7109375" style="201" customWidth="1"/>
    <col min="7728" max="7731" width="2.42578125" style="201" customWidth="1"/>
    <col min="7732" max="7938" width="9" style="201"/>
    <col min="7939" max="7939" width="22.42578125" style="201" customWidth="1"/>
    <col min="7940" max="7945" width="2.42578125" style="201" customWidth="1"/>
    <col min="7946" max="7946" width="39.7109375" style="201" customWidth="1"/>
    <col min="7947" max="7982" width="13.7109375" style="201" customWidth="1"/>
    <col min="7983" max="7983" width="43.7109375" style="201" customWidth="1"/>
    <col min="7984" max="7987" width="2.42578125" style="201" customWidth="1"/>
    <col min="7988" max="8194" width="9" style="201"/>
    <col min="8195" max="8195" width="22.42578125" style="201" customWidth="1"/>
    <col min="8196" max="8201" width="2.42578125" style="201" customWidth="1"/>
    <col min="8202" max="8202" width="39.7109375" style="201" customWidth="1"/>
    <col min="8203" max="8238" width="13.7109375" style="201" customWidth="1"/>
    <col min="8239" max="8239" width="43.7109375" style="201" customWidth="1"/>
    <col min="8240" max="8243" width="2.42578125" style="201" customWidth="1"/>
    <col min="8244" max="8450" width="9" style="201"/>
    <col min="8451" max="8451" width="22.42578125" style="201" customWidth="1"/>
    <col min="8452" max="8457" width="2.42578125" style="201" customWidth="1"/>
    <col min="8458" max="8458" width="39.7109375" style="201" customWidth="1"/>
    <col min="8459" max="8494" width="13.7109375" style="201" customWidth="1"/>
    <col min="8495" max="8495" width="43.7109375" style="201" customWidth="1"/>
    <col min="8496" max="8499" width="2.42578125" style="201" customWidth="1"/>
    <col min="8500" max="8706" width="9" style="201"/>
    <col min="8707" max="8707" width="22.42578125" style="201" customWidth="1"/>
    <col min="8708" max="8713" width="2.42578125" style="201" customWidth="1"/>
    <col min="8714" max="8714" width="39.7109375" style="201" customWidth="1"/>
    <col min="8715" max="8750" width="13.7109375" style="201" customWidth="1"/>
    <col min="8751" max="8751" width="43.7109375" style="201" customWidth="1"/>
    <col min="8752" max="8755" width="2.42578125" style="201" customWidth="1"/>
    <col min="8756" max="8962" width="9" style="201"/>
    <col min="8963" max="8963" width="22.42578125" style="201" customWidth="1"/>
    <col min="8964" max="8969" width="2.42578125" style="201" customWidth="1"/>
    <col min="8970" max="8970" width="39.7109375" style="201" customWidth="1"/>
    <col min="8971" max="9006" width="13.7109375" style="201" customWidth="1"/>
    <col min="9007" max="9007" width="43.7109375" style="201" customWidth="1"/>
    <col min="9008" max="9011" width="2.42578125" style="201" customWidth="1"/>
    <col min="9012" max="9218" width="9" style="201"/>
    <col min="9219" max="9219" width="22.42578125" style="201" customWidth="1"/>
    <col min="9220" max="9225" width="2.42578125" style="201" customWidth="1"/>
    <col min="9226" max="9226" width="39.7109375" style="201" customWidth="1"/>
    <col min="9227" max="9262" width="13.7109375" style="201" customWidth="1"/>
    <col min="9263" max="9263" width="43.7109375" style="201" customWidth="1"/>
    <col min="9264" max="9267" width="2.42578125" style="201" customWidth="1"/>
    <col min="9268" max="9474" width="9" style="201"/>
    <col min="9475" max="9475" width="22.42578125" style="201" customWidth="1"/>
    <col min="9476" max="9481" width="2.42578125" style="201" customWidth="1"/>
    <col min="9482" max="9482" width="39.7109375" style="201" customWidth="1"/>
    <col min="9483" max="9518" width="13.7109375" style="201" customWidth="1"/>
    <col min="9519" max="9519" width="43.7109375" style="201" customWidth="1"/>
    <col min="9520" max="9523" width="2.42578125" style="201" customWidth="1"/>
    <col min="9524" max="9730" width="9" style="201"/>
    <col min="9731" max="9731" width="22.42578125" style="201" customWidth="1"/>
    <col min="9732" max="9737" width="2.42578125" style="201" customWidth="1"/>
    <col min="9738" max="9738" width="39.7109375" style="201" customWidth="1"/>
    <col min="9739" max="9774" width="13.7109375" style="201" customWidth="1"/>
    <col min="9775" max="9775" width="43.7109375" style="201" customWidth="1"/>
    <col min="9776" max="9779" width="2.42578125" style="201" customWidth="1"/>
    <col min="9780" max="9986" width="9" style="201"/>
    <col min="9987" max="9987" width="22.42578125" style="201" customWidth="1"/>
    <col min="9988" max="9993" width="2.42578125" style="201" customWidth="1"/>
    <col min="9994" max="9994" width="39.7109375" style="201" customWidth="1"/>
    <col min="9995" max="10030" width="13.7109375" style="201" customWidth="1"/>
    <col min="10031" max="10031" width="43.7109375" style="201" customWidth="1"/>
    <col min="10032" max="10035" width="2.42578125" style="201" customWidth="1"/>
    <col min="10036" max="10242" width="9" style="201"/>
    <col min="10243" max="10243" width="22.42578125" style="201" customWidth="1"/>
    <col min="10244" max="10249" width="2.42578125" style="201" customWidth="1"/>
    <col min="10250" max="10250" width="39.7109375" style="201" customWidth="1"/>
    <col min="10251" max="10286" width="13.7109375" style="201" customWidth="1"/>
    <col min="10287" max="10287" width="43.7109375" style="201" customWidth="1"/>
    <col min="10288" max="10291" width="2.42578125" style="201" customWidth="1"/>
    <col min="10292" max="10498" width="9" style="201"/>
    <col min="10499" max="10499" width="22.42578125" style="201" customWidth="1"/>
    <col min="10500" max="10505" width="2.42578125" style="201" customWidth="1"/>
    <col min="10506" max="10506" width="39.7109375" style="201" customWidth="1"/>
    <col min="10507" max="10542" width="13.7109375" style="201" customWidth="1"/>
    <col min="10543" max="10543" width="43.7109375" style="201" customWidth="1"/>
    <col min="10544" max="10547" width="2.42578125" style="201" customWidth="1"/>
    <col min="10548" max="10754" width="9" style="201"/>
    <col min="10755" max="10755" width="22.42578125" style="201" customWidth="1"/>
    <col min="10756" max="10761" width="2.42578125" style="201" customWidth="1"/>
    <col min="10762" max="10762" width="39.7109375" style="201" customWidth="1"/>
    <col min="10763" max="10798" width="13.7109375" style="201" customWidth="1"/>
    <col min="10799" max="10799" width="43.7109375" style="201" customWidth="1"/>
    <col min="10800" max="10803" width="2.42578125" style="201" customWidth="1"/>
    <col min="10804" max="11010" width="9" style="201"/>
    <col min="11011" max="11011" width="22.42578125" style="201" customWidth="1"/>
    <col min="11012" max="11017" width="2.42578125" style="201" customWidth="1"/>
    <col min="11018" max="11018" width="39.7109375" style="201" customWidth="1"/>
    <col min="11019" max="11054" width="13.7109375" style="201" customWidth="1"/>
    <col min="11055" max="11055" width="43.7109375" style="201" customWidth="1"/>
    <col min="11056" max="11059" width="2.42578125" style="201" customWidth="1"/>
    <col min="11060" max="11266" width="9" style="201"/>
    <col min="11267" max="11267" width="22.42578125" style="201" customWidth="1"/>
    <col min="11268" max="11273" width="2.42578125" style="201" customWidth="1"/>
    <col min="11274" max="11274" width="39.7109375" style="201" customWidth="1"/>
    <col min="11275" max="11310" width="13.7109375" style="201" customWidth="1"/>
    <col min="11311" max="11311" width="43.7109375" style="201" customWidth="1"/>
    <col min="11312" max="11315" width="2.42578125" style="201" customWidth="1"/>
    <col min="11316" max="11522" width="9" style="201"/>
    <col min="11523" max="11523" width="22.42578125" style="201" customWidth="1"/>
    <col min="11524" max="11529" width="2.42578125" style="201" customWidth="1"/>
    <col min="11530" max="11530" width="39.7109375" style="201" customWidth="1"/>
    <col min="11531" max="11566" width="13.7109375" style="201" customWidth="1"/>
    <col min="11567" max="11567" width="43.7109375" style="201" customWidth="1"/>
    <col min="11568" max="11571" width="2.42578125" style="201" customWidth="1"/>
    <col min="11572" max="11778" width="9" style="201"/>
    <col min="11779" max="11779" width="22.42578125" style="201" customWidth="1"/>
    <col min="11780" max="11785" width="2.42578125" style="201" customWidth="1"/>
    <col min="11786" max="11786" width="39.7109375" style="201" customWidth="1"/>
    <col min="11787" max="11822" width="13.7109375" style="201" customWidth="1"/>
    <col min="11823" max="11823" width="43.7109375" style="201" customWidth="1"/>
    <col min="11824" max="11827" width="2.42578125" style="201" customWidth="1"/>
    <col min="11828" max="12034" width="9" style="201"/>
    <col min="12035" max="12035" width="22.42578125" style="201" customWidth="1"/>
    <col min="12036" max="12041" width="2.42578125" style="201" customWidth="1"/>
    <col min="12042" max="12042" width="39.7109375" style="201" customWidth="1"/>
    <col min="12043" max="12078" width="13.7109375" style="201" customWidth="1"/>
    <col min="12079" max="12079" width="43.7109375" style="201" customWidth="1"/>
    <col min="12080" max="12083" width="2.42578125" style="201" customWidth="1"/>
    <col min="12084" max="12290" width="9" style="201"/>
    <col min="12291" max="12291" width="22.42578125" style="201" customWidth="1"/>
    <col min="12292" max="12297" width="2.42578125" style="201" customWidth="1"/>
    <col min="12298" max="12298" width="39.7109375" style="201" customWidth="1"/>
    <col min="12299" max="12334" width="13.7109375" style="201" customWidth="1"/>
    <col min="12335" max="12335" width="43.7109375" style="201" customWidth="1"/>
    <col min="12336" max="12339" width="2.42578125" style="201" customWidth="1"/>
    <col min="12340" max="12546" width="9" style="201"/>
    <col min="12547" max="12547" width="22.42578125" style="201" customWidth="1"/>
    <col min="12548" max="12553" width="2.42578125" style="201" customWidth="1"/>
    <col min="12554" max="12554" width="39.7109375" style="201" customWidth="1"/>
    <col min="12555" max="12590" width="13.7109375" style="201" customWidth="1"/>
    <col min="12591" max="12591" width="43.7109375" style="201" customWidth="1"/>
    <col min="12592" max="12595" width="2.42578125" style="201" customWidth="1"/>
    <col min="12596" max="12802" width="9" style="201"/>
    <col min="12803" max="12803" width="22.42578125" style="201" customWidth="1"/>
    <col min="12804" max="12809" width="2.42578125" style="201" customWidth="1"/>
    <col min="12810" max="12810" width="39.7109375" style="201" customWidth="1"/>
    <col min="12811" max="12846" width="13.7109375" style="201" customWidth="1"/>
    <col min="12847" max="12847" width="43.7109375" style="201" customWidth="1"/>
    <col min="12848" max="12851" width="2.42578125" style="201" customWidth="1"/>
    <col min="12852" max="13058" width="9" style="201"/>
    <col min="13059" max="13059" width="22.42578125" style="201" customWidth="1"/>
    <col min="13060" max="13065" width="2.42578125" style="201" customWidth="1"/>
    <col min="13066" max="13066" width="39.7109375" style="201" customWidth="1"/>
    <col min="13067" max="13102" width="13.7109375" style="201" customWidth="1"/>
    <col min="13103" max="13103" width="43.7109375" style="201" customWidth="1"/>
    <col min="13104" max="13107" width="2.42578125" style="201" customWidth="1"/>
    <col min="13108" max="13314" width="9" style="201"/>
    <col min="13315" max="13315" width="22.42578125" style="201" customWidth="1"/>
    <col min="13316" max="13321" width="2.42578125" style="201" customWidth="1"/>
    <col min="13322" max="13322" width="39.7109375" style="201" customWidth="1"/>
    <col min="13323" max="13358" width="13.7109375" style="201" customWidth="1"/>
    <col min="13359" max="13359" width="43.7109375" style="201" customWidth="1"/>
    <col min="13360" max="13363" width="2.42578125" style="201" customWidth="1"/>
    <col min="13364" max="13570" width="9" style="201"/>
    <col min="13571" max="13571" width="22.42578125" style="201" customWidth="1"/>
    <col min="13572" max="13577" width="2.42578125" style="201" customWidth="1"/>
    <col min="13578" max="13578" width="39.7109375" style="201" customWidth="1"/>
    <col min="13579" max="13614" width="13.7109375" style="201" customWidth="1"/>
    <col min="13615" max="13615" width="43.7109375" style="201" customWidth="1"/>
    <col min="13616" max="13619" width="2.42578125" style="201" customWidth="1"/>
    <col min="13620" max="13826" width="9" style="201"/>
    <col min="13827" max="13827" width="22.42578125" style="201" customWidth="1"/>
    <col min="13828" max="13833" width="2.42578125" style="201" customWidth="1"/>
    <col min="13834" max="13834" width="39.7109375" style="201" customWidth="1"/>
    <col min="13835" max="13870" width="13.7109375" style="201" customWidth="1"/>
    <col min="13871" max="13871" width="43.7109375" style="201" customWidth="1"/>
    <col min="13872" max="13875" width="2.42578125" style="201" customWidth="1"/>
    <col min="13876" max="14082" width="9" style="201"/>
    <col min="14083" max="14083" width="22.42578125" style="201" customWidth="1"/>
    <col min="14084" max="14089" width="2.42578125" style="201" customWidth="1"/>
    <col min="14090" max="14090" width="39.7109375" style="201" customWidth="1"/>
    <col min="14091" max="14126" width="13.7109375" style="201" customWidth="1"/>
    <col min="14127" max="14127" width="43.7109375" style="201" customWidth="1"/>
    <col min="14128" max="14131" width="2.42578125" style="201" customWidth="1"/>
    <col min="14132" max="14338" width="9" style="201"/>
    <col min="14339" max="14339" width="22.42578125" style="201" customWidth="1"/>
    <col min="14340" max="14345" width="2.42578125" style="201" customWidth="1"/>
    <col min="14346" max="14346" width="39.7109375" style="201" customWidth="1"/>
    <col min="14347" max="14382" width="13.7109375" style="201" customWidth="1"/>
    <col min="14383" max="14383" width="43.7109375" style="201" customWidth="1"/>
    <col min="14384" max="14387" width="2.42578125" style="201" customWidth="1"/>
    <col min="14388" max="14594" width="9" style="201"/>
    <col min="14595" max="14595" width="22.42578125" style="201" customWidth="1"/>
    <col min="14596" max="14601" width="2.42578125" style="201" customWidth="1"/>
    <col min="14602" max="14602" width="39.7109375" style="201" customWidth="1"/>
    <col min="14603" max="14638" width="13.7109375" style="201" customWidth="1"/>
    <col min="14639" max="14639" width="43.7109375" style="201" customWidth="1"/>
    <col min="14640" max="14643" width="2.42578125" style="201" customWidth="1"/>
    <col min="14644" max="14850" width="9" style="201"/>
    <col min="14851" max="14851" width="22.42578125" style="201" customWidth="1"/>
    <col min="14852" max="14857" width="2.42578125" style="201" customWidth="1"/>
    <col min="14858" max="14858" width="39.7109375" style="201" customWidth="1"/>
    <col min="14859" max="14894" width="13.7109375" style="201" customWidth="1"/>
    <col min="14895" max="14895" width="43.7109375" style="201" customWidth="1"/>
    <col min="14896" max="14899" width="2.42578125" style="201" customWidth="1"/>
    <col min="14900" max="15106" width="9" style="201"/>
    <col min="15107" max="15107" width="22.42578125" style="201" customWidth="1"/>
    <col min="15108" max="15113" width="2.42578125" style="201" customWidth="1"/>
    <col min="15114" max="15114" width="39.7109375" style="201" customWidth="1"/>
    <col min="15115" max="15150" width="13.7109375" style="201" customWidth="1"/>
    <col min="15151" max="15151" width="43.7109375" style="201" customWidth="1"/>
    <col min="15152" max="15155" width="2.42578125" style="201" customWidth="1"/>
    <col min="15156" max="15362" width="9" style="201"/>
    <col min="15363" max="15363" width="22.42578125" style="201" customWidth="1"/>
    <col min="15364" max="15369" width="2.42578125" style="201" customWidth="1"/>
    <col min="15370" max="15370" width="39.7109375" style="201" customWidth="1"/>
    <col min="15371" max="15406" width="13.7109375" style="201" customWidth="1"/>
    <col min="15407" max="15407" width="43.7109375" style="201" customWidth="1"/>
    <col min="15408" max="15411" width="2.42578125" style="201" customWidth="1"/>
    <col min="15412" max="15618" width="9" style="201"/>
    <col min="15619" max="15619" width="22.42578125" style="201" customWidth="1"/>
    <col min="15620" max="15625" width="2.42578125" style="201" customWidth="1"/>
    <col min="15626" max="15626" width="39.7109375" style="201" customWidth="1"/>
    <col min="15627" max="15662" width="13.7109375" style="201" customWidth="1"/>
    <col min="15663" max="15663" width="43.7109375" style="201" customWidth="1"/>
    <col min="15664" max="15667" width="2.42578125" style="201" customWidth="1"/>
    <col min="15668" max="15874" width="9" style="201"/>
    <col min="15875" max="15875" width="22.42578125" style="201" customWidth="1"/>
    <col min="15876" max="15881" width="2.42578125" style="201" customWidth="1"/>
    <col min="15882" max="15882" width="39.7109375" style="201" customWidth="1"/>
    <col min="15883" max="15918" width="13.7109375" style="201" customWidth="1"/>
    <col min="15919" max="15919" width="43.7109375" style="201" customWidth="1"/>
    <col min="15920" max="15923" width="2.42578125" style="201" customWidth="1"/>
    <col min="15924" max="16130" width="9" style="201"/>
    <col min="16131" max="16131" width="22.42578125" style="201" customWidth="1"/>
    <col min="16132" max="16137" width="2.42578125" style="201" customWidth="1"/>
    <col min="16138" max="16138" width="39.7109375" style="201" customWidth="1"/>
    <col min="16139" max="16174" width="13.7109375" style="201" customWidth="1"/>
    <col min="16175" max="16175" width="43.7109375" style="201" customWidth="1"/>
    <col min="16176" max="16179" width="2.42578125" style="201" customWidth="1"/>
    <col min="16180" max="16384" width="9" style="201"/>
  </cols>
  <sheetData>
    <row r="1" spans="3:52" ht="35.1" customHeight="1"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</row>
    <row r="2" spans="3:52" ht="35.1" customHeight="1"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201"/>
    </row>
    <row r="3" spans="3:52" s="202" customFormat="1" ht="35.1" customHeight="1">
      <c r="D3" s="4915" t="s">
        <v>1071</v>
      </c>
      <c r="E3" s="4915"/>
      <c r="F3" s="4915"/>
      <c r="G3" s="4915"/>
      <c r="H3" s="4915"/>
      <c r="I3" s="4915"/>
      <c r="J3" s="4915"/>
      <c r="K3" s="4915"/>
      <c r="L3" s="4915"/>
      <c r="M3" s="4915"/>
      <c r="N3" s="4915"/>
      <c r="O3" s="4915"/>
      <c r="P3" s="4915"/>
      <c r="Q3" s="4915"/>
      <c r="R3" s="4915"/>
      <c r="S3" s="4915"/>
      <c r="T3" s="4915"/>
      <c r="U3" s="4915"/>
      <c r="V3" s="4915"/>
      <c r="W3" s="4915"/>
      <c r="X3" s="4915"/>
      <c r="Y3" s="4915"/>
      <c r="Z3" s="4915"/>
      <c r="AA3" s="4915"/>
      <c r="AB3" s="4915"/>
      <c r="AC3" s="4915"/>
      <c r="AD3" s="4915"/>
      <c r="AE3" s="4915"/>
      <c r="AF3" s="4915"/>
      <c r="AG3" s="4915"/>
      <c r="AH3" s="4915"/>
      <c r="AI3" s="4915"/>
      <c r="AJ3" s="4915"/>
      <c r="AK3" s="4915"/>
      <c r="AL3" s="4915"/>
      <c r="AM3" s="4915"/>
      <c r="AN3" s="4915" t="s">
        <v>1072</v>
      </c>
      <c r="AO3" s="4915"/>
      <c r="AP3" s="4915"/>
      <c r="AQ3" s="4915"/>
      <c r="AR3" s="4915"/>
      <c r="AS3" s="4915"/>
      <c r="AT3" s="4915"/>
      <c r="AU3" s="4915"/>
      <c r="AV3" s="4915"/>
      <c r="AW3" s="4915"/>
      <c r="AX3" s="4915"/>
      <c r="AY3" s="4915"/>
    </row>
    <row r="4" spans="3:52" s="254" customFormat="1" ht="35.1" customHeight="1">
      <c r="D4" s="4916" t="s">
        <v>1073</v>
      </c>
      <c r="E4" s="4916"/>
      <c r="F4" s="4916"/>
      <c r="G4" s="4916"/>
      <c r="H4" s="4916"/>
      <c r="I4" s="4916"/>
      <c r="J4" s="4916"/>
      <c r="K4" s="4916"/>
      <c r="L4" s="4916"/>
      <c r="M4" s="4916"/>
      <c r="N4" s="4916"/>
      <c r="O4" s="4916"/>
      <c r="P4" s="4916"/>
      <c r="Q4" s="4916"/>
      <c r="R4" s="4916"/>
      <c r="S4" s="4916"/>
      <c r="T4" s="4916"/>
      <c r="U4" s="4916"/>
      <c r="V4" s="4916"/>
      <c r="W4" s="4916"/>
      <c r="X4" s="4916"/>
      <c r="Y4" s="4916"/>
      <c r="Z4" s="4916"/>
      <c r="AA4" s="4916"/>
      <c r="AB4" s="4916"/>
      <c r="AC4" s="4916"/>
      <c r="AD4" s="4916"/>
      <c r="AE4" s="4916"/>
      <c r="AF4" s="4916"/>
      <c r="AG4" s="4916"/>
      <c r="AH4" s="4916"/>
      <c r="AI4" s="4916"/>
      <c r="AJ4" s="4916"/>
      <c r="AK4" s="4916"/>
      <c r="AL4" s="4916"/>
      <c r="AM4" s="4916"/>
      <c r="AN4" s="4916" t="s">
        <v>1074</v>
      </c>
      <c r="AO4" s="4916"/>
      <c r="AP4" s="4916"/>
      <c r="AQ4" s="4916"/>
      <c r="AR4" s="4916"/>
      <c r="AS4" s="4916"/>
      <c r="AT4" s="4916"/>
      <c r="AU4" s="4916"/>
      <c r="AV4" s="4916"/>
      <c r="AW4" s="4916"/>
      <c r="AX4" s="4916"/>
      <c r="AY4" s="4916"/>
    </row>
    <row r="5" spans="3:52" s="203" customFormat="1" ht="18" customHeight="1">
      <c r="D5" s="255" t="s">
        <v>545</v>
      </c>
      <c r="E5" s="256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57"/>
      <c r="AV5" s="257"/>
      <c r="AW5" s="257"/>
      <c r="AX5" s="257"/>
      <c r="AY5" s="258" t="s">
        <v>1075</v>
      </c>
    </row>
    <row r="6" spans="3:52" ht="6" customHeight="1">
      <c r="D6" s="259"/>
      <c r="E6" s="259"/>
      <c r="F6" s="259"/>
      <c r="G6" s="259"/>
      <c r="H6" s="259"/>
      <c r="I6" s="259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  <c r="AA6" s="260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1"/>
      <c r="AV6" s="261"/>
      <c r="AW6" s="261"/>
      <c r="AX6" s="261"/>
      <c r="AY6" s="262"/>
    </row>
    <row r="7" spans="3:52" ht="21.2" customHeight="1">
      <c r="D7" s="263"/>
      <c r="E7" s="264"/>
      <c r="F7" s="264"/>
      <c r="G7" s="264"/>
      <c r="H7" s="265"/>
      <c r="I7" s="265"/>
      <c r="J7" s="266"/>
      <c r="K7" s="4912">
        <v>1999</v>
      </c>
      <c r="L7" s="4912">
        <v>1998</v>
      </c>
      <c r="M7" s="4912">
        <v>1997</v>
      </c>
      <c r="N7" s="4912">
        <v>1996</v>
      </c>
      <c r="O7" s="4912">
        <v>1995</v>
      </c>
      <c r="P7" s="4912">
        <v>1994</v>
      </c>
      <c r="Q7" s="4912">
        <v>1993</v>
      </c>
      <c r="R7" s="4912">
        <v>1992</v>
      </c>
      <c r="S7" s="4912">
        <v>1991</v>
      </c>
      <c r="T7" s="4912">
        <v>1990</v>
      </c>
      <c r="U7" s="4912">
        <v>1989</v>
      </c>
      <c r="V7" s="4912">
        <v>1988</v>
      </c>
      <c r="W7" s="4912">
        <v>1987</v>
      </c>
      <c r="X7" s="4912">
        <v>1986</v>
      </c>
      <c r="Y7" s="4912">
        <v>1985</v>
      </c>
      <c r="Z7" s="4912">
        <v>1984</v>
      </c>
      <c r="AA7" s="4912">
        <v>1983</v>
      </c>
      <c r="AB7" s="4912">
        <v>1982</v>
      </c>
      <c r="AC7" s="4912">
        <v>1981</v>
      </c>
      <c r="AD7" s="4912">
        <v>1980</v>
      </c>
      <c r="AE7" s="4912">
        <v>1979</v>
      </c>
      <c r="AF7" s="4912">
        <v>1978</v>
      </c>
      <c r="AG7" s="4912">
        <v>1977</v>
      </c>
      <c r="AH7" s="4912">
        <v>1976</v>
      </c>
      <c r="AI7" s="4912">
        <v>1975</v>
      </c>
      <c r="AJ7" s="4912">
        <v>1974</v>
      </c>
      <c r="AK7" s="4912">
        <v>1973</v>
      </c>
      <c r="AL7" s="4912">
        <v>1972</v>
      </c>
      <c r="AM7" s="4917">
        <v>1971</v>
      </c>
      <c r="AN7" s="4920">
        <v>1970</v>
      </c>
      <c r="AO7" s="4912">
        <v>1969</v>
      </c>
      <c r="AP7" s="4912">
        <v>1968</v>
      </c>
      <c r="AQ7" s="4912">
        <v>1967</v>
      </c>
      <c r="AR7" s="4912">
        <v>1966</v>
      </c>
      <c r="AS7" s="4912">
        <v>1965</v>
      </c>
      <c r="AT7" s="4912">
        <v>1964</v>
      </c>
      <c r="AU7" s="267"/>
      <c r="AV7" s="265"/>
      <c r="AW7" s="265"/>
      <c r="AX7" s="265"/>
      <c r="AY7" s="268"/>
    </row>
    <row r="8" spans="3:52" ht="21.2" customHeight="1">
      <c r="D8" s="269"/>
      <c r="E8" s="270"/>
      <c r="F8" s="270"/>
      <c r="G8" s="270"/>
      <c r="H8" s="271"/>
      <c r="I8" s="271"/>
      <c r="J8" s="272"/>
      <c r="K8" s="4913"/>
      <c r="L8" s="4913"/>
      <c r="M8" s="4913"/>
      <c r="N8" s="4913"/>
      <c r="O8" s="4913"/>
      <c r="P8" s="4913"/>
      <c r="Q8" s="4913"/>
      <c r="R8" s="4913"/>
      <c r="S8" s="4913"/>
      <c r="T8" s="4913"/>
      <c r="U8" s="4913"/>
      <c r="V8" s="4913"/>
      <c r="W8" s="4913"/>
      <c r="X8" s="4913"/>
      <c r="Y8" s="4913"/>
      <c r="Z8" s="4913"/>
      <c r="AA8" s="4913"/>
      <c r="AB8" s="4913"/>
      <c r="AC8" s="4913"/>
      <c r="AD8" s="4913"/>
      <c r="AE8" s="4913"/>
      <c r="AF8" s="4913"/>
      <c r="AG8" s="4913"/>
      <c r="AH8" s="4913"/>
      <c r="AI8" s="4913"/>
      <c r="AJ8" s="4913"/>
      <c r="AK8" s="4913"/>
      <c r="AL8" s="4913"/>
      <c r="AM8" s="4918"/>
      <c r="AN8" s="4921"/>
      <c r="AO8" s="4913"/>
      <c r="AP8" s="4913"/>
      <c r="AQ8" s="4913"/>
      <c r="AR8" s="4913"/>
      <c r="AS8" s="4913"/>
      <c r="AT8" s="4913"/>
      <c r="AU8" s="273"/>
      <c r="AV8" s="271"/>
      <c r="AW8" s="271"/>
      <c r="AX8" s="271"/>
      <c r="AY8" s="274"/>
    </row>
    <row r="9" spans="3:52" ht="21.2" customHeight="1">
      <c r="D9" s="269"/>
      <c r="E9" s="270"/>
      <c r="F9" s="270"/>
      <c r="G9" s="270"/>
      <c r="H9" s="271"/>
      <c r="I9" s="271"/>
      <c r="J9" s="272"/>
      <c r="K9" s="4913"/>
      <c r="L9" s="4913"/>
      <c r="M9" s="4913"/>
      <c r="N9" s="4913"/>
      <c r="O9" s="4913"/>
      <c r="P9" s="4913"/>
      <c r="Q9" s="4913"/>
      <c r="R9" s="4913"/>
      <c r="S9" s="4913"/>
      <c r="T9" s="4913"/>
      <c r="U9" s="4913"/>
      <c r="V9" s="4913"/>
      <c r="W9" s="4913"/>
      <c r="X9" s="4913"/>
      <c r="Y9" s="4913"/>
      <c r="Z9" s="4913"/>
      <c r="AA9" s="4913"/>
      <c r="AB9" s="4913"/>
      <c r="AC9" s="4913"/>
      <c r="AD9" s="4913"/>
      <c r="AE9" s="4913"/>
      <c r="AF9" s="4913"/>
      <c r="AG9" s="4913"/>
      <c r="AH9" s="4913"/>
      <c r="AI9" s="4913"/>
      <c r="AJ9" s="4913"/>
      <c r="AK9" s="4913"/>
      <c r="AL9" s="4913"/>
      <c r="AM9" s="4918"/>
      <c r="AN9" s="4921"/>
      <c r="AO9" s="4913"/>
      <c r="AP9" s="4913"/>
      <c r="AQ9" s="4913"/>
      <c r="AR9" s="4913"/>
      <c r="AS9" s="4913"/>
      <c r="AT9" s="4913"/>
      <c r="AU9" s="273"/>
      <c r="AV9" s="271"/>
      <c r="AW9" s="271"/>
      <c r="AX9" s="271"/>
      <c r="AY9" s="274"/>
    </row>
    <row r="10" spans="3:52" ht="21.2" customHeight="1">
      <c r="D10" s="269"/>
      <c r="E10" s="270"/>
      <c r="F10" s="270"/>
      <c r="G10" s="270"/>
      <c r="H10" s="271"/>
      <c r="I10" s="271"/>
      <c r="J10" s="272"/>
      <c r="K10" s="4913"/>
      <c r="L10" s="4913"/>
      <c r="M10" s="4913"/>
      <c r="N10" s="4913"/>
      <c r="O10" s="4913"/>
      <c r="P10" s="4913"/>
      <c r="Q10" s="4913"/>
      <c r="R10" s="4913"/>
      <c r="S10" s="4913"/>
      <c r="T10" s="4913"/>
      <c r="U10" s="4913"/>
      <c r="V10" s="4913"/>
      <c r="W10" s="4913"/>
      <c r="X10" s="4913"/>
      <c r="Y10" s="4913"/>
      <c r="Z10" s="4913"/>
      <c r="AA10" s="4913"/>
      <c r="AB10" s="4913"/>
      <c r="AC10" s="4913"/>
      <c r="AD10" s="4913"/>
      <c r="AE10" s="4913"/>
      <c r="AF10" s="4913"/>
      <c r="AG10" s="4913"/>
      <c r="AH10" s="4913"/>
      <c r="AI10" s="4913"/>
      <c r="AJ10" s="4913"/>
      <c r="AK10" s="4913"/>
      <c r="AL10" s="4913"/>
      <c r="AM10" s="4918"/>
      <c r="AN10" s="4921"/>
      <c r="AO10" s="4913"/>
      <c r="AP10" s="4913"/>
      <c r="AQ10" s="4913"/>
      <c r="AR10" s="4913"/>
      <c r="AS10" s="4913"/>
      <c r="AT10" s="4913"/>
      <c r="AU10" s="273"/>
      <c r="AV10" s="271"/>
      <c r="AW10" s="271"/>
      <c r="AX10" s="271"/>
      <c r="AY10" s="274"/>
    </row>
    <row r="11" spans="3:52" s="254" customFormat="1" ht="21.2" customHeight="1">
      <c r="C11" s="275"/>
      <c r="D11" s="276"/>
      <c r="E11" s="277"/>
      <c r="F11" s="277"/>
      <c r="G11" s="277"/>
      <c r="H11" s="278"/>
      <c r="I11" s="278"/>
      <c r="J11" s="279"/>
      <c r="K11" s="4914"/>
      <c r="L11" s="4914"/>
      <c r="M11" s="4914"/>
      <c r="N11" s="4914"/>
      <c r="O11" s="4914"/>
      <c r="P11" s="4914"/>
      <c r="Q11" s="4914"/>
      <c r="R11" s="4914"/>
      <c r="S11" s="4914"/>
      <c r="T11" s="4914"/>
      <c r="U11" s="4914"/>
      <c r="V11" s="4914"/>
      <c r="W11" s="4914"/>
      <c r="X11" s="4914"/>
      <c r="Y11" s="4914"/>
      <c r="Z11" s="4914"/>
      <c r="AA11" s="4914"/>
      <c r="AB11" s="4914"/>
      <c r="AC11" s="4914"/>
      <c r="AD11" s="4914"/>
      <c r="AE11" s="4914"/>
      <c r="AF11" s="4914"/>
      <c r="AG11" s="4914"/>
      <c r="AH11" s="4914"/>
      <c r="AI11" s="4914"/>
      <c r="AJ11" s="4914"/>
      <c r="AK11" s="4914"/>
      <c r="AL11" s="4914"/>
      <c r="AM11" s="4919"/>
      <c r="AN11" s="4922"/>
      <c r="AO11" s="4914"/>
      <c r="AP11" s="4914"/>
      <c r="AQ11" s="4914"/>
      <c r="AR11" s="4914"/>
      <c r="AS11" s="4914"/>
      <c r="AT11" s="4914"/>
      <c r="AU11" s="280"/>
      <c r="AV11" s="281"/>
      <c r="AW11" s="281"/>
      <c r="AX11" s="281"/>
      <c r="AY11" s="282"/>
      <c r="AZ11" s="275"/>
    </row>
    <row r="12" spans="3:52" s="207" customFormat="1" ht="30" customHeight="1">
      <c r="C12" s="206"/>
      <c r="D12" s="283"/>
      <c r="E12" s="284" t="s">
        <v>1076</v>
      </c>
      <c r="F12" s="285"/>
      <c r="G12" s="284"/>
      <c r="H12" s="284"/>
      <c r="I12" s="284"/>
      <c r="J12" s="286"/>
      <c r="K12" s="287">
        <v>287.10000000000002</v>
      </c>
      <c r="L12" s="288">
        <v>15.5</v>
      </c>
      <c r="M12" s="288">
        <v>20.79999999999977</v>
      </c>
      <c r="N12" s="288">
        <v>-157.4</v>
      </c>
      <c r="O12" s="289">
        <v>-179.8</v>
      </c>
      <c r="P12" s="289">
        <v>-279.2</v>
      </c>
      <c r="Q12" s="289">
        <v>-446.4</v>
      </c>
      <c r="R12" s="290">
        <v>-587.70000000000005</v>
      </c>
      <c r="S12" s="288">
        <v>-288.10000000000002</v>
      </c>
      <c r="T12" s="288">
        <v>-272.8</v>
      </c>
      <c r="U12" s="288">
        <v>104.92</v>
      </c>
      <c r="V12" s="288">
        <v>-105.46</v>
      </c>
      <c r="W12" s="288">
        <v>-118.33</v>
      </c>
      <c r="X12" s="288">
        <v>-16</v>
      </c>
      <c r="Y12" s="288">
        <v>-99.9</v>
      </c>
      <c r="Z12" s="288">
        <v>-104.1</v>
      </c>
      <c r="AA12" s="288">
        <v>-141.4</v>
      </c>
      <c r="AB12" s="288">
        <v>-118.3</v>
      </c>
      <c r="AC12" s="288">
        <v>-13.7</v>
      </c>
      <c r="AD12" s="288">
        <v>111.6</v>
      </c>
      <c r="AE12" s="288">
        <v>-2.1000000000000227</v>
      </c>
      <c r="AF12" s="288">
        <v>-85.8</v>
      </c>
      <c r="AG12" s="288">
        <v>-2.5000000000000284</v>
      </c>
      <c r="AH12" s="288">
        <v>17.3</v>
      </c>
      <c r="AI12" s="288">
        <v>21.5</v>
      </c>
      <c r="AJ12" s="288">
        <v>2.9000000000000057</v>
      </c>
      <c r="AK12" s="288">
        <v>3.7999999999999829</v>
      </c>
      <c r="AL12" s="288">
        <v>1.289999999999992</v>
      </c>
      <c r="AM12" s="288">
        <v>-21.3</v>
      </c>
      <c r="AN12" s="288">
        <v>-5.9</v>
      </c>
      <c r="AO12" s="288">
        <v>-16.3</v>
      </c>
      <c r="AP12" s="288">
        <v>10.1</v>
      </c>
      <c r="AQ12" s="288">
        <v>26.2</v>
      </c>
      <c r="AR12" s="288">
        <v>-1.4000000000000099</v>
      </c>
      <c r="AS12" s="288">
        <v>2.6000000000000085</v>
      </c>
      <c r="AT12" s="291">
        <v>4.1000000000000085</v>
      </c>
      <c r="AU12" s="292"/>
      <c r="AV12" s="292"/>
      <c r="AW12" s="292"/>
      <c r="AX12" s="292" t="s">
        <v>1077</v>
      </c>
      <c r="AY12" s="293"/>
    </row>
    <row r="13" spans="3:52" s="207" customFormat="1" ht="30" customHeight="1">
      <c r="C13" s="206"/>
      <c r="D13" s="294"/>
      <c r="E13" s="295"/>
      <c r="F13" s="295" t="s">
        <v>1078</v>
      </c>
      <c r="G13" s="295"/>
      <c r="H13" s="295"/>
      <c r="I13" s="295"/>
      <c r="J13" s="295"/>
      <c r="K13" s="296">
        <v>-106.9</v>
      </c>
      <c r="L13" s="297">
        <v>-243.9</v>
      </c>
      <c r="M13" s="297">
        <v>-260.2</v>
      </c>
      <c r="N13" s="297">
        <v>-432.1</v>
      </c>
      <c r="O13" s="298">
        <v>-395.1</v>
      </c>
      <c r="P13" s="298">
        <v>-506.8</v>
      </c>
      <c r="Q13" s="298">
        <v>-706.5</v>
      </c>
      <c r="R13" s="299">
        <v>-847.7</v>
      </c>
      <c r="S13" s="297">
        <v>-625.20000000000005</v>
      </c>
      <c r="T13" s="297">
        <v>-682.2</v>
      </c>
      <c r="U13" s="297">
        <v>-266.18</v>
      </c>
      <c r="V13" s="297">
        <v>-337.75</v>
      </c>
      <c r="W13" s="297">
        <v>-317.62</v>
      </c>
      <c r="X13" s="297">
        <v>-254</v>
      </c>
      <c r="Y13" s="297">
        <v>-414.9</v>
      </c>
      <c r="Z13" s="297">
        <v>-382.9</v>
      </c>
      <c r="AA13" s="297">
        <v>-436.3</v>
      </c>
      <c r="AB13" s="297">
        <v>-491.6</v>
      </c>
      <c r="AC13" s="297">
        <v>-444.5</v>
      </c>
      <c r="AD13" s="297">
        <v>-287.10000000000002</v>
      </c>
      <c r="AE13" s="297">
        <v>-316.5</v>
      </c>
      <c r="AF13" s="297">
        <v>-192.3</v>
      </c>
      <c r="AG13" s="297">
        <v>-168.3</v>
      </c>
      <c r="AH13" s="297">
        <v>-109.2</v>
      </c>
      <c r="AI13" s="297">
        <v>-118.3</v>
      </c>
      <c r="AJ13" s="297">
        <v>-83.8</v>
      </c>
      <c r="AK13" s="297">
        <v>-60.8</v>
      </c>
      <c r="AL13" s="297">
        <v>-67</v>
      </c>
      <c r="AM13" s="297">
        <v>-57.9</v>
      </c>
      <c r="AN13" s="297">
        <v>-46.6</v>
      </c>
      <c r="AO13" s="297">
        <v>-63.6</v>
      </c>
      <c r="AP13" s="297">
        <v>-44.4</v>
      </c>
      <c r="AQ13" s="297">
        <v>-27.7</v>
      </c>
      <c r="AR13" s="297">
        <v>-35.5</v>
      </c>
      <c r="AS13" s="297">
        <v>-26.8</v>
      </c>
      <c r="AT13" s="299">
        <v>-24.5</v>
      </c>
      <c r="AU13" s="300"/>
      <c r="AV13" s="300"/>
      <c r="AW13" s="300"/>
      <c r="AX13" s="300" t="s">
        <v>1079</v>
      </c>
      <c r="AY13" s="301"/>
      <c r="AZ13" s="206"/>
    </row>
    <row r="14" spans="3:52" s="207" customFormat="1" ht="30" customHeight="1">
      <c r="C14" s="206"/>
      <c r="D14" s="283"/>
      <c r="E14" s="286"/>
      <c r="F14" s="286"/>
      <c r="G14" s="286" t="s">
        <v>1080</v>
      </c>
      <c r="H14" s="286"/>
      <c r="I14" s="286"/>
      <c r="J14" s="286"/>
      <c r="K14" s="302">
        <v>-1323.7</v>
      </c>
      <c r="L14" s="289">
        <v>-1434.5</v>
      </c>
      <c r="M14" s="289">
        <v>-1605.1</v>
      </c>
      <c r="N14" s="289">
        <v>-1753.4</v>
      </c>
      <c r="O14" s="303">
        <v>-1347.1</v>
      </c>
      <c r="P14" s="303">
        <v>-1362.4</v>
      </c>
      <c r="Q14" s="303">
        <v>-1585.2</v>
      </c>
      <c r="R14" s="304">
        <v>-1461.7</v>
      </c>
      <c r="S14" s="289">
        <v>-994.1</v>
      </c>
      <c r="T14" s="289">
        <v>-1008.6</v>
      </c>
      <c r="U14" s="289">
        <v>-585.28</v>
      </c>
      <c r="V14" s="289">
        <v>-638.49</v>
      </c>
      <c r="W14" s="289">
        <v>-596.9</v>
      </c>
      <c r="X14" s="289">
        <v>-591.79999999999995</v>
      </c>
      <c r="Y14" s="289">
        <v>-761.6</v>
      </c>
      <c r="Z14" s="289">
        <v>-778.5</v>
      </c>
      <c r="AA14" s="289">
        <v>-891.4</v>
      </c>
      <c r="AB14" s="289">
        <v>-876.6</v>
      </c>
      <c r="AC14" s="289">
        <v>-803.8</v>
      </c>
      <c r="AD14" s="289">
        <v>-543.29999999999995</v>
      </c>
      <c r="AE14" s="289">
        <v>-467.4</v>
      </c>
      <c r="AF14" s="289">
        <v>-368</v>
      </c>
      <c r="AG14" s="289">
        <v>-371.1</v>
      </c>
      <c r="AH14" s="289">
        <v>-270</v>
      </c>
      <c r="AI14" s="289">
        <v>-184.1</v>
      </c>
      <c r="AJ14" s="289">
        <v>-105.9</v>
      </c>
      <c r="AK14" s="289">
        <v>-83.7</v>
      </c>
      <c r="AL14" s="289">
        <v>-77.900000000000006</v>
      </c>
      <c r="AM14" s="289">
        <v>-64.8</v>
      </c>
      <c r="AN14" s="289">
        <v>-53.4</v>
      </c>
      <c r="AO14" s="289">
        <v>-52.8</v>
      </c>
      <c r="AP14" s="289">
        <v>-43</v>
      </c>
      <c r="AQ14" s="289">
        <v>-42.9</v>
      </c>
      <c r="AR14" s="289">
        <v>-56.8</v>
      </c>
      <c r="AS14" s="289">
        <v>-45.9</v>
      </c>
      <c r="AT14" s="304">
        <v>-40.700000000000003</v>
      </c>
      <c r="AU14" s="305"/>
      <c r="AV14" s="305"/>
      <c r="AW14" s="305" t="s">
        <v>1081</v>
      </c>
      <c r="AX14" s="306"/>
      <c r="AY14" s="307"/>
      <c r="AZ14" s="206"/>
    </row>
    <row r="15" spans="3:52" ht="30" customHeight="1">
      <c r="C15" s="208"/>
      <c r="D15" s="308"/>
      <c r="E15" s="309"/>
      <c r="F15" s="309" t="s">
        <v>1082</v>
      </c>
      <c r="G15" s="309"/>
      <c r="H15" s="310" t="s">
        <v>1083</v>
      </c>
      <c r="I15" s="310"/>
      <c r="J15" s="309"/>
      <c r="K15" s="311">
        <v>1298.8</v>
      </c>
      <c r="L15" s="312">
        <v>1277.9000000000001</v>
      </c>
      <c r="M15" s="312">
        <v>1301.4000000000001</v>
      </c>
      <c r="N15" s="312">
        <v>1288.2</v>
      </c>
      <c r="O15" s="313">
        <v>1241.0999999999999</v>
      </c>
      <c r="P15" s="313">
        <v>995.2</v>
      </c>
      <c r="Q15" s="313">
        <v>864.7</v>
      </c>
      <c r="R15" s="314">
        <v>829.3</v>
      </c>
      <c r="S15" s="312">
        <v>770.7</v>
      </c>
      <c r="T15" s="312">
        <v>706.1</v>
      </c>
      <c r="U15" s="312">
        <v>637.62</v>
      </c>
      <c r="V15" s="312">
        <v>381.5</v>
      </c>
      <c r="W15" s="312">
        <v>315.7</v>
      </c>
      <c r="X15" s="312">
        <v>256</v>
      </c>
      <c r="Y15" s="312">
        <v>310.89999999999998</v>
      </c>
      <c r="Z15" s="312">
        <v>290.7</v>
      </c>
      <c r="AA15" s="312">
        <v>210.6</v>
      </c>
      <c r="AB15" s="312">
        <v>264.5</v>
      </c>
      <c r="AC15" s="312">
        <v>242.6</v>
      </c>
      <c r="AD15" s="312">
        <v>171.5</v>
      </c>
      <c r="AE15" s="312">
        <v>120.92</v>
      </c>
      <c r="AF15" s="312">
        <v>90.9</v>
      </c>
      <c r="AG15" s="312">
        <v>82.06</v>
      </c>
      <c r="AH15" s="312">
        <v>68.7</v>
      </c>
      <c r="AI15" s="312">
        <v>48.9</v>
      </c>
      <c r="AJ15" s="312">
        <v>49.75</v>
      </c>
      <c r="AK15" s="312">
        <v>19.88</v>
      </c>
      <c r="AL15" s="312">
        <v>17.010000000000002</v>
      </c>
      <c r="AM15" s="312">
        <v>11.4</v>
      </c>
      <c r="AN15" s="312">
        <v>12.1</v>
      </c>
      <c r="AO15" s="312">
        <v>14.75</v>
      </c>
      <c r="AP15" s="312">
        <v>14.3</v>
      </c>
      <c r="AQ15" s="312">
        <v>11.3</v>
      </c>
      <c r="AR15" s="312">
        <v>10.4</v>
      </c>
      <c r="AS15" s="312">
        <v>9.9</v>
      </c>
      <c r="AT15" s="314">
        <v>8.6999999999999993</v>
      </c>
      <c r="AU15" s="315"/>
      <c r="AV15" s="315" t="s">
        <v>1084</v>
      </c>
      <c r="AW15" s="316"/>
      <c r="AX15" s="315"/>
      <c r="AY15" s="317"/>
      <c r="AZ15" s="208"/>
    </row>
    <row r="16" spans="3:52" ht="30" customHeight="1">
      <c r="C16" s="208"/>
      <c r="D16" s="318"/>
      <c r="E16" s="319"/>
      <c r="F16" s="319" t="s">
        <v>1082</v>
      </c>
      <c r="G16" s="319"/>
      <c r="H16" s="319" t="s">
        <v>1085</v>
      </c>
      <c r="I16" s="319"/>
      <c r="J16" s="320"/>
      <c r="K16" s="321">
        <v>2622.5</v>
      </c>
      <c r="L16" s="322">
        <v>2712.4</v>
      </c>
      <c r="M16" s="322">
        <v>2906.5</v>
      </c>
      <c r="N16" s="322">
        <v>3041.6</v>
      </c>
      <c r="O16" s="322">
        <v>2588.1999999999998</v>
      </c>
      <c r="P16" s="322">
        <v>2357.6</v>
      </c>
      <c r="Q16" s="322">
        <v>2449.9</v>
      </c>
      <c r="R16" s="323">
        <v>2291</v>
      </c>
      <c r="S16" s="322">
        <v>1750.2</v>
      </c>
      <c r="T16" s="322">
        <v>1714.7</v>
      </c>
      <c r="U16" s="322">
        <v>1222.9000000000001</v>
      </c>
      <c r="V16" s="322">
        <v>1019.99</v>
      </c>
      <c r="W16" s="322">
        <v>912.6</v>
      </c>
      <c r="X16" s="322">
        <v>847.8</v>
      </c>
      <c r="Y16" s="322">
        <v>1072.5</v>
      </c>
      <c r="Z16" s="322">
        <v>1069.2</v>
      </c>
      <c r="AA16" s="322">
        <v>1102</v>
      </c>
      <c r="AB16" s="322">
        <v>1141.0999999999999</v>
      </c>
      <c r="AC16" s="322">
        <v>1046.4000000000001</v>
      </c>
      <c r="AD16" s="322">
        <v>714.8</v>
      </c>
      <c r="AE16" s="322">
        <v>588.29999999999995</v>
      </c>
      <c r="AF16" s="322">
        <v>458.9</v>
      </c>
      <c r="AG16" s="322">
        <v>453.1</v>
      </c>
      <c r="AH16" s="322">
        <v>338.7</v>
      </c>
      <c r="AI16" s="322">
        <v>233</v>
      </c>
      <c r="AJ16" s="322">
        <v>155.68</v>
      </c>
      <c r="AK16" s="322">
        <v>107.82</v>
      </c>
      <c r="AL16" s="322">
        <v>94.88</v>
      </c>
      <c r="AM16" s="322">
        <v>76.2</v>
      </c>
      <c r="AN16" s="324">
        <v>65.5</v>
      </c>
      <c r="AO16" s="324">
        <v>67.599999999999994</v>
      </c>
      <c r="AP16" s="324">
        <v>57.3</v>
      </c>
      <c r="AQ16" s="324">
        <v>54.2</v>
      </c>
      <c r="AR16" s="324">
        <v>67.2</v>
      </c>
      <c r="AS16" s="324">
        <v>55.8</v>
      </c>
      <c r="AT16" s="325">
        <v>49.4</v>
      </c>
      <c r="AU16" s="326"/>
      <c r="AV16" s="326" t="s">
        <v>1086</v>
      </c>
      <c r="AW16" s="327"/>
      <c r="AX16" s="326"/>
      <c r="AY16" s="328"/>
      <c r="AZ16" s="208"/>
    </row>
    <row r="17" spans="3:52" s="207" customFormat="1" ht="30" customHeight="1">
      <c r="C17" s="206"/>
      <c r="D17" s="294"/>
      <c r="E17" s="295"/>
      <c r="F17" s="295" t="s">
        <v>1082</v>
      </c>
      <c r="G17" s="295" t="s">
        <v>1087</v>
      </c>
      <c r="H17" s="295"/>
      <c r="I17" s="295"/>
      <c r="J17" s="295"/>
      <c r="K17" s="296">
        <v>1216.8</v>
      </c>
      <c r="L17" s="297">
        <v>1190.5999999999999</v>
      </c>
      <c r="M17" s="297">
        <v>1344.9</v>
      </c>
      <c r="N17" s="297">
        <v>1321.3</v>
      </c>
      <c r="O17" s="298">
        <v>952</v>
      </c>
      <c r="P17" s="298">
        <v>855.6</v>
      </c>
      <c r="Q17" s="298">
        <v>878.7</v>
      </c>
      <c r="R17" s="299">
        <v>614</v>
      </c>
      <c r="S17" s="297">
        <v>368.9</v>
      </c>
      <c r="T17" s="297">
        <v>326.39999999999998</v>
      </c>
      <c r="U17" s="297">
        <v>319.10000000000002</v>
      </c>
      <c r="V17" s="297">
        <v>300.74</v>
      </c>
      <c r="W17" s="297">
        <v>279.27999999999997</v>
      </c>
      <c r="X17" s="297">
        <v>337.8</v>
      </c>
      <c r="Y17" s="297">
        <v>346.7</v>
      </c>
      <c r="Z17" s="297">
        <v>395.6</v>
      </c>
      <c r="AA17" s="297">
        <v>455.1</v>
      </c>
      <c r="AB17" s="297">
        <v>385</v>
      </c>
      <c r="AC17" s="297">
        <v>359.3</v>
      </c>
      <c r="AD17" s="297">
        <v>256.2</v>
      </c>
      <c r="AE17" s="297">
        <v>150.9</v>
      </c>
      <c r="AF17" s="297">
        <v>175.7</v>
      </c>
      <c r="AG17" s="297">
        <v>202.8</v>
      </c>
      <c r="AH17" s="297">
        <v>160.80000000000001</v>
      </c>
      <c r="AI17" s="297">
        <v>65.8</v>
      </c>
      <c r="AJ17" s="297">
        <v>22.1</v>
      </c>
      <c r="AK17" s="297">
        <v>22.9</v>
      </c>
      <c r="AL17" s="297">
        <v>10.9</v>
      </c>
      <c r="AM17" s="297">
        <v>6.9</v>
      </c>
      <c r="AN17" s="297">
        <v>6.8</v>
      </c>
      <c r="AO17" s="297">
        <v>-10.8</v>
      </c>
      <c r="AP17" s="297">
        <v>-1.4</v>
      </c>
      <c r="AQ17" s="297">
        <v>15.2</v>
      </c>
      <c r="AR17" s="297">
        <v>21.3</v>
      </c>
      <c r="AS17" s="297">
        <v>19.100000000000001</v>
      </c>
      <c r="AT17" s="299">
        <v>16.2</v>
      </c>
      <c r="AU17" s="300"/>
      <c r="AV17" s="300"/>
      <c r="AW17" s="300" t="s">
        <v>1088</v>
      </c>
      <c r="AX17" s="329"/>
      <c r="AY17" s="330"/>
      <c r="AZ17" s="206"/>
    </row>
    <row r="18" spans="3:52" ht="30" customHeight="1">
      <c r="C18" s="208"/>
      <c r="D18" s="318"/>
      <c r="E18" s="319"/>
      <c r="F18" s="319" t="s">
        <v>1082</v>
      </c>
      <c r="G18" s="319"/>
      <c r="H18" s="319" t="s">
        <v>1089</v>
      </c>
      <c r="I18" s="319"/>
      <c r="J18" s="320"/>
      <c r="K18" s="321">
        <v>1035.2</v>
      </c>
      <c r="L18" s="322">
        <v>947</v>
      </c>
      <c r="M18" s="322">
        <v>1031.7</v>
      </c>
      <c r="N18" s="322">
        <v>1024</v>
      </c>
      <c r="O18" s="322">
        <v>796.7</v>
      </c>
      <c r="P18" s="322">
        <v>698.7</v>
      </c>
      <c r="Q18" s="322">
        <v>666.6</v>
      </c>
      <c r="R18" s="323">
        <v>514.6</v>
      </c>
      <c r="S18" s="322">
        <v>264.7</v>
      </c>
      <c r="T18" s="322">
        <v>285</v>
      </c>
      <c r="U18" s="322">
        <v>306.3</v>
      </c>
      <c r="V18" s="322">
        <v>278.5</v>
      </c>
      <c r="W18" s="322">
        <v>255.3</v>
      </c>
      <c r="X18" s="322">
        <v>328</v>
      </c>
      <c r="Y18" s="322">
        <v>309.89999999999998</v>
      </c>
      <c r="Z18" s="322">
        <v>377.5</v>
      </c>
      <c r="AA18" s="322">
        <v>330.1</v>
      </c>
      <c r="AB18" s="322">
        <v>319.5</v>
      </c>
      <c r="AC18" s="322">
        <v>288.89999999999998</v>
      </c>
      <c r="AD18" s="322">
        <v>190.7</v>
      </c>
      <c r="AE18" s="322">
        <v>156.4</v>
      </c>
      <c r="AF18" s="322">
        <v>139.4</v>
      </c>
      <c r="AG18" s="322">
        <v>139.80000000000001</v>
      </c>
      <c r="AH18" s="322">
        <v>129.6</v>
      </c>
      <c r="AI18" s="322">
        <v>53.3</v>
      </c>
      <c r="AJ18" s="322">
        <v>24.1</v>
      </c>
      <c r="AK18" s="322">
        <v>14.7</v>
      </c>
      <c r="AL18" s="322">
        <v>7.4</v>
      </c>
      <c r="AM18" s="322">
        <v>5</v>
      </c>
      <c r="AN18" s="324">
        <v>5.5</v>
      </c>
      <c r="AO18" s="324">
        <v>6.9</v>
      </c>
      <c r="AP18" s="324">
        <v>4.0999999999999996</v>
      </c>
      <c r="AQ18" s="324">
        <v>6.6</v>
      </c>
      <c r="AR18" s="324">
        <v>10.6</v>
      </c>
      <c r="AS18" s="324">
        <v>9.1</v>
      </c>
      <c r="AT18" s="325">
        <v>9.3000000000000007</v>
      </c>
      <c r="AU18" s="326"/>
      <c r="AV18" s="326" t="s">
        <v>1090</v>
      </c>
      <c r="AW18" s="327"/>
      <c r="AX18" s="326"/>
      <c r="AY18" s="328"/>
      <c r="AZ18" s="208"/>
    </row>
    <row r="19" spans="3:52" ht="30" customHeight="1">
      <c r="C19" s="208"/>
      <c r="D19" s="308"/>
      <c r="E19" s="309"/>
      <c r="F19" s="309" t="s">
        <v>1082</v>
      </c>
      <c r="G19" s="309"/>
      <c r="H19" s="309"/>
      <c r="I19" s="309" t="s">
        <v>1091</v>
      </c>
      <c r="J19" s="310"/>
      <c r="K19" s="311">
        <v>1179.8</v>
      </c>
      <c r="L19" s="312">
        <v>1093.8</v>
      </c>
      <c r="M19" s="312">
        <v>1173.5</v>
      </c>
      <c r="N19" s="312">
        <v>1094.8</v>
      </c>
      <c r="O19" s="312">
        <v>871.7</v>
      </c>
      <c r="P19" s="312">
        <v>763.7</v>
      </c>
      <c r="Q19" s="312">
        <v>720.7</v>
      </c>
      <c r="R19" s="314">
        <v>573.1</v>
      </c>
      <c r="S19" s="312">
        <v>306.3</v>
      </c>
      <c r="T19" s="312">
        <v>331.8</v>
      </c>
      <c r="U19" s="312">
        <v>358.3</v>
      </c>
      <c r="V19" s="312">
        <v>335.7</v>
      </c>
      <c r="W19" s="312">
        <v>317.7</v>
      </c>
      <c r="X19" s="312">
        <v>414.5</v>
      </c>
      <c r="Y19" s="312">
        <v>402.9</v>
      </c>
      <c r="Z19" s="312">
        <v>475</v>
      </c>
      <c r="AA19" s="312">
        <v>402.9</v>
      </c>
      <c r="AB19" s="312">
        <v>381.9</v>
      </c>
      <c r="AC19" s="312">
        <v>340.9</v>
      </c>
      <c r="AD19" s="312">
        <v>236.7</v>
      </c>
      <c r="AE19" s="312">
        <v>180.4</v>
      </c>
      <c r="AF19" s="312">
        <v>159.4</v>
      </c>
      <c r="AG19" s="312">
        <v>154.80000000000001</v>
      </c>
      <c r="AH19" s="312">
        <v>136.41</v>
      </c>
      <c r="AI19" s="312">
        <v>53.3</v>
      </c>
      <c r="AJ19" s="312">
        <v>24.1</v>
      </c>
      <c r="AK19" s="312">
        <v>14.7</v>
      </c>
      <c r="AL19" s="312">
        <v>7.4</v>
      </c>
      <c r="AM19" s="312">
        <v>5</v>
      </c>
      <c r="AN19" s="312">
        <v>5.5</v>
      </c>
      <c r="AO19" s="312">
        <v>6.9</v>
      </c>
      <c r="AP19" s="312">
        <v>4.0999999999999996</v>
      </c>
      <c r="AQ19" s="312">
        <v>6.6</v>
      </c>
      <c r="AR19" s="312">
        <v>10.6</v>
      </c>
      <c r="AS19" s="312">
        <v>9.1</v>
      </c>
      <c r="AT19" s="314">
        <v>9.3000000000000007</v>
      </c>
      <c r="AU19" s="315" t="s">
        <v>1092</v>
      </c>
      <c r="AV19" s="331"/>
      <c r="AW19" s="315"/>
      <c r="AX19" s="315"/>
      <c r="AY19" s="317"/>
      <c r="AZ19" s="208"/>
    </row>
    <row r="20" spans="3:52" ht="30" customHeight="1">
      <c r="C20" s="208"/>
      <c r="D20" s="318"/>
      <c r="E20" s="319"/>
      <c r="F20" s="319" t="s">
        <v>1082</v>
      </c>
      <c r="G20" s="319"/>
      <c r="H20" s="319"/>
      <c r="I20" s="319" t="s">
        <v>1093</v>
      </c>
      <c r="J20" s="320"/>
      <c r="K20" s="321">
        <v>144.6</v>
      </c>
      <c r="L20" s="322">
        <v>146.80000000000001</v>
      </c>
      <c r="M20" s="322">
        <v>141.80000000000001</v>
      </c>
      <c r="N20" s="322">
        <v>70.8</v>
      </c>
      <c r="O20" s="322">
        <v>75</v>
      </c>
      <c r="P20" s="322">
        <v>65</v>
      </c>
      <c r="Q20" s="322">
        <v>54.1</v>
      </c>
      <c r="R20" s="323">
        <v>58.5</v>
      </c>
      <c r="S20" s="322">
        <v>41.6</v>
      </c>
      <c r="T20" s="322">
        <v>46.8</v>
      </c>
      <c r="U20" s="322">
        <v>52</v>
      </c>
      <c r="V20" s="322">
        <v>57.2</v>
      </c>
      <c r="W20" s="322">
        <v>62.4</v>
      </c>
      <c r="X20" s="322">
        <v>86.5</v>
      </c>
      <c r="Y20" s="322">
        <v>93</v>
      </c>
      <c r="Z20" s="322">
        <v>97.5</v>
      </c>
      <c r="AA20" s="322">
        <v>72.8</v>
      </c>
      <c r="AB20" s="322">
        <v>62.4</v>
      </c>
      <c r="AC20" s="322">
        <v>52</v>
      </c>
      <c r="AD20" s="322">
        <v>46</v>
      </c>
      <c r="AE20" s="322">
        <v>24</v>
      </c>
      <c r="AF20" s="322">
        <v>20</v>
      </c>
      <c r="AG20" s="322">
        <v>15</v>
      </c>
      <c r="AH20" s="322">
        <v>6.8</v>
      </c>
      <c r="AI20" s="322">
        <v>0</v>
      </c>
      <c r="AJ20" s="322">
        <v>0</v>
      </c>
      <c r="AK20" s="322">
        <v>0</v>
      </c>
      <c r="AL20" s="322">
        <v>0</v>
      </c>
      <c r="AM20" s="322">
        <v>0</v>
      </c>
      <c r="AN20" s="324">
        <v>0</v>
      </c>
      <c r="AO20" s="324">
        <v>0</v>
      </c>
      <c r="AP20" s="324">
        <v>0</v>
      </c>
      <c r="AQ20" s="324">
        <v>0</v>
      </c>
      <c r="AR20" s="324">
        <v>0</v>
      </c>
      <c r="AS20" s="324">
        <v>0</v>
      </c>
      <c r="AT20" s="325">
        <v>0</v>
      </c>
      <c r="AU20" s="326" t="s">
        <v>1094</v>
      </c>
      <c r="AV20" s="326"/>
      <c r="AW20" s="327"/>
      <c r="AX20" s="326"/>
      <c r="AY20" s="328"/>
      <c r="AZ20" s="208"/>
    </row>
    <row r="21" spans="3:52" ht="30" customHeight="1">
      <c r="C21" s="208"/>
      <c r="D21" s="308"/>
      <c r="E21" s="309"/>
      <c r="F21" s="309"/>
      <c r="G21" s="309"/>
      <c r="H21" s="309" t="s">
        <v>1095</v>
      </c>
      <c r="I21" s="309"/>
      <c r="J21" s="309"/>
      <c r="K21" s="311">
        <v>312.10000000000002</v>
      </c>
      <c r="L21" s="312">
        <v>298.10000000000002</v>
      </c>
      <c r="M21" s="312">
        <v>266.60000000000002</v>
      </c>
      <c r="N21" s="312">
        <v>256.8</v>
      </c>
      <c r="O21" s="313">
        <v>164.7</v>
      </c>
      <c r="P21" s="313">
        <v>131.1</v>
      </c>
      <c r="Q21" s="313">
        <v>151.1</v>
      </c>
      <c r="R21" s="314">
        <v>76.2</v>
      </c>
      <c r="S21" s="312">
        <v>24.1</v>
      </c>
      <c r="T21" s="312">
        <v>116.7</v>
      </c>
      <c r="U21" s="312">
        <v>72.2</v>
      </c>
      <c r="V21" s="312">
        <v>52.2</v>
      </c>
      <c r="W21" s="312">
        <v>45.7</v>
      </c>
      <c r="X21" s="312">
        <v>31.1</v>
      </c>
      <c r="Y21" s="312">
        <v>37.799999999999997</v>
      </c>
      <c r="Z21" s="312">
        <v>26.7</v>
      </c>
      <c r="AA21" s="312">
        <v>50.7</v>
      </c>
      <c r="AB21" s="312">
        <v>52.2</v>
      </c>
      <c r="AC21" s="312">
        <v>59.2</v>
      </c>
      <c r="AD21" s="312">
        <v>47</v>
      </c>
      <c r="AE21" s="312">
        <v>43.6</v>
      </c>
      <c r="AF21" s="312">
        <v>40.700000000000003</v>
      </c>
      <c r="AG21" s="312">
        <v>52.8</v>
      </c>
      <c r="AH21" s="312">
        <v>28.8</v>
      </c>
      <c r="AI21" s="312">
        <v>1.9000000000000057</v>
      </c>
      <c r="AJ21" s="312">
        <v>-9.9999999999997868E-2</v>
      </c>
      <c r="AK21" s="312">
        <v>-0.60000000000000142</v>
      </c>
      <c r="AL21" s="312">
        <v>-2.97</v>
      </c>
      <c r="AM21" s="312">
        <v>-3.3</v>
      </c>
      <c r="AN21" s="312">
        <v>-4.5</v>
      </c>
      <c r="AO21" s="312">
        <v>-3.45</v>
      </c>
      <c r="AP21" s="312">
        <v>-2.4</v>
      </c>
      <c r="AQ21" s="312">
        <v>1.5</v>
      </c>
      <c r="AR21" s="312">
        <v>6.1</v>
      </c>
      <c r="AS21" s="312">
        <v>5.5</v>
      </c>
      <c r="AT21" s="314">
        <v>4.4000000000000004</v>
      </c>
      <c r="AU21" s="331"/>
      <c r="AV21" s="315" t="s">
        <v>1096</v>
      </c>
      <c r="AW21" s="316"/>
      <c r="AX21" s="315"/>
      <c r="AY21" s="317"/>
      <c r="AZ21" s="208"/>
    </row>
    <row r="22" spans="3:52" ht="30" customHeight="1">
      <c r="C22" s="208"/>
      <c r="D22" s="318"/>
      <c r="E22" s="319"/>
      <c r="F22" s="319" t="s">
        <v>1082</v>
      </c>
      <c r="G22" s="319"/>
      <c r="H22" s="319"/>
      <c r="I22" s="319" t="s">
        <v>1091</v>
      </c>
      <c r="J22" s="320"/>
      <c r="K22" s="321">
        <v>564</v>
      </c>
      <c r="L22" s="322">
        <v>548.5</v>
      </c>
      <c r="M22" s="322">
        <v>548.79999999999995</v>
      </c>
      <c r="N22" s="322">
        <v>527.20000000000005</v>
      </c>
      <c r="O22" s="322">
        <v>462.5</v>
      </c>
      <c r="P22" s="322">
        <v>406.4</v>
      </c>
      <c r="Q22" s="322">
        <v>390.2</v>
      </c>
      <c r="R22" s="323">
        <v>314.3</v>
      </c>
      <c r="S22" s="322">
        <v>216</v>
      </c>
      <c r="T22" s="322">
        <v>339.8</v>
      </c>
      <c r="U22" s="322">
        <v>314.60000000000002</v>
      </c>
      <c r="V22" s="322">
        <v>230.8</v>
      </c>
      <c r="W22" s="322">
        <v>196.4</v>
      </c>
      <c r="X22" s="322">
        <v>186.3</v>
      </c>
      <c r="Y22" s="322">
        <v>204.2</v>
      </c>
      <c r="Z22" s="322">
        <v>173.2</v>
      </c>
      <c r="AA22" s="322">
        <v>183.1</v>
      </c>
      <c r="AB22" s="322">
        <v>183.5</v>
      </c>
      <c r="AC22" s="322">
        <v>180.8</v>
      </c>
      <c r="AD22" s="322">
        <v>154.9</v>
      </c>
      <c r="AE22" s="322">
        <v>133.30000000000001</v>
      </c>
      <c r="AF22" s="322">
        <v>104.3</v>
      </c>
      <c r="AG22" s="322">
        <v>95</v>
      </c>
      <c r="AH22" s="322">
        <v>68.900000000000006</v>
      </c>
      <c r="AI22" s="322">
        <v>35.700000000000003</v>
      </c>
      <c r="AJ22" s="322">
        <v>17.3</v>
      </c>
      <c r="AK22" s="322">
        <v>10.7</v>
      </c>
      <c r="AL22" s="322">
        <v>8.3000000000000007</v>
      </c>
      <c r="AM22" s="322">
        <v>6.4</v>
      </c>
      <c r="AN22" s="324">
        <v>4.9000000000000004</v>
      </c>
      <c r="AO22" s="324">
        <v>4.54</v>
      </c>
      <c r="AP22" s="324">
        <v>4.5999999999999996</v>
      </c>
      <c r="AQ22" s="324">
        <v>6.8</v>
      </c>
      <c r="AR22" s="324">
        <v>11.3</v>
      </c>
      <c r="AS22" s="324">
        <v>9.8000000000000007</v>
      </c>
      <c r="AT22" s="325">
        <v>8</v>
      </c>
      <c r="AU22" s="326" t="s">
        <v>1092</v>
      </c>
      <c r="AV22" s="326"/>
      <c r="AW22" s="327"/>
      <c r="AX22" s="326"/>
      <c r="AY22" s="328"/>
      <c r="AZ22" s="208"/>
    </row>
    <row r="23" spans="3:52" ht="30" customHeight="1">
      <c r="C23" s="208"/>
      <c r="D23" s="308"/>
      <c r="E23" s="309"/>
      <c r="F23" s="309" t="s">
        <v>1082</v>
      </c>
      <c r="G23" s="309"/>
      <c r="H23" s="309"/>
      <c r="I23" s="309" t="s">
        <v>1093</v>
      </c>
      <c r="J23" s="309"/>
      <c r="K23" s="311">
        <v>251.9</v>
      </c>
      <c r="L23" s="312">
        <v>250.4</v>
      </c>
      <c r="M23" s="312">
        <v>282.2</v>
      </c>
      <c r="N23" s="312">
        <v>270.39999999999998</v>
      </c>
      <c r="O23" s="313">
        <v>297.8</v>
      </c>
      <c r="P23" s="313">
        <v>275.3</v>
      </c>
      <c r="Q23" s="313">
        <v>239.1</v>
      </c>
      <c r="R23" s="314">
        <v>238.1</v>
      </c>
      <c r="S23" s="312">
        <v>191.9</v>
      </c>
      <c r="T23" s="312">
        <v>223.1</v>
      </c>
      <c r="U23" s="312">
        <v>242.4</v>
      </c>
      <c r="V23" s="312">
        <v>178.3</v>
      </c>
      <c r="W23" s="312">
        <v>150.69999999999999</v>
      </c>
      <c r="X23" s="312">
        <v>155.19999999999999</v>
      </c>
      <c r="Y23" s="312">
        <v>166.4</v>
      </c>
      <c r="Z23" s="312">
        <v>146.5</v>
      </c>
      <c r="AA23" s="312">
        <v>132.4</v>
      </c>
      <c r="AB23" s="312">
        <v>131.30000000000001</v>
      </c>
      <c r="AC23" s="312">
        <v>121.6</v>
      </c>
      <c r="AD23" s="312">
        <v>107.9</v>
      </c>
      <c r="AE23" s="312">
        <v>89.7</v>
      </c>
      <c r="AF23" s="312">
        <v>63.6</v>
      </c>
      <c r="AG23" s="312">
        <v>42.2</v>
      </c>
      <c r="AH23" s="312">
        <v>40.1</v>
      </c>
      <c r="AI23" s="312">
        <v>33.799999999999997</v>
      </c>
      <c r="AJ23" s="312">
        <v>17.399999999999999</v>
      </c>
      <c r="AK23" s="312">
        <v>11.3</v>
      </c>
      <c r="AL23" s="312">
        <v>11.3</v>
      </c>
      <c r="AM23" s="312">
        <v>9.6999999999999993</v>
      </c>
      <c r="AN23" s="312">
        <v>9.4</v>
      </c>
      <c r="AO23" s="312">
        <v>7.99</v>
      </c>
      <c r="AP23" s="312">
        <v>7</v>
      </c>
      <c r="AQ23" s="312">
        <v>5.3</v>
      </c>
      <c r="AR23" s="312">
        <v>5.2</v>
      </c>
      <c r="AS23" s="312">
        <v>4.3</v>
      </c>
      <c r="AT23" s="314">
        <v>3.6</v>
      </c>
      <c r="AU23" s="315" t="s">
        <v>1094</v>
      </c>
      <c r="AV23" s="315"/>
      <c r="AW23" s="316"/>
      <c r="AX23" s="315"/>
      <c r="AY23" s="317"/>
      <c r="AZ23" s="209"/>
    </row>
    <row r="24" spans="3:52" ht="30" customHeight="1">
      <c r="C24" s="208"/>
      <c r="D24" s="318"/>
      <c r="E24" s="319"/>
      <c r="F24" s="319" t="s">
        <v>1082</v>
      </c>
      <c r="G24" s="319"/>
      <c r="H24" s="319" t="s">
        <v>1097</v>
      </c>
      <c r="I24" s="319"/>
      <c r="J24" s="320"/>
      <c r="K24" s="321">
        <v>-109.6</v>
      </c>
      <c r="L24" s="322">
        <v>-97.9</v>
      </c>
      <c r="M24" s="322">
        <v>-148</v>
      </c>
      <c r="N24" s="322">
        <v>-213.4</v>
      </c>
      <c r="O24" s="322">
        <v>-195.1</v>
      </c>
      <c r="P24" s="322">
        <v>-220.1</v>
      </c>
      <c r="Q24" s="322">
        <v>-214.8</v>
      </c>
      <c r="R24" s="323">
        <v>-236.6</v>
      </c>
      <c r="S24" s="322">
        <v>-246.8</v>
      </c>
      <c r="T24" s="322">
        <v>-267.2</v>
      </c>
      <c r="U24" s="322">
        <v>-111.88</v>
      </c>
      <c r="V24" s="322">
        <v>-115.41</v>
      </c>
      <c r="W24" s="322">
        <v>-74.7</v>
      </c>
      <c r="X24" s="322">
        <v>-49.5</v>
      </c>
      <c r="Y24" s="322">
        <v>-35</v>
      </c>
      <c r="Z24" s="322">
        <v>-23.29</v>
      </c>
      <c r="AA24" s="322">
        <v>16.57</v>
      </c>
      <c r="AB24" s="322">
        <v>32.65</v>
      </c>
      <c r="AC24" s="322">
        <v>28.62</v>
      </c>
      <c r="AD24" s="322">
        <v>14.19</v>
      </c>
      <c r="AE24" s="322">
        <v>11.04</v>
      </c>
      <c r="AF24" s="322">
        <v>8.5399999999999991</v>
      </c>
      <c r="AG24" s="322">
        <v>7.35</v>
      </c>
      <c r="AH24" s="322">
        <v>8.25</v>
      </c>
      <c r="AI24" s="322">
        <v>8.23</v>
      </c>
      <c r="AJ24" s="322">
        <v>6.7</v>
      </c>
      <c r="AK24" s="322">
        <v>5.08</v>
      </c>
      <c r="AL24" s="322">
        <v>3.34</v>
      </c>
      <c r="AM24" s="322">
        <v>4.7699999999999996</v>
      </c>
      <c r="AN24" s="324">
        <v>6.12</v>
      </c>
      <c r="AO24" s="324">
        <v>6.04</v>
      </c>
      <c r="AP24" s="324">
        <v>4.9000000000000004</v>
      </c>
      <c r="AQ24" s="322" t="s">
        <v>1098</v>
      </c>
      <c r="AR24" s="322" t="s">
        <v>1098</v>
      </c>
      <c r="AS24" s="322" t="s">
        <v>1098</v>
      </c>
      <c r="AT24" s="323" t="s">
        <v>1098</v>
      </c>
      <c r="AU24" s="326"/>
      <c r="AV24" s="326" t="s">
        <v>1099</v>
      </c>
      <c r="AW24" s="327"/>
      <c r="AX24" s="326"/>
      <c r="AY24" s="328"/>
      <c r="AZ24" s="208"/>
    </row>
    <row r="25" spans="3:52" ht="30" customHeight="1">
      <c r="C25" s="208"/>
      <c r="D25" s="308"/>
      <c r="E25" s="309"/>
      <c r="F25" s="309" t="s">
        <v>1082</v>
      </c>
      <c r="G25" s="309"/>
      <c r="H25" s="309"/>
      <c r="I25" s="309" t="s">
        <v>1091</v>
      </c>
      <c r="J25" s="309"/>
      <c r="K25" s="311">
        <v>213.5</v>
      </c>
      <c r="L25" s="312">
        <v>217.6</v>
      </c>
      <c r="M25" s="312">
        <v>176</v>
      </c>
      <c r="N25" s="312">
        <v>79.2</v>
      </c>
      <c r="O25" s="312">
        <v>81.099999999999994</v>
      </c>
      <c r="P25" s="312">
        <v>50.8</v>
      </c>
      <c r="Q25" s="312">
        <v>68.599999999999994</v>
      </c>
      <c r="R25" s="314">
        <v>76.5</v>
      </c>
      <c r="S25" s="312">
        <v>77.900000000000006</v>
      </c>
      <c r="T25" s="312">
        <v>44.7</v>
      </c>
      <c r="U25" s="312">
        <v>23.05</v>
      </c>
      <c r="V25" s="312">
        <v>15.15</v>
      </c>
      <c r="W25" s="312">
        <v>19.66</v>
      </c>
      <c r="X25" s="312">
        <v>34.89</v>
      </c>
      <c r="Y25" s="312">
        <v>39.590000000000003</v>
      </c>
      <c r="Z25" s="312">
        <v>38.840000000000003</v>
      </c>
      <c r="AA25" s="312">
        <v>62.94</v>
      </c>
      <c r="AB25" s="312">
        <v>72.08</v>
      </c>
      <c r="AC25" s="312">
        <v>66.25</v>
      </c>
      <c r="AD25" s="312">
        <v>37.69</v>
      </c>
      <c r="AE25" s="312">
        <v>25.72</v>
      </c>
      <c r="AF25" s="312">
        <v>15.74</v>
      </c>
      <c r="AG25" s="312">
        <v>13.31</v>
      </c>
      <c r="AH25" s="312">
        <v>12.99</v>
      </c>
      <c r="AI25" s="312">
        <v>11.33</v>
      </c>
      <c r="AJ25" s="312">
        <v>8.81</v>
      </c>
      <c r="AK25" s="312">
        <v>6.34</v>
      </c>
      <c r="AL25" s="312" t="s">
        <v>1098</v>
      </c>
      <c r="AM25" s="312" t="s">
        <v>1098</v>
      </c>
      <c r="AN25" s="312" t="s">
        <v>1098</v>
      </c>
      <c r="AO25" s="312" t="s">
        <v>1098</v>
      </c>
      <c r="AP25" s="312" t="s">
        <v>1098</v>
      </c>
      <c r="AQ25" s="312" t="s">
        <v>1098</v>
      </c>
      <c r="AR25" s="312" t="s">
        <v>1098</v>
      </c>
      <c r="AS25" s="312" t="s">
        <v>1098</v>
      </c>
      <c r="AT25" s="314" t="s">
        <v>1098</v>
      </c>
      <c r="AU25" s="315" t="s">
        <v>1092</v>
      </c>
      <c r="AV25" s="315"/>
      <c r="AW25" s="316"/>
      <c r="AX25" s="315"/>
      <c r="AY25" s="332"/>
      <c r="AZ25" s="208"/>
    </row>
    <row r="26" spans="3:52" ht="30" customHeight="1">
      <c r="C26" s="208"/>
      <c r="D26" s="318"/>
      <c r="E26" s="319"/>
      <c r="F26" s="319" t="s">
        <v>1082</v>
      </c>
      <c r="G26" s="319"/>
      <c r="H26" s="319"/>
      <c r="I26" s="319" t="s">
        <v>1093</v>
      </c>
      <c r="J26" s="320"/>
      <c r="K26" s="321">
        <v>323.10000000000002</v>
      </c>
      <c r="L26" s="322">
        <v>315.5</v>
      </c>
      <c r="M26" s="322">
        <v>324</v>
      </c>
      <c r="N26" s="322">
        <v>292.60000000000002</v>
      </c>
      <c r="O26" s="322">
        <v>276.2</v>
      </c>
      <c r="P26" s="322">
        <v>270.89999999999998</v>
      </c>
      <c r="Q26" s="322">
        <v>283.39999999999998</v>
      </c>
      <c r="R26" s="323">
        <v>313.10000000000002</v>
      </c>
      <c r="S26" s="322">
        <v>324.7</v>
      </c>
      <c r="T26" s="322">
        <v>311.89999999999998</v>
      </c>
      <c r="U26" s="322">
        <v>134.93</v>
      </c>
      <c r="V26" s="322">
        <v>130.56</v>
      </c>
      <c r="W26" s="322">
        <v>94.36</v>
      </c>
      <c r="X26" s="322">
        <v>84.39</v>
      </c>
      <c r="Y26" s="322">
        <v>74.59</v>
      </c>
      <c r="Z26" s="322">
        <v>62.13</v>
      </c>
      <c r="AA26" s="322">
        <v>46.37</v>
      </c>
      <c r="AB26" s="322">
        <v>39.43</v>
      </c>
      <c r="AC26" s="322">
        <v>37.630000000000003</v>
      </c>
      <c r="AD26" s="322">
        <v>23.5</v>
      </c>
      <c r="AE26" s="322">
        <v>14.68</v>
      </c>
      <c r="AF26" s="322">
        <v>7.2</v>
      </c>
      <c r="AG26" s="322">
        <v>5.96</v>
      </c>
      <c r="AH26" s="322">
        <v>4.74</v>
      </c>
      <c r="AI26" s="322">
        <v>3.1</v>
      </c>
      <c r="AJ26" s="322">
        <v>2.11</v>
      </c>
      <c r="AK26" s="322">
        <v>1.26</v>
      </c>
      <c r="AL26" s="322" t="s">
        <v>1098</v>
      </c>
      <c r="AM26" s="322" t="s">
        <v>1098</v>
      </c>
      <c r="AN26" s="322" t="s">
        <v>1098</v>
      </c>
      <c r="AO26" s="322" t="s">
        <v>1098</v>
      </c>
      <c r="AP26" s="322" t="s">
        <v>1098</v>
      </c>
      <c r="AQ26" s="322" t="s">
        <v>1098</v>
      </c>
      <c r="AR26" s="322" t="s">
        <v>1098</v>
      </c>
      <c r="AS26" s="322" t="s">
        <v>1098</v>
      </c>
      <c r="AT26" s="323" t="s">
        <v>1098</v>
      </c>
      <c r="AU26" s="326" t="s">
        <v>1094</v>
      </c>
      <c r="AV26" s="326"/>
      <c r="AW26" s="327"/>
      <c r="AX26" s="326"/>
      <c r="AY26" s="328"/>
      <c r="AZ26" s="208"/>
    </row>
    <row r="27" spans="3:52" ht="30" customHeight="1">
      <c r="C27" s="208"/>
      <c r="D27" s="308"/>
      <c r="E27" s="309"/>
      <c r="F27" s="309" t="s">
        <v>1082</v>
      </c>
      <c r="G27" s="309"/>
      <c r="H27" s="309" t="s">
        <v>1100</v>
      </c>
      <c r="I27" s="309"/>
      <c r="J27" s="310"/>
      <c r="K27" s="311">
        <v>38.5</v>
      </c>
      <c r="L27" s="312">
        <v>37.299999999999997</v>
      </c>
      <c r="M27" s="312">
        <v>49</v>
      </c>
      <c r="N27" s="312">
        <v>31.2</v>
      </c>
      <c r="O27" s="313">
        <v>18.100000000000001</v>
      </c>
      <c r="P27" s="313">
        <v>32.5</v>
      </c>
      <c r="Q27" s="313">
        <v>46.4</v>
      </c>
      <c r="R27" s="314">
        <v>22.9</v>
      </c>
      <c r="S27" s="312">
        <v>55</v>
      </c>
      <c r="T27" s="312">
        <v>13.3</v>
      </c>
      <c r="U27" s="312">
        <v>19.22</v>
      </c>
      <c r="V27" s="312">
        <v>13.71</v>
      </c>
      <c r="W27" s="312">
        <v>30.5</v>
      </c>
      <c r="X27" s="312">
        <v>21.4</v>
      </c>
      <c r="Y27" s="312">
        <v>34.36</v>
      </c>
      <c r="Z27" s="312">
        <v>21.32</v>
      </c>
      <c r="AA27" s="312">
        <v>30.49</v>
      </c>
      <c r="AB27" s="312">
        <v>22.19</v>
      </c>
      <c r="AC27" s="312">
        <v>38.049999999999997</v>
      </c>
      <c r="AD27" s="312">
        <v>34.24</v>
      </c>
      <c r="AE27" s="312">
        <v>20.8</v>
      </c>
      <c r="AF27" s="312">
        <v>12.38</v>
      </c>
      <c r="AG27" s="312">
        <v>7.35</v>
      </c>
      <c r="AH27" s="312">
        <v>6.22</v>
      </c>
      <c r="AI27" s="312">
        <v>0.56000000000000005</v>
      </c>
      <c r="AJ27" s="312">
        <v>0.45</v>
      </c>
      <c r="AK27" s="312">
        <v>0.93</v>
      </c>
      <c r="AL27" s="312">
        <v>-1.22</v>
      </c>
      <c r="AM27" s="312">
        <v>-0.13</v>
      </c>
      <c r="AN27" s="312">
        <v>-0.4</v>
      </c>
      <c r="AO27" s="312">
        <v>-0.69</v>
      </c>
      <c r="AP27" s="312">
        <v>-0.86</v>
      </c>
      <c r="AQ27" s="312" t="s">
        <v>1098</v>
      </c>
      <c r="AR27" s="312" t="s">
        <v>1098</v>
      </c>
      <c r="AS27" s="312" t="s">
        <v>1098</v>
      </c>
      <c r="AT27" s="314" t="s">
        <v>1098</v>
      </c>
      <c r="AU27" s="331"/>
      <c r="AV27" s="315" t="s">
        <v>1101</v>
      </c>
      <c r="AW27" s="316"/>
      <c r="AX27" s="315"/>
      <c r="AY27" s="317"/>
      <c r="AZ27" s="208"/>
    </row>
    <row r="28" spans="3:52" ht="30" customHeight="1">
      <c r="C28" s="208"/>
      <c r="D28" s="318"/>
      <c r="E28" s="319"/>
      <c r="F28" s="319" t="s">
        <v>1082</v>
      </c>
      <c r="G28" s="319"/>
      <c r="H28" s="319"/>
      <c r="I28" s="319" t="s">
        <v>1091</v>
      </c>
      <c r="J28" s="320"/>
      <c r="K28" s="321">
        <v>209</v>
      </c>
      <c r="L28" s="322">
        <v>217.8</v>
      </c>
      <c r="M28" s="322">
        <v>273</v>
      </c>
      <c r="N28" s="322">
        <v>266.8</v>
      </c>
      <c r="O28" s="322">
        <v>292.5</v>
      </c>
      <c r="P28" s="322">
        <v>244.7</v>
      </c>
      <c r="Q28" s="322">
        <v>253.6</v>
      </c>
      <c r="R28" s="323">
        <v>223.8</v>
      </c>
      <c r="S28" s="322">
        <v>170</v>
      </c>
      <c r="T28" s="322">
        <v>244.8</v>
      </c>
      <c r="U28" s="322">
        <v>157.15</v>
      </c>
      <c r="V28" s="322">
        <v>147.85</v>
      </c>
      <c r="W28" s="322">
        <v>117</v>
      </c>
      <c r="X28" s="322">
        <v>91</v>
      </c>
      <c r="Y28" s="322">
        <v>155.97999999999999</v>
      </c>
      <c r="Z28" s="322">
        <v>137.94999999999999</v>
      </c>
      <c r="AA28" s="322">
        <v>108.77</v>
      </c>
      <c r="AB28" s="322">
        <v>117.47</v>
      </c>
      <c r="AC28" s="322">
        <v>101.23</v>
      </c>
      <c r="AD28" s="322">
        <v>76.459999999999994</v>
      </c>
      <c r="AE28" s="322">
        <v>51.65</v>
      </c>
      <c r="AF28" s="322">
        <v>35.6</v>
      </c>
      <c r="AG28" s="322">
        <v>25.22</v>
      </c>
      <c r="AH28" s="322">
        <v>21.39</v>
      </c>
      <c r="AI28" s="322">
        <v>14.76</v>
      </c>
      <c r="AJ28" s="322">
        <v>7.69</v>
      </c>
      <c r="AK28" s="322">
        <v>5.96</v>
      </c>
      <c r="AL28" s="322" t="s">
        <v>1098</v>
      </c>
      <c r="AM28" s="322" t="s">
        <v>1098</v>
      </c>
      <c r="AN28" s="322" t="s">
        <v>1098</v>
      </c>
      <c r="AO28" s="322" t="s">
        <v>1098</v>
      </c>
      <c r="AP28" s="322" t="s">
        <v>1098</v>
      </c>
      <c r="AQ28" s="322" t="s">
        <v>1098</v>
      </c>
      <c r="AR28" s="322" t="s">
        <v>1098</v>
      </c>
      <c r="AS28" s="322" t="s">
        <v>1098</v>
      </c>
      <c r="AT28" s="323" t="s">
        <v>1098</v>
      </c>
      <c r="AU28" s="326" t="s">
        <v>1092</v>
      </c>
      <c r="AV28" s="326"/>
      <c r="AW28" s="327"/>
      <c r="AX28" s="326"/>
      <c r="AY28" s="328"/>
      <c r="AZ28" s="208"/>
    </row>
    <row r="29" spans="3:52" ht="30" customHeight="1">
      <c r="C29" s="208"/>
      <c r="D29" s="308"/>
      <c r="E29" s="309"/>
      <c r="F29" s="309" t="s">
        <v>1082</v>
      </c>
      <c r="G29" s="309"/>
      <c r="H29" s="309"/>
      <c r="I29" s="309" t="s">
        <v>1093</v>
      </c>
      <c r="J29" s="309"/>
      <c r="K29" s="311">
        <v>170.5</v>
      </c>
      <c r="L29" s="312">
        <v>180.5</v>
      </c>
      <c r="M29" s="312">
        <v>224</v>
      </c>
      <c r="N29" s="312">
        <v>235.6</v>
      </c>
      <c r="O29" s="313">
        <v>274.39999999999998</v>
      </c>
      <c r="P29" s="313">
        <v>212.2</v>
      </c>
      <c r="Q29" s="313">
        <v>207.2</v>
      </c>
      <c r="R29" s="314">
        <v>200.9</v>
      </c>
      <c r="S29" s="312">
        <v>115</v>
      </c>
      <c r="T29" s="312">
        <v>231.5</v>
      </c>
      <c r="U29" s="312">
        <v>137.93</v>
      </c>
      <c r="V29" s="312">
        <v>134.13999999999999</v>
      </c>
      <c r="W29" s="312">
        <v>86.5</v>
      </c>
      <c r="X29" s="312">
        <v>69.599999999999994</v>
      </c>
      <c r="Y29" s="312">
        <v>121.62</v>
      </c>
      <c r="Z29" s="312">
        <v>116.63</v>
      </c>
      <c r="AA29" s="312">
        <v>78.28</v>
      </c>
      <c r="AB29" s="312">
        <v>95.28</v>
      </c>
      <c r="AC29" s="312">
        <v>63.18</v>
      </c>
      <c r="AD29" s="312">
        <v>42.22</v>
      </c>
      <c r="AE29" s="312">
        <v>30.85</v>
      </c>
      <c r="AF29" s="312">
        <v>23.22</v>
      </c>
      <c r="AG29" s="312">
        <v>17.87</v>
      </c>
      <c r="AH29" s="312">
        <v>15.17</v>
      </c>
      <c r="AI29" s="312">
        <v>14.2</v>
      </c>
      <c r="AJ29" s="312">
        <v>7.24</v>
      </c>
      <c r="AK29" s="312">
        <v>5.03</v>
      </c>
      <c r="AL29" s="312" t="s">
        <v>1098</v>
      </c>
      <c r="AM29" s="312" t="s">
        <v>1098</v>
      </c>
      <c r="AN29" s="312" t="s">
        <v>1098</v>
      </c>
      <c r="AO29" s="312" t="s">
        <v>1098</v>
      </c>
      <c r="AP29" s="312" t="s">
        <v>1098</v>
      </c>
      <c r="AQ29" s="314" t="s">
        <v>1098</v>
      </c>
      <c r="AR29" s="314" t="s">
        <v>1098</v>
      </c>
      <c r="AS29" s="314" t="s">
        <v>1098</v>
      </c>
      <c r="AT29" s="314" t="s">
        <v>1098</v>
      </c>
      <c r="AU29" s="315" t="s">
        <v>1094</v>
      </c>
      <c r="AV29" s="315"/>
      <c r="AW29" s="316"/>
      <c r="AX29" s="315"/>
      <c r="AY29" s="317"/>
      <c r="AZ29" s="208"/>
    </row>
    <row r="30" spans="3:52" ht="30" customHeight="1">
      <c r="C30" s="208"/>
      <c r="D30" s="318"/>
      <c r="E30" s="319"/>
      <c r="F30" s="319" t="s">
        <v>1082</v>
      </c>
      <c r="G30" s="319"/>
      <c r="H30" s="319" t="s">
        <v>1102</v>
      </c>
      <c r="I30" s="319"/>
      <c r="J30" s="320"/>
      <c r="K30" s="321">
        <v>-59.4</v>
      </c>
      <c r="L30" s="322">
        <v>6.1000000000000085</v>
      </c>
      <c r="M30" s="322">
        <v>145.6</v>
      </c>
      <c r="N30" s="322">
        <v>222.7</v>
      </c>
      <c r="O30" s="322">
        <v>167.6</v>
      </c>
      <c r="P30" s="322">
        <v>213.4</v>
      </c>
      <c r="Q30" s="322">
        <v>229.4</v>
      </c>
      <c r="R30" s="323">
        <v>236.9</v>
      </c>
      <c r="S30" s="322">
        <v>271.89999999999998</v>
      </c>
      <c r="T30" s="322">
        <v>178.6</v>
      </c>
      <c r="U30" s="322">
        <v>33.26</v>
      </c>
      <c r="V30" s="322">
        <v>71.470000000000056</v>
      </c>
      <c r="W30" s="322">
        <v>22.43</v>
      </c>
      <c r="X30" s="322">
        <v>6.7400000000000233</v>
      </c>
      <c r="Y30" s="322">
        <v>-0.38000000000000256</v>
      </c>
      <c r="Z30" s="322">
        <v>-6.6599999999999824</v>
      </c>
      <c r="AA30" s="322">
        <v>27.34</v>
      </c>
      <c r="AB30" s="322">
        <v>-41.479999999999876</v>
      </c>
      <c r="AC30" s="322">
        <v>-55.6</v>
      </c>
      <c r="AD30" s="322">
        <v>-29.97</v>
      </c>
      <c r="AE30" s="322">
        <v>-80.989999999999995</v>
      </c>
      <c r="AF30" s="322">
        <v>-25.29</v>
      </c>
      <c r="AG30" s="322">
        <v>-4.4899999999999842</v>
      </c>
      <c r="AH30" s="322">
        <v>-11.98</v>
      </c>
      <c r="AI30" s="322">
        <v>1.6799999999999944</v>
      </c>
      <c r="AJ30" s="322">
        <v>-9.01</v>
      </c>
      <c r="AK30" s="322">
        <v>6.8599999999999941</v>
      </c>
      <c r="AL30" s="322">
        <v>4.350000000000005</v>
      </c>
      <c r="AM30" s="322">
        <v>0.55999999999999783</v>
      </c>
      <c r="AN30" s="324">
        <v>7.9999999999997407E-2</v>
      </c>
      <c r="AO30" s="324">
        <v>-19.600000000000001</v>
      </c>
      <c r="AP30" s="324">
        <v>-7.14</v>
      </c>
      <c r="AQ30" s="324">
        <v>7.1</v>
      </c>
      <c r="AR30" s="324">
        <v>4.5999999999999996</v>
      </c>
      <c r="AS30" s="324">
        <v>4.5</v>
      </c>
      <c r="AT30" s="325">
        <v>2.5</v>
      </c>
      <c r="AU30" s="326"/>
      <c r="AV30" s="326" t="s">
        <v>1103</v>
      </c>
      <c r="AW30" s="327"/>
      <c r="AX30" s="326"/>
      <c r="AY30" s="328"/>
      <c r="AZ30" s="208"/>
    </row>
    <row r="31" spans="3:52" ht="30" customHeight="1">
      <c r="C31" s="208"/>
      <c r="D31" s="308"/>
      <c r="E31" s="309"/>
      <c r="F31" s="309" t="s">
        <v>1082</v>
      </c>
      <c r="G31" s="309"/>
      <c r="H31" s="309"/>
      <c r="I31" s="309" t="s">
        <v>1091</v>
      </c>
      <c r="J31" s="309"/>
      <c r="K31" s="311">
        <v>433.6</v>
      </c>
      <c r="L31" s="312">
        <v>471.5</v>
      </c>
      <c r="M31" s="312">
        <v>409.6</v>
      </c>
      <c r="N31" s="312">
        <v>515</v>
      </c>
      <c r="O31" s="312">
        <v>442.4</v>
      </c>
      <c r="P31" s="312">
        <v>439.5</v>
      </c>
      <c r="Q31" s="312">
        <v>447</v>
      </c>
      <c r="R31" s="314">
        <v>446.2</v>
      </c>
      <c r="S31" s="312">
        <v>534.79999999999995</v>
      </c>
      <c r="T31" s="312">
        <v>376.1</v>
      </c>
      <c r="U31" s="312">
        <v>241.2</v>
      </c>
      <c r="V31" s="312">
        <v>152.65</v>
      </c>
      <c r="W31" s="312">
        <v>124.49</v>
      </c>
      <c r="X31" s="312">
        <v>97.89</v>
      </c>
      <c r="Y31" s="312">
        <v>108</v>
      </c>
      <c r="Z31" s="312">
        <v>142.28</v>
      </c>
      <c r="AA31" s="312">
        <v>135.66999999999999</v>
      </c>
      <c r="AB31" s="312">
        <v>102.5</v>
      </c>
      <c r="AC31" s="312">
        <v>106.04</v>
      </c>
      <c r="AD31" s="312">
        <v>66.930000000000007</v>
      </c>
      <c r="AE31" s="312">
        <v>34.61</v>
      </c>
      <c r="AF31" s="312">
        <v>34.729999999999997</v>
      </c>
      <c r="AG31" s="312">
        <v>25.71</v>
      </c>
      <c r="AH31" s="312">
        <v>23.98</v>
      </c>
      <c r="AI31" s="312">
        <v>21.85</v>
      </c>
      <c r="AJ31" s="312">
        <v>6.69</v>
      </c>
      <c r="AK31" s="312">
        <v>19.100000000000001</v>
      </c>
      <c r="AL31" s="312" t="s">
        <v>1098</v>
      </c>
      <c r="AM31" s="312" t="s">
        <v>1098</v>
      </c>
      <c r="AN31" s="312" t="s">
        <v>1098</v>
      </c>
      <c r="AO31" s="312" t="s">
        <v>1098</v>
      </c>
      <c r="AP31" s="312" t="s">
        <v>1098</v>
      </c>
      <c r="AQ31" s="312" t="s">
        <v>1098</v>
      </c>
      <c r="AR31" s="312" t="s">
        <v>1098</v>
      </c>
      <c r="AS31" s="312" t="s">
        <v>1098</v>
      </c>
      <c r="AT31" s="312" t="s">
        <v>1098</v>
      </c>
      <c r="AU31" s="315" t="s">
        <v>1092</v>
      </c>
      <c r="AV31" s="315"/>
      <c r="AW31" s="316"/>
      <c r="AX31" s="315"/>
      <c r="AY31" s="332"/>
      <c r="AZ31" s="208"/>
    </row>
    <row r="32" spans="3:52" ht="30" customHeight="1">
      <c r="C32" s="208"/>
      <c r="D32" s="318"/>
      <c r="E32" s="319"/>
      <c r="F32" s="319" t="s">
        <v>1082</v>
      </c>
      <c r="G32" s="319"/>
      <c r="H32" s="319"/>
      <c r="I32" s="319" t="s">
        <v>1093</v>
      </c>
      <c r="J32" s="320"/>
      <c r="K32" s="321">
        <v>493</v>
      </c>
      <c r="L32" s="322">
        <v>465.4</v>
      </c>
      <c r="M32" s="322">
        <v>264</v>
      </c>
      <c r="N32" s="322">
        <v>292.3</v>
      </c>
      <c r="O32" s="322">
        <v>274.8</v>
      </c>
      <c r="P32" s="322">
        <v>226.1</v>
      </c>
      <c r="Q32" s="322">
        <v>217.6</v>
      </c>
      <c r="R32" s="323">
        <v>209.3</v>
      </c>
      <c r="S32" s="322">
        <v>262.89999999999998</v>
      </c>
      <c r="T32" s="322">
        <v>197.5</v>
      </c>
      <c r="U32" s="322">
        <v>207.94</v>
      </c>
      <c r="V32" s="322">
        <v>71.569999999999993</v>
      </c>
      <c r="W32" s="322">
        <v>102.06</v>
      </c>
      <c r="X32" s="322">
        <v>91.15</v>
      </c>
      <c r="Y32" s="322">
        <v>108.37</v>
      </c>
      <c r="Z32" s="322">
        <v>148.94</v>
      </c>
      <c r="AA32" s="322">
        <v>108.33</v>
      </c>
      <c r="AB32" s="322">
        <v>143.97999999999999</v>
      </c>
      <c r="AC32" s="322">
        <v>161.63999999999999</v>
      </c>
      <c r="AD32" s="322">
        <v>96.9</v>
      </c>
      <c r="AE32" s="322">
        <v>115.6</v>
      </c>
      <c r="AF32" s="322">
        <v>60.02</v>
      </c>
      <c r="AG32" s="322">
        <v>30.2</v>
      </c>
      <c r="AH32" s="322">
        <v>35.96</v>
      </c>
      <c r="AI32" s="322">
        <v>20.170000000000002</v>
      </c>
      <c r="AJ32" s="322">
        <v>15.7</v>
      </c>
      <c r="AK32" s="322">
        <v>12.24</v>
      </c>
      <c r="AL32" s="323" t="s">
        <v>1098</v>
      </c>
      <c r="AM32" s="323" t="s">
        <v>1098</v>
      </c>
      <c r="AN32" s="323" t="s">
        <v>1098</v>
      </c>
      <c r="AO32" s="323" t="s">
        <v>1098</v>
      </c>
      <c r="AP32" s="323" t="s">
        <v>1098</v>
      </c>
      <c r="AQ32" s="323" t="s">
        <v>1098</v>
      </c>
      <c r="AR32" s="323" t="s">
        <v>1098</v>
      </c>
      <c r="AS32" s="323" t="s">
        <v>1098</v>
      </c>
      <c r="AT32" s="323" t="s">
        <v>1098</v>
      </c>
      <c r="AU32" s="326" t="s">
        <v>1094</v>
      </c>
      <c r="AV32" s="326"/>
      <c r="AW32" s="327"/>
      <c r="AX32" s="326"/>
      <c r="AY32" s="328"/>
    </row>
    <row r="33" spans="3:52" s="207" customFormat="1" ht="30" customHeight="1">
      <c r="C33" s="206"/>
      <c r="D33" s="294"/>
      <c r="E33" s="295"/>
      <c r="F33" s="295" t="s">
        <v>1104</v>
      </c>
      <c r="G33" s="295"/>
      <c r="H33" s="295"/>
      <c r="I33" s="295"/>
      <c r="J33" s="333"/>
      <c r="K33" s="296">
        <v>394</v>
      </c>
      <c r="L33" s="297">
        <v>259.39999999999998</v>
      </c>
      <c r="M33" s="297">
        <v>281</v>
      </c>
      <c r="N33" s="297">
        <v>274.7</v>
      </c>
      <c r="O33" s="298">
        <v>215.3</v>
      </c>
      <c r="P33" s="298">
        <v>227.6</v>
      </c>
      <c r="Q33" s="298">
        <v>260.10000000000002</v>
      </c>
      <c r="R33" s="299">
        <v>260</v>
      </c>
      <c r="S33" s="297">
        <v>126.2</v>
      </c>
      <c r="T33" s="297">
        <v>279.7</v>
      </c>
      <c r="U33" s="297">
        <v>371.1</v>
      </c>
      <c r="V33" s="297">
        <v>232.29</v>
      </c>
      <c r="W33" s="297">
        <v>199.29</v>
      </c>
      <c r="X33" s="297">
        <v>238</v>
      </c>
      <c r="Y33" s="297">
        <v>315</v>
      </c>
      <c r="Z33" s="297">
        <v>278.8</v>
      </c>
      <c r="AA33" s="297">
        <v>294.89999999999998</v>
      </c>
      <c r="AB33" s="297">
        <v>373.3</v>
      </c>
      <c r="AC33" s="297">
        <v>430.8</v>
      </c>
      <c r="AD33" s="297">
        <v>398.75</v>
      </c>
      <c r="AE33" s="297">
        <v>314.39999999999998</v>
      </c>
      <c r="AF33" s="297">
        <v>106.43</v>
      </c>
      <c r="AG33" s="297">
        <v>165.8</v>
      </c>
      <c r="AH33" s="297">
        <v>126.5</v>
      </c>
      <c r="AI33" s="297">
        <v>139.80000000000001</v>
      </c>
      <c r="AJ33" s="297">
        <v>86.7</v>
      </c>
      <c r="AK33" s="297">
        <v>64.599999999999994</v>
      </c>
      <c r="AL33" s="297">
        <v>68.290000000000006</v>
      </c>
      <c r="AM33" s="297">
        <v>36.6</v>
      </c>
      <c r="AN33" s="297">
        <v>40.700000000000003</v>
      </c>
      <c r="AO33" s="297">
        <v>47.3</v>
      </c>
      <c r="AP33" s="297">
        <v>54.5</v>
      </c>
      <c r="AQ33" s="297">
        <v>53.9</v>
      </c>
      <c r="AR33" s="297">
        <v>34.1</v>
      </c>
      <c r="AS33" s="297">
        <v>29.4</v>
      </c>
      <c r="AT33" s="299">
        <v>28.6</v>
      </c>
      <c r="AU33" s="300"/>
      <c r="AV33" s="300"/>
      <c r="AW33" s="329"/>
      <c r="AX33" s="300" t="s">
        <v>1105</v>
      </c>
      <c r="AY33" s="301"/>
      <c r="AZ33" s="206"/>
    </row>
    <row r="34" spans="3:52" ht="30" customHeight="1">
      <c r="C34" s="208"/>
      <c r="D34" s="318"/>
      <c r="E34" s="319"/>
      <c r="F34" s="319"/>
      <c r="G34" s="319" t="s">
        <v>1106</v>
      </c>
      <c r="H34" s="319"/>
      <c r="I34" s="319"/>
      <c r="J34" s="320"/>
      <c r="K34" s="321">
        <v>117.6</v>
      </c>
      <c r="L34" s="322">
        <v>13.2</v>
      </c>
      <c r="M34" s="322">
        <v>-12.8</v>
      </c>
      <c r="N34" s="322">
        <v>-14.4</v>
      </c>
      <c r="O34" s="322">
        <v>-13</v>
      </c>
      <c r="P34" s="322">
        <v>1.3</v>
      </c>
      <c r="Q34" s="322">
        <v>24.3</v>
      </c>
      <c r="R34" s="323">
        <v>16.100000000000001</v>
      </c>
      <c r="S34" s="322">
        <v>14.6</v>
      </c>
      <c r="T34" s="322">
        <v>18.899999999999999</v>
      </c>
      <c r="U34" s="322">
        <v>17.5</v>
      </c>
      <c r="V34" s="322">
        <v>22.69</v>
      </c>
      <c r="W34" s="322">
        <v>-3.6</v>
      </c>
      <c r="X34" s="322">
        <v>16.7</v>
      </c>
      <c r="Y34" s="322">
        <v>23.8</v>
      </c>
      <c r="Z34" s="322">
        <v>17.100000000000001</v>
      </c>
      <c r="AA34" s="322">
        <v>5.3</v>
      </c>
      <c r="AB34" s="322">
        <v>9.6</v>
      </c>
      <c r="AC34" s="322">
        <v>15.4</v>
      </c>
      <c r="AD34" s="322">
        <v>7.8</v>
      </c>
      <c r="AE34" s="322">
        <v>-3.7</v>
      </c>
      <c r="AF34" s="322">
        <v>3.9</v>
      </c>
      <c r="AG34" s="322">
        <v>-1.1000000000000001</v>
      </c>
      <c r="AH34" s="322">
        <v>3.8</v>
      </c>
      <c r="AI34" s="322">
        <v>1.8</v>
      </c>
      <c r="AJ34" s="322">
        <v>2.2999999999999998</v>
      </c>
      <c r="AK34" s="322">
        <v>3.5</v>
      </c>
      <c r="AL34" s="322">
        <v>2.2999999999999998</v>
      </c>
      <c r="AM34" s="322">
        <v>1.1000000000000001</v>
      </c>
      <c r="AN34" s="324">
        <v>1.6</v>
      </c>
      <c r="AO34" s="324">
        <v>1.5</v>
      </c>
      <c r="AP34" s="324">
        <v>1.4</v>
      </c>
      <c r="AQ34" s="324">
        <v>2.2999999999999998</v>
      </c>
      <c r="AR34" s="324">
        <v>2.7</v>
      </c>
      <c r="AS34" s="324">
        <v>2.6</v>
      </c>
      <c r="AT34" s="325">
        <v>2</v>
      </c>
      <c r="AU34" s="326"/>
      <c r="AV34" s="326" t="s">
        <v>1107</v>
      </c>
      <c r="AW34" s="327"/>
      <c r="AX34" s="326"/>
      <c r="AY34" s="328"/>
      <c r="AZ34" s="208"/>
    </row>
    <row r="35" spans="3:52" ht="30" customHeight="1">
      <c r="C35" s="208"/>
      <c r="D35" s="308"/>
      <c r="E35" s="309"/>
      <c r="F35" s="309"/>
      <c r="G35" s="309" t="s">
        <v>1108</v>
      </c>
      <c r="H35" s="309"/>
      <c r="I35" s="309"/>
      <c r="J35" s="310"/>
      <c r="K35" s="334">
        <v>276.39999999999998</v>
      </c>
      <c r="L35" s="335">
        <v>246.2</v>
      </c>
      <c r="M35" s="335">
        <v>293.8</v>
      </c>
      <c r="N35" s="335">
        <v>289.10000000000002</v>
      </c>
      <c r="O35" s="335">
        <v>228.3</v>
      </c>
      <c r="P35" s="335">
        <v>226.3</v>
      </c>
      <c r="Q35" s="335">
        <v>235.8</v>
      </c>
      <c r="R35" s="336">
        <v>243.9</v>
      </c>
      <c r="S35" s="312">
        <v>111.6</v>
      </c>
      <c r="T35" s="312">
        <v>260.8</v>
      </c>
      <c r="U35" s="312">
        <v>353.6</v>
      </c>
      <c r="V35" s="312">
        <v>209.6</v>
      </c>
      <c r="W35" s="312">
        <v>202.89</v>
      </c>
      <c r="X35" s="312">
        <v>221.3</v>
      </c>
      <c r="Y35" s="312">
        <v>291.2</v>
      </c>
      <c r="Z35" s="312">
        <v>261.7</v>
      </c>
      <c r="AA35" s="312">
        <v>289.60000000000002</v>
      </c>
      <c r="AB35" s="312">
        <v>363.7</v>
      </c>
      <c r="AC35" s="312">
        <v>415.4</v>
      </c>
      <c r="AD35" s="312">
        <v>390.9</v>
      </c>
      <c r="AE35" s="312">
        <v>318.10000000000002</v>
      </c>
      <c r="AF35" s="312">
        <v>102.6</v>
      </c>
      <c r="AG35" s="312">
        <v>166.9</v>
      </c>
      <c r="AH35" s="312">
        <v>122.7</v>
      </c>
      <c r="AI35" s="312">
        <v>138</v>
      </c>
      <c r="AJ35" s="312">
        <v>84.4</v>
      </c>
      <c r="AK35" s="312">
        <v>61.1</v>
      </c>
      <c r="AL35" s="312">
        <v>65.959999999999994</v>
      </c>
      <c r="AM35" s="312">
        <v>35.5</v>
      </c>
      <c r="AN35" s="335">
        <v>39.1</v>
      </c>
      <c r="AO35" s="335">
        <v>45.79</v>
      </c>
      <c r="AP35" s="335">
        <v>53.1</v>
      </c>
      <c r="AQ35" s="335">
        <v>51.6</v>
      </c>
      <c r="AR35" s="335">
        <v>31.4</v>
      </c>
      <c r="AS35" s="335">
        <v>26.8</v>
      </c>
      <c r="AT35" s="336">
        <v>26.6</v>
      </c>
      <c r="AU35" s="315"/>
      <c r="AV35" s="315" t="s">
        <v>1109</v>
      </c>
      <c r="AW35" s="316"/>
      <c r="AX35" s="315"/>
      <c r="AY35" s="317"/>
      <c r="AZ35" s="208"/>
    </row>
    <row r="36" spans="3:52" s="207" customFormat="1" ht="30" customHeight="1">
      <c r="C36" s="206"/>
      <c r="D36" s="283"/>
      <c r="E36" s="286" t="s">
        <v>1110</v>
      </c>
      <c r="F36" s="286"/>
      <c r="G36" s="286"/>
      <c r="H36" s="286"/>
      <c r="I36" s="286"/>
      <c r="J36" s="286"/>
      <c r="K36" s="302">
        <v>133.30000000000001</v>
      </c>
      <c r="L36" s="289">
        <v>205.3</v>
      </c>
      <c r="M36" s="289">
        <v>211.9</v>
      </c>
      <c r="N36" s="289">
        <v>93.6</v>
      </c>
      <c r="O36" s="289">
        <v>151.19999999999999</v>
      </c>
      <c r="P36" s="289">
        <v>-37.6</v>
      </c>
      <c r="Q36" s="289">
        <v>-101.9</v>
      </c>
      <c r="R36" s="304">
        <v>155</v>
      </c>
      <c r="S36" s="289">
        <v>396.2</v>
      </c>
      <c r="T36" s="289">
        <v>-45</v>
      </c>
      <c r="U36" s="289">
        <v>-212.1</v>
      </c>
      <c r="V36" s="289">
        <v>42.599999999999987</v>
      </c>
      <c r="W36" s="289">
        <v>75.899999999999977</v>
      </c>
      <c r="X36" s="289">
        <v>51.000000000000036</v>
      </c>
      <c r="Y36" s="289">
        <v>114.99999999999994</v>
      </c>
      <c r="Z36" s="289">
        <v>64.3</v>
      </c>
      <c r="AA36" s="289">
        <v>156.80000000000001</v>
      </c>
      <c r="AB36" s="289">
        <v>113.4</v>
      </c>
      <c r="AC36" s="289">
        <v>69.099999999999994</v>
      </c>
      <c r="AD36" s="289">
        <v>32.1</v>
      </c>
      <c r="AE36" s="289">
        <v>58.3</v>
      </c>
      <c r="AF36" s="289">
        <v>90.9</v>
      </c>
      <c r="AG36" s="289">
        <f t="shared" ref="AG36:AR36" si="0">AG37+AG40</f>
        <v>50.18</v>
      </c>
      <c r="AH36" s="289">
        <f t="shared" si="0"/>
        <v>-14.600000000000003</v>
      </c>
      <c r="AI36" s="289">
        <f t="shared" si="0"/>
        <v>44.099999999999994</v>
      </c>
      <c r="AJ36" s="289">
        <f t="shared" si="0"/>
        <v>11.56</v>
      </c>
      <c r="AK36" s="289">
        <f t="shared" si="0"/>
        <v>7.6000000000000014</v>
      </c>
      <c r="AL36" s="289">
        <f t="shared" si="0"/>
        <v>6.32</v>
      </c>
      <c r="AM36" s="289">
        <f t="shared" si="0"/>
        <v>5.1000000000000014</v>
      </c>
      <c r="AN36" s="289">
        <f t="shared" si="0"/>
        <v>0.20000000000000018</v>
      </c>
      <c r="AO36" s="289">
        <f t="shared" si="0"/>
        <v>5.3999999999999995</v>
      </c>
      <c r="AP36" s="289">
        <f t="shared" si="0"/>
        <v>5</v>
      </c>
      <c r="AQ36" s="289">
        <f t="shared" si="0"/>
        <v>2</v>
      </c>
      <c r="AR36" s="289">
        <f t="shared" si="0"/>
        <v>5.2</v>
      </c>
      <c r="AS36" s="289">
        <v>2.6</v>
      </c>
      <c r="AT36" s="304">
        <v>6.2</v>
      </c>
      <c r="AU36" s="305"/>
      <c r="AV36" s="305"/>
      <c r="AW36" s="305"/>
      <c r="AX36" s="306" t="s">
        <v>1111</v>
      </c>
      <c r="AY36" s="328"/>
      <c r="AZ36" s="206"/>
    </row>
    <row r="37" spans="3:52" ht="30" customHeight="1">
      <c r="C37" s="208"/>
      <c r="D37" s="308"/>
      <c r="E37" s="309"/>
      <c r="F37" s="309" t="s">
        <v>1112</v>
      </c>
      <c r="G37" s="309"/>
      <c r="H37" s="309"/>
      <c r="I37" s="309"/>
      <c r="J37" s="309"/>
      <c r="K37" s="311">
        <v>-35.6</v>
      </c>
      <c r="L37" s="312">
        <v>-65.5</v>
      </c>
      <c r="M37" s="312">
        <v>-160.1</v>
      </c>
      <c r="N37" s="312">
        <v>-59.9</v>
      </c>
      <c r="O37" s="312">
        <v>-15.3</v>
      </c>
      <c r="P37" s="312">
        <v>-213.7</v>
      </c>
      <c r="Q37" s="312">
        <v>-448.4</v>
      </c>
      <c r="R37" s="314">
        <v>-366.7</v>
      </c>
      <c r="S37" s="312">
        <v>-135.40000000000003</v>
      </c>
      <c r="T37" s="312">
        <v>-165.2</v>
      </c>
      <c r="U37" s="312">
        <v>-200.7</v>
      </c>
      <c r="V37" s="312">
        <v>33.199999999999989</v>
      </c>
      <c r="W37" s="312">
        <v>62.799999999999983</v>
      </c>
      <c r="X37" s="312">
        <v>43.900000000000034</v>
      </c>
      <c r="Y37" s="312">
        <v>105.39999999999995</v>
      </c>
      <c r="Z37" s="312">
        <v>35.5</v>
      </c>
      <c r="AA37" s="312">
        <v>145.9</v>
      </c>
      <c r="AB37" s="312">
        <v>92.6</v>
      </c>
      <c r="AC37" s="312">
        <v>22.2</v>
      </c>
      <c r="AD37" s="312">
        <v>22.75</v>
      </c>
      <c r="AE37" s="312">
        <v>50.4</v>
      </c>
      <c r="AF37" s="312">
        <v>71.62</v>
      </c>
      <c r="AG37" s="312">
        <v>46.43</v>
      </c>
      <c r="AH37" s="312">
        <f t="shared" ref="AH37:AM37" si="1">AH38-AH39</f>
        <v>-11.200000000000003</v>
      </c>
      <c r="AI37" s="312">
        <f t="shared" si="1"/>
        <v>37.799999999999997</v>
      </c>
      <c r="AJ37" s="312">
        <f t="shared" si="1"/>
        <v>10.5</v>
      </c>
      <c r="AK37" s="312">
        <f t="shared" si="1"/>
        <v>8.7000000000000011</v>
      </c>
      <c r="AL37" s="312">
        <f t="shared" si="1"/>
        <v>6.7</v>
      </c>
      <c r="AM37" s="312">
        <f t="shared" si="1"/>
        <v>6.3000000000000016</v>
      </c>
      <c r="AN37" s="312">
        <v>1.6</v>
      </c>
      <c r="AO37" s="312">
        <v>4.5999999999999996</v>
      </c>
      <c r="AP37" s="312">
        <v>5.0999999999999996</v>
      </c>
      <c r="AQ37" s="312">
        <v>1.9</v>
      </c>
      <c r="AR37" s="312">
        <v>4.9000000000000004</v>
      </c>
      <c r="AS37" s="312">
        <v>2.4</v>
      </c>
      <c r="AT37" s="314">
        <v>6</v>
      </c>
      <c r="AU37" s="315"/>
      <c r="AV37" s="315"/>
      <c r="AW37" s="316" t="s">
        <v>1113</v>
      </c>
      <c r="AX37" s="316"/>
      <c r="AY37" s="317"/>
      <c r="AZ37" s="208"/>
    </row>
    <row r="38" spans="3:52" ht="30" customHeight="1">
      <c r="C38" s="208"/>
      <c r="D38" s="318"/>
      <c r="E38" s="319"/>
      <c r="F38" s="319"/>
      <c r="G38" s="319" t="s">
        <v>1114</v>
      </c>
      <c r="H38" s="319"/>
      <c r="I38" s="319"/>
      <c r="J38" s="319"/>
      <c r="K38" s="321">
        <v>259.2</v>
      </c>
      <c r="L38" s="322">
        <v>227.7</v>
      </c>
      <c r="M38" s="322">
        <v>168.3</v>
      </c>
      <c r="N38" s="322">
        <v>327.7</v>
      </c>
      <c r="O38" s="322">
        <v>357.4</v>
      </c>
      <c r="P38" s="322">
        <v>169.2</v>
      </c>
      <c r="Q38" s="322">
        <v>107.4</v>
      </c>
      <c r="R38" s="323">
        <v>286.5</v>
      </c>
      <c r="S38" s="322">
        <v>413.2</v>
      </c>
      <c r="T38" s="322">
        <v>412.8</v>
      </c>
      <c r="U38" s="322">
        <v>347.7</v>
      </c>
      <c r="V38" s="322">
        <v>381.5</v>
      </c>
      <c r="W38" s="322">
        <v>270.39999999999998</v>
      </c>
      <c r="X38" s="322">
        <v>269.10000000000002</v>
      </c>
      <c r="Y38" s="322">
        <v>318.29999999999995</v>
      </c>
      <c r="Z38" s="322">
        <v>286.3</v>
      </c>
      <c r="AA38" s="322">
        <v>315.7</v>
      </c>
      <c r="AB38" s="322">
        <v>316.2</v>
      </c>
      <c r="AC38" s="322">
        <v>318.2</v>
      </c>
      <c r="AD38" s="322">
        <v>196.5</v>
      </c>
      <c r="AE38" s="322">
        <v>135.19999999999999</v>
      </c>
      <c r="AF38" s="322">
        <v>102.1</v>
      </c>
      <c r="AG38" s="322">
        <v>95.2</v>
      </c>
      <c r="AH38" s="322">
        <v>41.8</v>
      </c>
      <c r="AI38" s="322">
        <v>49.4</v>
      </c>
      <c r="AJ38" s="322">
        <v>15.1</v>
      </c>
      <c r="AK38" s="322">
        <v>12.8</v>
      </c>
      <c r="AL38" s="322">
        <v>10.9</v>
      </c>
      <c r="AM38" s="322">
        <f>9.8-1.7</f>
        <v>8.1000000000000014</v>
      </c>
      <c r="AN38" s="322">
        <v>3.1</v>
      </c>
      <c r="AO38" s="322">
        <v>5.4</v>
      </c>
      <c r="AP38" s="322">
        <v>6.1</v>
      </c>
      <c r="AQ38" s="322">
        <v>2.9</v>
      </c>
      <c r="AR38" s="322">
        <v>6.1</v>
      </c>
      <c r="AS38" s="322">
        <v>3.1</v>
      </c>
      <c r="AT38" s="323">
        <v>7.1</v>
      </c>
      <c r="AU38" s="326" t="s">
        <v>1115</v>
      </c>
      <c r="AV38" s="326"/>
      <c r="AW38" s="326"/>
      <c r="AX38" s="327"/>
      <c r="AY38" s="328"/>
      <c r="AZ38" s="208"/>
    </row>
    <row r="39" spans="3:52" ht="30" customHeight="1">
      <c r="C39" s="208"/>
      <c r="D39" s="308"/>
      <c r="E39" s="309"/>
      <c r="F39" s="309"/>
      <c r="G39" s="309" t="s">
        <v>1116</v>
      </c>
      <c r="H39" s="309"/>
      <c r="I39" s="309"/>
      <c r="J39" s="309"/>
      <c r="K39" s="311">
        <v>290.8</v>
      </c>
      <c r="L39" s="312">
        <v>293.2</v>
      </c>
      <c r="M39" s="312">
        <v>320.5</v>
      </c>
      <c r="N39" s="312">
        <v>385.8</v>
      </c>
      <c r="O39" s="312">
        <v>372.2</v>
      </c>
      <c r="P39" s="312">
        <v>382.9</v>
      </c>
      <c r="Q39" s="312">
        <v>555.79999999999995</v>
      </c>
      <c r="R39" s="314">
        <v>653.20000000000005</v>
      </c>
      <c r="S39" s="312">
        <v>548.6</v>
      </c>
      <c r="T39" s="312">
        <v>578</v>
      </c>
      <c r="U39" s="312">
        <v>548.4</v>
      </c>
      <c r="V39" s="312">
        <v>348.3</v>
      </c>
      <c r="W39" s="312">
        <v>207.6</v>
      </c>
      <c r="X39" s="312">
        <v>225.2</v>
      </c>
      <c r="Y39" s="312">
        <v>212.9</v>
      </c>
      <c r="Z39" s="312">
        <v>250.9</v>
      </c>
      <c r="AA39" s="312">
        <v>169.8</v>
      </c>
      <c r="AB39" s="312">
        <v>223.6</v>
      </c>
      <c r="AC39" s="312">
        <v>296</v>
      </c>
      <c r="AD39" s="312">
        <v>173.7</v>
      </c>
      <c r="AE39" s="312">
        <v>84.8</v>
      </c>
      <c r="AF39" s="312">
        <v>28.5</v>
      </c>
      <c r="AG39" s="312">
        <v>9.1</v>
      </c>
      <c r="AH39" s="312">
        <v>53</v>
      </c>
      <c r="AI39" s="312">
        <v>11.6</v>
      </c>
      <c r="AJ39" s="312">
        <f>5.2-0.6</f>
        <v>4.6000000000000005</v>
      </c>
      <c r="AK39" s="312">
        <f>5.2-1.1</f>
        <v>4.0999999999999996</v>
      </c>
      <c r="AL39" s="312">
        <v>4.2</v>
      </c>
      <c r="AM39" s="312">
        <v>1.8</v>
      </c>
      <c r="AN39" s="312">
        <v>1.5</v>
      </c>
      <c r="AO39" s="312">
        <v>0.8</v>
      </c>
      <c r="AP39" s="312">
        <v>1</v>
      </c>
      <c r="AQ39" s="312">
        <v>1</v>
      </c>
      <c r="AR39" s="312">
        <v>1.2</v>
      </c>
      <c r="AS39" s="312">
        <v>0.7</v>
      </c>
      <c r="AT39" s="314">
        <v>1.1000000000000001</v>
      </c>
      <c r="AU39" s="315" t="s">
        <v>1117</v>
      </c>
      <c r="AV39" s="315"/>
      <c r="AW39" s="316"/>
      <c r="AX39" s="315"/>
      <c r="AY39" s="332"/>
      <c r="AZ39" s="208"/>
    </row>
    <row r="40" spans="3:52" ht="30" customHeight="1">
      <c r="C40" s="208"/>
      <c r="D40" s="318"/>
      <c r="E40" s="319"/>
      <c r="F40" s="319" t="s">
        <v>1118</v>
      </c>
      <c r="G40" s="319"/>
      <c r="H40" s="319"/>
      <c r="I40" s="319"/>
      <c r="J40" s="319"/>
      <c r="K40" s="321">
        <v>168.9</v>
      </c>
      <c r="L40" s="322">
        <v>270.8</v>
      </c>
      <c r="M40" s="322">
        <v>372</v>
      </c>
      <c r="N40" s="322">
        <v>153.5</v>
      </c>
      <c r="O40" s="322">
        <v>166.5</v>
      </c>
      <c r="P40" s="322">
        <v>176.1</v>
      </c>
      <c r="Q40" s="322">
        <v>346.5</v>
      </c>
      <c r="R40" s="323">
        <v>521.70000000000005</v>
      </c>
      <c r="S40" s="322">
        <v>531.6</v>
      </c>
      <c r="T40" s="322">
        <v>120.19999999999999</v>
      </c>
      <c r="U40" s="322">
        <v>-11.4</v>
      </c>
      <c r="V40" s="322">
        <v>9.4</v>
      </c>
      <c r="W40" s="322">
        <v>13.1</v>
      </c>
      <c r="X40" s="322">
        <v>7.1</v>
      </c>
      <c r="Y40" s="322">
        <v>9.6</v>
      </c>
      <c r="Z40" s="322">
        <v>28.9</v>
      </c>
      <c r="AA40" s="322">
        <v>10.9</v>
      </c>
      <c r="AB40" s="322">
        <v>20.8</v>
      </c>
      <c r="AC40" s="322">
        <v>46.9</v>
      </c>
      <c r="AD40" s="322">
        <v>9.2899999999999991</v>
      </c>
      <c r="AE40" s="322">
        <v>7.87</v>
      </c>
      <c r="AF40" s="322">
        <v>17.23</v>
      </c>
      <c r="AG40" s="322">
        <v>3.75</v>
      </c>
      <c r="AH40" s="322">
        <v>-3.4</v>
      </c>
      <c r="AI40" s="322">
        <v>6.3</v>
      </c>
      <c r="AJ40" s="322">
        <v>1.06</v>
      </c>
      <c r="AK40" s="322">
        <v>-1.1000000000000001</v>
      </c>
      <c r="AL40" s="322">
        <v>-0.38</v>
      </c>
      <c r="AM40" s="322">
        <v>-1.2</v>
      </c>
      <c r="AN40" s="322">
        <v>-1.4</v>
      </c>
      <c r="AO40" s="322">
        <v>0.8</v>
      </c>
      <c r="AP40" s="322">
        <v>-0.1</v>
      </c>
      <c r="AQ40" s="322">
        <v>0.1</v>
      </c>
      <c r="AR40" s="322">
        <v>0.3</v>
      </c>
      <c r="AS40" s="322">
        <v>0.2</v>
      </c>
      <c r="AT40" s="323">
        <v>0.2</v>
      </c>
      <c r="AU40" s="326"/>
      <c r="AV40" s="326"/>
      <c r="AW40" s="326" t="s">
        <v>1119</v>
      </c>
      <c r="AX40" s="327"/>
      <c r="AY40" s="328"/>
      <c r="AZ40" s="208"/>
    </row>
    <row r="41" spans="3:52" s="207" customFormat="1" ht="30" customHeight="1">
      <c r="C41" s="206"/>
      <c r="D41" s="294"/>
      <c r="E41" s="295" t="s">
        <v>1120</v>
      </c>
      <c r="F41" s="295"/>
      <c r="G41" s="295"/>
      <c r="H41" s="295"/>
      <c r="I41" s="295"/>
      <c r="J41" s="295"/>
      <c r="K41" s="296">
        <v>20.9</v>
      </c>
      <c r="L41" s="297">
        <v>-304.89999999999998</v>
      </c>
      <c r="M41" s="297">
        <v>-38.799999999999997</v>
      </c>
      <c r="N41" s="297">
        <v>-184.5</v>
      </c>
      <c r="O41" s="298">
        <v>-165.4</v>
      </c>
      <c r="P41" s="298">
        <v>5.3</v>
      </c>
      <c r="Q41" s="298">
        <v>184.1</v>
      </c>
      <c r="R41" s="299">
        <v>70.099999999999994</v>
      </c>
      <c r="S41" s="297">
        <v>269.90000000000003</v>
      </c>
      <c r="T41" s="297">
        <v>63</v>
      </c>
      <c r="U41" s="297">
        <v>-9.7200000000000131</v>
      </c>
      <c r="V41" s="297">
        <v>-47.64</v>
      </c>
      <c r="W41" s="297">
        <v>5.930000000000021</v>
      </c>
      <c r="X41" s="297">
        <v>-16.700000000000031</v>
      </c>
      <c r="Y41" s="297">
        <v>-19.199999999999932</v>
      </c>
      <c r="Z41" s="297">
        <v>-29.5</v>
      </c>
      <c r="AA41" s="297">
        <v>34.899999999999991</v>
      </c>
      <c r="AB41" s="297">
        <v>-57.500000000000014</v>
      </c>
      <c r="AC41" s="297">
        <v>-41.3</v>
      </c>
      <c r="AD41" s="297">
        <v>-33.699999999999989</v>
      </c>
      <c r="AE41" s="297">
        <v>6.2000000000000242</v>
      </c>
      <c r="AF41" s="297">
        <v>31.79999999999999</v>
      </c>
      <c r="AG41" s="297">
        <f t="shared" ref="AG41:AT41" si="2">AG42-AG36-AG12</f>
        <v>17.020000000000032</v>
      </c>
      <c r="AH41" s="297">
        <f t="shared" si="2"/>
        <v>-13.599999999999998</v>
      </c>
      <c r="AI41" s="297">
        <f t="shared" si="2"/>
        <v>-18.899999999999991</v>
      </c>
      <c r="AJ41" s="297">
        <f t="shared" si="2"/>
        <v>-7.1600000000000064</v>
      </c>
      <c r="AK41" s="297">
        <f t="shared" si="2"/>
        <v>2.2000000000000153</v>
      </c>
      <c r="AL41" s="297">
        <f t="shared" si="2"/>
        <v>-1.8099999999999925</v>
      </c>
      <c r="AM41" s="297">
        <f t="shared" si="2"/>
        <v>1.8000000000000007</v>
      </c>
      <c r="AN41" s="297">
        <f t="shared" si="2"/>
        <v>3.2</v>
      </c>
      <c r="AO41" s="297">
        <f t="shared" si="2"/>
        <v>0</v>
      </c>
      <c r="AP41" s="297">
        <f t="shared" si="2"/>
        <v>1.2000000000000011</v>
      </c>
      <c r="AQ41" s="297">
        <f t="shared" si="2"/>
        <v>5.0000000000000036</v>
      </c>
      <c r="AR41" s="297">
        <f t="shared" si="2"/>
        <v>5.1000000000000103</v>
      </c>
      <c r="AS41" s="297">
        <f t="shared" si="2"/>
        <v>0.99999999999999156</v>
      </c>
      <c r="AT41" s="299">
        <f t="shared" si="2"/>
        <v>6.7999999999999936</v>
      </c>
      <c r="AU41" s="300"/>
      <c r="AV41" s="300"/>
      <c r="AW41" s="300"/>
      <c r="AX41" s="300" t="s">
        <v>1121</v>
      </c>
      <c r="AY41" s="330"/>
      <c r="AZ41" s="206"/>
    </row>
    <row r="42" spans="3:52" s="207" customFormat="1" ht="30" customHeight="1">
      <c r="C42" s="206"/>
      <c r="D42" s="337"/>
      <c r="E42" s="338" t="s">
        <v>870</v>
      </c>
      <c r="F42" s="338"/>
      <c r="G42" s="338"/>
      <c r="H42" s="338"/>
      <c r="I42" s="338"/>
      <c r="J42" s="338"/>
      <c r="K42" s="339">
        <v>441.3</v>
      </c>
      <c r="L42" s="340">
        <v>-84.1</v>
      </c>
      <c r="M42" s="340">
        <v>193.9</v>
      </c>
      <c r="N42" s="340">
        <v>-248.3</v>
      </c>
      <c r="O42" s="340">
        <v>-194</v>
      </c>
      <c r="P42" s="340">
        <v>-311.5</v>
      </c>
      <c r="Q42" s="340">
        <v>-364.2</v>
      </c>
      <c r="R42" s="341">
        <v>-362.6</v>
      </c>
      <c r="S42" s="340">
        <v>378</v>
      </c>
      <c r="T42" s="340">
        <v>-254.8</v>
      </c>
      <c r="U42" s="340">
        <v>-116.9</v>
      </c>
      <c r="V42" s="340">
        <v>-110.5</v>
      </c>
      <c r="W42" s="340">
        <v>-36.5</v>
      </c>
      <c r="X42" s="340">
        <v>18.3</v>
      </c>
      <c r="Y42" s="340">
        <v>-4.0999999999999996</v>
      </c>
      <c r="Z42" s="340">
        <v>-69.3</v>
      </c>
      <c r="AA42" s="340">
        <v>50.3</v>
      </c>
      <c r="AB42" s="340">
        <v>-62.4</v>
      </c>
      <c r="AC42" s="340">
        <v>14.1</v>
      </c>
      <c r="AD42" s="340">
        <v>110</v>
      </c>
      <c r="AE42" s="340">
        <v>62.4</v>
      </c>
      <c r="AF42" s="340">
        <v>36.9</v>
      </c>
      <c r="AG42" s="340">
        <f>-AG44</f>
        <v>64.7</v>
      </c>
      <c r="AH42" s="340">
        <f t="shared" ref="AH42:AT42" si="3">-AH44</f>
        <v>-10.9</v>
      </c>
      <c r="AI42" s="340">
        <f t="shared" si="3"/>
        <v>46.7</v>
      </c>
      <c r="AJ42" s="340">
        <f t="shared" si="3"/>
        <v>7.3</v>
      </c>
      <c r="AK42" s="340">
        <f t="shared" si="3"/>
        <v>13.6</v>
      </c>
      <c r="AL42" s="340">
        <f t="shared" si="3"/>
        <v>5.8</v>
      </c>
      <c r="AM42" s="340">
        <f t="shared" si="3"/>
        <v>-14.4</v>
      </c>
      <c r="AN42" s="340">
        <f t="shared" si="3"/>
        <v>-2.5</v>
      </c>
      <c r="AO42" s="340">
        <f t="shared" si="3"/>
        <v>-10.9</v>
      </c>
      <c r="AP42" s="340">
        <f t="shared" si="3"/>
        <v>16.3</v>
      </c>
      <c r="AQ42" s="340">
        <f t="shared" si="3"/>
        <v>33.200000000000003</v>
      </c>
      <c r="AR42" s="340">
        <f t="shared" si="3"/>
        <v>8.9</v>
      </c>
      <c r="AS42" s="340">
        <f t="shared" si="3"/>
        <v>6.2</v>
      </c>
      <c r="AT42" s="342">
        <f t="shared" si="3"/>
        <v>17.100000000000001</v>
      </c>
      <c r="AU42" s="343"/>
      <c r="AV42" s="343"/>
      <c r="AW42" s="343"/>
      <c r="AX42" s="343" t="s">
        <v>1122</v>
      </c>
      <c r="AY42" s="344"/>
      <c r="AZ42" s="206"/>
    </row>
    <row r="43" spans="3:52" s="207" customFormat="1" ht="9" customHeight="1">
      <c r="C43" s="206"/>
      <c r="D43" s="294"/>
      <c r="E43" s="295"/>
      <c r="F43" s="295"/>
      <c r="G43" s="295"/>
      <c r="H43" s="295"/>
      <c r="I43" s="295"/>
      <c r="J43" s="295"/>
      <c r="K43" s="296"/>
      <c r="L43" s="297"/>
      <c r="M43" s="297"/>
      <c r="N43" s="297"/>
      <c r="O43" s="297"/>
      <c r="P43" s="297"/>
      <c r="Q43" s="297"/>
      <c r="R43" s="345"/>
      <c r="S43" s="297"/>
      <c r="T43" s="297"/>
      <c r="U43" s="297"/>
      <c r="V43" s="297"/>
      <c r="W43" s="297"/>
      <c r="X43" s="297"/>
      <c r="Y43" s="297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297"/>
      <c r="AN43" s="297"/>
      <c r="AO43" s="297"/>
      <c r="AP43" s="297"/>
      <c r="AQ43" s="297"/>
      <c r="AR43" s="297"/>
      <c r="AS43" s="297"/>
      <c r="AT43" s="299"/>
      <c r="AU43" s="300"/>
      <c r="AV43" s="300"/>
      <c r="AW43" s="300"/>
      <c r="AX43" s="300"/>
      <c r="AY43" s="301"/>
      <c r="AZ43" s="206"/>
    </row>
    <row r="44" spans="3:52" s="346" customFormat="1" ht="30" customHeight="1">
      <c r="D44" s="294"/>
      <c r="E44" s="347" t="s">
        <v>1123</v>
      </c>
      <c r="F44" s="347"/>
      <c r="G44" s="347"/>
      <c r="H44" s="347"/>
      <c r="I44" s="347"/>
      <c r="J44" s="347"/>
      <c r="K44" s="296">
        <v>-441.3</v>
      </c>
      <c r="L44" s="297">
        <v>84.1</v>
      </c>
      <c r="M44" s="297">
        <v>-193.9</v>
      </c>
      <c r="N44" s="297">
        <v>248.3</v>
      </c>
      <c r="O44" s="297">
        <v>194</v>
      </c>
      <c r="P44" s="297">
        <v>311.5</v>
      </c>
      <c r="Q44" s="297">
        <v>364.2</v>
      </c>
      <c r="R44" s="299">
        <v>362.6</v>
      </c>
      <c r="S44" s="297">
        <v>-378</v>
      </c>
      <c r="T44" s="297">
        <v>254.8</v>
      </c>
      <c r="U44" s="297">
        <v>116.9</v>
      </c>
      <c r="V44" s="297">
        <v>110.5</v>
      </c>
      <c r="W44" s="297">
        <v>36.5</v>
      </c>
      <c r="X44" s="297">
        <v>-18.3</v>
      </c>
      <c r="Y44" s="297">
        <v>4.0999999999999996</v>
      </c>
      <c r="Z44" s="297">
        <v>69.3</v>
      </c>
      <c r="AA44" s="297">
        <v>-50.3</v>
      </c>
      <c r="AB44" s="297">
        <v>62.4</v>
      </c>
      <c r="AC44" s="297">
        <v>-14.1</v>
      </c>
      <c r="AD44" s="297">
        <v>-110</v>
      </c>
      <c r="AE44" s="297">
        <v>-62.4</v>
      </c>
      <c r="AF44" s="297">
        <v>-36.9</v>
      </c>
      <c r="AG44" s="297">
        <v>-64.7</v>
      </c>
      <c r="AH44" s="297">
        <v>10.9</v>
      </c>
      <c r="AI44" s="297">
        <v>-46.7</v>
      </c>
      <c r="AJ44" s="297">
        <v>-7.3</v>
      </c>
      <c r="AK44" s="297">
        <v>-13.6</v>
      </c>
      <c r="AL44" s="297">
        <v>-5.8</v>
      </c>
      <c r="AM44" s="297">
        <v>14.4</v>
      </c>
      <c r="AN44" s="297">
        <v>2.5</v>
      </c>
      <c r="AO44" s="297">
        <v>10.9</v>
      </c>
      <c r="AP44" s="297">
        <v>-16.3</v>
      </c>
      <c r="AQ44" s="297">
        <v>-33.200000000000003</v>
      </c>
      <c r="AR44" s="297">
        <v>-8.9</v>
      </c>
      <c r="AS44" s="297">
        <v>-6.2</v>
      </c>
      <c r="AT44" s="299">
        <v>-17.100000000000001</v>
      </c>
      <c r="AU44" s="300"/>
      <c r="AV44" s="300"/>
      <c r="AW44" s="300"/>
      <c r="AX44" s="348" t="s">
        <v>1124</v>
      </c>
      <c r="AY44" s="301"/>
      <c r="AZ44" s="349"/>
    </row>
    <row r="45" spans="3:52" s="350" customFormat="1" ht="30" customHeight="1">
      <c r="D45" s="318"/>
      <c r="E45" s="351"/>
      <c r="F45" s="351" t="s">
        <v>1125</v>
      </c>
      <c r="G45" s="351"/>
      <c r="H45" s="351"/>
      <c r="I45" s="351"/>
      <c r="J45" s="351"/>
      <c r="K45" s="321">
        <v>92.1</v>
      </c>
      <c r="L45" s="322">
        <v>67.3</v>
      </c>
      <c r="M45" s="322">
        <v>71.3</v>
      </c>
      <c r="N45" s="322">
        <v>63</v>
      </c>
      <c r="O45" s="322">
        <v>98.4</v>
      </c>
      <c r="P45" s="322">
        <v>103</v>
      </c>
      <c r="Q45" s="322">
        <v>110.3</v>
      </c>
      <c r="R45" s="323">
        <v>48.1</v>
      </c>
      <c r="S45" s="322" t="s">
        <v>1098</v>
      </c>
      <c r="T45" s="322" t="s">
        <v>1098</v>
      </c>
      <c r="U45" s="322" t="s">
        <v>1098</v>
      </c>
      <c r="V45" s="322">
        <v>0</v>
      </c>
      <c r="W45" s="322">
        <v>0</v>
      </c>
      <c r="X45" s="322">
        <v>0</v>
      </c>
      <c r="Y45" s="322">
        <v>0</v>
      </c>
      <c r="Z45" s="322">
        <v>0</v>
      </c>
      <c r="AA45" s="322">
        <v>0</v>
      </c>
      <c r="AB45" s="322">
        <v>0</v>
      </c>
      <c r="AC45" s="322">
        <v>0</v>
      </c>
      <c r="AD45" s="322">
        <v>0</v>
      </c>
      <c r="AE45" s="322">
        <v>0</v>
      </c>
      <c r="AF45" s="322">
        <v>0</v>
      </c>
      <c r="AG45" s="322">
        <v>0</v>
      </c>
      <c r="AH45" s="322">
        <v>0</v>
      </c>
      <c r="AI45" s="322">
        <v>0</v>
      </c>
      <c r="AJ45" s="322">
        <v>0</v>
      </c>
      <c r="AK45" s="322">
        <v>0</v>
      </c>
      <c r="AL45" s="322">
        <v>0</v>
      </c>
      <c r="AM45" s="322">
        <v>0</v>
      </c>
      <c r="AN45" s="322">
        <v>0</v>
      </c>
      <c r="AO45" s="322">
        <v>0</v>
      </c>
      <c r="AP45" s="322">
        <v>0</v>
      </c>
      <c r="AQ45" s="322">
        <v>0</v>
      </c>
      <c r="AR45" s="322">
        <v>0</v>
      </c>
      <c r="AS45" s="322">
        <v>0</v>
      </c>
      <c r="AT45" s="323">
        <v>0</v>
      </c>
      <c r="AU45" s="326"/>
      <c r="AV45" s="326"/>
      <c r="AW45" s="326" t="s">
        <v>1126</v>
      </c>
      <c r="AX45" s="352"/>
      <c r="AY45" s="353"/>
      <c r="AZ45" s="354"/>
    </row>
    <row r="46" spans="3:52" s="350" customFormat="1" ht="30" customHeight="1">
      <c r="D46" s="308"/>
      <c r="E46" s="331"/>
      <c r="F46" s="355" t="s">
        <v>1127</v>
      </c>
      <c r="G46" s="331"/>
      <c r="H46" s="331"/>
      <c r="I46" s="331"/>
      <c r="J46" s="331"/>
      <c r="K46" s="311">
        <v>103.7</v>
      </c>
      <c r="L46" s="312">
        <v>121.6</v>
      </c>
      <c r="M46" s="312">
        <v>135.9</v>
      </c>
      <c r="N46" s="312">
        <v>200.3</v>
      </c>
      <c r="O46" s="312">
        <v>207.1</v>
      </c>
      <c r="P46" s="312">
        <v>193.5</v>
      </c>
      <c r="Q46" s="312">
        <v>228.6</v>
      </c>
      <c r="R46" s="314">
        <v>324.89999999999998</v>
      </c>
      <c r="S46" s="312" t="s">
        <v>1098</v>
      </c>
      <c r="T46" s="312" t="s">
        <v>1098</v>
      </c>
      <c r="U46" s="312" t="s">
        <v>1098</v>
      </c>
      <c r="V46" s="312">
        <v>0</v>
      </c>
      <c r="W46" s="312">
        <v>0</v>
      </c>
      <c r="X46" s="312">
        <v>0</v>
      </c>
      <c r="Y46" s="312">
        <v>0</v>
      </c>
      <c r="Z46" s="312">
        <v>0</v>
      </c>
      <c r="AA46" s="312">
        <v>0</v>
      </c>
      <c r="AB46" s="312">
        <v>0</v>
      </c>
      <c r="AC46" s="312">
        <v>0</v>
      </c>
      <c r="AD46" s="312">
        <v>0</v>
      </c>
      <c r="AE46" s="312">
        <v>0</v>
      </c>
      <c r="AF46" s="312">
        <v>0</v>
      </c>
      <c r="AG46" s="312">
        <v>0</v>
      </c>
      <c r="AH46" s="312">
        <v>0</v>
      </c>
      <c r="AI46" s="312">
        <v>0</v>
      </c>
      <c r="AJ46" s="312">
        <v>0</v>
      </c>
      <c r="AK46" s="312">
        <v>0</v>
      </c>
      <c r="AL46" s="312">
        <v>0</v>
      </c>
      <c r="AM46" s="312">
        <v>0</v>
      </c>
      <c r="AN46" s="312">
        <v>0</v>
      </c>
      <c r="AO46" s="312">
        <v>0</v>
      </c>
      <c r="AP46" s="312">
        <v>0</v>
      </c>
      <c r="AQ46" s="312">
        <v>0</v>
      </c>
      <c r="AR46" s="312">
        <v>0</v>
      </c>
      <c r="AS46" s="312">
        <v>0</v>
      </c>
      <c r="AT46" s="314">
        <v>0</v>
      </c>
      <c r="AU46" s="315"/>
      <c r="AV46" s="315"/>
      <c r="AW46" s="356" t="s">
        <v>1128</v>
      </c>
      <c r="AX46" s="357"/>
      <c r="AY46" s="358"/>
      <c r="AZ46" s="354"/>
    </row>
    <row r="47" spans="3:52" ht="30" customHeight="1">
      <c r="D47" s="318"/>
      <c r="E47" s="359"/>
      <c r="F47" s="351" t="s">
        <v>1129</v>
      </c>
      <c r="G47" s="351"/>
      <c r="H47" s="351"/>
      <c r="I47" s="351"/>
      <c r="J47" s="351"/>
      <c r="K47" s="360">
        <v>-656.4</v>
      </c>
      <c r="L47" s="361">
        <v>-127.5</v>
      </c>
      <c r="M47" s="361">
        <v>-499.1</v>
      </c>
      <c r="N47" s="361">
        <v>-87.5</v>
      </c>
      <c r="O47" s="361">
        <v>-196.1</v>
      </c>
      <c r="P47" s="361">
        <v>-33.700000000000003</v>
      </c>
      <c r="Q47" s="361">
        <v>34.1</v>
      </c>
      <c r="R47" s="362">
        <v>-33.200000000000003</v>
      </c>
      <c r="S47" s="322">
        <v>-734.1</v>
      </c>
      <c r="T47" s="322">
        <v>-268.7</v>
      </c>
      <c r="U47" s="322">
        <v>-317.8</v>
      </c>
      <c r="V47" s="322">
        <v>120.3</v>
      </c>
      <c r="W47" s="322">
        <v>36.5</v>
      </c>
      <c r="X47" s="322">
        <v>-18.3</v>
      </c>
      <c r="Y47" s="322">
        <v>-18.5</v>
      </c>
      <c r="Z47" s="322">
        <v>69.3</v>
      </c>
      <c r="AA47" s="322">
        <v>-50.3</v>
      </c>
      <c r="AB47" s="322">
        <v>62.4</v>
      </c>
      <c r="AC47" s="322">
        <v>-14.100000000000001</v>
      </c>
      <c r="AD47" s="322">
        <v>-110</v>
      </c>
      <c r="AE47" s="322">
        <v>-62.4</v>
      </c>
      <c r="AF47" s="322">
        <v>-36.9</v>
      </c>
      <c r="AG47" s="322">
        <v>-64.7</v>
      </c>
      <c r="AH47" s="322">
        <v>10.9</v>
      </c>
      <c r="AI47" s="322">
        <v>-46.7</v>
      </c>
      <c r="AJ47" s="322">
        <v>-6.7</v>
      </c>
      <c r="AK47" s="361">
        <v>-12.5</v>
      </c>
      <c r="AL47" s="361">
        <f>-6.7+0.9</f>
        <v>-5.8</v>
      </c>
      <c r="AM47" s="361">
        <f>11.8+0.9</f>
        <v>12.700000000000001</v>
      </c>
      <c r="AN47" s="361">
        <f>1.5+1</f>
        <v>2.5</v>
      </c>
      <c r="AO47" s="361">
        <v>10.9</v>
      </c>
      <c r="AP47" s="361">
        <v>-16.3</v>
      </c>
      <c r="AQ47" s="361">
        <v>-33.200000000000003</v>
      </c>
      <c r="AR47" s="361">
        <v>-8.9</v>
      </c>
      <c r="AS47" s="361">
        <v>-6.2</v>
      </c>
      <c r="AT47" s="362">
        <v>-17.100000000000001</v>
      </c>
      <c r="AU47" s="326"/>
      <c r="AV47" s="326"/>
      <c r="AW47" s="363" t="s">
        <v>1130</v>
      </c>
      <c r="AX47" s="327"/>
      <c r="AY47" s="353"/>
      <c r="AZ47" s="205"/>
    </row>
    <row r="48" spans="3:52" ht="5.25" customHeight="1">
      <c r="C48" s="205"/>
      <c r="D48" s="337"/>
      <c r="E48" s="364"/>
      <c r="F48" s="365"/>
      <c r="G48" s="365"/>
      <c r="H48" s="365"/>
      <c r="I48" s="365"/>
      <c r="J48" s="365"/>
      <c r="K48" s="366"/>
      <c r="L48" s="365"/>
      <c r="M48" s="365"/>
      <c r="N48" s="365"/>
      <c r="O48" s="365"/>
      <c r="P48" s="365"/>
      <c r="Q48" s="365"/>
      <c r="R48" s="365"/>
      <c r="S48" s="365"/>
      <c r="T48" s="365"/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7"/>
      <c r="AG48" s="367"/>
      <c r="AH48" s="367"/>
      <c r="AI48" s="367"/>
      <c r="AJ48" s="367"/>
      <c r="AK48" s="368"/>
      <c r="AL48" s="368"/>
      <c r="AM48" s="368"/>
      <c r="AN48" s="368"/>
      <c r="AO48" s="368"/>
      <c r="AP48" s="368"/>
      <c r="AQ48" s="368"/>
      <c r="AR48" s="368"/>
      <c r="AS48" s="368"/>
      <c r="AT48" s="369"/>
      <c r="AU48" s="370"/>
      <c r="AV48" s="371"/>
      <c r="AW48" s="370"/>
      <c r="AX48" s="365"/>
      <c r="AY48" s="372"/>
      <c r="AZ48" s="209"/>
    </row>
    <row r="49" spans="3:52">
      <c r="D49" s="373"/>
      <c r="E49" s="373"/>
      <c r="F49" s="374"/>
      <c r="G49" s="375"/>
      <c r="H49" s="376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377"/>
      <c r="AW49" s="378"/>
      <c r="AX49" s="379"/>
      <c r="AY49" s="380"/>
    </row>
    <row r="50" spans="3:52">
      <c r="C50" s="207"/>
      <c r="D50" s="207"/>
      <c r="E50" s="207"/>
      <c r="F50" s="381"/>
      <c r="G50" s="375"/>
      <c r="H50" s="376"/>
      <c r="I50" s="376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376"/>
      <c r="AO50" s="376"/>
      <c r="AP50" s="376"/>
      <c r="AQ50" s="376"/>
      <c r="AR50" s="376"/>
      <c r="AS50" s="376"/>
      <c r="AT50" s="376"/>
      <c r="AU50" s="207"/>
      <c r="AV50" s="377"/>
      <c r="AW50" s="382"/>
      <c r="AX50" s="382"/>
      <c r="AY50" s="207"/>
    </row>
    <row r="51" spans="3:52">
      <c r="D51" s="201"/>
      <c r="E51" s="201"/>
      <c r="F51" s="381"/>
      <c r="G51" s="375"/>
      <c r="H51" s="376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377"/>
      <c r="AW51" s="382"/>
      <c r="AX51" s="382"/>
      <c r="AY51" s="201"/>
    </row>
    <row r="52" spans="3:52">
      <c r="D52" s="373"/>
      <c r="E52" s="373"/>
      <c r="F52" s="383"/>
      <c r="G52" s="384"/>
      <c r="H52" s="385"/>
      <c r="I52" s="386"/>
      <c r="AK52" s="201"/>
      <c r="AL52" s="201"/>
      <c r="AM52" s="201"/>
      <c r="AN52" s="201"/>
      <c r="AU52" s="387"/>
      <c r="AV52" s="388"/>
      <c r="AW52" s="389"/>
      <c r="AX52" s="389"/>
      <c r="AY52" s="201"/>
    </row>
    <row r="53" spans="3:52">
      <c r="D53" s="201"/>
      <c r="E53" s="383"/>
      <c r="F53" s="383"/>
      <c r="G53" s="384"/>
      <c r="H53" s="385"/>
      <c r="I53" s="390"/>
      <c r="AU53" s="387"/>
      <c r="AV53" s="388"/>
      <c r="AW53" s="389"/>
      <c r="AX53" s="389"/>
      <c r="AZ53" s="208"/>
    </row>
    <row r="54" spans="3:52">
      <c r="D54" s="201"/>
      <c r="E54" s="391"/>
      <c r="F54" s="201"/>
      <c r="H54" s="385"/>
      <c r="I54" s="390"/>
      <c r="AV54" s="388"/>
      <c r="AW54" s="212"/>
      <c r="AX54" s="212"/>
      <c r="AY54" s="212"/>
      <c r="AZ54" s="208"/>
    </row>
    <row r="55" spans="3:52">
      <c r="D55" s="201"/>
      <c r="E55" s="201"/>
      <c r="F55" s="201"/>
      <c r="H55" s="385"/>
      <c r="I55" s="390"/>
      <c r="AW55" s="388"/>
      <c r="AX55" s="212"/>
      <c r="AY55" s="212"/>
      <c r="AZ55" s="208"/>
    </row>
    <row r="56" spans="3:52">
      <c r="D56" s="201"/>
      <c r="E56" s="201"/>
      <c r="F56" s="201"/>
      <c r="AU56" s="212"/>
      <c r="AV56" s="212"/>
      <c r="AW56" s="212"/>
      <c r="AX56" s="212"/>
      <c r="AY56" s="212"/>
      <c r="AZ56" s="208"/>
    </row>
    <row r="57" spans="3:52">
      <c r="D57" s="201"/>
      <c r="E57" s="201"/>
      <c r="F57" s="201"/>
      <c r="AU57" s="212"/>
      <c r="AV57" s="212"/>
      <c r="AW57" s="212"/>
      <c r="AX57" s="212"/>
      <c r="AY57" s="212"/>
      <c r="AZ57" s="208"/>
    </row>
    <row r="58" spans="3:52">
      <c r="D58" s="201"/>
      <c r="E58" s="201"/>
      <c r="F58" s="201"/>
      <c r="AU58" s="212"/>
      <c r="AV58" s="212"/>
      <c r="AW58" s="212"/>
      <c r="AX58" s="212"/>
      <c r="AY58" s="212"/>
      <c r="AZ58" s="208"/>
    </row>
  </sheetData>
  <mergeCells count="40">
    <mergeCell ref="AT7:AT11"/>
    <mergeCell ref="AI7:AI11"/>
    <mergeCell ref="AJ7:AJ11"/>
    <mergeCell ref="AK7:AK11"/>
    <mergeCell ref="AL7:AL11"/>
    <mergeCell ref="AM7:AM11"/>
    <mergeCell ref="AN7:AN11"/>
    <mergeCell ref="AO7:AO11"/>
    <mergeCell ref="AP7:AP11"/>
    <mergeCell ref="AQ7:AQ11"/>
    <mergeCell ref="AR7:AR11"/>
    <mergeCell ref="AS7:AS11"/>
    <mergeCell ref="AH7:AH11"/>
    <mergeCell ref="W7:W11"/>
    <mergeCell ref="X7:X11"/>
    <mergeCell ref="Y7:Y11"/>
    <mergeCell ref="Z7:Z11"/>
    <mergeCell ref="AA7:AA11"/>
    <mergeCell ref="AB7:AB11"/>
    <mergeCell ref="AC7:AC11"/>
    <mergeCell ref="AD7:AD11"/>
    <mergeCell ref="AE7:AE11"/>
    <mergeCell ref="AF7:AF11"/>
    <mergeCell ref="AG7:AG11"/>
    <mergeCell ref="V7:V11"/>
    <mergeCell ref="D3:AM3"/>
    <mergeCell ref="AN3:AY3"/>
    <mergeCell ref="D4:AM4"/>
    <mergeCell ref="AN4:AY4"/>
    <mergeCell ref="K7:K11"/>
    <mergeCell ref="L7:L11"/>
    <mergeCell ref="M7:M11"/>
    <mergeCell ref="N7:N11"/>
    <mergeCell ref="O7:O11"/>
    <mergeCell ref="P7:P11"/>
    <mergeCell ref="Q7:Q11"/>
    <mergeCell ref="R7:R11"/>
    <mergeCell ref="S7:S11"/>
    <mergeCell ref="T7:T11"/>
    <mergeCell ref="U7:U11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3" orientation="portrait" r:id="rId1"/>
  <headerFooter alignWithMargins="0">
    <oddFooter>&amp;C&amp;"Times New Roman (Arabic),Regular"&amp;22-36-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Y56"/>
  <sheetViews>
    <sheetView zoomScale="76" zoomScaleNormal="76" zoomScaleSheetLayoutView="100" workbookViewId="0">
      <selection activeCell="B9" sqref="B9"/>
    </sheetView>
  </sheetViews>
  <sheetFormatPr defaultColWidth="1" defaultRowHeight="15"/>
  <cols>
    <col min="1" max="1" width="7.140625" customWidth="1"/>
    <col min="2" max="2" width="6.5703125" customWidth="1"/>
    <col min="3" max="3" width="10.85546875" customWidth="1"/>
    <col min="5" max="5" width="1.7109375" customWidth="1"/>
    <col min="6" max="6" width="3.140625" customWidth="1"/>
    <col min="7" max="8" width="1.7109375" customWidth="1"/>
    <col min="9" max="9" width="3.140625" customWidth="1"/>
    <col min="10" max="10" width="12" customWidth="1"/>
    <col min="11" max="11" width="27.7109375" customWidth="1"/>
    <col min="12" max="29" width="15.7109375" customWidth="1"/>
    <col min="30" max="30" width="26.85546875" customWidth="1"/>
    <col min="31" max="31" width="1.5703125" customWidth="1"/>
    <col min="32" max="32" width="1.42578125" customWidth="1"/>
    <col min="33" max="33" width="1.28515625" customWidth="1"/>
    <col min="34" max="34" width="0.85546875" customWidth="1"/>
    <col min="35" max="35" width="3" customWidth="1"/>
    <col min="47" max="47" width="13.7109375" bestFit="1" customWidth="1"/>
    <col min="49" max="49" width="13.7109375" bestFit="1" customWidth="1"/>
    <col min="50" max="50" width="12" bestFit="1" customWidth="1"/>
    <col min="261" max="261" width="1.7109375" customWidth="1"/>
    <col min="262" max="262" width="3.140625" customWidth="1"/>
    <col min="263" max="264" width="1.7109375" customWidth="1"/>
    <col min="265" max="265" width="3.140625" customWidth="1"/>
    <col min="266" max="266" width="12" customWidth="1"/>
    <col min="267" max="267" width="27.7109375" customWidth="1"/>
    <col min="268" max="285" width="15.7109375" customWidth="1"/>
    <col min="286" max="286" width="26.85546875" customWidth="1"/>
    <col min="287" max="287" width="1.5703125" customWidth="1"/>
    <col min="288" max="288" width="1.42578125" customWidth="1"/>
    <col min="289" max="289" width="1.28515625" customWidth="1"/>
    <col min="290" max="290" width="0.85546875" customWidth="1"/>
    <col min="291" max="291" width="3" customWidth="1"/>
    <col min="303" max="303" width="13.7109375" bestFit="1" customWidth="1"/>
    <col min="305" max="305" width="13.7109375" bestFit="1" customWidth="1"/>
    <col min="306" max="306" width="12" bestFit="1" customWidth="1"/>
    <col min="517" max="517" width="1.7109375" customWidth="1"/>
    <col min="518" max="518" width="3.140625" customWidth="1"/>
    <col min="519" max="520" width="1.7109375" customWidth="1"/>
    <col min="521" max="521" width="3.140625" customWidth="1"/>
    <col min="522" max="522" width="12" customWidth="1"/>
    <col min="523" max="523" width="27.7109375" customWidth="1"/>
    <col min="524" max="541" width="15.7109375" customWidth="1"/>
    <col min="542" max="542" width="26.85546875" customWidth="1"/>
    <col min="543" max="543" width="1.5703125" customWidth="1"/>
    <col min="544" max="544" width="1.42578125" customWidth="1"/>
    <col min="545" max="545" width="1.28515625" customWidth="1"/>
    <col min="546" max="546" width="0.85546875" customWidth="1"/>
    <col min="547" max="547" width="3" customWidth="1"/>
    <col min="559" max="559" width="13.7109375" bestFit="1" customWidth="1"/>
    <col min="561" max="561" width="13.7109375" bestFit="1" customWidth="1"/>
    <col min="562" max="562" width="12" bestFit="1" customWidth="1"/>
    <col min="773" max="773" width="1.7109375" customWidth="1"/>
    <col min="774" max="774" width="3.140625" customWidth="1"/>
    <col min="775" max="776" width="1.7109375" customWidth="1"/>
    <col min="777" max="777" width="3.140625" customWidth="1"/>
    <col min="778" max="778" width="12" customWidth="1"/>
    <col min="779" max="779" width="27.7109375" customWidth="1"/>
    <col min="780" max="797" width="15.7109375" customWidth="1"/>
    <col min="798" max="798" width="26.85546875" customWidth="1"/>
    <col min="799" max="799" width="1.5703125" customWidth="1"/>
    <col min="800" max="800" width="1.42578125" customWidth="1"/>
    <col min="801" max="801" width="1.28515625" customWidth="1"/>
    <col min="802" max="802" width="0.85546875" customWidth="1"/>
    <col min="803" max="803" width="3" customWidth="1"/>
    <col min="815" max="815" width="13.7109375" bestFit="1" customWidth="1"/>
    <col min="817" max="817" width="13.7109375" bestFit="1" customWidth="1"/>
    <col min="818" max="818" width="12" bestFit="1" customWidth="1"/>
    <col min="1029" max="1029" width="1.7109375" customWidth="1"/>
    <col min="1030" max="1030" width="3.140625" customWidth="1"/>
    <col min="1031" max="1032" width="1.7109375" customWidth="1"/>
    <col min="1033" max="1033" width="3.140625" customWidth="1"/>
    <col min="1034" max="1034" width="12" customWidth="1"/>
    <col min="1035" max="1035" width="27.7109375" customWidth="1"/>
    <col min="1036" max="1053" width="15.7109375" customWidth="1"/>
    <col min="1054" max="1054" width="26.85546875" customWidth="1"/>
    <col min="1055" max="1055" width="1.5703125" customWidth="1"/>
    <col min="1056" max="1056" width="1.42578125" customWidth="1"/>
    <col min="1057" max="1057" width="1.28515625" customWidth="1"/>
    <col min="1058" max="1058" width="0.85546875" customWidth="1"/>
    <col min="1059" max="1059" width="3" customWidth="1"/>
    <col min="1071" max="1071" width="13.7109375" bestFit="1" customWidth="1"/>
    <col min="1073" max="1073" width="13.7109375" bestFit="1" customWidth="1"/>
    <col min="1074" max="1074" width="12" bestFit="1" customWidth="1"/>
    <col min="1285" max="1285" width="1.7109375" customWidth="1"/>
    <col min="1286" max="1286" width="3.140625" customWidth="1"/>
    <col min="1287" max="1288" width="1.7109375" customWidth="1"/>
    <col min="1289" max="1289" width="3.140625" customWidth="1"/>
    <col min="1290" max="1290" width="12" customWidth="1"/>
    <col min="1291" max="1291" width="27.7109375" customWidth="1"/>
    <col min="1292" max="1309" width="15.7109375" customWidth="1"/>
    <col min="1310" max="1310" width="26.85546875" customWidth="1"/>
    <col min="1311" max="1311" width="1.5703125" customWidth="1"/>
    <col min="1312" max="1312" width="1.42578125" customWidth="1"/>
    <col min="1313" max="1313" width="1.28515625" customWidth="1"/>
    <col min="1314" max="1314" width="0.85546875" customWidth="1"/>
    <col min="1315" max="1315" width="3" customWidth="1"/>
    <col min="1327" max="1327" width="13.7109375" bestFit="1" customWidth="1"/>
    <col min="1329" max="1329" width="13.7109375" bestFit="1" customWidth="1"/>
    <col min="1330" max="1330" width="12" bestFit="1" customWidth="1"/>
    <col min="1541" max="1541" width="1.7109375" customWidth="1"/>
    <col min="1542" max="1542" width="3.140625" customWidth="1"/>
    <col min="1543" max="1544" width="1.7109375" customWidth="1"/>
    <col min="1545" max="1545" width="3.140625" customWidth="1"/>
    <col min="1546" max="1546" width="12" customWidth="1"/>
    <col min="1547" max="1547" width="27.7109375" customWidth="1"/>
    <col min="1548" max="1565" width="15.7109375" customWidth="1"/>
    <col min="1566" max="1566" width="26.85546875" customWidth="1"/>
    <col min="1567" max="1567" width="1.5703125" customWidth="1"/>
    <col min="1568" max="1568" width="1.42578125" customWidth="1"/>
    <col min="1569" max="1569" width="1.28515625" customWidth="1"/>
    <col min="1570" max="1570" width="0.85546875" customWidth="1"/>
    <col min="1571" max="1571" width="3" customWidth="1"/>
    <col min="1583" max="1583" width="13.7109375" bestFit="1" customWidth="1"/>
    <col min="1585" max="1585" width="13.7109375" bestFit="1" customWidth="1"/>
    <col min="1586" max="1586" width="12" bestFit="1" customWidth="1"/>
    <col min="1797" max="1797" width="1.7109375" customWidth="1"/>
    <col min="1798" max="1798" width="3.140625" customWidth="1"/>
    <col min="1799" max="1800" width="1.7109375" customWidth="1"/>
    <col min="1801" max="1801" width="3.140625" customWidth="1"/>
    <col min="1802" max="1802" width="12" customWidth="1"/>
    <col min="1803" max="1803" width="27.7109375" customWidth="1"/>
    <col min="1804" max="1821" width="15.7109375" customWidth="1"/>
    <col min="1822" max="1822" width="26.85546875" customWidth="1"/>
    <col min="1823" max="1823" width="1.5703125" customWidth="1"/>
    <col min="1824" max="1824" width="1.42578125" customWidth="1"/>
    <col min="1825" max="1825" width="1.28515625" customWidth="1"/>
    <col min="1826" max="1826" width="0.85546875" customWidth="1"/>
    <col min="1827" max="1827" width="3" customWidth="1"/>
    <col min="1839" max="1839" width="13.7109375" bestFit="1" customWidth="1"/>
    <col min="1841" max="1841" width="13.7109375" bestFit="1" customWidth="1"/>
    <col min="1842" max="1842" width="12" bestFit="1" customWidth="1"/>
    <col min="2053" max="2053" width="1.7109375" customWidth="1"/>
    <col min="2054" max="2054" width="3.140625" customWidth="1"/>
    <col min="2055" max="2056" width="1.7109375" customWidth="1"/>
    <col min="2057" max="2057" width="3.140625" customWidth="1"/>
    <col min="2058" max="2058" width="12" customWidth="1"/>
    <col min="2059" max="2059" width="27.7109375" customWidth="1"/>
    <col min="2060" max="2077" width="15.7109375" customWidth="1"/>
    <col min="2078" max="2078" width="26.85546875" customWidth="1"/>
    <col min="2079" max="2079" width="1.5703125" customWidth="1"/>
    <col min="2080" max="2080" width="1.42578125" customWidth="1"/>
    <col min="2081" max="2081" width="1.28515625" customWidth="1"/>
    <col min="2082" max="2082" width="0.85546875" customWidth="1"/>
    <col min="2083" max="2083" width="3" customWidth="1"/>
    <col min="2095" max="2095" width="13.7109375" bestFit="1" customWidth="1"/>
    <col min="2097" max="2097" width="13.7109375" bestFit="1" customWidth="1"/>
    <col min="2098" max="2098" width="12" bestFit="1" customWidth="1"/>
    <col min="2309" max="2309" width="1.7109375" customWidth="1"/>
    <col min="2310" max="2310" width="3.140625" customWidth="1"/>
    <col min="2311" max="2312" width="1.7109375" customWidth="1"/>
    <col min="2313" max="2313" width="3.140625" customWidth="1"/>
    <col min="2314" max="2314" width="12" customWidth="1"/>
    <col min="2315" max="2315" width="27.7109375" customWidth="1"/>
    <col min="2316" max="2333" width="15.7109375" customWidth="1"/>
    <col min="2334" max="2334" width="26.85546875" customWidth="1"/>
    <col min="2335" max="2335" width="1.5703125" customWidth="1"/>
    <col min="2336" max="2336" width="1.42578125" customWidth="1"/>
    <col min="2337" max="2337" width="1.28515625" customWidth="1"/>
    <col min="2338" max="2338" width="0.85546875" customWidth="1"/>
    <col min="2339" max="2339" width="3" customWidth="1"/>
    <col min="2351" max="2351" width="13.7109375" bestFit="1" customWidth="1"/>
    <col min="2353" max="2353" width="13.7109375" bestFit="1" customWidth="1"/>
    <col min="2354" max="2354" width="12" bestFit="1" customWidth="1"/>
    <col min="2565" max="2565" width="1.7109375" customWidth="1"/>
    <col min="2566" max="2566" width="3.140625" customWidth="1"/>
    <col min="2567" max="2568" width="1.7109375" customWidth="1"/>
    <col min="2569" max="2569" width="3.140625" customWidth="1"/>
    <col min="2570" max="2570" width="12" customWidth="1"/>
    <col min="2571" max="2571" width="27.7109375" customWidth="1"/>
    <col min="2572" max="2589" width="15.7109375" customWidth="1"/>
    <col min="2590" max="2590" width="26.85546875" customWidth="1"/>
    <col min="2591" max="2591" width="1.5703125" customWidth="1"/>
    <col min="2592" max="2592" width="1.42578125" customWidth="1"/>
    <col min="2593" max="2593" width="1.28515625" customWidth="1"/>
    <col min="2594" max="2594" width="0.85546875" customWidth="1"/>
    <col min="2595" max="2595" width="3" customWidth="1"/>
    <col min="2607" max="2607" width="13.7109375" bestFit="1" customWidth="1"/>
    <col min="2609" max="2609" width="13.7109375" bestFit="1" customWidth="1"/>
    <col min="2610" max="2610" width="12" bestFit="1" customWidth="1"/>
    <col min="2821" max="2821" width="1.7109375" customWidth="1"/>
    <col min="2822" max="2822" width="3.140625" customWidth="1"/>
    <col min="2823" max="2824" width="1.7109375" customWidth="1"/>
    <col min="2825" max="2825" width="3.140625" customWidth="1"/>
    <col min="2826" max="2826" width="12" customWidth="1"/>
    <col min="2827" max="2827" width="27.7109375" customWidth="1"/>
    <col min="2828" max="2845" width="15.7109375" customWidth="1"/>
    <col min="2846" max="2846" width="26.85546875" customWidth="1"/>
    <col min="2847" max="2847" width="1.5703125" customWidth="1"/>
    <col min="2848" max="2848" width="1.42578125" customWidth="1"/>
    <col min="2849" max="2849" width="1.28515625" customWidth="1"/>
    <col min="2850" max="2850" width="0.85546875" customWidth="1"/>
    <col min="2851" max="2851" width="3" customWidth="1"/>
    <col min="2863" max="2863" width="13.7109375" bestFit="1" customWidth="1"/>
    <col min="2865" max="2865" width="13.7109375" bestFit="1" customWidth="1"/>
    <col min="2866" max="2866" width="12" bestFit="1" customWidth="1"/>
    <col min="3077" max="3077" width="1.7109375" customWidth="1"/>
    <col min="3078" max="3078" width="3.140625" customWidth="1"/>
    <col min="3079" max="3080" width="1.7109375" customWidth="1"/>
    <col min="3081" max="3081" width="3.140625" customWidth="1"/>
    <col min="3082" max="3082" width="12" customWidth="1"/>
    <col min="3083" max="3083" width="27.7109375" customWidth="1"/>
    <col min="3084" max="3101" width="15.7109375" customWidth="1"/>
    <col min="3102" max="3102" width="26.85546875" customWidth="1"/>
    <col min="3103" max="3103" width="1.5703125" customWidth="1"/>
    <col min="3104" max="3104" width="1.42578125" customWidth="1"/>
    <col min="3105" max="3105" width="1.28515625" customWidth="1"/>
    <col min="3106" max="3106" width="0.85546875" customWidth="1"/>
    <col min="3107" max="3107" width="3" customWidth="1"/>
    <col min="3119" max="3119" width="13.7109375" bestFit="1" customWidth="1"/>
    <col min="3121" max="3121" width="13.7109375" bestFit="1" customWidth="1"/>
    <col min="3122" max="3122" width="12" bestFit="1" customWidth="1"/>
    <col min="3333" max="3333" width="1.7109375" customWidth="1"/>
    <col min="3334" max="3334" width="3.140625" customWidth="1"/>
    <col min="3335" max="3336" width="1.7109375" customWidth="1"/>
    <col min="3337" max="3337" width="3.140625" customWidth="1"/>
    <col min="3338" max="3338" width="12" customWidth="1"/>
    <col min="3339" max="3339" width="27.7109375" customWidth="1"/>
    <col min="3340" max="3357" width="15.7109375" customWidth="1"/>
    <col min="3358" max="3358" width="26.85546875" customWidth="1"/>
    <col min="3359" max="3359" width="1.5703125" customWidth="1"/>
    <col min="3360" max="3360" width="1.42578125" customWidth="1"/>
    <col min="3361" max="3361" width="1.28515625" customWidth="1"/>
    <col min="3362" max="3362" width="0.85546875" customWidth="1"/>
    <col min="3363" max="3363" width="3" customWidth="1"/>
    <col min="3375" max="3375" width="13.7109375" bestFit="1" customWidth="1"/>
    <col min="3377" max="3377" width="13.7109375" bestFit="1" customWidth="1"/>
    <col min="3378" max="3378" width="12" bestFit="1" customWidth="1"/>
    <col min="3589" max="3589" width="1.7109375" customWidth="1"/>
    <col min="3590" max="3590" width="3.140625" customWidth="1"/>
    <col min="3591" max="3592" width="1.7109375" customWidth="1"/>
    <col min="3593" max="3593" width="3.140625" customWidth="1"/>
    <col min="3594" max="3594" width="12" customWidth="1"/>
    <col min="3595" max="3595" width="27.7109375" customWidth="1"/>
    <col min="3596" max="3613" width="15.7109375" customWidth="1"/>
    <col min="3614" max="3614" width="26.85546875" customWidth="1"/>
    <col min="3615" max="3615" width="1.5703125" customWidth="1"/>
    <col min="3616" max="3616" width="1.42578125" customWidth="1"/>
    <col min="3617" max="3617" width="1.28515625" customWidth="1"/>
    <col min="3618" max="3618" width="0.85546875" customWidth="1"/>
    <col min="3619" max="3619" width="3" customWidth="1"/>
    <col min="3631" max="3631" width="13.7109375" bestFit="1" customWidth="1"/>
    <col min="3633" max="3633" width="13.7109375" bestFit="1" customWidth="1"/>
    <col min="3634" max="3634" width="12" bestFit="1" customWidth="1"/>
    <col min="3845" max="3845" width="1.7109375" customWidth="1"/>
    <col min="3846" max="3846" width="3.140625" customWidth="1"/>
    <col min="3847" max="3848" width="1.7109375" customWidth="1"/>
    <col min="3849" max="3849" width="3.140625" customWidth="1"/>
    <col min="3850" max="3850" width="12" customWidth="1"/>
    <col min="3851" max="3851" width="27.7109375" customWidth="1"/>
    <col min="3852" max="3869" width="15.7109375" customWidth="1"/>
    <col min="3870" max="3870" width="26.85546875" customWidth="1"/>
    <col min="3871" max="3871" width="1.5703125" customWidth="1"/>
    <col min="3872" max="3872" width="1.42578125" customWidth="1"/>
    <col min="3873" max="3873" width="1.28515625" customWidth="1"/>
    <col min="3874" max="3874" width="0.85546875" customWidth="1"/>
    <col min="3875" max="3875" width="3" customWidth="1"/>
    <col min="3887" max="3887" width="13.7109375" bestFit="1" customWidth="1"/>
    <col min="3889" max="3889" width="13.7109375" bestFit="1" customWidth="1"/>
    <col min="3890" max="3890" width="12" bestFit="1" customWidth="1"/>
    <col min="4101" max="4101" width="1.7109375" customWidth="1"/>
    <col min="4102" max="4102" width="3.140625" customWidth="1"/>
    <col min="4103" max="4104" width="1.7109375" customWidth="1"/>
    <col min="4105" max="4105" width="3.140625" customWidth="1"/>
    <col min="4106" max="4106" width="12" customWidth="1"/>
    <col min="4107" max="4107" width="27.7109375" customWidth="1"/>
    <col min="4108" max="4125" width="15.7109375" customWidth="1"/>
    <col min="4126" max="4126" width="26.85546875" customWidth="1"/>
    <col min="4127" max="4127" width="1.5703125" customWidth="1"/>
    <col min="4128" max="4128" width="1.42578125" customWidth="1"/>
    <col min="4129" max="4129" width="1.28515625" customWidth="1"/>
    <col min="4130" max="4130" width="0.85546875" customWidth="1"/>
    <col min="4131" max="4131" width="3" customWidth="1"/>
    <col min="4143" max="4143" width="13.7109375" bestFit="1" customWidth="1"/>
    <col min="4145" max="4145" width="13.7109375" bestFit="1" customWidth="1"/>
    <col min="4146" max="4146" width="12" bestFit="1" customWidth="1"/>
    <col min="4357" max="4357" width="1.7109375" customWidth="1"/>
    <col min="4358" max="4358" width="3.140625" customWidth="1"/>
    <col min="4359" max="4360" width="1.7109375" customWidth="1"/>
    <col min="4361" max="4361" width="3.140625" customWidth="1"/>
    <col min="4362" max="4362" width="12" customWidth="1"/>
    <col min="4363" max="4363" width="27.7109375" customWidth="1"/>
    <col min="4364" max="4381" width="15.7109375" customWidth="1"/>
    <col min="4382" max="4382" width="26.85546875" customWidth="1"/>
    <col min="4383" max="4383" width="1.5703125" customWidth="1"/>
    <col min="4384" max="4384" width="1.42578125" customWidth="1"/>
    <col min="4385" max="4385" width="1.28515625" customWidth="1"/>
    <col min="4386" max="4386" width="0.85546875" customWidth="1"/>
    <col min="4387" max="4387" width="3" customWidth="1"/>
    <col min="4399" max="4399" width="13.7109375" bestFit="1" customWidth="1"/>
    <col min="4401" max="4401" width="13.7109375" bestFit="1" customWidth="1"/>
    <col min="4402" max="4402" width="12" bestFit="1" customWidth="1"/>
    <col min="4613" max="4613" width="1.7109375" customWidth="1"/>
    <col min="4614" max="4614" width="3.140625" customWidth="1"/>
    <col min="4615" max="4616" width="1.7109375" customWidth="1"/>
    <col min="4617" max="4617" width="3.140625" customWidth="1"/>
    <col min="4618" max="4618" width="12" customWidth="1"/>
    <col min="4619" max="4619" width="27.7109375" customWidth="1"/>
    <col min="4620" max="4637" width="15.7109375" customWidth="1"/>
    <col min="4638" max="4638" width="26.85546875" customWidth="1"/>
    <col min="4639" max="4639" width="1.5703125" customWidth="1"/>
    <col min="4640" max="4640" width="1.42578125" customWidth="1"/>
    <col min="4641" max="4641" width="1.28515625" customWidth="1"/>
    <col min="4642" max="4642" width="0.85546875" customWidth="1"/>
    <col min="4643" max="4643" width="3" customWidth="1"/>
    <col min="4655" max="4655" width="13.7109375" bestFit="1" customWidth="1"/>
    <col min="4657" max="4657" width="13.7109375" bestFit="1" customWidth="1"/>
    <col min="4658" max="4658" width="12" bestFit="1" customWidth="1"/>
    <col min="4869" max="4869" width="1.7109375" customWidth="1"/>
    <col min="4870" max="4870" width="3.140625" customWidth="1"/>
    <col min="4871" max="4872" width="1.7109375" customWidth="1"/>
    <col min="4873" max="4873" width="3.140625" customWidth="1"/>
    <col min="4874" max="4874" width="12" customWidth="1"/>
    <col min="4875" max="4875" width="27.7109375" customWidth="1"/>
    <col min="4876" max="4893" width="15.7109375" customWidth="1"/>
    <col min="4894" max="4894" width="26.85546875" customWidth="1"/>
    <col min="4895" max="4895" width="1.5703125" customWidth="1"/>
    <col min="4896" max="4896" width="1.42578125" customWidth="1"/>
    <col min="4897" max="4897" width="1.28515625" customWidth="1"/>
    <col min="4898" max="4898" width="0.85546875" customWidth="1"/>
    <col min="4899" max="4899" width="3" customWidth="1"/>
    <col min="4911" max="4911" width="13.7109375" bestFit="1" customWidth="1"/>
    <col min="4913" max="4913" width="13.7109375" bestFit="1" customWidth="1"/>
    <col min="4914" max="4914" width="12" bestFit="1" customWidth="1"/>
    <col min="5125" max="5125" width="1.7109375" customWidth="1"/>
    <col min="5126" max="5126" width="3.140625" customWidth="1"/>
    <col min="5127" max="5128" width="1.7109375" customWidth="1"/>
    <col min="5129" max="5129" width="3.140625" customWidth="1"/>
    <col min="5130" max="5130" width="12" customWidth="1"/>
    <col min="5131" max="5131" width="27.7109375" customWidth="1"/>
    <col min="5132" max="5149" width="15.7109375" customWidth="1"/>
    <col min="5150" max="5150" width="26.85546875" customWidth="1"/>
    <col min="5151" max="5151" width="1.5703125" customWidth="1"/>
    <col min="5152" max="5152" width="1.42578125" customWidth="1"/>
    <col min="5153" max="5153" width="1.28515625" customWidth="1"/>
    <col min="5154" max="5154" width="0.85546875" customWidth="1"/>
    <col min="5155" max="5155" width="3" customWidth="1"/>
    <col min="5167" max="5167" width="13.7109375" bestFit="1" customWidth="1"/>
    <col min="5169" max="5169" width="13.7109375" bestFit="1" customWidth="1"/>
    <col min="5170" max="5170" width="12" bestFit="1" customWidth="1"/>
    <col min="5381" max="5381" width="1.7109375" customWidth="1"/>
    <col min="5382" max="5382" width="3.140625" customWidth="1"/>
    <col min="5383" max="5384" width="1.7109375" customWidth="1"/>
    <col min="5385" max="5385" width="3.140625" customWidth="1"/>
    <col min="5386" max="5386" width="12" customWidth="1"/>
    <col min="5387" max="5387" width="27.7109375" customWidth="1"/>
    <col min="5388" max="5405" width="15.7109375" customWidth="1"/>
    <col min="5406" max="5406" width="26.85546875" customWidth="1"/>
    <col min="5407" max="5407" width="1.5703125" customWidth="1"/>
    <col min="5408" max="5408" width="1.42578125" customWidth="1"/>
    <col min="5409" max="5409" width="1.28515625" customWidth="1"/>
    <col min="5410" max="5410" width="0.85546875" customWidth="1"/>
    <col min="5411" max="5411" width="3" customWidth="1"/>
    <col min="5423" max="5423" width="13.7109375" bestFit="1" customWidth="1"/>
    <col min="5425" max="5425" width="13.7109375" bestFit="1" customWidth="1"/>
    <col min="5426" max="5426" width="12" bestFit="1" customWidth="1"/>
    <col min="5637" max="5637" width="1.7109375" customWidth="1"/>
    <col min="5638" max="5638" width="3.140625" customWidth="1"/>
    <col min="5639" max="5640" width="1.7109375" customWidth="1"/>
    <col min="5641" max="5641" width="3.140625" customWidth="1"/>
    <col min="5642" max="5642" width="12" customWidth="1"/>
    <col min="5643" max="5643" width="27.7109375" customWidth="1"/>
    <col min="5644" max="5661" width="15.7109375" customWidth="1"/>
    <col min="5662" max="5662" width="26.85546875" customWidth="1"/>
    <col min="5663" max="5663" width="1.5703125" customWidth="1"/>
    <col min="5664" max="5664" width="1.42578125" customWidth="1"/>
    <col min="5665" max="5665" width="1.28515625" customWidth="1"/>
    <col min="5666" max="5666" width="0.85546875" customWidth="1"/>
    <col min="5667" max="5667" width="3" customWidth="1"/>
    <col min="5679" max="5679" width="13.7109375" bestFit="1" customWidth="1"/>
    <col min="5681" max="5681" width="13.7109375" bestFit="1" customWidth="1"/>
    <col min="5682" max="5682" width="12" bestFit="1" customWidth="1"/>
    <col min="5893" max="5893" width="1.7109375" customWidth="1"/>
    <col min="5894" max="5894" width="3.140625" customWidth="1"/>
    <col min="5895" max="5896" width="1.7109375" customWidth="1"/>
    <col min="5897" max="5897" width="3.140625" customWidth="1"/>
    <col min="5898" max="5898" width="12" customWidth="1"/>
    <col min="5899" max="5899" width="27.7109375" customWidth="1"/>
    <col min="5900" max="5917" width="15.7109375" customWidth="1"/>
    <col min="5918" max="5918" width="26.85546875" customWidth="1"/>
    <col min="5919" max="5919" width="1.5703125" customWidth="1"/>
    <col min="5920" max="5920" width="1.42578125" customWidth="1"/>
    <col min="5921" max="5921" width="1.28515625" customWidth="1"/>
    <col min="5922" max="5922" width="0.85546875" customWidth="1"/>
    <col min="5923" max="5923" width="3" customWidth="1"/>
    <col min="5935" max="5935" width="13.7109375" bestFit="1" customWidth="1"/>
    <col min="5937" max="5937" width="13.7109375" bestFit="1" customWidth="1"/>
    <col min="5938" max="5938" width="12" bestFit="1" customWidth="1"/>
    <col min="6149" max="6149" width="1.7109375" customWidth="1"/>
    <col min="6150" max="6150" width="3.140625" customWidth="1"/>
    <col min="6151" max="6152" width="1.7109375" customWidth="1"/>
    <col min="6153" max="6153" width="3.140625" customWidth="1"/>
    <col min="6154" max="6154" width="12" customWidth="1"/>
    <col min="6155" max="6155" width="27.7109375" customWidth="1"/>
    <col min="6156" max="6173" width="15.7109375" customWidth="1"/>
    <col min="6174" max="6174" width="26.85546875" customWidth="1"/>
    <col min="6175" max="6175" width="1.5703125" customWidth="1"/>
    <col min="6176" max="6176" width="1.42578125" customWidth="1"/>
    <col min="6177" max="6177" width="1.28515625" customWidth="1"/>
    <col min="6178" max="6178" width="0.85546875" customWidth="1"/>
    <col min="6179" max="6179" width="3" customWidth="1"/>
    <col min="6191" max="6191" width="13.7109375" bestFit="1" customWidth="1"/>
    <col min="6193" max="6193" width="13.7109375" bestFit="1" customWidth="1"/>
    <col min="6194" max="6194" width="12" bestFit="1" customWidth="1"/>
    <col min="6405" max="6405" width="1.7109375" customWidth="1"/>
    <col min="6406" max="6406" width="3.140625" customWidth="1"/>
    <col min="6407" max="6408" width="1.7109375" customWidth="1"/>
    <col min="6409" max="6409" width="3.140625" customWidth="1"/>
    <col min="6410" max="6410" width="12" customWidth="1"/>
    <col min="6411" max="6411" width="27.7109375" customWidth="1"/>
    <col min="6412" max="6429" width="15.7109375" customWidth="1"/>
    <col min="6430" max="6430" width="26.85546875" customWidth="1"/>
    <col min="6431" max="6431" width="1.5703125" customWidth="1"/>
    <col min="6432" max="6432" width="1.42578125" customWidth="1"/>
    <col min="6433" max="6433" width="1.28515625" customWidth="1"/>
    <col min="6434" max="6434" width="0.85546875" customWidth="1"/>
    <col min="6435" max="6435" width="3" customWidth="1"/>
    <col min="6447" max="6447" width="13.7109375" bestFit="1" customWidth="1"/>
    <col min="6449" max="6449" width="13.7109375" bestFit="1" customWidth="1"/>
    <col min="6450" max="6450" width="12" bestFit="1" customWidth="1"/>
    <col min="6661" max="6661" width="1.7109375" customWidth="1"/>
    <col min="6662" max="6662" width="3.140625" customWidth="1"/>
    <col min="6663" max="6664" width="1.7109375" customWidth="1"/>
    <col min="6665" max="6665" width="3.140625" customWidth="1"/>
    <col min="6666" max="6666" width="12" customWidth="1"/>
    <col min="6667" max="6667" width="27.7109375" customWidth="1"/>
    <col min="6668" max="6685" width="15.7109375" customWidth="1"/>
    <col min="6686" max="6686" width="26.85546875" customWidth="1"/>
    <col min="6687" max="6687" width="1.5703125" customWidth="1"/>
    <col min="6688" max="6688" width="1.42578125" customWidth="1"/>
    <col min="6689" max="6689" width="1.28515625" customWidth="1"/>
    <col min="6690" max="6690" width="0.85546875" customWidth="1"/>
    <col min="6691" max="6691" width="3" customWidth="1"/>
    <col min="6703" max="6703" width="13.7109375" bestFit="1" customWidth="1"/>
    <col min="6705" max="6705" width="13.7109375" bestFit="1" customWidth="1"/>
    <col min="6706" max="6706" width="12" bestFit="1" customWidth="1"/>
    <col min="6917" max="6917" width="1.7109375" customWidth="1"/>
    <col min="6918" max="6918" width="3.140625" customWidth="1"/>
    <col min="6919" max="6920" width="1.7109375" customWidth="1"/>
    <col min="6921" max="6921" width="3.140625" customWidth="1"/>
    <col min="6922" max="6922" width="12" customWidth="1"/>
    <col min="6923" max="6923" width="27.7109375" customWidth="1"/>
    <col min="6924" max="6941" width="15.7109375" customWidth="1"/>
    <col min="6942" max="6942" width="26.85546875" customWidth="1"/>
    <col min="6943" max="6943" width="1.5703125" customWidth="1"/>
    <col min="6944" max="6944" width="1.42578125" customWidth="1"/>
    <col min="6945" max="6945" width="1.28515625" customWidth="1"/>
    <col min="6946" max="6946" width="0.85546875" customWidth="1"/>
    <col min="6947" max="6947" width="3" customWidth="1"/>
    <col min="6959" max="6959" width="13.7109375" bestFit="1" customWidth="1"/>
    <col min="6961" max="6961" width="13.7109375" bestFit="1" customWidth="1"/>
    <col min="6962" max="6962" width="12" bestFit="1" customWidth="1"/>
    <col min="7173" max="7173" width="1.7109375" customWidth="1"/>
    <col min="7174" max="7174" width="3.140625" customWidth="1"/>
    <col min="7175" max="7176" width="1.7109375" customWidth="1"/>
    <col min="7177" max="7177" width="3.140625" customWidth="1"/>
    <col min="7178" max="7178" width="12" customWidth="1"/>
    <col min="7179" max="7179" width="27.7109375" customWidth="1"/>
    <col min="7180" max="7197" width="15.7109375" customWidth="1"/>
    <col min="7198" max="7198" width="26.85546875" customWidth="1"/>
    <col min="7199" max="7199" width="1.5703125" customWidth="1"/>
    <col min="7200" max="7200" width="1.42578125" customWidth="1"/>
    <col min="7201" max="7201" width="1.28515625" customWidth="1"/>
    <col min="7202" max="7202" width="0.85546875" customWidth="1"/>
    <col min="7203" max="7203" width="3" customWidth="1"/>
    <col min="7215" max="7215" width="13.7109375" bestFit="1" customWidth="1"/>
    <col min="7217" max="7217" width="13.7109375" bestFit="1" customWidth="1"/>
    <col min="7218" max="7218" width="12" bestFit="1" customWidth="1"/>
    <col min="7429" max="7429" width="1.7109375" customWidth="1"/>
    <col min="7430" max="7430" width="3.140625" customWidth="1"/>
    <col min="7431" max="7432" width="1.7109375" customWidth="1"/>
    <col min="7433" max="7433" width="3.140625" customWidth="1"/>
    <col min="7434" max="7434" width="12" customWidth="1"/>
    <col min="7435" max="7435" width="27.7109375" customWidth="1"/>
    <col min="7436" max="7453" width="15.7109375" customWidth="1"/>
    <col min="7454" max="7454" width="26.85546875" customWidth="1"/>
    <col min="7455" max="7455" width="1.5703125" customWidth="1"/>
    <col min="7456" max="7456" width="1.42578125" customWidth="1"/>
    <col min="7457" max="7457" width="1.28515625" customWidth="1"/>
    <col min="7458" max="7458" width="0.85546875" customWidth="1"/>
    <col min="7459" max="7459" width="3" customWidth="1"/>
    <col min="7471" max="7471" width="13.7109375" bestFit="1" customWidth="1"/>
    <col min="7473" max="7473" width="13.7109375" bestFit="1" customWidth="1"/>
    <col min="7474" max="7474" width="12" bestFit="1" customWidth="1"/>
    <col min="7685" max="7685" width="1.7109375" customWidth="1"/>
    <col min="7686" max="7686" width="3.140625" customWidth="1"/>
    <col min="7687" max="7688" width="1.7109375" customWidth="1"/>
    <col min="7689" max="7689" width="3.140625" customWidth="1"/>
    <col min="7690" max="7690" width="12" customWidth="1"/>
    <col min="7691" max="7691" width="27.7109375" customWidth="1"/>
    <col min="7692" max="7709" width="15.7109375" customWidth="1"/>
    <col min="7710" max="7710" width="26.85546875" customWidth="1"/>
    <col min="7711" max="7711" width="1.5703125" customWidth="1"/>
    <col min="7712" max="7712" width="1.42578125" customWidth="1"/>
    <col min="7713" max="7713" width="1.28515625" customWidth="1"/>
    <col min="7714" max="7714" width="0.85546875" customWidth="1"/>
    <col min="7715" max="7715" width="3" customWidth="1"/>
    <col min="7727" max="7727" width="13.7109375" bestFit="1" customWidth="1"/>
    <col min="7729" max="7729" width="13.7109375" bestFit="1" customWidth="1"/>
    <col min="7730" max="7730" width="12" bestFit="1" customWidth="1"/>
    <col min="7941" max="7941" width="1.7109375" customWidth="1"/>
    <col min="7942" max="7942" width="3.140625" customWidth="1"/>
    <col min="7943" max="7944" width="1.7109375" customWidth="1"/>
    <col min="7945" max="7945" width="3.140625" customWidth="1"/>
    <col min="7946" max="7946" width="12" customWidth="1"/>
    <col min="7947" max="7947" width="27.7109375" customWidth="1"/>
    <col min="7948" max="7965" width="15.7109375" customWidth="1"/>
    <col min="7966" max="7966" width="26.85546875" customWidth="1"/>
    <col min="7967" max="7967" width="1.5703125" customWidth="1"/>
    <col min="7968" max="7968" width="1.42578125" customWidth="1"/>
    <col min="7969" max="7969" width="1.28515625" customWidth="1"/>
    <col min="7970" max="7970" width="0.85546875" customWidth="1"/>
    <col min="7971" max="7971" width="3" customWidth="1"/>
    <col min="7983" max="7983" width="13.7109375" bestFit="1" customWidth="1"/>
    <col min="7985" max="7985" width="13.7109375" bestFit="1" customWidth="1"/>
    <col min="7986" max="7986" width="12" bestFit="1" customWidth="1"/>
    <col min="8197" max="8197" width="1.7109375" customWidth="1"/>
    <col min="8198" max="8198" width="3.140625" customWidth="1"/>
    <col min="8199" max="8200" width="1.7109375" customWidth="1"/>
    <col min="8201" max="8201" width="3.140625" customWidth="1"/>
    <col min="8202" max="8202" width="12" customWidth="1"/>
    <col min="8203" max="8203" width="27.7109375" customWidth="1"/>
    <col min="8204" max="8221" width="15.7109375" customWidth="1"/>
    <col min="8222" max="8222" width="26.85546875" customWidth="1"/>
    <col min="8223" max="8223" width="1.5703125" customWidth="1"/>
    <col min="8224" max="8224" width="1.42578125" customWidth="1"/>
    <col min="8225" max="8225" width="1.28515625" customWidth="1"/>
    <col min="8226" max="8226" width="0.85546875" customWidth="1"/>
    <col min="8227" max="8227" width="3" customWidth="1"/>
    <col min="8239" max="8239" width="13.7109375" bestFit="1" customWidth="1"/>
    <col min="8241" max="8241" width="13.7109375" bestFit="1" customWidth="1"/>
    <col min="8242" max="8242" width="12" bestFit="1" customWidth="1"/>
    <col min="8453" max="8453" width="1.7109375" customWidth="1"/>
    <col min="8454" max="8454" width="3.140625" customWidth="1"/>
    <col min="8455" max="8456" width="1.7109375" customWidth="1"/>
    <col min="8457" max="8457" width="3.140625" customWidth="1"/>
    <col min="8458" max="8458" width="12" customWidth="1"/>
    <col min="8459" max="8459" width="27.7109375" customWidth="1"/>
    <col min="8460" max="8477" width="15.7109375" customWidth="1"/>
    <col min="8478" max="8478" width="26.85546875" customWidth="1"/>
    <col min="8479" max="8479" width="1.5703125" customWidth="1"/>
    <col min="8480" max="8480" width="1.42578125" customWidth="1"/>
    <col min="8481" max="8481" width="1.28515625" customWidth="1"/>
    <col min="8482" max="8482" width="0.85546875" customWidth="1"/>
    <col min="8483" max="8483" width="3" customWidth="1"/>
    <col min="8495" max="8495" width="13.7109375" bestFit="1" customWidth="1"/>
    <col min="8497" max="8497" width="13.7109375" bestFit="1" customWidth="1"/>
    <col min="8498" max="8498" width="12" bestFit="1" customWidth="1"/>
    <col min="8709" max="8709" width="1.7109375" customWidth="1"/>
    <col min="8710" max="8710" width="3.140625" customWidth="1"/>
    <col min="8711" max="8712" width="1.7109375" customWidth="1"/>
    <col min="8713" max="8713" width="3.140625" customWidth="1"/>
    <col min="8714" max="8714" width="12" customWidth="1"/>
    <col min="8715" max="8715" width="27.7109375" customWidth="1"/>
    <col min="8716" max="8733" width="15.7109375" customWidth="1"/>
    <col min="8734" max="8734" width="26.85546875" customWidth="1"/>
    <col min="8735" max="8735" width="1.5703125" customWidth="1"/>
    <col min="8736" max="8736" width="1.42578125" customWidth="1"/>
    <col min="8737" max="8737" width="1.28515625" customWidth="1"/>
    <col min="8738" max="8738" width="0.85546875" customWidth="1"/>
    <col min="8739" max="8739" width="3" customWidth="1"/>
    <col min="8751" max="8751" width="13.7109375" bestFit="1" customWidth="1"/>
    <col min="8753" max="8753" width="13.7109375" bestFit="1" customWidth="1"/>
    <col min="8754" max="8754" width="12" bestFit="1" customWidth="1"/>
    <col min="8965" max="8965" width="1.7109375" customWidth="1"/>
    <col min="8966" max="8966" width="3.140625" customWidth="1"/>
    <col min="8967" max="8968" width="1.7109375" customWidth="1"/>
    <col min="8969" max="8969" width="3.140625" customWidth="1"/>
    <col min="8970" max="8970" width="12" customWidth="1"/>
    <col min="8971" max="8971" width="27.7109375" customWidth="1"/>
    <col min="8972" max="8989" width="15.7109375" customWidth="1"/>
    <col min="8990" max="8990" width="26.85546875" customWidth="1"/>
    <col min="8991" max="8991" width="1.5703125" customWidth="1"/>
    <col min="8992" max="8992" width="1.42578125" customWidth="1"/>
    <col min="8993" max="8993" width="1.28515625" customWidth="1"/>
    <col min="8994" max="8994" width="0.85546875" customWidth="1"/>
    <col min="8995" max="8995" width="3" customWidth="1"/>
    <col min="9007" max="9007" width="13.7109375" bestFit="1" customWidth="1"/>
    <col min="9009" max="9009" width="13.7109375" bestFit="1" customWidth="1"/>
    <col min="9010" max="9010" width="12" bestFit="1" customWidth="1"/>
    <col min="9221" max="9221" width="1.7109375" customWidth="1"/>
    <col min="9222" max="9222" width="3.140625" customWidth="1"/>
    <col min="9223" max="9224" width="1.7109375" customWidth="1"/>
    <col min="9225" max="9225" width="3.140625" customWidth="1"/>
    <col min="9226" max="9226" width="12" customWidth="1"/>
    <col min="9227" max="9227" width="27.7109375" customWidth="1"/>
    <col min="9228" max="9245" width="15.7109375" customWidth="1"/>
    <col min="9246" max="9246" width="26.85546875" customWidth="1"/>
    <col min="9247" max="9247" width="1.5703125" customWidth="1"/>
    <col min="9248" max="9248" width="1.42578125" customWidth="1"/>
    <col min="9249" max="9249" width="1.28515625" customWidth="1"/>
    <col min="9250" max="9250" width="0.85546875" customWidth="1"/>
    <col min="9251" max="9251" width="3" customWidth="1"/>
    <col min="9263" max="9263" width="13.7109375" bestFit="1" customWidth="1"/>
    <col min="9265" max="9265" width="13.7109375" bestFit="1" customWidth="1"/>
    <col min="9266" max="9266" width="12" bestFit="1" customWidth="1"/>
    <col min="9477" max="9477" width="1.7109375" customWidth="1"/>
    <col min="9478" max="9478" width="3.140625" customWidth="1"/>
    <col min="9479" max="9480" width="1.7109375" customWidth="1"/>
    <col min="9481" max="9481" width="3.140625" customWidth="1"/>
    <col min="9482" max="9482" width="12" customWidth="1"/>
    <col min="9483" max="9483" width="27.7109375" customWidth="1"/>
    <col min="9484" max="9501" width="15.7109375" customWidth="1"/>
    <col min="9502" max="9502" width="26.85546875" customWidth="1"/>
    <col min="9503" max="9503" width="1.5703125" customWidth="1"/>
    <col min="9504" max="9504" width="1.42578125" customWidth="1"/>
    <col min="9505" max="9505" width="1.28515625" customWidth="1"/>
    <col min="9506" max="9506" width="0.85546875" customWidth="1"/>
    <col min="9507" max="9507" width="3" customWidth="1"/>
    <col min="9519" max="9519" width="13.7109375" bestFit="1" customWidth="1"/>
    <col min="9521" max="9521" width="13.7109375" bestFit="1" customWidth="1"/>
    <col min="9522" max="9522" width="12" bestFit="1" customWidth="1"/>
    <col min="9733" max="9733" width="1.7109375" customWidth="1"/>
    <col min="9734" max="9734" width="3.140625" customWidth="1"/>
    <col min="9735" max="9736" width="1.7109375" customWidth="1"/>
    <col min="9737" max="9737" width="3.140625" customWidth="1"/>
    <col min="9738" max="9738" width="12" customWidth="1"/>
    <col min="9739" max="9739" width="27.7109375" customWidth="1"/>
    <col min="9740" max="9757" width="15.7109375" customWidth="1"/>
    <col min="9758" max="9758" width="26.85546875" customWidth="1"/>
    <col min="9759" max="9759" width="1.5703125" customWidth="1"/>
    <col min="9760" max="9760" width="1.42578125" customWidth="1"/>
    <col min="9761" max="9761" width="1.28515625" customWidth="1"/>
    <col min="9762" max="9762" width="0.85546875" customWidth="1"/>
    <col min="9763" max="9763" width="3" customWidth="1"/>
    <col min="9775" max="9775" width="13.7109375" bestFit="1" customWidth="1"/>
    <col min="9777" max="9777" width="13.7109375" bestFit="1" customWidth="1"/>
    <col min="9778" max="9778" width="12" bestFit="1" customWidth="1"/>
    <col min="9989" max="9989" width="1.7109375" customWidth="1"/>
    <col min="9990" max="9990" width="3.140625" customWidth="1"/>
    <col min="9991" max="9992" width="1.7109375" customWidth="1"/>
    <col min="9993" max="9993" width="3.140625" customWidth="1"/>
    <col min="9994" max="9994" width="12" customWidth="1"/>
    <col min="9995" max="9995" width="27.7109375" customWidth="1"/>
    <col min="9996" max="10013" width="15.7109375" customWidth="1"/>
    <col min="10014" max="10014" width="26.85546875" customWidth="1"/>
    <col min="10015" max="10015" width="1.5703125" customWidth="1"/>
    <col min="10016" max="10016" width="1.42578125" customWidth="1"/>
    <col min="10017" max="10017" width="1.28515625" customWidth="1"/>
    <col min="10018" max="10018" width="0.85546875" customWidth="1"/>
    <col min="10019" max="10019" width="3" customWidth="1"/>
    <col min="10031" max="10031" width="13.7109375" bestFit="1" customWidth="1"/>
    <col min="10033" max="10033" width="13.7109375" bestFit="1" customWidth="1"/>
    <col min="10034" max="10034" width="12" bestFit="1" customWidth="1"/>
    <col min="10245" max="10245" width="1.7109375" customWidth="1"/>
    <col min="10246" max="10246" width="3.140625" customWidth="1"/>
    <col min="10247" max="10248" width="1.7109375" customWidth="1"/>
    <col min="10249" max="10249" width="3.140625" customWidth="1"/>
    <col min="10250" max="10250" width="12" customWidth="1"/>
    <col min="10251" max="10251" width="27.7109375" customWidth="1"/>
    <col min="10252" max="10269" width="15.7109375" customWidth="1"/>
    <col min="10270" max="10270" width="26.85546875" customWidth="1"/>
    <col min="10271" max="10271" width="1.5703125" customWidth="1"/>
    <col min="10272" max="10272" width="1.42578125" customWidth="1"/>
    <col min="10273" max="10273" width="1.28515625" customWidth="1"/>
    <col min="10274" max="10274" width="0.85546875" customWidth="1"/>
    <col min="10275" max="10275" width="3" customWidth="1"/>
    <col min="10287" max="10287" width="13.7109375" bestFit="1" customWidth="1"/>
    <col min="10289" max="10289" width="13.7109375" bestFit="1" customWidth="1"/>
    <col min="10290" max="10290" width="12" bestFit="1" customWidth="1"/>
    <col min="10501" max="10501" width="1.7109375" customWidth="1"/>
    <col min="10502" max="10502" width="3.140625" customWidth="1"/>
    <col min="10503" max="10504" width="1.7109375" customWidth="1"/>
    <col min="10505" max="10505" width="3.140625" customWidth="1"/>
    <col min="10506" max="10506" width="12" customWidth="1"/>
    <col min="10507" max="10507" width="27.7109375" customWidth="1"/>
    <col min="10508" max="10525" width="15.7109375" customWidth="1"/>
    <col min="10526" max="10526" width="26.85546875" customWidth="1"/>
    <col min="10527" max="10527" width="1.5703125" customWidth="1"/>
    <col min="10528" max="10528" width="1.42578125" customWidth="1"/>
    <col min="10529" max="10529" width="1.28515625" customWidth="1"/>
    <col min="10530" max="10530" width="0.85546875" customWidth="1"/>
    <col min="10531" max="10531" width="3" customWidth="1"/>
    <col min="10543" max="10543" width="13.7109375" bestFit="1" customWidth="1"/>
    <col min="10545" max="10545" width="13.7109375" bestFit="1" customWidth="1"/>
    <col min="10546" max="10546" width="12" bestFit="1" customWidth="1"/>
    <col min="10757" max="10757" width="1.7109375" customWidth="1"/>
    <col min="10758" max="10758" width="3.140625" customWidth="1"/>
    <col min="10759" max="10760" width="1.7109375" customWidth="1"/>
    <col min="10761" max="10761" width="3.140625" customWidth="1"/>
    <col min="10762" max="10762" width="12" customWidth="1"/>
    <col min="10763" max="10763" width="27.7109375" customWidth="1"/>
    <col min="10764" max="10781" width="15.7109375" customWidth="1"/>
    <col min="10782" max="10782" width="26.85546875" customWidth="1"/>
    <col min="10783" max="10783" width="1.5703125" customWidth="1"/>
    <col min="10784" max="10784" width="1.42578125" customWidth="1"/>
    <col min="10785" max="10785" width="1.28515625" customWidth="1"/>
    <col min="10786" max="10786" width="0.85546875" customWidth="1"/>
    <col min="10787" max="10787" width="3" customWidth="1"/>
    <col min="10799" max="10799" width="13.7109375" bestFit="1" customWidth="1"/>
    <col min="10801" max="10801" width="13.7109375" bestFit="1" customWidth="1"/>
    <col min="10802" max="10802" width="12" bestFit="1" customWidth="1"/>
    <col min="11013" max="11013" width="1.7109375" customWidth="1"/>
    <col min="11014" max="11014" width="3.140625" customWidth="1"/>
    <col min="11015" max="11016" width="1.7109375" customWidth="1"/>
    <col min="11017" max="11017" width="3.140625" customWidth="1"/>
    <col min="11018" max="11018" width="12" customWidth="1"/>
    <col min="11019" max="11019" width="27.7109375" customWidth="1"/>
    <col min="11020" max="11037" width="15.7109375" customWidth="1"/>
    <col min="11038" max="11038" width="26.85546875" customWidth="1"/>
    <col min="11039" max="11039" width="1.5703125" customWidth="1"/>
    <col min="11040" max="11040" width="1.42578125" customWidth="1"/>
    <col min="11041" max="11041" width="1.28515625" customWidth="1"/>
    <col min="11042" max="11042" width="0.85546875" customWidth="1"/>
    <col min="11043" max="11043" width="3" customWidth="1"/>
    <col min="11055" max="11055" width="13.7109375" bestFit="1" customWidth="1"/>
    <col min="11057" max="11057" width="13.7109375" bestFit="1" customWidth="1"/>
    <col min="11058" max="11058" width="12" bestFit="1" customWidth="1"/>
    <col min="11269" max="11269" width="1.7109375" customWidth="1"/>
    <col min="11270" max="11270" width="3.140625" customWidth="1"/>
    <col min="11271" max="11272" width="1.7109375" customWidth="1"/>
    <col min="11273" max="11273" width="3.140625" customWidth="1"/>
    <col min="11274" max="11274" width="12" customWidth="1"/>
    <col min="11275" max="11275" width="27.7109375" customWidth="1"/>
    <col min="11276" max="11293" width="15.7109375" customWidth="1"/>
    <col min="11294" max="11294" width="26.85546875" customWidth="1"/>
    <col min="11295" max="11295" width="1.5703125" customWidth="1"/>
    <col min="11296" max="11296" width="1.42578125" customWidth="1"/>
    <col min="11297" max="11297" width="1.28515625" customWidth="1"/>
    <col min="11298" max="11298" width="0.85546875" customWidth="1"/>
    <col min="11299" max="11299" width="3" customWidth="1"/>
    <col min="11311" max="11311" width="13.7109375" bestFit="1" customWidth="1"/>
    <col min="11313" max="11313" width="13.7109375" bestFit="1" customWidth="1"/>
    <col min="11314" max="11314" width="12" bestFit="1" customWidth="1"/>
    <col min="11525" max="11525" width="1.7109375" customWidth="1"/>
    <col min="11526" max="11526" width="3.140625" customWidth="1"/>
    <col min="11527" max="11528" width="1.7109375" customWidth="1"/>
    <col min="11529" max="11529" width="3.140625" customWidth="1"/>
    <col min="11530" max="11530" width="12" customWidth="1"/>
    <col min="11531" max="11531" width="27.7109375" customWidth="1"/>
    <col min="11532" max="11549" width="15.7109375" customWidth="1"/>
    <col min="11550" max="11550" width="26.85546875" customWidth="1"/>
    <col min="11551" max="11551" width="1.5703125" customWidth="1"/>
    <col min="11552" max="11552" width="1.42578125" customWidth="1"/>
    <col min="11553" max="11553" width="1.28515625" customWidth="1"/>
    <col min="11554" max="11554" width="0.85546875" customWidth="1"/>
    <col min="11555" max="11555" width="3" customWidth="1"/>
    <col min="11567" max="11567" width="13.7109375" bestFit="1" customWidth="1"/>
    <col min="11569" max="11569" width="13.7109375" bestFit="1" customWidth="1"/>
    <col min="11570" max="11570" width="12" bestFit="1" customWidth="1"/>
    <col min="11781" max="11781" width="1.7109375" customWidth="1"/>
    <col min="11782" max="11782" width="3.140625" customWidth="1"/>
    <col min="11783" max="11784" width="1.7109375" customWidth="1"/>
    <col min="11785" max="11785" width="3.140625" customWidth="1"/>
    <col min="11786" max="11786" width="12" customWidth="1"/>
    <col min="11787" max="11787" width="27.7109375" customWidth="1"/>
    <col min="11788" max="11805" width="15.7109375" customWidth="1"/>
    <col min="11806" max="11806" width="26.85546875" customWidth="1"/>
    <col min="11807" max="11807" width="1.5703125" customWidth="1"/>
    <col min="11808" max="11808" width="1.42578125" customWidth="1"/>
    <col min="11809" max="11809" width="1.28515625" customWidth="1"/>
    <col min="11810" max="11810" width="0.85546875" customWidth="1"/>
    <col min="11811" max="11811" width="3" customWidth="1"/>
    <col min="11823" max="11823" width="13.7109375" bestFit="1" customWidth="1"/>
    <col min="11825" max="11825" width="13.7109375" bestFit="1" customWidth="1"/>
    <col min="11826" max="11826" width="12" bestFit="1" customWidth="1"/>
    <col min="12037" max="12037" width="1.7109375" customWidth="1"/>
    <col min="12038" max="12038" width="3.140625" customWidth="1"/>
    <col min="12039" max="12040" width="1.7109375" customWidth="1"/>
    <col min="12041" max="12041" width="3.140625" customWidth="1"/>
    <col min="12042" max="12042" width="12" customWidth="1"/>
    <col min="12043" max="12043" width="27.7109375" customWidth="1"/>
    <col min="12044" max="12061" width="15.7109375" customWidth="1"/>
    <col min="12062" max="12062" width="26.85546875" customWidth="1"/>
    <col min="12063" max="12063" width="1.5703125" customWidth="1"/>
    <col min="12064" max="12064" width="1.42578125" customWidth="1"/>
    <col min="12065" max="12065" width="1.28515625" customWidth="1"/>
    <col min="12066" max="12066" width="0.85546875" customWidth="1"/>
    <col min="12067" max="12067" width="3" customWidth="1"/>
    <col min="12079" max="12079" width="13.7109375" bestFit="1" customWidth="1"/>
    <col min="12081" max="12081" width="13.7109375" bestFit="1" customWidth="1"/>
    <col min="12082" max="12082" width="12" bestFit="1" customWidth="1"/>
    <col min="12293" max="12293" width="1.7109375" customWidth="1"/>
    <col min="12294" max="12294" width="3.140625" customWidth="1"/>
    <col min="12295" max="12296" width="1.7109375" customWidth="1"/>
    <col min="12297" max="12297" width="3.140625" customWidth="1"/>
    <col min="12298" max="12298" width="12" customWidth="1"/>
    <col min="12299" max="12299" width="27.7109375" customWidth="1"/>
    <col min="12300" max="12317" width="15.7109375" customWidth="1"/>
    <col min="12318" max="12318" width="26.85546875" customWidth="1"/>
    <col min="12319" max="12319" width="1.5703125" customWidth="1"/>
    <col min="12320" max="12320" width="1.42578125" customWidth="1"/>
    <col min="12321" max="12321" width="1.28515625" customWidth="1"/>
    <col min="12322" max="12322" width="0.85546875" customWidth="1"/>
    <col min="12323" max="12323" width="3" customWidth="1"/>
    <col min="12335" max="12335" width="13.7109375" bestFit="1" customWidth="1"/>
    <col min="12337" max="12337" width="13.7109375" bestFit="1" customWidth="1"/>
    <col min="12338" max="12338" width="12" bestFit="1" customWidth="1"/>
    <col min="12549" max="12549" width="1.7109375" customWidth="1"/>
    <col min="12550" max="12550" width="3.140625" customWidth="1"/>
    <col min="12551" max="12552" width="1.7109375" customWidth="1"/>
    <col min="12553" max="12553" width="3.140625" customWidth="1"/>
    <col min="12554" max="12554" width="12" customWidth="1"/>
    <col min="12555" max="12555" width="27.7109375" customWidth="1"/>
    <col min="12556" max="12573" width="15.7109375" customWidth="1"/>
    <col min="12574" max="12574" width="26.85546875" customWidth="1"/>
    <col min="12575" max="12575" width="1.5703125" customWidth="1"/>
    <col min="12576" max="12576" width="1.42578125" customWidth="1"/>
    <col min="12577" max="12577" width="1.28515625" customWidth="1"/>
    <col min="12578" max="12578" width="0.85546875" customWidth="1"/>
    <col min="12579" max="12579" width="3" customWidth="1"/>
    <col min="12591" max="12591" width="13.7109375" bestFit="1" customWidth="1"/>
    <col min="12593" max="12593" width="13.7109375" bestFit="1" customWidth="1"/>
    <col min="12594" max="12594" width="12" bestFit="1" customWidth="1"/>
    <col min="12805" max="12805" width="1.7109375" customWidth="1"/>
    <col min="12806" max="12806" width="3.140625" customWidth="1"/>
    <col min="12807" max="12808" width="1.7109375" customWidth="1"/>
    <col min="12809" max="12809" width="3.140625" customWidth="1"/>
    <col min="12810" max="12810" width="12" customWidth="1"/>
    <col min="12811" max="12811" width="27.7109375" customWidth="1"/>
    <col min="12812" max="12829" width="15.7109375" customWidth="1"/>
    <col min="12830" max="12830" width="26.85546875" customWidth="1"/>
    <col min="12831" max="12831" width="1.5703125" customWidth="1"/>
    <col min="12832" max="12832" width="1.42578125" customWidth="1"/>
    <col min="12833" max="12833" width="1.28515625" customWidth="1"/>
    <col min="12834" max="12834" width="0.85546875" customWidth="1"/>
    <col min="12835" max="12835" width="3" customWidth="1"/>
    <col min="12847" max="12847" width="13.7109375" bestFit="1" customWidth="1"/>
    <col min="12849" max="12849" width="13.7109375" bestFit="1" customWidth="1"/>
    <col min="12850" max="12850" width="12" bestFit="1" customWidth="1"/>
    <col min="13061" max="13061" width="1.7109375" customWidth="1"/>
    <col min="13062" max="13062" width="3.140625" customWidth="1"/>
    <col min="13063" max="13064" width="1.7109375" customWidth="1"/>
    <col min="13065" max="13065" width="3.140625" customWidth="1"/>
    <col min="13066" max="13066" width="12" customWidth="1"/>
    <col min="13067" max="13067" width="27.7109375" customWidth="1"/>
    <col min="13068" max="13085" width="15.7109375" customWidth="1"/>
    <col min="13086" max="13086" width="26.85546875" customWidth="1"/>
    <col min="13087" max="13087" width="1.5703125" customWidth="1"/>
    <col min="13088" max="13088" width="1.42578125" customWidth="1"/>
    <col min="13089" max="13089" width="1.28515625" customWidth="1"/>
    <col min="13090" max="13090" width="0.85546875" customWidth="1"/>
    <col min="13091" max="13091" width="3" customWidth="1"/>
    <col min="13103" max="13103" width="13.7109375" bestFit="1" customWidth="1"/>
    <col min="13105" max="13105" width="13.7109375" bestFit="1" customWidth="1"/>
    <col min="13106" max="13106" width="12" bestFit="1" customWidth="1"/>
    <col min="13317" max="13317" width="1.7109375" customWidth="1"/>
    <col min="13318" max="13318" width="3.140625" customWidth="1"/>
    <col min="13319" max="13320" width="1.7109375" customWidth="1"/>
    <col min="13321" max="13321" width="3.140625" customWidth="1"/>
    <col min="13322" max="13322" width="12" customWidth="1"/>
    <col min="13323" max="13323" width="27.7109375" customWidth="1"/>
    <col min="13324" max="13341" width="15.7109375" customWidth="1"/>
    <col min="13342" max="13342" width="26.85546875" customWidth="1"/>
    <col min="13343" max="13343" width="1.5703125" customWidth="1"/>
    <col min="13344" max="13344" width="1.42578125" customWidth="1"/>
    <col min="13345" max="13345" width="1.28515625" customWidth="1"/>
    <col min="13346" max="13346" width="0.85546875" customWidth="1"/>
    <col min="13347" max="13347" width="3" customWidth="1"/>
    <col min="13359" max="13359" width="13.7109375" bestFit="1" customWidth="1"/>
    <col min="13361" max="13361" width="13.7109375" bestFit="1" customWidth="1"/>
    <col min="13362" max="13362" width="12" bestFit="1" customWidth="1"/>
    <col min="13573" max="13573" width="1.7109375" customWidth="1"/>
    <col min="13574" max="13574" width="3.140625" customWidth="1"/>
    <col min="13575" max="13576" width="1.7109375" customWidth="1"/>
    <col min="13577" max="13577" width="3.140625" customWidth="1"/>
    <col min="13578" max="13578" width="12" customWidth="1"/>
    <col min="13579" max="13579" width="27.7109375" customWidth="1"/>
    <col min="13580" max="13597" width="15.7109375" customWidth="1"/>
    <col min="13598" max="13598" width="26.85546875" customWidth="1"/>
    <col min="13599" max="13599" width="1.5703125" customWidth="1"/>
    <col min="13600" max="13600" width="1.42578125" customWidth="1"/>
    <col min="13601" max="13601" width="1.28515625" customWidth="1"/>
    <col min="13602" max="13602" width="0.85546875" customWidth="1"/>
    <col min="13603" max="13603" width="3" customWidth="1"/>
    <col min="13615" max="13615" width="13.7109375" bestFit="1" customWidth="1"/>
    <col min="13617" max="13617" width="13.7109375" bestFit="1" customWidth="1"/>
    <col min="13618" max="13618" width="12" bestFit="1" customWidth="1"/>
    <col min="13829" max="13829" width="1.7109375" customWidth="1"/>
    <col min="13830" max="13830" width="3.140625" customWidth="1"/>
    <col min="13831" max="13832" width="1.7109375" customWidth="1"/>
    <col min="13833" max="13833" width="3.140625" customWidth="1"/>
    <col min="13834" max="13834" width="12" customWidth="1"/>
    <col min="13835" max="13835" width="27.7109375" customWidth="1"/>
    <col min="13836" max="13853" width="15.7109375" customWidth="1"/>
    <col min="13854" max="13854" width="26.85546875" customWidth="1"/>
    <col min="13855" max="13855" width="1.5703125" customWidth="1"/>
    <col min="13856" max="13856" width="1.42578125" customWidth="1"/>
    <col min="13857" max="13857" width="1.28515625" customWidth="1"/>
    <col min="13858" max="13858" width="0.85546875" customWidth="1"/>
    <col min="13859" max="13859" width="3" customWidth="1"/>
    <col min="13871" max="13871" width="13.7109375" bestFit="1" customWidth="1"/>
    <col min="13873" max="13873" width="13.7109375" bestFit="1" customWidth="1"/>
    <col min="13874" max="13874" width="12" bestFit="1" customWidth="1"/>
    <col min="14085" max="14085" width="1.7109375" customWidth="1"/>
    <col min="14086" max="14086" width="3.140625" customWidth="1"/>
    <col min="14087" max="14088" width="1.7109375" customWidth="1"/>
    <col min="14089" max="14089" width="3.140625" customWidth="1"/>
    <col min="14090" max="14090" width="12" customWidth="1"/>
    <col min="14091" max="14091" width="27.7109375" customWidth="1"/>
    <col min="14092" max="14109" width="15.7109375" customWidth="1"/>
    <col min="14110" max="14110" width="26.85546875" customWidth="1"/>
    <col min="14111" max="14111" width="1.5703125" customWidth="1"/>
    <col min="14112" max="14112" width="1.42578125" customWidth="1"/>
    <col min="14113" max="14113" width="1.28515625" customWidth="1"/>
    <col min="14114" max="14114" width="0.85546875" customWidth="1"/>
    <col min="14115" max="14115" width="3" customWidth="1"/>
    <col min="14127" max="14127" width="13.7109375" bestFit="1" customWidth="1"/>
    <col min="14129" max="14129" width="13.7109375" bestFit="1" customWidth="1"/>
    <col min="14130" max="14130" width="12" bestFit="1" customWidth="1"/>
    <col min="14341" max="14341" width="1.7109375" customWidth="1"/>
    <col min="14342" max="14342" width="3.140625" customWidth="1"/>
    <col min="14343" max="14344" width="1.7109375" customWidth="1"/>
    <col min="14345" max="14345" width="3.140625" customWidth="1"/>
    <col min="14346" max="14346" width="12" customWidth="1"/>
    <col min="14347" max="14347" width="27.7109375" customWidth="1"/>
    <col min="14348" max="14365" width="15.7109375" customWidth="1"/>
    <col min="14366" max="14366" width="26.85546875" customWidth="1"/>
    <col min="14367" max="14367" width="1.5703125" customWidth="1"/>
    <col min="14368" max="14368" width="1.42578125" customWidth="1"/>
    <col min="14369" max="14369" width="1.28515625" customWidth="1"/>
    <col min="14370" max="14370" width="0.85546875" customWidth="1"/>
    <col min="14371" max="14371" width="3" customWidth="1"/>
    <col min="14383" max="14383" width="13.7109375" bestFit="1" customWidth="1"/>
    <col min="14385" max="14385" width="13.7109375" bestFit="1" customWidth="1"/>
    <col min="14386" max="14386" width="12" bestFit="1" customWidth="1"/>
    <col min="14597" max="14597" width="1.7109375" customWidth="1"/>
    <col min="14598" max="14598" width="3.140625" customWidth="1"/>
    <col min="14599" max="14600" width="1.7109375" customWidth="1"/>
    <col min="14601" max="14601" width="3.140625" customWidth="1"/>
    <col min="14602" max="14602" width="12" customWidth="1"/>
    <col min="14603" max="14603" width="27.7109375" customWidth="1"/>
    <col min="14604" max="14621" width="15.7109375" customWidth="1"/>
    <col min="14622" max="14622" width="26.85546875" customWidth="1"/>
    <col min="14623" max="14623" width="1.5703125" customWidth="1"/>
    <col min="14624" max="14624" width="1.42578125" customWidth="1"/>
    <col min="14625" max="14625" width="1.28515625" customWidth="1"/>
    <col min="14626" max="14626" width="0.85546875" customWidth="1"/>
    <col min="14627" max="14627" width="3" customWidth="1"/>
    <col min="14639" max="14639" width="13.7109375" bestFit="1" customWidth="1"/>
    <col min="14641" max="14641" width="13.7109375" bestFit="1" customWidth="1"/>
    <col min="14642" max="14642" width="12" bestFit="1" customWidth="1"/>
    <col min="14853" max="14853" width="1.7109375" customWidth="1"/>
    <col min="14854" max="14854" width="3.140625" customWidth="1"/>
    <col min="14855" max="14856" width="1.7109375" customWidth="1"/>
    <col min="14857" max="14857" width="3.140625" customWidth="1"/>
    <col min="14858" max="14858" width="12" customWidth="1"/>
    <col min="14859" max="14859" width="27.7109375" customWidth="1"/>
    <col min="14860" max="14877" width="15.7109375" customWidth="1"/>
    <col min="14878" max="14878" width="26.85546875" customWidth="1"/>
    <col min="14879" max="14879" width="1.5703125" customWidth="1"/>
    <col min="14880" max="14880" width="1.42578125" customWidth="1"/>
    <col min="14881" max="14881" width="1.28515625" customWidth="1"/>
    <col min="14882" max="14882" width="0.85546875" customWidth="1"/>
    <col min="14883" max="14883" width="3" customWidth="1"/>
    <col min="14895" max="14895" width="13.7109375" bestFit="1" customWidth="1"/>
    <col min="14897" max="14897" width="13.7109375" bestFit="1" customWidth="1"/>
    <col min="14898" max="14898" width="12" bestFit="1" customWidth="1"/>
    <col min="15109" max="15109" width="1.7109375" customWidth="1"/>
    <col min="15110" max="15110" width="3.140625" customWidth="1"/>
    <col min="15111" max="15112" width="1.7109375" customWidth="1"/>
    <col min="15113" max="15113" width="3.140625" customWidth="1"/>
    <col min="15114" max="15114" width="12" customWidth="1"/>
    <col min="15115" max="15115" width="27.7109375" customWidth="1"/>
    <col min="15116" max="15133" width="15.7109375" customWidth="1"/>
    <col min="15134" max="15134" width="26.85546875" customWidth="1"/>
    <col min="15135" max="15135" width="1.5703125" customWidth="1"/>
    <col min="15136" max="15136" width="1.42578125" customWidth="1"/>
    <col min="15137" max="15137" width="1.28515625" customWidth="1"/>
    <col min="15138" max="15138" width="0.85546875" customWidth="1"/>
    <col min="15139" max="15139" width="3" customWidth="1"/>
    <col min="15151" max="15151" width="13.7109375" bestFit="1" customWidth="1"/>
    <col min="15153" max="15153" width="13.7109375" bestFit="1" customWidth="1"/>
    <col min="15154" max="15154" width="12" bestFit="1" customWidth="1"/>
    <col min="15365" max="15365" width="1.7109375" customWidth="1"/>
    <col min="15366" max="15366" width="3.140625" customWidth="1"/>
    <col min="15367" max="15368" width="1.7109375" customWidth="1"/>
    <col min="15369" max="15369" width="3.140625" customWidth="1"/>
    <col min="15370" max="15370" width="12" customWidth="1"/>
    <col min="15371" max="15371" width="27.7109375" customWidth="1"/>
    <col min="15372" max="15389" width="15.7109375" customWidth="1"/>
    <col min="15390" max="15390" width="26.85546875" customWidth="1"/>
    <col min="15391" max="15391" width="1.5703125" customWidth="1"/>
    <col min="15392" max="15392" width="1.42578125" customWidth="1"/>
    <col min="15393" max="15393" width="1.28515625" customWidth="1"/>
    <col min="15394" max="15394" width="0.85546875" customWidth="1"/>
    <col min="15395" max="15395" width="3" customWidth="1"/>
    <col min="15407" max="15407" width="13.7109375" bestFit="1" customWidth="1"/>
    <col min="15409" max="15409" width="13.7109375" bestFit="1" customWidth="1"/>
    <col min="15410" max="15410" width="12" bestFit="1" customWidth="1"/>
    <col min="15621" max="15621" width="1.7109375" customWidth="1"/>
    <col min="15622" max="15622" width="3.140625" customWidth="1"/>
    <col min="15623" max="15624" width="1.7109375" customWidth="1"/>
    <col min="15625" max="15625" width="3.140625" customWidth="1"/>
    <col min="15626" max="15626" width="12" customWidth="1"/>
    <col min="15627" max="15627" width="27.7109375" customWidth="1"/>
    <col min="15628" max="15645" width="15.7109375" customWidth="1"/>
    <col min="15646" max="15646" width="26.85546875" customWidth="1"/>
    <col min="15647" max="15647" width="1.5703125" customWidth="1"/>
    <col min="15648" max="15648" width="1.42578125" customWidth="1"/>
    <col min="15649" max="15649" width="1.28515625" customWidth="1"/>
    <col min="15650" max="15650" width="0.85546875" customWidth="1"/>
    <col min="15651" max="15651" width="3" customWidth="1"/>
    <col min="15663" max="15663" width="13.7109375" bestFit="1" customWidth="1"/>
    <col min="15665" max="15665" width="13.7109375" bestFit="1" customWidth="1"/>
    <col min="15666" max="15666" width="12" bestFit="1" customWidth="1"/>
    <col min="15877" max="15877" width="1.7109375" customWidth="1"/>
    <col min="15878" max="15878" width="3.140625" customWidth="1"/>
    <col min="15879" max="15880" width="1.7109375" customWidth="1"/>
    <col min="15881" max="15881" width="3.140625" customWidth="1"/>
    <col min="15882" max="15882" width="12" customWidth="1"/>
    <col min="15883" max="15883" width="27.7109375" customWidth="1"/>
    <col min="15884" max="15901" width="15.7109375" customWidth="1"/>
    <col min="15902" max="15902" width="26.85546875" customWidth="1"/>
    <col min="15903" max="15903" width="1.5703125" customWidth="1"/>
    <col min="15904" max="15904" width="1.42578125" customWidth="1"/>
    <col min="15905" max="15905" width="1.28515625" customWidth="1"/>
    <col min="15906" max="15906" width="0.85546875" customWidth="1"/>
    <col min="15907" max="15907" width="3" customWidth="1"/>
    <col min="15919" max="15919" width="13.7109375" bestFit="1" customWidth="1"/>
    <col min="15921" max="15921" width="13.7109375" bestFit="1" customWidth="1"/>
    <col min="15922" max="15922" width="12" bestFit="1" customWidth="1"/>
    <col min="16133" max="16133" width="1.7109375" customWidth="1"/>
    <col min="16134" max="16134" width="3.140625" customWidth="1"/>
    <col min="16135" max="16136" width="1.7109375" customWidth="1"/>
    <col min="16137" max="16137" width="3.140625" customWidth="1"/>
    <col min="16138" max="16138" width="12" customWidth="1"/>
    <col min="16139" max="16139" width="27.7109375" customWidth="1"/>
    <col min="16140" max="16157" width="15.7109375" customWidth="1"/>
    <col min="16158" max="16158" width="26.85546875" customWidth="1"/>
    <col min="16159" max="16159" width="1.5703125" customWidth="1"/>
    <col min="16160" max="16160" width="1.42578125" customWidth="1"/>
    <col min="16161" max="16161" width="1.28515625" customWidth="1"/>
    <col min="16162" max="16162" width="0.85546875" customWidth="1"/>
    <col min="16163" max="16163" width="3" customWidth="1"/>
    <col min="16175" max="16175" width="13.7109375" bestFit="1" customWidth="1"/>
    <col min="16177" max="16177" width="13.7109375" bestFit="1" customWidth="1"/>
    <col min="16178" max="16178" width="12" bestFit="1" customWidth="1"/>
  </cols>
  <sheetData>
    <row r="1" spans="2:51" ht="35.1" customHeight="1">
      <c r="E1" s="1480"/>
      <c r="F1" s="1480"/>
      <c r="G1" s="1480"/>
      <c r="H1" s="1480"/>
      <c r="I1" s="1480"/>
      <c r="J1" s="1480"/>
      <c r="K1" s="1480"/>
      <c r="L1" s="1480"/>
      <c r="M1" s="1480"/>
      <c r="N1" s="1480"/>
      <c r="O1" s="1480"/>
      <c r="P1" s="1480"/>
      <c r="Q1" s="1480"/>
      <c r="R1" s="1480"/>
      <c r="S1" s="2758"/>
      <c r="T1" s="2758"/>
      <c r="U1" s="2758"/>
      <c r="V1" s="3048"/>
      <c r="W1" s="3049"/>
      <c r="X1" s="2758"/>
      <c r="Y1" s="2758"/>
      <c r="Z1" s="2758"/>
      <c r="AA1" s="2758"/>
      <c r="AB1" s="2758"/>
      <c r="AC1" s="2758"/>
      <c r="AD1" s="1192"/>
      <c r="AE1" s="1192"/>
      <c r="AF1" s="1192"/>
      <c r="AG1" s="1192"/>
      <c r="AH1" s="1192"/>
      <c r="AI1" s="1192"/>
    </row>
    <row r="2" spans="2:51" ht="35.1" customHeight="1"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3049"/>
      <c r="X2" s="1481"/>
      <c r="Y2" s="2955"/>
      <c r="Z2" s="1481"/>
      <c r="AA2" s="1481"/>
      <c r="AB2" s="1481"/>
      <c r="AC2" s="1481"/>
      <c r="AD2" s="2664"/>
      <c r="AE2" s="2664"/>
      <c r="AF2" s="2664"/>
      <c r="AG2" s="2664"/>
      <c r="AH2" s="2664"/>
      <c r="AI2" s="2664"/>
    </row>
    <row r="3" spans="2:51" ht="35.1" customHeight="1">
      <c r="E3" s="4602" t="s">
        <v>2894</v>
      </c>
      <c r="F3" s="4602"/>
      <c r="G3" s="4602"/>
      <c r="H3" s="4602"/>
      <c r="I3" s="4602"/>
      <c r="J3" s="4602"/>
      <c r="K3" s="4602"/>
      <c r="L3" s="4602"/>
      <c r="M3" s="4602"/>
      <c r="N3" s="4602"/>
      <c r="O3" s="4602"/>
      <c r="P3" s="4602"/>
      <c r="Q3" s="4602"/>
      <c r="R3" s="4602"/>
      <c r="S3" s="4602"/>
      <c r="T3" s="4602" t="s">
        <v>2894</v>
      </c>
      <c r="U3" s="4602"/>
      <c r="V3" s="4602"/>
      <c r="W3" s="4602"/>
      <c r="X3" s="4602"/>
      <c r="Y3" s="4602"/>
      <c r="Z3" s="4602"/>
      <c r="AA3" s="4602"/>
      <c r="AB3" s="4602"/>
      <c r="AC3" s="4602"/>
      <c r="AD3" s="4602"/>
      <c r="AE3" s="4602"/>
      <c r="AF3" s="4602"/>
      <c r="AG3" s="4602"/>
      <c r="AH3" s="4602"/>
      <c r="AI3" s="4602"/>
    </row>
    <row r="4" spans="2:51" ht="35.1" customHeight="1">
      <c r="E4" s="4713" t="s">
        <v>2895</v>
      </c>
      <c r="F4" s="4713"/>
      <c r="G4" s="4713"/>
      <c r="H4" s="4713"/>
      <c r="I4" s="4713"/>
      <c r="J4" s="4713"/>
      <c r="K4" s="4713"/>
      <c r="L4" s="4713"/>
      <c r="M4" s="4713"/>
      <c r="N4" s="4713"/>
      <c r="O4" s="4713"/>
      <c r="P4" s="4713"/>
      <c r="Q4" s="4713"/>
      <c r="R4" s="4713"/>
      <c r="S4" s="4713"/>
      <c r="T4" s="4713" t="s">
        <v>2895</v>
      </c>
      <c r="U4" s="4713"/>
      <c r="V4" s="4713"/>
      <c r="W4" s="4713"/>
      <c r="X4" s="4713"/>
      <c r="Y4" s="4713"/>
      <c r="Z4" s="4713"/>
      <c r="AA4" s="4713"/>
      <c r="AB4" s="4713"/>
      <c r="AC4" s="4713"/>
      <c r="AD4" s="4713"/>
      <c r="AE4" s="4713"/>
      <c r="AF4" s="4713"/>
      <c r="AG4" s="4713"/>
      <c r="AH4" s="4713"/>
      <c r="AI4" s="4713"/>
    </row>
    <row r="5" spans="2:51" ht="18" customHeight="1">
      <c r="E5" s="3050" t="s">
        <v>545</v>
      </c>
      <c r="F5" s="3051"/>
      <c r="G5" s="1318"/>
      <c r="H5" s="1318"/>
      <c r="I5" s="1318"/>
      <c r="J5" s="1318"/>
      <c r="K5" s="1318"/>
      <c r="L5" s="1318"/>
      <c r="M5" s="1318"/>
      <c r="N5" s="1318"/>
      <c r="O5" s="1318"/>
      <c r="P5" s="1318"/>
      <c r="Q5" s="1318"/>
      <c r="R5" s="1318"/>
      <c r="S5" s="3052"/>
      <c r="T5" s="3052"/>
      <c r="U5" s="3052"/>
      <c r="V5" s="3053"/>
      <c r="W5" s="3053"/>
      <c r="X5" s="3052"/>
      <c r="Y5" s="3052"/>
      <c r="Z5" s="2082"/>
      <c r="AA5" s="2082"/>
      <c r="AB5" s="3052"/>
      <c r="AC5" s="3052"/>
      <c r="AD5" s="3054"/>
      <c r="AE5" s="3054"/>
      <c r="AF5" s="3054"/>
      <c r="AG5" s="3054"/>
      <c r="AH5" s="1836"/>
      <c r="AI5" s="2279" t="s">
        <v>1131</v>
      </c>
    </row>
    <row r="6" spans="2:51" ht="5.25" customHeight="1">
      <c r="E6" s="1176"/>
      <c r="F6" s="1176"/>
      <c r="G6" s="1176"/>
      <c r="H6" s="1176"/>
      <c r="I6" s="1176"/>
      <c r="J6" s="1176"/>
      <c r="K6" s="1482"/>
      <c r="L6" s="1482"/>
      <c r="M6" s="1482"/>
      <c r="N6" s="1482"/>
      <c r="O6" s="1482"/>
      <c r="P6" s="1482"/>
      <c r="Q6" s="1482"/>
      <c r="R6" s="1482"/>
      <c r="S6" s="1841"/>
      <c r="T6" s="1841"/>
      <c r="U6" s="1841"/>
      <c r="V6" s="1841"/>
      <c r="W6" s="1841"/>
      <c r="X6" s="1841"/>
      <c r="Y6" s="1841"/>
      <c r="Z6" s="3055"/>
      <c r="AA6" s="3055"/>
      <c r="AB6" s="1841"/>
      <c r="AC6" s="1841"/>
      <c r="AD6" s="1482"/>
      <c r="AE6" s="1482"/>
      <c r="AF6" s="1482"/>
      <c r="AG6" s="1482"/>
      <c r="AH6" s="1176"/>
      <c r="AI6" s="1176"/>
    </row>
    <row r="7" spans="2:51" ht="21.2" customHeight="1">
      <c r="E7" s="1991"/>
      <c r="F7" s="1992"/>
      <c r="G7" s="1992"/>
      <c r="H7" s="1992"/>
      <c r="I7" s="1992"/>
      <c r="J7" s="1992"/>
      <c r="K7" s="3056"/>
      <c r="L7" s="1483"/>
      <c r="M7" s="1483"/>
      <c r="N7" s="1483"/>
      <c r="O7" s="1483"/>
      <c r="P7" s="1483"/>
      <c r="Q7" s="1483"/>
      <c r="R7" s="1483"/>
      <c r="S7" s="3057"/>
      <c r="T7" s="3058"/>
      <c r="U7" s="3058"/>
      <c r="V7" s="3058"/>
      <c r="W7" s="3058"/>
      <c r="X7" s="1602"/>
      <c r="Y7" s="1602"/>
      <c r="Z7" s="1483"/>
      <c r="AA7" s="1483"/>
      <c r="AB7" s="1483"/>
      <c r="AC7" s="3059"/>
      <c r="AD7" s="1868"/>
      <c r="AE7" s="1868"/>
      <c r="AF7" s="1868"/>
      <c r="AG7" s="1868"/>
      <c r="AH7" s="1992"/>
      <c r="AI7" s="2133"/>
    </row>
    <row r="8" spans="2:51" ht="21.2" customHeight="1">
      <c r="E8" s="2316"/>
      <c r="F8" s="1283"/>
      <c r="G8" s="1283"/>
      <c r="H8" s="1283"/>
      <c r="I8" s="1283"/>
      <c r="J8" s="1283"/>
      <c r="K8" s="3060"/>
      <c r="L8" s="1484"/>
      <c r="M8" s="1484"/>
      <c r="N8" s="1484"/>
      <c r="O8" s="1484"/>
      <c r="P8" s="1484"/>
      <c r="Q8" s="1484"/>
      <c r="R8" s="1484"/>
      <c r="S8" s="2566"/>
      <c r="T8" s="2567"/>
      <c r="U8" s="2567"/>
      <c r="V8" s="2567"/>
      <c r="W8" s="2567"/>
      <c r="X8" s="1603"/>
      <c r="Y8" s="1603"/>
      <c r="Z8" s="1603"/>
      <c r="AA8" s="1603"/>
      <c r="AB8" s="1603"/>
      <c r="AC8" s="3061"/>
      <c r="AD8" s="2523"/>
      <c r="AE8" s="2523"/>
      <c r="AF8" s="2523"/>
      <c r="AG8" s="2523"/>
      <c r="AH8" s="1283"/>
      <c r="AI8" s="1294"/>
    </row>
    <row r="9" spans="2:51" ht="21.2" customHeight="1">
      <c r="E9" s="2316"/>
      <c r="F9" s="1283"/>
      <c r="G9" s="1283"/>
      <c r="H9" s="1283"/>
      <c r="I9" s="1283"/>
      <c r="J9" s="1283"/>
      <c r="K9" s="3060"/>
      <c r="L9" s="1485" t="s">
        <v>2747</v>
      </c>
      <c r="M9" s="1485" t="s">
        <v>2617</v>
      </c>
      <c r="N9" s="1485" t="s">
        <v>2612</v>
      </c>
      <c r="O9" s="1485" t="s">
        <v>2562</v>
      </c>
      <c r="P9" s="1604" t="s">
        <v>1132</v>
      </c>
      <c r="Q9" s="1604" t="s">
        <v>1133</v>
      </c>
      <c r="R9" s="1604">
        <v>2011</v>
      </c>
      <c r="S9" s="3062">
        <v>2010</v>
      </c>
      <c r="T9" s="3063">
        <v>2009</v>
      </c>
      <c r="U9" s="3063">
        <v>2008</v>
      </c>
      <c r="V9" s="3063">
        <v>2007</v>
      </c>
      <c r="W9" s="3063">
        <v>2006</v>
      </c>
      <c r="X9" s="1604">
        <v>2005</v>
      </c>
      <c r="Y9" s="1604">
        <v>2004</v>
      </c>
      <c r="Z9" s="1604">
        <v>2003</v>
      </c>
      <c r="AA9" s="1604">
        <v>2002</v>
      </c>
      <c r="AB9" s="1604">
        <v>2001</v>
      </c>
      <c r="AC9" s="3064">
        <v>2000</v>
      </c>
      <c r="AD9" s="1283"/>
      <c r="AE9" s="1283"/>
      <c r="AF9" s="1283"/>
      <c r="AG9" s="1283"/>
      <c r="AH9" s="1283"/>
      <c r="AI9" s="1294"/>
    </row>
    <row r="10" spans="2:51" ht="21.2" customHeight="1">
      <c r="D10" s="3065"/>
      <c r="E10" s="3066"/>
      <c r="F10" s="1236"/>
      <c r="G10" s="1236"/>
      <c r="H10" s="1236"/>
      <c r="I10" s="1236"/>
      <c r="J10" s="1236"/>
      <c r="K10" s="3067"/>
      <c r="L10" s="1486"/>
      <c r="M10" s="1486"/>
      <c r="N10" s="1486"/>
      <c r="O10" s="1486"/>
      <c r="P10" s="1486"/>
      <c r="Q10" s="1486"/>
      <c r="R10" s="1486"/>
      <c r="S10" s="3068"/>
      <c r="T10" s="3069"/>
      <c r="U10" s="3069"/>
      <c r="V10" s="3069"/>
      <c r="W10" s="3069"/>
      <c r="X10" s="1605"/>
      <c r="Y10" s="1605"/>
      <c r="Z10" s="1604"/>
      <c r="AA10" s="1604"/>
      <c r="AB10" s="1604"/>
      <c r="AC10" s="3064"/>
      <c r="AD10" s="3070"/>
      <c r="AE10" s="1236"/>
      <c r="AF10" s="1236"/>
      <c r="AG10" s="1236"/>
      <c r="AH10" s="1236"/>
      <c r="AI10" s="1237"/>
      <c r="AJ10" s="1792"/>
      <c r="AK10" s="1792"/>
      <c r="AL10" s="1792"/>
      <c r="AM10" s="1792"/>
      <c r="AN10" s="1792"/>
      <c r="AO10" s="1792"/>
      <c r="AP10" s="1792"/>
      <c r="AQ10" s="3071"/>
      <c r="AR10" s="1792"/>
      <c r="AS10" s="1792"/>
      <c r="AT10" s="1792"/>
      <c r="AU10" s="1792"/>
      <c r="AV10" s="1792"/>
      <c r="AW10" s="1792"/>
      <c r="AX10" s="1792"/>
      <c r="AY10" s="1792"/>
    </row>
    <row r="11" spans="2:51" ht="21.2" customHeight="1">
      <c r="E11" s="3072"/>
      <c r="F11" s="1375"/>
      <c r="G11" s="1375"/>
      <c r="H11" s="1375"/>
      <c r="I11" s="1375"/>
      <c r="J11" s="1375"/>
      <c r="K11" s="3073"/>
      <c r="L11" s="1487"/>
      <c r="M11" s="1487"/>
      <c r="N11" s="1487"/>
      <c r="O11" s="1487"/>
      <c r="P11" s="1487"/>
      <c r="Q11" s="1487"/>
      <c r="R11" s="1487"/>
      <c r="S11" s="3074"/>
      <c r="T11" s="3075"/>
      <c r="U11" s="3075"/>
      <c r="V11" s="3075"/>
      <c r="W11" s="3075"/>
      <c r="X11" s="1487"/>
      <c r="Y11" s="1487"/>
      <c r="Z11" s="3076"/>
      <c r="AA11" s="3076"/>
      <c r="AB11" s="3076"/>
      <c r="AC11" s="3077"/>
      <c r="AD11" s="2094"/>
      <c r="AE11" s="1772"/>
      <c r="AF11" s="1772"/>
      <c r="AG11" s="1772"/>
      <c r="AH11" s="1375"/>
      <c r="AI11" s="2123"/>
      <c r="AJ11" s="1792"/>
      <c r="AK11" s="1792"/>
      <c r="AL11" s="1792"/>
      <c r="AM11" s="1792"/>
      <c r="AN11" s="1792"/>
      <c r="AO11" s="1792"/>
      <c r="AP11" s="1792"/>
      <c r="AQ11" s="1792"/>
      <c r="AR11" s="1792"/>
      <c r="AS11" s="1792"/>
      <c r="AT11" s="1792"/>
      <c r="AU11" s="1792"/>
      <c r="AV11" s="1792"/>
      <c r="AW11" s="1792"/>
      <c r="AX11" s="1792"/>
      <c r="AY11" s="1792"/>
    </row>
    <row r="12" spans="2:51" ht="30" customHeight="1">
      <c r="D12" s="3078"/>
      <c r="E12" s="3079"/>
      <c r="F12" s="2889" t="s">
        <v>1076</v>
      </c>
      <c r="G12" s="1554"/>
      <c r="H12" s="2889"/>
      <c r="I12" s="2889"/>
      <c r="J12" s="2889"/>
      <c r="K12" s="1554"/>
      <c r="L12" s="1755">
        <v>-3053.9000000000005</v>
      </c>
      <c r="M12" s="1755">
        <v>-2619.1999999999998</v>
      </c>
      <c r="N12" s="1755">
        <v>-2418.1000000000004</v>
      </c>
      <c r="O12" s="1755">
        <v>-1851.6999999999996</v>
      </c>
      <c r="P12" s="1751">
        <v>-2487.6999999999994</v>
      </c>
      <c r="Q12" s="1752">
        <v>-3344.8999999999996</v>
      </c>
      <c r="R12" s="1752">
        <v>-2098.7999999999997</v>
      </c>
      <c r="S12" s="1752">
        <v>-1336.2999999999993</v>
      </c>
      <c r="T12" s="1752">
        <v>-882.90000000000009</v>
      </c>
      <c r="U12" s="1752">
        <v>-1457.2000000000003</v>
      </c>
      <c r="V12" s="1752">
        <v>-2037.9999999999995</v>
      </c>
      <c r="W12" s="1752">
        <v>-1223.8000000000006</v>
      </c>
      <c r="X12" s="1752">
        <v>-1610.6000000000004</v>
      </c>
      <c r="Y12" s="1752">
        <v>27.699999999999818</v>
      </c>
      <c r="Z12" s="1752">
        <v>849.79999999999927</v>
      </c>
      <c r="AA12" s="1752">
        <v>355.69999999999982</v>
      </c>
      <c r="AB12" s="1752">
        <v>-17.699999999999818</v>
      </c>
      <c r="AC12" s="1345">
        <v>19.5</v>
      </c>
      <c r="AD12" s="3080"/>
      <c r="AE12" s="3080"/>
      <c r="AF12" s="3080"/>
      <c r="AG12" s="3080"/>
      <c r="AH12" s="3080" t="s">
        <v>1134</v>
      </c>
      <c r="AI12" s="1589"/>
      <c r="AJ12" s="3081"/>
      <c r="AK12" s="3081"/>
      <c r="AL12" s="3081"/>
      <c r="AM12" s="3081"/>
      <c r="AN12" s="3081"/>
      <c r="AO12" s="3081"/>
      <c r="AP12" s="1792"/>
      <c r="AQ12" s="3081"/>
      <c r="AR12" s="1792"/>
      <c r="AS12" s="1792"/>
      <c r="AT12" s="1792"/>
      <c r="AU12" s="1792"/>
      <c r="AV12" s="1792"/>
      <c r="AW12" s="1792"/>
      <c r="AX12" s="1792"/>
      <c r="AY12" s="1792"/>
    </row>
    <row r="13" spans="2:51" ht="30" customHeight="1">
      <c r="B13" s="1965"/>
      <c r="C13" s="1965"/>
      <c r="D13" s="3078"/>
      <c r="E13" s="3082"/>
      <c r="F13" s="2877"/>
      <c r="G13" s="2877"/>
      <c r="H13" s="2877" t="s">
        <v>1135</v>
      </c>
      <c r="I13" s="2877"/>
      <c r="J13" s="2877"/>
      <c r="K13" s="2877"/>
      <c r="L13" s="1138">
        <v>-7593.2000000000007</v>
      </c>
      <c r="M13" s="1138">
        <v>-6807.3</v>
      </c>
      <c r="N13" s="1138">
        <v>-7336.2</v>
      </c>
      <c r="O13" s="1138">
        <v>-8495.6</v>
      </c>
      <c r="P13" s="1139">
        <v>-8270.0999999999985</v>
      </c>
      <c r="Q13" s="1139">
        <v>-7486.5999999999995</v>
      </c>
      <c r="R13" s="1139">
        <v>-6261.7</v>
      </c>
      <c r="S13" s="1139">
        <v>-4823.7999999999993</v>
      </c>
      <c r="T13" s="1139">
        <v>-4448.8</v>
      </c>
      <c r="U13" s="1139">
        <v>-5084.3999999999996</v>
      </c>
      <c r="V13" s="1139">
        <v>-4574.1999999999989</v>
      </c>
      <c r="W13" s="1139">
        <v>-3584.7000000000007</v>
      </c>
      <c r="X13" s="1139">
        <v>-3556.3</v>
      </c>
      <c r="Y13" s="1139">
        <v>-2395.1000000000004</v>
      </c>
      <c r="Z13" s="1139">
        <v>-1415.3000000000006</v>
      </c>
      <c r="AA13" s="1139">
        <v>-1227.1000000000001</v>
      </c>
      <c r="AB13" s="1139">
        <v>-1422.9999999999998</v>
      </c>
      <c r="AC13" s="1424">
        <v>-1541.7000000000003</v>
      </c>
      <c r="AD13" s="3083"/>
      <c r="AE13" s="3083"/>
      <c r="AF13" s="3083" t="s">
        <v>1081</v>
      </c>
      <c r="AG13" s="3083"/>
      <c r="AH13" s="2893"/>
      <c r="AI13" s="3084"/>
      <c r="AJ13" s="1792"/>
      <c r="AK13" s="1792"/>
      <c r="AL13" s="1792"/>
      <c r="AM13" s="1792"/>
      <c r="AN13" s="1792"/>
      <c r="AO13" s="1792"/>
      <c r="AP13" s="1792"/>
      <c r="AQ13" s="1792"/>
      <c r="AR13" s="1792"/>
      <c r="AS13" s="1792"/>
      <c r="AT13" s="1792"/>
      <c r="AU13" s="1792"/>
      <c r="AV13" s="1792"/>
      <c r="AW13" s="1792"/>
      <c r="AX13" s="1792"/>
      <c r="AY13" s="1792"/>
    </row>
    <row r="14" spans="2:51" ht="30" customHeight="1">
      <c r="B14" s="1965"/>
      <c r="C14" s="1965"/>
      <c r="D14" s="3078"/>
      <c r="E14" s="3085"/>
      <c r="F14" s="1554"/>
      <c r="G14" s="1554" t="s">
        <v>1082</v>
      </c>
      <c r="H14" s="1554"/>
      <c r="I14" s="1554" t="s">
        <v>1136</v>
      </c>
      <c r="J14" s="1554"/>
      <c r="K14" s="1554"/>
      <c r="L14" s="1141">
        <v>5333.1</v>
      </c>
      <c r="M14" s="1141">
        <v>5359.6</v>
      </c>
      <c r="N14" s="1141">
        <v>5561.4000000000005</v>
      </c>
      <c r="O14" s="1141">
        <v>5953.6</v>
      </c>
      <c r="P14" s="1724">
        <v>5617.9000000000005</v>
      </c>
      <c r="Q14" s="1724">
        <v>5599.5</v>
      </c>
      <c r="R14" s="1724">
        <v>5684.5</v>
      </c>
      <c r="S14" s="1724">
        <v>4990.1000000000004</v>
      </c>
      <c r="T14" s="1724">
        <v>4526.3</v>
      </c>
      <c r="U14" s="1724">
        <v>5633</v>
      </c>
      <c r="V14" s="1724">
        <v>4063.6</v>
      </c>
      <c r="W14" s="1724">
        <v>3689.8999999999996</v>
      </c>
      <c r="X14" s="1724">
        <v>3049.7</v>
      </c>
      <c r="Y14" s="1724">
        <v>2753</v>
      </c>
      <c r="Z14" s="1724">
        <v>2184.8999999999996</v>
      </c>
      <c r="AA14" s="1724">
        <v>1963.8999999999999</v>
      </c>
      <c r="AB14" s="1724">
        <v>1626.7</v>
      </c>
      <c r="AC14" s="1172">
        <v>1346.6</v>
      </c>
      <c r="AD14" s="3086"/>
      <c r="AE14" s="3086" t="s">
        <v>1137</v>
      </c>
      <c r="AF14" s="3086"/>
      <c r="AG14" s="3086"/>
      <c r="AH14" s="3086"/>
      <c r="AI14" s="3087"/>
      <c r="AJ14" s="3081"/>
      <c r="AK14" s="3081"/>
      <c r="AL14" s="3081"/>
      <c r="AM14" s="3081"/>
      <c r="AN14" s="3081"/>
      <c r="AO14" s="3081"/>
      <c r="AP14" s="1792"/>
      <c r="AQ14" s="3081"/>
      <c r="AR14" s="1792"/>
      <c r="AS14" s="1792"/>
      <c r="AT14" s="1792"/>
      <c r="AU14" s="1792"/>
      <c r="AV14" s="1792"/>
      <c r="AW14" s="1792"/>
      <c r="AX14" s="1792"/>
      <c r="AY14" s="1792"/>
    </row>
    <row r="15" spans="2:51" ht="30" customHeight="1">
      <c r="B15" s="1965"/>
      <c r="C15" s="1965"/>
      <c r="D15" s="3078"/>
      <c r="E15" s="3088"/>
      <c r="F15" s="2871"/>
      <c r="G15" s="2871"/>
      <c r="H15" s="2871"/>
      <c r="I15" s="2906"/>
      <c r="J15" s="2906" t="s">
        <v>1138</v>
      </c>
      <c r="K15" s="2871"/>
      <c r="L15" s="1142">
        <v>33.400000000000006</v>
      </c>
      <c r="M15" s="1142">
        <v>44.3</v>
      </c>
      <c r="N15" s="1142">
        <v>1.1000000000000001</v>
      </c>
      <c r="O15" s="1142">
        <v>0.7</v>
      </c>
      <c r="P15" s="1143">
        <v>10.8</v>
      </c>
      <c r="Q15" s="1143">
        <v>101.3</v>
      </c>
      <c r="R15" s="1143">
        <v>186.70000000000002</v>
      </c>
      <c r="S15" s="1143">
        <v>142.1</v>
      </c>
      <c r="T15" s="1143">
        <v>168.29999999999998</v>
      </c>
      <c r="U15" s="1143">
        <v>58.199999999999996</v>
      </c>
      <c r="V15" s="1143">
        <v>32.900000000000006</v>
      </c>
      <c r="W15" s="1143">
        <v>196.29999999999998</v>
      </c>
      <c r="X15" s="1143">
        <v>2.7</v>
      </c>
      <c r="Y15" s="1143">
        <v>36.200000000000003</v>
      </c>
      <c r="Z15" s="1143">
        <v>149.19999999999999</v>
      </c>
      <c r="AA15" s="1143">
        <v>124.3</v>
      </c>
      <c r="AB15" s="1143">
        <v>7.3</v>
      </c>
      <c r="AC15" s="2013">
        <v>2</v>
      </c>
      <c r="AD15" s="3089" t="s">
        <v>1139</v>
      </c>
      <c r="AE15" s="3089"/>
      <c r="AF15" s="3089"/>
      <c r="AG15" s="3089"/>
      <c r="AH15" s="3090"/>
      <c r="AI15" s="3091"/>
      <c r="AJ15" s="3081"/>
      <c r="AK15" s="3081"/>
      <c r="AL15" s="3081"/>
      <c r="AM15" s="3081"/>
      <c r="AN15" s="3081"/>
      <c r="AO15" s="3081"/>
      <c r="AP15" s="1792"/>
      <c r="AQ15" s="3081"/>
      <c r="AR15" s="1792"/>
      <c r="AS15" s="1792"/>
      <c r="AT15" s="1792"/>
      <c r="AU15" s="1792"/>
      <c r="AV15" s="1792"/>
      <c r="AW15" s="1792"/>
      <c r="AX15" s="1792"/>
      <c r="AY15" s="1792"/>
    </row>
    <row r="16" spans="2:51" ht="30" customHeight="1">
      <c r="D16" s="3078"/>
      <c r="E16" s="3085"/>
      <c r="F16" s="1554"/>
      <c r="G16" s="1554" t="s">
        <v>1082</v>
      </c>
      <c r="H16" s="1554"/>
      <c r="I16" s="1196" t="s">
        <v>1140</v>
      </c>
      <c r="J16" s="1196"/>
      <c r="K16" s="1554"/>
      <c r="L16" s="1141">
        <v>12926.300000000001</v>
      </c>
      <c r="M16" s="1141">
        <v>12166.9</v>
      </c>
      <c r="N16" s="1141">
        <v>12897.599999999999</v>
      </c>
      <c r="O16" s="1141">
        <v>14449.199999999999</v>
      </c>
      <c r="P16" s="1724">
        <v>13888</v>
      </c>
      <c r="Q16" s="1724">
        <v>13086.1</v>
      </c>
      <c r="R16" s="1724">
        <v>11946.2</v>
      </c>
      <c r="S16" s="1724">
        <v>9813.9000000000015</v>
      </c>
      <c r="T16" s="1724">
        <v>8975.1</v>
      </c>
      <c r="U16" s="1724">
        <v>10717.4</v>
      </c>
      <c r="V16" s="1724">
        <v>8637.7999999999993</v>
      </c>
      <c r="W16" s="1724">
        <v>7274.6</v>
      </c>
      <c r="X16" s="1724">
        <v>6606</v>
      </c>
      <c r="Y16" s="1724">
        <v>5148.1000000000004</v>
      </c>
      <c r="Z16" s="1724">
        <v>3600.2000000000003</v>
      </c>
      <c r="AA16" s="1724">
        <v>3191</v>
      </c>
      <c r="AB16" s="1724">
        <v>3049.7</v>
      </c>
      <c r="AC16" s="1172">
        <v>2888.3</v>
      </c>
      <c r="AD16" s="3086"/>
      <c r="AE16" s="3086" t="s">
        <v>1141</v>
      </c>
      <c r="AF16" s="3086"/>
      <c r="AG16" s="3086"/>
      <c r="AH16" s="3092"/>
      <c r="AI16" s="3087"/>
      <c r="AJ16" s="3081"/>
      <c r="AK16" s="3081"/>
      <c r="AL16" s="3081"/>
      <c r="AM16" s="3081"/>
      <c r="AN16" s="3081"/>
      <c r="AO16" s="3081"/>
      <c r="AP16" s="1792"/>
      <c r="AQ16" s="3081"/>
      <c r="AR16" s="1792"/>
      <c r="AS16" s="1792"/>
      <c r="AT16" s="1792"/>
      <c r="AU16" s="1792"/>
      <c r="AV16" s="1792"/>
      <c r="AW16" s="1792"/>
      <c r="AX16" s="1792"/>
      <c r="AY16" s="1792"/>
    </row>
    <row r="17" spans="4:51" ht="30" customHeight="1">
      <c r="D17" s="3078"/>
      <c r="E17" s="3088"/>
      <c r="F17" s="2871"/>
      <c r="G17" s="2871"/>
      <c r="H17" s="2871"/>
      <c r="I17" s="2871"/>
      <c r="J17" s="2871" t="s">
        <v>1138</v>
      </c>
      <c r="K17" s="2871"/>
      <c r="L17" s="1142">
        <v>362.99999999999994</v>
      </c>
      <c r="M17" s="1142">
        <v>332.2</v>
      </c>
      <c r="N17" s="1142">
        <v>614.69999999999993</v>
      </c>
      <c r="O17" s="1142">
        <v>386.5</v>
      </c>
      <c r="P17" s="1143">
        <v>370.9</v>
      </c>
      <c r="Q17" s="1143">
        <v>32</v>
      </c>
      <c r="R17" s="1143">
        <v>22.2</v>
      </c>
      <c r="S17" s="1143">
        <v>10.100000000000001</v>
      </c>
      <c r="T17" s="1143">
        <v>16.2</v>
      </c>
      <c r="U17" s="1143">
        <v>108.9</v>
      </c>
      <c r="V17" s="1143">
        <v>66.8</v>
      </c>
      <c r="W17" s="1143">
        <v>25.900000000000002</v>
      </c>
      <c r="X17" s="1143">
        <v>48.7</v>
      </c>
      <c r="Y17" s="1143">
        <v>72.25</v>
      </c>
      <c r="Z17" s="1143">
        <v>50.599999999999994</v>
      </c>
      <c r="AA17" s="1143">
        <v>22.9</v>
      </c>
      <c r="AB17" s="1143">
        <v>27.5</v>
      </c>
      <c r="AC17" s="2013">
        <v>20</v>
      </c>
      <c r="AD17" s="3089" t="s">
        <v>1139</v>
      </c>
      <c r="AE17" s="3089"/>
      <c r="AF17" s="3089"/>
      <c r="AG17" s="3089"/>
      <c r="AH17" s="3089"/>
      <c r="AI17" s="3091"/>
      <c r="AJ17" s="3081"/>
      <c r="AK17" s="3081"/>
      <c r="AL17" s="3081"/>
      <c r="AM17" s="3081"/>
      <c r="AN17" s="3081"/>
      <c r="AO17" s="3081"/>
      <c r="AP17" s="1792"/>
      <c r="AQ17" s="3081"/>
      <c r="AR17" s="1792"/>
      <c r="AS17" s="1792"/>
      <c r="AT17" s="1792"/>
      <c r="AU17" s="1792"/>
      <c r="AV17" s="1792"/>
      <c r="AW17" s="1792"/>
      <c r="AX17" s="1792"/>
      <c r="AY17" s="1792"/>
    </row>
    <row r="18" spans="4:51" ht="30" customHeight="1">
      <c r="D18" s="3078"/>
      <c r="E18" s="3079"/>
      <c r="F18" s="2470"/>
      <c r="G18" s="2470"/>
      <c r="H18" s="2470" t="s">
        <v>1142</v>
      </c>
      <c r="I18" s="2470"/>
      <c r="J18" s="2470"/>
      <c r="K18" s="2889"/>
      <c r="L18" s="1755">
        <v>1455.8</v>
      </c>
      <c r="M18" s="1755">
        <v>1035.0999999999999</v>
      </c>
      <c r="N18" s="1755">
        <v>1235.9000000000001</v>
      </c>
      <c r="O18" s="1755">
        <v>1778.9</v>
      </c>
      <c r="P18" s="1752">
        <v>1209.5</v>
      </c>
      <c r="Q18" s="1752">
        <v>1332.3</v>
      </c>
      <c r="R18" s="1752">
        <v>896</v>
      </c>
      <c r="S18" s="1752">
        <v>926.2</v>
      </c>
      <c r="T18" s="1752">
        <v>616.59999999999991</v>
      </c>
      <c r="U18" s="1752">
        <v>451.0999999999998</v>
      </c>
      <c r="V18" s="1752">
        <v>98.399999999999949</v>
      </c>
      <c r="W18" s="1752">
        <v>18.59999999999998</v>
      </c>
      <c r="X18" s="1752">
        <v>-91.899999999999949</v>
      </c>
      <c r="Y18" s="1752">
        <v>-21.400000000000059</v>
      </c>
      <c r="Z18" s="1752">
        <v>-99.999999999999943</v>
      </c>
      <c r="AA18" s="1752">
        <v>-71.399999999999977</v>
      </c>
      <c r="AB18" s="1752">
        <v>-169.00000000000009</v>
      </c>
      <c r="AC18" s="1345">
        <v>-58.399999999999864</v>
      </c>
      <c r="AD18" s="3093"/>
      <c r="AE18" s="3093"/>
      <c r="AF18" s="3093" t="s">
        <v>1143</v>
      </c>
      <c r="AG18" s="3094"/>
      <c r="AH18" s="3094"/>
      <c r="AI18" s="3095"/>
      <c r="AJ18" s="3081"/>
      <c r="AK18" s="3081"/>
      <c r="AL18" s="3081"/>
      <c r="AM18" s="3081"/>
      <c r="AN18" s="3081"/>
      <c r="AO18" s="3081"/>
      <c r="AP18" s="1792"/>
      <c r="AQ18" s="3081"/>
      <c r="AR18" s="1792"/>
      <c r="AS18" s="1792"/>
      <c r="AT18" s="1792"/>
      <c r="AU18" s="1792"/>
      <c r="AV18" s="1792"/>
      <c r="AW18" s="1792"/>
      <c r="AX18" s="1792"/>
      <c r="AY18" s="1792"/>
    </row>
    <row r="19" spans="4:51" ht="30" customHeight="1">
      <c r="D19" s="3078"/>
      <c r="E19" s="3088"/>
      <c r="F19" s="2871"/>
      <c r="G19" s="2871"/>
      <c r="H19" s="2871"/>
      <c r="I19" s="2871" t="s">
        <v>1144</v>
      </c>
      <c r="J19" s="2871"/>
      <c r="K19" s="2906"/>
      <c r="L19" s="1142">
        <v>2309.5</v>
      </c>
      <c r="M19" s="1142">
        <v>1977.9</v>
      </c>
      <c r="N19" s="1142">
        <v>2062.6999999999998</v>
      </c>
      <c r="O19" s="1142">
        <v>2295.9</v>
      </c>
      <c r="P19" s="1143">
        <v>2144.6999999999998</v>
      </c>
      <c r="Q19" s="1143">
        <v>2071.6999999999998</v>
      </c>
      <c r="R19" s="1143">
        <v>1607.5</v>
      </c>
      <c r="S19" s="1143">
        <v>1429.5</v>
      </c>
      <c r="T19" s="1143">
        <v>1311.4</v>
      </c>
      <c r="U19" s="1143">
        <v>1376.1999999999998</v>
      </c>
      <c r="V19" s="1143">
        <v>1012.5</v>
      </c>
      <c r="W19" s="1143">
        <v>867.4</v>
      </c>
      <c r="X19" s="1143">
        <v>606.5</v>
      </c>
      <c r="Y19" s="1143">
        <v>571.4</v>
      </c>
      <c r="Z19" s="1143">
        <v>432.2000000000001</v>
      </c>
      <c r="AA19" s="1143">
        <v>421.99999999999994</v>
      </c>
      <c r="AB19" s="1143">
        <v>228.40000000000003</v>
      </c>
      <c r="AC19" s="2013">
        <v>264.50000000000011</v>
      </c>
      <c r="AD19" s="3089"/>
      <c r="AE19" s="3089" t="s">
        <v>1145</v>
      </c>
      <c r="AF19" s="3089"/>
      <c r="AG19" s="3089"/>
      <c r="AH19" s="3090"/>
      <c r="AI19" s="3091"/>
      <c r="AJ19" s="3081"/>
      <c r="AK19" s="3081"/>
      <c r="AL19" s="3081"/>
      <c r="AM19" s="3081"/>
      <c r="AN19" s="3081"/>
      <c r="AO19" s="3081"/>
      <c r="AP19" s="1792"/>
      <c r="AQ19" s="3081"/>
      <c r="AR19" s="1792"/>
      <c r="AS19" s="1792"/>
      <c r="AT19" s="1792"/>
      <c r="AU19" s="1792"/>
      <c r="AV19" s="1792"/>
      <c r="AW19" s="1792"/>
      <c r="AX19" s="1792"/>
      <c r="AY19" s="1792"/>
    </row>
    <row r="20" spans="4:51" ht="30" customHeight="1">
      <c r="D20" s="3078"/>
      <c r="E20" s="3085"/>
      <c r="F20" s="1554"/>
      <c r="G20" s="1554" t="s">
        <v>1082</v>
      </c>
      <c r="H20" s="1554"/>
      <c r="I20" s="1554"/>
      <c r="J20" s="1554" t="s">
        <v>1091</v>
      </c>
      <c r="K20" s="1554"/>
      <c r="L20" s="1141">
        <v>3293.5</v>
      </c>
      <c r="M20" s="1141">
        <v>2870.8999999999996</v>
      </c>
      <c r="N20" s="1141">
        <v>2886</v>
      </c>
      <c r="O20" s="1141">
        <v>3106.6</v>
      </c>
      <c r="P20" s="1724">
        <v>2923</v>
      </c>
      <c r="Q20" s="1724">
        <v>2883.6000000000004</v>
      </c>
      <c r="R20" s="1724">
        <v>2431.5</v>
      </c>
      <c r="S20" s="1724">
        <v>2545.3000000000002</v>
      </c>
      <c r="T20" s="1724">
        <v>2066.7999999999997</v>
      </c>
      <c r="U20" s="1724">
        <v>2088.5</v>
      </c>
      <c r="V20" s="1724">
        <v>1638.3000000000002</v>
      </c>
      <c r="W20" s="1724">
        <v>1460.8000000000002</v>
      </c>
      <c r="X20" s="1724">
        <v>1021.4</v>
      </c>
      <c r="Y20" s="1724">
        <v>942.8</v>
      </c>
      <c r="Z20" s="1724">
        <v>752.60000000000014</v>
      </c>
      <c r="AA20" s="1724">
        <v>743.3</v>
      </c>
      <c r="AB20" s="1724">
        <v>496.1</v>
      </c>
      <c r="AC20" s="1172">
        <v>512.40000000000009</v>
      </c>
      <c r="AD20" s="3086" t="s">
        <v>1092</v>
      </c>
      <c r="AE20" s="3086"/>
      <c r="AF20" s="3086"/>
      <c r="AG20" s="3086"/>
      <c r="AH20" s="3086"/>
      <c r="AI20" s="3087"/>
      <c r="AJ20" s="3081"/>
      <c r="AK20" s="3081"/>
      <c r="AL20" s="3081"/>
      <c r="AM20" s="3081"/>
      <c r="AN20" s="3081"/>
      <c r="AO20" s="3081"/>
      <c r="AP20" s="1792"/>
      <c r="AQ20" s="3081"/>
      <c r="AR20" s="1792"/>
      <c r="AS20" s="1792"/>
      <c r="AT20" s="1792"/>
      <c r="AU20" s="1792"/>
      <c r="AV20" s="1792"/>
      <c r="AW20" s="1792"/>
      <c r="AX20" s="1792"/>
      <c r="AY20" s="1792"/>
    </row>
    <row r="21" spans="4:51" ht="30" customHeight="1">
      <c r="D21" s="3078"/>
      <c r="E21" s="3088"/>
      <c r="F21" s="2871"/>
      <c r="G21" s="2871" t="s">
        <v>1082</v>
      </c>
      <c r="H21" s="2871"/>
      <c r="I21" s="2871"/>
      <c r="J21" s="2871" t="s">
        <v>1093</v>
      </c>
      <c r="K21" s="2871"/>
      <c r="L21" s="1142">
        <v>984</v>
      </c>
      <c r="M21" s="1142">
        <v>893</v>
      </c>
      <c r="N21" s="1142">
        <v>823.30000000000007</v>
      </c>
      <c r="O21" s="1142">
        <v>810.7</v>
      </c>
      <c r="P21" s="1143">
        <v>778.3</v>
      </c>
      <c r="Q21" s="1143">
        <v>811.9</v>
      </c>
      <c r="R21" s="1143">
        <v>824</v>
      </c>
      <c r="S21" s="1143">
        <v>1115.8</v>
      </c>
      <c r="T21" s="1143">
        <v>755.4</v>
      </c>
      <c r="U21" s="1143">
        <v>712.3</v>
      </c>
      <c r="V21" s="1143">
        <v>625.79999999999995</v>
      </c>
      <c r="W21" s="1143">
        <v>593.4</v>
      </c>
      <c r="X21" s="1143">
        <v>414.9</v>
      </c>
      <c r="Y21" s="1143">
        <v>371.4</v>
      </c>
      <c r="Z21" s="1143">
        <v>320.40000000000003</v>
      </c>
      <c r="AA21" s="1143">
        <v>321.3</v>
      </c>
      <c r="AB21" s="1143">
        <v>267.7</v>
      </c>
      <c r="AC21" s="2013">
        <v>247.9</v>
      </c>
      <c r="AD21" s="3089" t="s">
        <v>1094</v>
      </c>
      <c r="AE21" s="3089"/>
      <c r="AF21" s="3089"/>
      <c r="AG21" s="3089"/>
      <c r="AH21" s="3090"/>
      <c r="AI21" s="3096"/>
      <c r="AJ21" s="3081"/>
      <c r="AK21" s="3081"/>
      <c r="AL21" s="3081"/>
      <c r="AM21" s="3081"/>
      <c r="AN21" s="3081"/>
      <c r="AO21" s="3081"/>
      <c r="AP21" s="1792"/>
      <c r="AQ21" s="3081"/>
      <c r="AR21" s="1792"/>
      <c r="AS21" s="1792"/>
      <c r="AT21" s="1792"/>
      <c r="AU21" s="1792"/>
      <c r="AV21" s="1792"/>
      <c r="AW21" s="1792"/>
      <c r="AX21" s="1792"/>
      <c r="AY21" s="1792"/>
    </row>
    <row r="22" spans="4:51" ht="30" customHeight="1">
      <c r="D22" s="3078"/>
      <c r="E22" s="3085"/>
      <c r="F22" s="1554"/>
      <c r="G22" s="1554" t="s">
        <v>1082</v>
      </c>
      <c r="H22" s="1554"/>
      <c r="I22" s="1554" t="s">
        <v>1100</v>
      </c>
      <c r="J22" s="1554"/>
      <c r="K22" s="1554"/>
      <c r="L22" s="1141">
        <v>-936.5</v>
      </c>
      <c r="M22" s="1141">
        <v>-921</v>
      </c>
      <c r="N22" s="1141">
        <v>-924.7</v>
      </c>
      <c r="O22" s="1141">
        <v>-763.7</v>
      </c>
      <c r="P22" s="1724">
        <v>-889.1</v>
      </c>
      <c r="Q22" s="1724">
        <v>-817.5</v>
      </c>
      <c r="R22" s="1724">
        <v>-868.19999999999993</v>
      </c>
      <c r="S22" s="1724">
        <v>-714.90000000000009</v>
      </c>
      <c r="T22" s="1724">
        <v>-817.5</v>
      </c>
      <c r="U22" s="1724">
        <v>-996.6</v>
      </c>
      <c r="V22" s="1724">
        <v>-817.7</v>
      </c>
      <c r="W22" s="1724">
        <v>-714.9</v>
      </c>
      <c r="X22" s="1724">
        <v>-618.09999999999991</v>
      </c>
      <c r="Y22" s="1724">
        <v>-482.6</v>
      </c>
      <c r="Z22" s="1724">
        <v>-370.6</v>
      </c>
      <c r="AA22" s="1724">
        <v>-339.7</v>
      </c>
      <c r="AB22" s="1724">
        <v>-339.50000000000011</v>
      </c>
      <c r="AC22" s="1172">
        <v>-279.39999999999998</v>
      </c>
      <c r="AD22" s="3086"/>
      <c r="AE22" s="3086" t="s">
        <v>1146</v>
      </c>
      <c r="AF22" s="3086"/>
      <c r="AG22" s="3086"/>
      <c r="AH22" s="3086"/>
      <c r="AI22" s="3087"/>
      <c r="AJ22" s="3081"/>
      <c r="AK22" s="3081"/>
      <c r="AL22" s="3081"/>
      <c r="AM22" s="3081"/>
      <c r="AN22" s="3081"/>
      <c r="AO22" s="3081"/>
      <c r="AP22" s="1792"/>
      <c r="AQ22" s="3081"/>
      <c r="AR22" s="1792"/>
      <c r="AS22" s="1792"/>
      <c r="AT22" s="1792"/>
      <c r="AU22" s="1792"/>
      <c r="AV22" s="1792"/>
      <c r="AW22" s="1792"/>
      <c r="AX22" s="1792"/>
      <c r="AY22" s="1792"/>
    </row>
    <row r="23" spans="4:51" ht="30" customHeight="1">
      <c r="D23" s="3078"/>
      <c r="E23" s="3088"/>
      <c r="F23" s="2871"/>
      <c r="G23" s="2871" t="s">
        <v>1082</v>
      </c>
      <c r="H23" s="2871"/>
      <c r="I23" s="2871"/>
      <c r="J23" s="2871" t="s">
        <v>1091</v>
      </c>
      <c r="K23" s="2871"/>
      <c r="L23" s="1142">
        <v>891.40000000000009</v>
      </c>
      <c r="M23" s="1142">
        <v>885.69999999999993</v>
      </c>
      <c r="N23" s="1142">
        <v>877.19999999999993</v>
      </c>
      <c r="O23" s="1142">
        <v>1137</v>
      </c>
      <c r="P23" s="1143">
        <v>1000.9999999999999</v>
      </c>
      <c r="Q23" s="1143">
        <v>1028</v>
      </c>
      <c r="R23" s="1143">
        <v>907</v>
      </c>
      <c r="S23" s="1143">
        <v>794.2</v>
      </c>
      <c r="T23" s="1143">
        <v>564.5</v>
      </c>
      <c r="U23" s="1143">
        <v>593.1</v>
      </c>
      <c r="V23" s="1143">
        <v>468.40000000000003</v>
      </c>
      <c r="W23" s="1143">
        <v>374.1</v>
      </c>
      <c r="X23" s="1143">
        <v>333.1</v>
      </c>
      <c r="Y23" s="1143">
        <v>302</v>
      </c>
      <c r="Z23" s="1143">
        <v>215</v>
      </c>
      <c r="AA23" s="1143">
        <v>207.2</v>
      </c>
      <c r="AB23" s="1143">
        <v>184.5</v>
      </c>
      <c r="AC23" s="2013">
        <v>212.39999999999998</v>
      </c>
      <c r="AD23" s="3089" t="s">
        <v>1092</v>
      </c>
      <c r="AE23" s="3089"/>
      <c r="AF23" s="3089"/>
      <c r="AG23" s="3089"/>
      <c r="AH23" s="3090"/>
      <c r="AI23" s="3091"/>
      <c r="AJ23" s="1792"/>
      <c r="AK23" s="1792"/>
      <c r="AL23" s="1792"/>
      <c r="AM23" s="1792"/>
      <c r="AN23" s="1792"/>
      <c r="AO23" s="1792"/>
      <c r="AP23" s="1792"/>
      <c r="AQ23" s="1792"/>
      <c r="AR23" s="1792"/>
      <c r="AS23" s="1792"/>
      <c r="AT23" s="1792"/>
      <c r="AU23" s="1792"/>
      <c r="AV23" s="1792"/>
      <c r="AW23" s="1792"/>
      <c r="AX23" s="1792"/>
      <c r="AY23" s="1792"/>
    </row>
    <row r="24" spans="4:51" ht="30" customHeight="1">
      <c r="D24" s="3078"/>
      <c r="E24" s="3085"/>
      <c r="F24" s="1554"/>
      <c r="G24" s="1554" t="s">
        <v>1082</v>
      </c>
      <c r="H24" s="1554"/>
      <c r="I24" s="1554"/>
      <c r="J24" s="1554" t="s">
        <v>1147</v>
      </c>
      <c r="K24" s="1196"/>
      <c r="L24" s="1141">
        <v>1827.8999999999999</v>
      </c>
      <c r="M24" s="1141">
        <v>1806.7000000000003</v>
      </c>
      <c r="N24" s="1141">
        <v>1801.8999999999999</v>
      </c>
      <c r="O24" s="1141">
        <v>1900.7</v>
      </c>
      <c r="P24" s="1724">
        <v>1890.1</v>
      </c>
      <c r="Q24" s="1724">
        <v>1845.5</v>
      </c>
      <c r="R24" s="1724">
        <v>1775.2</v>
      </c>
      <c r="S24" s="1724">
        <v>1509.1</v>
      </c>
      <c r="T24" s="1724">
        <v>1382</v>
      </c>
      <c r="U24" s="1724">
        <v>1589.6999999999998</v>
      </c>
      <c r="V24" s="1724">
        <v>1286.0999999999999</v>
      </c>
      <c r="W24" s="1724">
        <v>1089</v>
      </c>
      <c r="X24" s="1724">
        <v>951.2</v>
      </c>
      <c r="Y24" s="1724">
        <v>784.59999999999991</v>
      </c>
      <c r="Z24" s="1724">
        <v>585.6</v>
      </c>
      <c r="AA24" s="1724">
        <v>546.9</v>
      </c>
      <c r="AB24" s="1724">
        <v>524.00000000000011</v>
      </c>
      <c r="AC24" s="1172">
        <v>491.79999999999995</v>
      </c>
      <c r="AD24" s="3086" t="s">
        <v>1148</v>
      </c>
      <c r="AE24" s="3086"/>
      <c r="AF24" s="3086"/>
      <c r="AG24" s="3086"/>
      <c r="AH24" s="3092"/>
      <c r="AI24" s="3087"/>
      <c r="AJ24" s="3081"/>
      <c r="AK24" s="3081"/>
      <c r="AL24" s="3081"/>
      <c r="AM24" s="3081"/>
      <c r="AN24" s="3081"/>
      <c r="AO24" s="3081"/>
      <c r="AP24" s="1792"/>
      <c r="AQ24" s="3081"/>
      <c r="AR24" s="1792"/>
      <c r="AS24" s="1792"/>
      <c r="AT24" s="1792"/>
      <c r="AU24" s="1792"/>
      <c r="AV24" s="1792"/>
      <c r="AW24" s="1792"/>
      <c r="AX24" s="1792"/>
      <c r="AY24" s="1792"/>
    </row>
    <row r="25" spans="4:51" ht="30" customHeight="1">
      <c r="D25" s="3078"/>
      <c r="E25" s="3097"/>
      <c r="F25" s="1834"/>
      <c r="G25" s="2871"/>
      <c r="H25" s="2871"/>
      <c r="I25" s="2871"/>
      <c r="J25" s="2871" t="s">
        <v>1149</v>
      </c>
      <c r="K25" s="3098"/>
      <c r="L25" s="1142">
        <v>1307.1999999999998</v>
      </c>
      <c r="M25" s="1142">
        <v>1230.3000000000002</v>
      </c>
      <c r="N25" s="1142">
        <v>1304.3</v>
      </c>
      <c r="O25" s="1142">
        <v>1461.2</v>
      </c>
      <c r="P25" s="1143">
        <v>1404.5</v>
      </c>
      <c r="Q25" s="1143">
        <v>1323.2</v>
      </c>
      <c r="R25" s="1143">
        <v>1208</v>
      </c>
      <c r="S25" s="1143">
        <v>992.5</v>
      </c>
      <c r="T25" s="1143">
        <v>907.7</v>
      </c>
      <c r="U25" s="1143">
        <v>1083.8</v>
      </c>
      <c r="V25" s="1143">
        <v>873.59999999999991</v>
      </c>
      <c r="W25" s="1143">
        <v>735.59999999999991</v>
      </c>
      <c r="X25" s="1143">
        <v>668</v>
      </c>
      <c r="Y25" s="1143">
        <v>520.6</v>
      </c>
      <c r="Z25" s="1143">
        <v>364.09999999999997</v>
      </c>
      <c r="AA25" s="1143">
        <v>322.7</v>
      </c>
      <c r="AB25" s="1143">
        <v>308.29999999999995</v>
      </c>
      <c r="AC25" s="2013">
        <v>292</v>
      </c>
      <c r="AD25" s="3089" t="s">
        <v>1150</v>
      </c>
      <c r="AE25" s="3089"/>
      <c r="AF25" s="3089"/>
      <c r="AG25" s="3089"/>
      <c r="AH25" s="3089"/>
      <c r="AI25" s="3091"/>
      <c r="AJ25" s="1792"/>
      <c r="AK25" s="1792"/>
      <c r="AL25" s="1792"/>
      <c r="AM25" s="1792"/>
      <c r="AN25" s="1792"/>
      <c r="AO25" s="1792"/>
      <c r="AP25" s="1792"/>
      <c r="AQ25" s="1792"/>
      <c r="AR25" s="1792"/>
      <c r="AS25" s="1792"/>
      <c r="AT25" s="1792"/>
      <c r="AU25" s="1792"/>
      <c r="AV25" s="1792"/>
      <c r="AW25" s="1792"/>
      <c r="AX25" s="1792"/>
      <c r="AY25" s="1792"/>
    </row>
    <row r="26" spans="4:51" ht="30" customHeight="1">
      <c r="D26" s="3078"/>
      <c r="E26" s="3085"/>
      <c r="F26" s="1554"/>
      <c r="G26" s="1554"/>
      <c r="H26" s="1554"/>
      <c r="I26" s="1554" t="s">
        <v>1151</v>
      </c>
      <c r="J26" s="1554"/>
      <c r="K26" s="1196"/>
      <c r="L26" s="1141">
        <v>204.3</v>
      </c>
      <c r="M26" s="1141">
        <v>62.899999999999991</v>
      </c>
      <c r="N26" s="1141">
        <v>216</v>
      </c>
      <c r="O26" s="1141">
        <v>327.59999999999997</v>
      </c>
      <c r="P26" s="1724">
        <v>119.5</v>
      </c>
      <c r="Q26" s="1724">
        <v>221.3</v>
      </c>
      <c r="R26" s="1724">
        <v>261.8</v>
      </c>
      <c r="S26" s="1724">
        <v>281.20000000000005</v>
      </c>
      <c r="T26" s="1724">
        <v>244.3</v>
      </c>
      <c r="U26" s="1724">
        <v>147.9</v>
      </c>
      <c r="V26" s="1724">
        <v>41.7</v>
      </c>
      <c r="W26" s="1724">
        <v>21.299999999999997</v>
      </c>
      <c r="X26" s="1724">
        <v>68.199999999999989</v>
      </c>
      <c r="Y26" s="1724">
        <v>-77.600000000000009</v>
      </c>
      <c r="Z26" s="1724">
        <v>-119.10000000000002</v>
      </c>
      <c r="AA26" s="1724">
        <v>-153.19999999999999</v>
      </c>
      <c r="AB26" s="1724">
        <v>-81.099999999999994</v>
      </c>
      <c r="AC26" s="1172">
        <v>-156.89999999999998</v>
      </c>
      <c r="AD26" s="3086"/>
      <c r="AE26" s="3086" t="s">
        <v>1152</v>
      </c>
      <c r="AF26" s="3086"/>
      <c r="AG26" s="3086"/>
      <c r="AH26" s="3092"/>
      <c r="AI26" s="3087"/>
      <c r="AJ26" s="1792"/>
      <c r="AK26" s="1792"/>
      <c r="AL26" s="1792"/>
      <c r="AM26" s="1792"/>
      <c r="AN26" s="1792"/>
      <c r="AO26" s="1792"/>
      <c r="AP26" s="1792"/>
      <c r="AQ26" s="1792"/>
      <c r="AR26" s="1792"/>
      <c r="AS26" s="1792"/>
      <c r="AT26" s="1792"/>
      <c r="AU26" s="1792"/>
      <c r="AV26" s="1792"/>
      <c r="AW26" s="1792"/>
      <c r="AX26" s="1792"/>
      <c r="AY26" s="1792"/>
    </row>
    <row r="27" spans="4:51" ht="30" customHeight="1">
      <c r="D27" s="3078"/>
      <c r="E27" s="3088"/>
      <c r="F27" s="2871"/>
      <c r="G27" s="2871"/>
      <c r="H27" s="2871"/>
      <c r="I27" s="2871"/>
      <c r="J27" s="2871" t="s">
        <v>1091</v>
      </c>
      <c r="K27" s="2871"/>
      <c r="L27" s="1142">
        <v>281.60000000000002</v>
      </c>
      <c r="M27" s="1142">
        <v>135.69999999999999</v>
      </c>
      <c r="N27" s="1142">
        <v>278.5</v>
      </c>
      <c r="O27" s="1142">
        <v>385.4</v>
      </c>
      <c r="P27" s="1143">
        <v>199.4</v>
      </c>
      <c r="Q27" s="1143">
        <v>277.60000000000002</v>
      </c>
      <c r="R27" s="1143">
        <v>346.1</v>
      </c>
      <c r="S27" s="1143">
        <v>357.1</v>
      </c>
      <c r="T27" s="1143">
        <v>347.5</v>
      </c>
      <c r="U27" s="1143">
        <v>290.10000000000002</v>
      </c>
      <c r="V27" s="1143">
        <v>156</v>
      </c>
      <c r="W27" s="1143">
        <v>104</v>
      </c>
      <c r="X27" s="1143">
        <v>122.9</v>
      </c>
      <c r="Y27" s="1143">
        <v>45.399999999999991</v>
      </c>
      <c r="Z27" s="1143">
        <v>22.4</v>
      </c>
      <c r="AA27" s="1143">
        <v>28</v>
      </c>
      <c r="AB27" s="1143">
        <v>64.599999999999994</v>
      </c>
      <c r="AC27" s="2013">
        <v>26.9</v>
      </c>
      <c r="AD27" s="3089" t="s">
        <v>1153</v>
      </c>
      <c r="AE27" s="3089"/>
      <c r="AF27" s="3089"/>
      <c r="AG27" s="3089"/>
      <c r="AH27" s="3089"/>
      <c r="AI27" s="3091"/>
      <c r="AJ27" s="1792"/>
      <c r="AK27" s="1792"/>
      <c r="AL27" s="1792"/>
      <c r="AM27" s="1792"/>
      <c r="AN27" s="1792"/>
      <c r="AO27" s="1792"/>
      <c r="AP27" s="1792"/>
      <c r="AQ27" s="1792"/>
      <c r="AR27" s="1792"/>
      <c r="AS27" s="1792"/>
      <c r="AT27" s="1792"/>
      <c r="AU27" s="1792"/>
      <c r="AV27" s="1792"/>
      <c r="AW27" s="1792"/>
      <c r="AX27" s="1792"/>
      <c r="AY27" s="1792"/>
    </row>
    <row r="28" spans="4:51" ht="30" customHeight="1">
      <c r="D28" s="3078"/>
      <c r="E28" s="3085"/>
      <c r="F28" s="1554"/>
      <c r="G28" s="1554"/>
      <c r="H28" s="1554"/>
      <c r="I28" s="1554"/>
      <c r="J28" s="1554" t="s">
        <v>1093</v>
      </c>
      <c r="K28" s="1554"/>
      <c r="L28" s="1141">
        <v>77.300000000000011</v>
      </c>
      <c r="M28" s="1141">
        <v>72.8</v>
      </c>
      <c r="N28" s="1141">
        <v>62.5</v>
      </c>
      <c r="O28" s="1141">
        <v>57.8</v>
      </c>
      <c r="P28" s="1724">
        <v>79.900000000000006</v>
      </c>
      <c r="Q28" s="1724">
        <v>56.3</v>
      </c>
      <c r="R28" s="1724">
        <v>84.299999999999983</v>
      </c>
      <c r="S28" s="1724">
        <v>75.900000000000006</v>
      </c>
      <c r="T28" s="1724">
        <v>103.19999999999999</v>
      </c>
      <c r="U28" s="1724">
        <v>142.19999999999999</v>
      </c>
      <c r="V28" s="1724">
        <v>114.29999999999998</v>
      </c>
      <c r="W28" s="1724">
        <v>82.7</v>
      </c>
      <c r="X28" s="1724">
        <v>54.7</v>
      </c>
      <c r="Y28" s="1724">
        <v>123</v>
      </c>
      <c r="Z28" s="1724">
        <v>141.50000000000003</v>
      </c>
      <c r="AA28" s="1724">
        <v>181.2</v>
      </c>
      <c r="AB28" s="1724">
        <v>145.69999999999999</v>
      </c>
      <c r="AC28" s="1172">
        <v>183.79999999999998</v>
      </c>
      <c r="AD28" s="3086" t="s">
        <v>1094</v>
      </c>
      <c r="AE28" s="3086"/>
      <c r="AF28" s="3086"/>
      <c r="AG28" s="3086"/>
      <c r="AH28" s="3092"/>
      <c r="AI28" s="3087"/>
      <c r="AJ28" s="1792"/>
      <c r="AK28" s="1792"/>
      <c r="AL28" s="1792"/>
      <c r="AM28" s="1792"/>
      <c r="AN28" s="1792"/>
      <c r="AO28" s="1792"/>
      <c r="AP28" s="1792"/>
      <c r="AQ28" s="1792"/>
      <c r="AR28" s="1792"/>
      <c r="AS28" s="1792"/>
      <c r="AT28" s="1792"/>
      <c r="AU28" s="1792"/>
      <c r="AV28" s="1792"/>
      <c r="AW28" s="1792"/>
      <c r="AX28" s="1792"/>
      <c r="AY28" s="1792"/>
    </row>
    <row r="29" spans="4:51" ht="30" customHeight="1">
      <c r="D29" s="3078"/>
      <c r="E29" s="3088"/>
      <c r="F29" s="2871"/>
      <c r="G29" s="2871" t="s">
        <v>1082</v>
      </c>
      <c r="H29" s="2871"/>
      <c r="I29" s="2871" t="s">
        <v>1154</v>
      </c>
      <c r="J29" s="2871"/>
      <c r="K29" s="2906"/>
      <c r="L29" s="1142">
        <v>-121.5</v>
      </c>
      <c r="M29" s="1142">
        <v>-84.699999999999989</v>
      </c>
      <c r="N29" s="1142">
        <v>-118.09999999999997</v>
      </c>
      <c r="O29" s="1142">
        <v>-80.899999999999991</v>
      </c>
      <c r="P29" s="1143">
        <v>-165.6</v>
      </c>
      <c r="Q29" s="1143">
        <v>-143.19999999999999</v>
      </c>
      <c r="R29" s="1143">
        <v>-105.1</v>
      </c>
      <c r="S29" s="1143">
        <v>-69.599999999999994</v>
      </c>
      <c r="T29" s="1143">
        <v>-121.60000000000001</v>
      </c>
      <c r="U29" s="1143">
        <v>-76.400000000000006</v>
      </c>
      <c r="V29" s="1143">
        <v>-138.1</v>
      </c>
      <c r="W29" s="1143">
        <v>-155.19999999999999</v>
      </c>
      <c r="X29" s="1143">
        <v>-148.5</v>
      </c>
      <c r="Y29" s="1143">
        <v>-32.599999999999994</v>
      </c>
      <c r="Z29" s="1143">
        <v>-42.5</v>
      </c>
      <c r="AA29" s="1143">
        <v>-0.49999999999994316</v>
      </c>
      <c r="AB29" s="1143">
        <v>23.199999999999989</v>
      </c>
      <c r="AC29" s="2013">
        <v>113.39999999999998</v>
      </c>
      <c r="AD29" s="3089"/>
      <c r="AE29" s="3089" t="s">
        <v>1155</v>
      </c>
      <c r="AF29" s="3089"/>
      <c r="AG29" s="3089"/>
      <c r="AH29" s="3090"/>
      <c r="AI29" s="3091"/>
      <c r="AJ29" s="1792"/>
      <c r="AK29" s="1792"/>
      <c r="AL29" s="1792"/>
      <c r="AM29" s="1792"/>
      <c r="AN29" s="1792"/>
      <c r="AO29" s="1792"/>
      <c r="AP29" s="1792"/>
      <c r="AQ29" s="1792"/>
      <c r="AR29" s="1792"/>
      <c r="AS29" s="1792"/>
      <c r="AT29" s="1792"/>
      <c r="AU29" s="1792"/>
      <c r="AV29" s="1792"/>
      <c r="AW29" s="1792"/>
      <c r="AX29" s="1792"/>
      <c r="AY29" s="1792"/>
    </row>
    <row r="30" spans="4:51" ht="30" customHeight="1">
      <c r="D30" s="3078"/>
      <c r="E30" s="3085"/>
      <c r="F30" s="1554"/>
      <c r="G30" s="1554" t="s">
        <v>1082</v>
      </c>
      <c r="H30" s="1554"/>
      <c r="I30" s="1554"/>
      <c r="J30" s="1554" t="s">
        <v>1091</v>
      </c>
      <c r="K30" s="1554"/>
      <c r="L30" s="1141">
        <v>351.6</v>
      </c>
      <c r="M30" s="1141">
        <v>392.90000000000003</v>
      </c>
      <c r="N30" s="1141">
        <v>409.3</v>
      </c>
      <c r="O30" s="1141">
        <v>440.1</v>
      </c>
      <c r="P30" s="1724">
        <v>360.3</v>
      </c>
      <c r="Q30" s="1724">
        <v>369.59999999999997</v>
      </c>
      <c r="R30" s="1724">
        <v>389</v>
      </c>
      <c r="S30" s="1724">
        <v>367.1</v>
      </c>
      <c r="T30" s="1724">
        <v>348.29999999999995</v>
      </c>
      <c r="U30" s="1724">
        <v>408</v>
      </c>
      <c r="V30" s="1724">
        <v>329.5</v>
      </c>
      <c r="W30" s="1724">
        <v>185.89999999999998</v>
      </c>
      <c r="X30" s="1724">
        <v>233</v>
      </c>
      <c r="Y30" s="1724">
        <v>209.8</v>
      </c>
      <c r="Z30" s="1724">
        <v>249.5</v>
      </c>
      <c r="AA30" s="1724">
        <v>285.10000000000002</v>
      </c>
      <c r="AB30" s="1724">
        <v>309.39999999999998</v>
      </c>
      <c r="AC30" s="1172">
        <v>410.79999999999995</v>
      </c>
      <c r="AD30" s="3086" t="s">
        <v>1153</v>
      </c>
      <c r="AE30" s="3086"/>
      <c r="AF30" s="3086"/>
      <c r="AG30" s="3086"/>
      <c r="AH30" s="3086"/>
      <c r="AI30" s="3099"/>
      <c r="AJ30" s="1792"/>
      <c r="AK30" s="1792"/>
      <c r="AL30" s="1792"/>
      <c r="AM30" s="1792"/>
      <c r="AN30" s="1792"/>
      <c r="AO30" s="1792"/>
      <c r="AP30" s="1792"/>
      <c r="AQ30" s="1792"/>
      <c r="AR30" s="1792"/>
      <c r="AS30" s="1792"/>
      <c r="AT30" s="1792"/>
      <c r="AU30" s="1792"/>
      <c r="AV30" s="1792"/>
      <c r="AW30" s="1792"/>
      <c r="AX30" s="1792"/>
      <c r="AY30" s="1792"/>
    </row>
    <row r="31" spans="4:51" ht="30" customHeight="1">
      <c r="D31" s="3078"/>
      <c r="E31" s="3088"/>
      <c r="F31" s="2871"/>
      <c r="G31" s="2871" t="s">
        <v>1082</v>
      </c>
      <c r="H31" s="2871"/>
      <c r="I31" s="2871"/>
      <c r="J31" s="2871" t="s">
        <v>1093</v>
      </c>
      <c r="K31" s="2871"/>
      <c r="L31" s="1142">
        <v>473.09999999999997</v>
      </c>
      <c r="M31" s="1142">
        <v>477.6</v>
      </c>
      <c r="N31" s="1142">
        <v>527.40000000000009</v>
      </c>
      <c r="O31" s="1142">
        <v>521</v>
      </c>
      <c r="P31" s="1143">
        <v>525.9</v>
      </c>
      <c r="Q31" s="1143">
        <v>512.79999999999995</v>
      </c>
      <c r="R31" s="1143">
        <v>494.1</v>
      </c>
      <c r="S31" s="1143">
        <v>436.7</v>
      </c>
      <c r="T31" s="1143">
        <v>469.9</v>
      </c>
      <c r="U31" s="1143">
        <v>484.4</v>
      </c>
      <c r="V31" s="1143">
        <v>467.59999999999997</v>
      </c>
      <c r="W31" s="1143">
        <v>341.1</v>
      </c>
      <c r="X31" s="1143">
        <v>381.5</v>
      </c>
      <c r="Y31" s="1143">
        <v>242.4</v>
      </c>
      <c r="Z31" s="1143">
        <v>292</v>
      </c>
      <c r="AA31" s="1143">
        <v>285.59999999999997</v>
      </c>
      <c r="AB31" s="1143">
        <v>286.2</v>
      </c>
      <c r="AC31" s="2013">
        <v>297.39999999999998</v>
      </c>
      <c r="AD31" s="3089" t="s">
        <v>1094</v>
      </c>
      <c r="AE31" s="3089"/>
      <c r="AF31" s="3089"/>
      <c r="AG31" s="3089"/>
      <c r="AH31" s="3090"/>
      <c r="AI31" s="3091"/>
      <c r="AJ31" s="1792"/>
      <c r="AK31" s="1792"/>
      <c r="AL31" s="1792"/>
      <c r="AM31" s="3100"/>
      <c r="AN31" s="1792"/>
      <c r="AO31" s="1792"/>
      <c r="AP31" s="1792"/>
      <c r="AQ31" s="1792"/>
      <c r="AR31" s="1792"/>
      <c r="AS31" s="1792"/>
      <c r="AT31" s="1792"/>
      <c r="AU31" s="1792"/>
      <c r="AV31" s="1792"/>
      <c r="AW31" s="1792"/>
      <c r="AX31" s="1792"/>
      <c r="AY31" s="1792"/>
    </row>
    <row r="32" spans="4:51" ht="30" customHeight="1">
      <c r="D32" s="3078"/>
      <c r="E32" s="3079"/>
      <c r="F32" s="2470"/>
      <c r="G32" s="2470"/>
      <c r="H32" s="2470" t="s">
        <v>1156</v>
      </c>
      <c r="I32" s="2470"/>
      <c r="J32" s="2470"/>
      <c r="K32" s="2889"/>
      <c r="L32" s="1146">
        <v>-146.5</v>
      </c>
      <c r="M32" s="1146">
        <v>-216.59999999999997</v>
      </c>
      <c r="N32" s="1146">
        <v>-307.10000000000002</v>
      </c>
      <c r="O32" s="1146">
        <v>-295.89999999999998</v>
      </c>
      <c r="P32" s="1147">
        <v>-240.39999999999998</v>
      </c>
      <c r="Q32" s="1147">
        <v>-275.49999999999994</v>
      </c>
      <c r="R32" s="1147">
        <v>-187.79999999999995</v>
      </c>
      <c r="S32" s="1147">
        <v>-152.39999999999998</v>
      </c>
      <c r="T32" s="1147">
        <v>266.60000000000002</v>
      </c>
      <c r="U32" s="1752">
        <v>292.10000000000002</v>
      </c>
      <c r="V32" s="1752">
        <v>408.20000000000005</v>
      </c>
      <c r="W32" s="1752">
        <v>257.8</v>
      </c>
      <c r="X32" s="1752">
        <v>182.60000000000002</v>
      </c>
      <c r="Y32" s="1752">
        <v>164</v>
      </c>
      <c r="Z32" s="1752">
        <v>92.100000000000023</v>
      </c>
      <c r="AA32" s="1752">
        <v>48.900000000000034</v>
      </c>
      <c r="AB32" s="1752">
        <v>114.60000000000001</v>
      </c>
      <c r="AC32" s="1345">
        <v>71.199999999999989</v>
      </c>
      <c r="AD32" s="3093"/>
      <c r="AE32" s="3093"/>
      <c r="AF32" s="3093" t="s">
        <v>1157</v>
      </c>
      <c r="AG32" s="3093"/>
      <c r="AH32" s="3094"/>
      <c r="AI32" s="3095"/>
      <c r="AJ32" s="1792"/>
      <c r="AK32" s="1792"/>
      <c r="AL32" s="1792"/>
      <c r="AM32" s="1792"/>
      <c r="AN32" s="1792"/>
      <c r="AO32" s="1792"/>
      <c r="AP32" s="1792"/>
      <c r="AQ32" s="1792"/>
      <c r="AR32" s="1792"/>
      <c r="AS32" s="1792"/>
      <c r="AT32" s="1792"/>
      <c r="AU32" s="1792"/>
      <c r="AV32" s="1792"/>
      <c r="AW32" s="1792"/>
      <c r="AX32" s="1792"/>
      <c r="AY32" s="1792"/>
    </row>
    <row r="33" spans="4:51" ht="30" customHeight="1">
      <c r="D33" s="3078"/>
      <c r="E33" s="3088"/>
      <c r="F33" s="2906"/>
      <c r="G33" s="2871"/>
      <c r="H33" s="2871"/>
      <c r="I33" s="2871" t="s">
        <v>1158</v>
      </c>
      <c r="J33" s="2871"/>
      <c r="K33" s="2906"/>
      <c r="L33" s="1142">
        <v>216.5</v>
      </c>
      <c r="M33" s="1142">
        <v>222.7</v>
      </c>
      <c r="N33" s="1142">
        <v>229</v>
      </c>
      <c r="O33" s="1142">
        <v>223.6</v>
      </c>
      <c r="P33" s="1143">
        <v>220.3</v>
      </c>
      <c r="Q33" s="1143">
        <v>209.3</v>
      </c>
      <c r="R33" s="1143">
        <v>202.4</v>
      </c>
      <c r="S33" s="1143">
        <v>208.3</v>
      </c>
      <c r="T33" s="1143">
        <v>204.1</v>
      </c>
      <c r="U33" s="1143">
        <v>209.60000000000002</v>
      </c>
      <c r="V33" s="1143">
        <v>195.7</v>
      </c>
      <c r="W33" s="1143">
        <v>164.60000000000002</v>
      </c>
      <c r="X33" s="1143">
        <v>142.4</v>
      </c>
      <c r="Y33" s="1143">
        <v>139.4</v>
      </c>
      <c r="Z33" s="1143">
        <v>137.1</v>
      </c>
      <c r="AA33" s="1143">
        <v>135.19999999999999</v>
      </c>
      <c r="AB33" s="1143">
        <v>126.49999999999999</v>
      </c>
      <c r="AC33" s="2013">
        <v>114.5</v>
      </c>
      <c r="AD33" s="3089"/>
      <c r="AE33" s="3089" t="s">
        <v>1159</v>
      </c>
      <c r="AF33" s="3089"/>
      <c r="AG33" s="3089"/>
      <c r="AH33" s="3089"/>
      <c r="AI33" s="3091"/>
      <c r="AJ33" s="1792"/>
      <c r="AK33" s="1792"/>
      <c r="AL33" s="1792"/>
      <c r="AM33" s="1792"/>
      <c r="AN33" s="1792"/>
      <c r="AO33" s="1792"/>
      <c r="AP33" s="1792"/>
      <c r="AQ33" s="1792"/>
      <c r="AR33" s="1792"/>
      <c r="AS33" s="1792"/>
      <c r="AT33" s="1792"/>
      <c r="AU33" s="1792"/>
      <c r="AV33" s="1792"/>
      <c r="AW33" s="1792"/>
      <c r="AX33" s="1792"/>
      <c r="AY33" s="1792"/>
    </row>
    <row r="34" spans="4:51" ht="30" customHeight="1">
      <c r="D34" s="3078"/>
      <c r="E34" s="3085"/>
      <c r="F34" s="1554"/>
      <c r="G34" s="1554"/>
      <c r="H34" s="1554"/>
      <c r="I34" s="1554"/>
      <c r="J34" s="1554" t="s">
        <v>1091</v>
      </c>
      <c r="K34" s="1554"/>
      <c r="L34" s="1141">
        <v>263.5</v>
      </c>
      <c r="M34" s="1141">
        <v>262.89999999999998</v>
      </c>
      <c r="N34" s="1141">
        <v>269.3</v>
      </c>
      <c r="O34" s="1141">
        <v>265.39999999999998</v>
      </c>
      <c r="P34" s="1724">
        <v>258.60000000000002</v>
      </c>
      <c r="Q34" s="1724">
        <v>247.8</v>
      </c>
      <c r="R34" s="1724">
        <v>239.2</v>
      </c>
      <c r="S34" s="1724">
        <v>249.8</v>
      </c>
      <c r="T34" s="1724">
        <v>246.10000000000002</v>
      </c>
      <c r="U34" s="1724">
        <v>249.10000000000002</v>
      </c>
      <c r="V34" s="1724">
        <v>235.89999999999998</v>
      </c>
      <c r="W34" s="1724">
        <v>198.20000000000002</v>
      </c>
      <c r="X34" s="1724">
        <v>171.6</v>
      </c>
      <c r="Y34" s="1724">
        <v>162.20000000000002</v>
      </c>
      <c r="Z34" s="1724">
        <v>156.1</v>
      </c>
      <c r="AA34" s="1724">
        <v>151.39999999999998</v>
      </c>
      <c r="AB34" s="1724">
        <v>142.69999999999999</v>
      </c>
      <c r="AC34" s="1172">
        <v>130.9</v>
      </c>
      <c r="AD34" s="3086" t="s">
        <v>1092</v>
      </c>
      <c r="AE34" s="3086"/>
      <c r="AF34" s="3086"/>
      <c r="AG34" s="3086"/>
      <c r="AH34" s="3092"/>
      <c r="AI34" s="3087"/>
      <c r="AJ34" s="1792"/>
      <c r="AK34" s="1792"/>
      <c r="AL34" s="1792"/>
      <c r="AM34" s="1792"/>
      <c r="AN34" s="1792"/>
      <c r="AO34" s="1792"/>
      <c r="AP34" s="1792"/>
      <c r="AQ34" s="1792"/>
      <c r="AR34" s="1792"/>
      <c r="AS34" s="1792"/>
      <c r="AT34" s="1792"/>
      <c r="AU34" s="1792"/>
      <c r="AV34" s="1792"/>
      <c r="AW34" s="1792"/>
      <c r="AX34" s="1792"/>
      <c r="AY34" s="1792"/>
    </row>
    <row r="35" spans="4:51" ht="30" customHeight="1">
      <c r="D35" s="3078"/>
      <c r="E35" s="3088"/>
      <c r="F35" s="2871"/>
      <c r="G35" s="2871"/>
      <c r="H35" s="2871"/>
      <c r="I35" s="2871"/>
      <c r="J35" s="2871" t="s">
        <v>1093</v>
      </c>
      <c r="K35" s="2906"/>
      <c r="L35" s="1142">
        <v>47.000000000000007</v>
      </c>
      <c r="M35" s="1142">
        <v>40.200000000000003</v>
      </c>
      <c r="N35" s="1142">
        <v>40.299999999999997</v>
      </c>
      <c r="O35" s="1142">
        <v>41.800000000000004</v>
      </c>
      <c r="P35" s="1143">
        <v>38.299999999999997</v>
      </c>
      <c r="Q35" s="1143">
        <v>38.5</v>
      </c>
      <c r="R35" s="1143">
        <v>36.799999999999997</v>
      </c>
      <c r="S35" s="1143">
        <v>41.5</v>
      </c>
      <c r="T35" s="1143">
        <v>42</v>
      </c>
      <c r="U35" s="1143">
        <v>39.5</v>
      </c>
      <c r="V35" s="1143">
        <v>40.200000000000003</v>
      </c>
      <c r="W35" s="1143">
        <v>33.6</v>
      </c>
      <c r="X35" s="1143">
        <v>29.200000000000003</v>
      </c>
      <c r="Y35" s="1143">
        <v>22.800000000000004</v>
      </c>
      <c r="Z35" s="1143">
        <v>19</v>
      </c>
      <c r="AA35" s="1143">
        <v>16.2</v>
      </c>
      <c r="AB35" s="1143">
        <v>16.2</v>
      </c>
      <c r="AC35" s="2013">
        <v>16.399999999999999</v>
      </c>
      <c r="AD35" s="3089" t="s">
        <v>1094</v>
      </c>
      <c r="AE35" s="3089"/>
      <c r="AF35" s="3089"/>
      <c r="AG35" s="3089"/>
      <c r="AH35" s="3090"/>
      <c r="AI35" s="3091"/>
      <c r="AJ35" s="1792"/>
      <c r="AK35" s="1792"/>
      <c r="AL35" s="1792"/>
      <c r="AM35" s="1792"/>
      <c r="AN35" s="1792"/>
      <c r="AO35" s="1792"/>
      <c r="AP35" s="1792"/>
      <c r="AQ35" s="1792"/>
      <c r="AR35" s="1792"/>
      <c r="AS35" s="1792"/>
      <c r="AT35" s="1792"/>
      <c r="AU35" s="1792"/>
      <c r="AV35" s="1792"/>
      <c r="AW35" s="1792"/>
      <c r="AX35" s="1792"/>
      <c r="AY35" s="1792"/>
    </row>
    <row r="36" spans="4:51" ht="30" customHeight="1">
      <c r="D36" s="3078"/>
      <c r="E36" s="3085"/>
      <c r="F36" s="1554"/>
      <c r="G36" s="1554" t="s">
        <v>1082</v>
      </c>
      <c r="H36" s="1554"/>
      <c r="I36" s="1554" t="s">
        <v>1160</v>
      </c>
      <c r="J36" s="1554"/>
      <c r="K36" s="1554"/>
      <c r="L36" s="1141">
        <v>-363</v>
      </c>
      <c r="M36" s="1141">
        <v>-439.29999999999995</v>
      </c>
      <c r="N36" s="1141">
        <v>-536.09999999999991</v>
      </c>
      <c r="O36" s="1141">
        <v>-519.5</v>
      </c>
      <c r="P36" s="1724">
        <v>-460.70000000000005</v>
      </c>
      <c r="Q36" s="1724">
        <v>-484.79999999999995</v>
      </c>
      <c r="R36" s="1724">
        <v>-390.2</v>
      </c>
      <c r="S36" s="1724">
        <v>-360.7</v>
      </c>
      <c r="T36" s="1724">
        <v>62.500000000000007</v>
      </c>
      <c r="U36" s="1724">
        <v>82.499999999999986</v>
      </c>
      <c r="V36" s="1724">
        <v>212.50000000000003</v>
      </c>
      <c r="W36" s="1724">
        <v>93.2</v>
      </c>
      <c r="X36" s="1724">
        <v>40.200000000000003</v>
      </c>
      <c r="Y36" s="1724">
        <v>24.6</v>
      </c>
      <c r="Z36" s="1724">
        <v>-44.999999999999972</v>
      </c>
      <c r="AA36" s="1724">
        <v>-86.299999999999955</v>
      </c>
      <c r="AB36" s="1724">
        <v>-11.899999999999977</v>
      </c>
      <c r="AC36" s="1172">
        <v>-43.300000000000011</v>
      </c>
      <c r="AD36" s="3086"/>
      <c r="AE36" s="3086" t="s">
        <v>1161</v>
      </c>
      <c r="AF36" s="3086"/>
      <c r="AG36" s="3086"/>
      <c r="AH36" s="3086"/>
      <c r="AI36" s="3087"/>
      <c r="AJ36" s="1792"/>
      <c r="AK36" s="1792"/>
      <c r="AL36" s="1792"/>
      <c r="AM36" s="1792"/>
      <c r="AN36" s="1792"/>
      <c r="AO36" s="1792"/>
      <c r="AP36" s="1792"/>
      <c r="AQ36" s="1792"/>
      <c r="AR36" s="1792"/>
      <c r="AS36" s="1792"/>
      <c r="AT36" s="1792"/>
      <c r="AU36" s="1792"/>
      <c r="AV36" s="1792"/>
      <c r="AW36" s="1792"/>
      <c r="AX36" s="1792"/>
      <c r="AY36" s="1792"/>
    </row>
    <row r="37" spans="4:51" ht="30" customHeight="1">
      <c r="D37" s="3078"/>
      <c r="E37" s="3088"/>
      <c r="F37" s="2871"/>
      <c r="G37" s="2871" t="s">
        <v>1082</v>
      </c>
      <c r="H37" s="2871"/>
      <c r="I37" s="2871"/>
      <c r="J37" s="2871" t="s">
        <v>1091</v>
      </c>
      <c r="K37" s="2871"/>
      <c r="L37" s="1148">
        <v>352.5</v>
      </c>
      <c r="M37" s="1148">
        <v>277.20000000000005</v>
      </c>
      <c r="N37" s="1148">
        <v>253.29999999999995</v>
      </c>
      <c r="O37" s="1148">
        <v>359.4</v>
      </c>
      <c r="P37" s="1149">
        <v>305</v>
      </c>
      <c r="Q37" s="1149">
        <v>242.20000000000002</v>
      </c>
      <c r="R37" s="1149">
        <v>265.3</v>
      </c>
      <c r="S37" s="1149">
        <v>380.2</v>
      </c>
      <c r="T37" s="1149">
        <v>436.20000000000005</v>
      </c>
      <c r="U37" s="1149">
        <v>497.3</v>
      </c>
      <c r="V37" s="1149">
        <v>683.1</v>
      </c>
      <c r="W37" s="1149">
        <v>470</v>
      </c>
      <c r="X37" s="1149">
        <v>333.5</v>
      </c>
      <c r="Y37" s="1149">
        <v>267.70000000000005</v>
      </c>
      <c r="Z37" s="1149">
        <v>234.20000000000002</v>
      </c>
      <c r="AA37" s="1149">
        <v>191.5</v>
      </c>
      <c r="AB37" s="1149">
        <v>319.89999999999998</v>
      </c>
      <c r="AC37" s="2013">
        <v>342.7</v>
      </c>
      <c r="AD37" s="3089" t="s">
        <v>1092</v>
      </c>
      <c r="AE37" s="3089"/>
      <c r="AF37" s="3089"/>
      <c r="AG37" s="3089"/>
      <c r="AH37" s="3089"/>
      <c r="AI37" s="3091"/>
      <c r="AJ37" s="1792"/>
      <c r="AK37" s="1792"/>
      <c r="AL37" s="1792"/>
      <c r="AM37" s="1792"/>
      <c r="AN37" s="1792"/>
      <c r="AO37" s="1792"/>
      <c r="AP37" s="1792"/>
      <c r="AQ37" s="1792"/>
      <c r="AR37" s="1792"/>
      <c r="AS37" s="1792"/>
      <c r="AT37" s="1792"/>
      <c r="AU37" s="1792"/>
      <c r="AV37" s="1792"/>
      <c r="AW37" s="1792"/>
      <c r="AX37" s="1792"/>
      <c r="AY37" s="1792"/>
    </row>
    <row r="38" spans="4:51" ht="30" customHeight="1">
      <c r="D38" s="3078"/>
      <c r="E38" s="3085"/>
      <c r="F38" s="1554"/>
      <c r="G38" s="1554" t="s">
        <v>1082</v>
      </c>
      <c r="H38" s="1554"/>
      <c r="I38" s="2890"/>
      <c r="J38" s="1554" t="s">
        <v>1093</v>
      </c>
      <c r="K38" s="1196"/>
      <c r="L38" s="1141">
        <v>715.5</v>
      </c>
      <c r="M38" s="1141">
        <v>716.5</v>
      </c>
      <c r="N38" s="1141">
        <v>789.4</v>
      </c>
      <c r="O38" s="1141">
        <v>878.89999999999986</v>
      </c>
      <c r="P38" s="1724">
        <v>765.7</v>
      </c>
      <c r="Q38" s="1724">
        <v>727</v>
      </c>
      <c r="R38" s="1724">
        <v>655.5</v>
      </c>
      <c r="S38" s="1724">
        <v>740.9</v>
      </c>
      <c r="T38" s="1724">
        <v>373.7</v>
      </c>
      <c r="U38" s="1724">
        <v>414.80000000000007</v>
      </c>
      <c r="V38" s="1724">
        <v>470.59999999999991</v>
      </c>
      <c r="W38" s="1724">
        <v>376.8</v>
      </c>
      <c r="X38" s="1724">
        <v>293.3</v>
      </c>
      <c r="Y38" s="1724">
        <v>243.1</v>
      </c>
      <c r="Z38" s="1724">
        <v>279.2</v>
      </c>
      <c r="AA38" s="1724">
        <v>277.79999999999995</v>
      </c>
      <c r="AB38" s="1724">
        <v>331.79999999999995</v>
      </c>
      <c r="AC38" s="1172">
        <v>386</v>
      </c>
      <c r="AD38" s="3086" t="s">
        <v>1094</v>
      </c>
      <c r="AE38" s="3086"/>
      <c r="AF38" s="3086"/>
      <c r="AG38" s="2890"/>
      <c r="AH38" s="3092"/>
      <c r="AI38" s="3087"/>
      <c r="AJ38" s="1792"/>
      <c r="AK38" s="1792"/>
      <c r="AL38" s="1792"/>
      <c r="AM38" s="1792"/>
      <c r="AN38" s="1792"/>
      <c r="AO38" s="1792"/>
      <c r="AP38" s="1792"/>
      <c r="AQ38" s="1792"/>
      <c r="AR38" s="1792"/>
      <c r="AS38" s="1792"/>
      <c r="AT38" s="1792"/>
      <c r="AU38" s="1792"/>
      <c r="AV38" s="1792"/>
      <c r="AW38" s="1792"/>
      <c r="AX38" s="1792"/>
      <c r="AY38" s="1792"/>
    </row>
    <row r="39" spans="4:51" ht="30" customHeight="1">
      <c r="D39" s="3078"/>
      <c r="E39" s="3082"/>
      <c r="F39" s="2877"/>
      <c r="G39" s="2877"/>
      <c r="H39" s="2877" t="s">
        <v>1162</v>
      </c>
      <c r="I39" s="2877"/>
      <c r="J39" s="2877"/>
      <c r="K39" s="2877"/>
      <c r="L39" s="1138">
        <v>3230</v>
      </c>
      <c r="M39" s="1138">
        <v>3369.6</v>
      </c>
      <c r="N39" s="1138">
        <v>3989.3</v>
      </c>
      <c r="O39" s="1138">
        <v>5160.8999999999996</v>
      </c>
      <c r="P39" s="1139">
        <v>4813.3</v>
      </c>
      <c r="Q39" s="1139">
        <v>3084.9000000000005</v>
      </c>
      <c r="R39" s="1139">
        <v>3454.7</v>
      </c>
      <c r="S39" s="1139">
        <v>2713.7</v>
      </c>
      <c r="T39" s="1139">
        <v>2682.7</v>
      </c>
      <c r="U39" s="1139">
        <v>2883.9999999999995</v>
      </c>
      <c r="V39" s="1139">
        <v>2029.6</v>
      </c>
      <c r="W39" s="1139">
        <v>2084.5</v>
      </c>
      <c r="X39" s="1139">
        <v>1855</v>
      </c>
      <c r="Y39" s="1139">
        <v>2280.2000000000003</v>
      </c>
      <c r="Z39" s="1139">
        <v>2273</v>
      </c>
      <c r="AA39" s="1139">
        <v>1605.2999999999997</v>
      </c>
      <c r="AB39" s="1139">
        <v>1459.7</v>
      </c>
      <c r="AC39" s="1424">
        <v>1548.4</v>
      </c>
      <c r="AD39" s="1482"/>
      <c r="AE39" s="3083"/>
      <c r="AF39" s="3101" t="s">
        <v>1163</v>
      </c>
      <c r="AG39" s="3083"/>
      <c r="AH39" s="2893"/>
      <c r="AI39" s="3084"/>
      <c r="AJ39" s="1792"/>
      <c r="AK39" s="1792"/>
      <c r="AL39" s="1792"/>
      <c r="AM39" s="1792"/>
      <c r="AN39" s="1792"/>
      <c r="AO39" s="1792"/>
      <c r="AP39" s="1792"/>
      <c r="AQ39" s="1792"/>
      <c r="AR39" s="1792"/>
      <c r="AS39" s="1792"/>
      <c r="AT39" s="1792"/>
      <c r="AU39" s="1792"/>
      <c r="AV39" s="1792"/>
      <c r="AW39" s="1792"/>
      <c r="AX39" s="1792"/>
      <c r="AY39" s="1792"/>
    </row>
    <row r="40" spans="4:51" ht="30" customHeight="1">
      <c r="D40" s="3078"/>
      <c r="E40" s="3085"/>
      <c r="F40" s="1554"/>
      <c r="G40" s="1554"/>
      <c r="H40" s="1554"/>
      <c r="I40" s="1554" t="s">
        <v>1108</v>
      </c>
      <c r="J40" s="1554"/>
      <c r="K40" s="1554"/>
      <c r="L40" s="1141">
        <v>777.5</v>
      </c>
      <c r="M40" s="1141">
        <v>891</v>
      </c>
      <c r="N40" s="1141">
        <v>844.7</v>
      </c>
      <c r="O40" s="1141">
        <v>1341.4</v>
      </c>
      <c r="P40" s="1724">
        <v>1620.0000000000002</v>
      </c>
      <c r="Q40" s="1724">
        <v>1048.0999999999999</v>
      </c>
      <c r="R40" s="1724">
        <v>1431.9</v>
      </c>
      <c r="S40" s="1724">
        <v>779.40000000000009</v>
      </c>
      <c r="T40" s="1724">
        <v>671.39999999999986</v>
      </c>
      <c r="U40" s="1724">
        <v>938.29999999999984</v>
      </c>
      <c r="V40" s="1724">
        <v>324.40000000000003</v>
      </c>
      <c r="W40" s="1724">
        <v>574.6</v>
      </c>
      <c r="X40" s="1724">
        <v>528.5</v>
      </c>
      <c r="Y40" s="1724">
        <v>939.60000000000014</v>
      </c>
      <c r="Z40" s="1724">
        <v>995.80000000000007</v>
      </c>
      <c r="AA40" s="1724">
        <v>361.5</v>
      </c>
      <c r="AB40" s="1724">
        <v>327</v>
      </c>
      <c r="AC40" s="1172">
        <v>286.90000000000003</v>
      </c>
      <c r="AD40" s="3086"/>
      <c r="AE40" s="3086"/>
      <c r="AF40" s="3086" t="s">
        <v>1164</v>
      </c>
      <c r="AG40" s="3086"/>
      <c r="AH40" s="3086"/>
      <c r="AI40" s="3087"/>
      <c r="AJ40" s="1792"/>
      <c r="AK40" s="1792"/>
      <c r="AL40" s="1792"/>
      <c r="AM40" s="1792"/>
      <c r="AN40" s="1792"/>
      <c r="AO40" s="1792"/>
      <c r="AP40" s="1792"/>
      <c r="AQ40" s="1792"/>
      <c r="AR40" s="1792"/>
      <c r="AS40" s="1792"/>
      <c r="AT40" s="1792"/>
      <c r="AU40" s="1792"/>
      <c r="AV40" s="1792"/>
      <c r="AW40" s="1792"/>
      <c r="AX40" s="1792"/>
      <c r="AY40" s="1792"/>
    </row>
    <row r="41" spans="4:51" ht="30" customHeight="1">
      <c r="D41" s="3078"/>
      <c r="E41" s="3088"/>
      <c r="F41" s="2871"/>
      <c r="G41" s="2871"/>
      <c r="H41" s="2871"/>
      <c r="I41" s="2871"/>
      <c r="J41" s="2871" t="s">
        <v>1165</v>
      </c>
      <c r="K41" s="2871"/>
      <c r="L41" s="1142">
        <v>777.69999999999993</v>
      </c>
      <c r="M41" s="1142">
        <v>891.5</v>
      </c>
      <c r="N41" s="1142">
        <v>845.8</v>
      </c>
      <c r="O41" s="1142">
        <v>1342.3</v>
      </c>
      <c r="P41" s="1143">
        <v>1620.8000000000002</v>
      </c>
      <c r="Q41" s="1143">
        <v>1049.5999999999999</v>
      </c>
      <c r="R41" s="1143">
        <v>1433.1</v>
      </c>
      <c r="S41" s="1143">
        <v>782</v>
      </c>
      <c r="T41" s="1143">
        <v>684.1</v>
      </c>
      <c r="U41" s="1143">
        <v>940.09999999999991</v>
      </c>
      <c r="V41" s="1143">
        <v>327.9</v>
      </c>
      <c r="W41" s="1143">
        <v>598.79999999999995</v>
      </c>
      <c r="X41" s="1143">
        <v>533.20000000000005</v>
      </c>
      <c r="Y41" s="1143">
        <v>945.9</v>
      </c>
      <c r="Z41" s="1143">
        <v>997.2</v>
      </c>
      <c r="AA41" s="1143">
        <v>362.5</v>
      </c>
      <c r="AB41" s="1143">
        <v>330</v>
      </c>
      <c r="AC41" s="2013">
        <v>291.3</v>
      </c>
      <c r="AD41" s="3089" t="s">
        <v>1092</v>
      </c>
      <c r="AE41" s="3089"/>
      <c r="AF41" s="3089"/>
      <c r="AG41" s="3089"/>
      <c r="AH41" s="3089"/>
      <c r="AI41" s="3091"/>
      <c r="AJ41" s="1792"/>
      <c r="AK41" s="1792"/>
      <c r="AL41" s="1792"/>
      <c r="AM41" s="1792"/>
      <c r="AN41" s="1792"/>
      <c r="AO41" s="1792"/>
      <c r="AP41" s="1792"/>
      <c r="AQ41" s="1792"/>
      <c r="AR41" s="1792"/>
      <c r="AS41" s="1792"/>
      <c r="AT41" s="1792"/>
      <c r="AU41" s="1792"/>
      <c r="AV41" s="1792"/>
      <c r="AW41" s="1792"/>
      <c r="AX41" s="1792"/>
      <c r="AY41" s="1792"/>
    </row>
    <row r="42" spans="4:51" ht="30" customHeight="1">
      <c r="D42" s="3078"/>
      <c r="E42" s="3085"/>
      <c r="F42" s="1554"/>
      <c r="G42" s="1554"/>
      <c r="H42" s="1554"/>
      <c r="I42" s="1554"/>
      <c r="J42" s="1554" t="s">
        <v>1166</v>
      </c>
      <c r="K42" s="1554"/>
      <c r="L42" s="1141">
        <v>0.2</v>
      </c>
      <c r="M42" s="1141">
        <v>0.5</v>
      </c>
      <c r="N42" s="1141">
        <v>1.1000000000000001</v>
      </c>
      <c r="O42" s="1141">
        <v>0.89999999999999991</v>
      </c>
      <c r="P42" s="1724">
        <v>0.8</v>
      </c>
      <c r="Q42" s="1724">
        <v>1.5</v>
      </c>
      <c r="R42" s="1724">
        <v>1.2</v>
      </c>
      <c r="S42" s="1724">
        <v>2.6</v>
      </c>
      <c r="T42" s="1724">
        <v>12.7</v>
      </c>
      <c r="U42" s="1724">
        <v>1.8</v>
      </c>
      <c r="V42" s="1724">
        <v>3.5</v>
      </c>
      <c r="W42" s="1724">
        <v>24.2</v>
      </c>
      <c r="X42" s="1724">
        <v>4.7</v>
      </c>
      <c r="Y42" s="1724">
        <v>6.3</v>
      </c>
      <c r="Z42" s="1724">
        <v>1.4</v>
      </c>
      <c r="AA42" s="1724">
        <v>1</v>
      </c>
      <c r="AB42" s="1724">
        <v>3</v>
      </c>
      <c r="AC42" s="1172">
        <v>4.4000000000000004</v>
      </c>
      <c r="AD42" s="3086" t="s">
        <v>1094</v>
      </c>
      <c r="AE42" s="3086"/>
      <c r="AF42" s="3086"/>
      <c r="AG42" s="2890"/>
      <c r="AH42" s="3092"/>
      <c r="AI42" s="3087"/>
      <c r="AJ42" s="1792"/>
      <c r="AK42" s="1792"/>
      <c r="AL42" s="1792"/>
      <c r="AM42" s="1792"/>
      <c r="AN42" s="1792"/>
      <c r="AO42" s="1792"/>
      <c r="AP42" s="1792"/>
      <c r="AQ42" s="1792"/>
      <c r="AR42" s="1792"/>
      <c r="AS42" s="1792"/>
      <c r="AT42" s="1792"/>
      <c r="AU42" s="1792"/>
      <c r="AV42" s="1792"/>
      <c r="AW42" s="1792"/>
      <c r="AX42" s="1792"/>
      <c r="AY42" s="1792"/>
    </row>
    <row r="43" spans="4:51" ht="30" customHeight="1">
      <c r="D43" s="3078"/>
      <c r="E43" s="3088"/>
      <c r="F43" s="2871"/>
      <c r="G43" s="2871"/>
      <c r="H43" s="2871"/>
      <c r="I43" s="2871" t="s">
        <v>1167</v>
      </c>
      <c r="J43" s="2871"/>
      <c r="K43" s="2906"/>
      <c r="L43" s="1142">
        <v>2452.5</v>
      </c>
      <c r="M43" s="1142">
        <v>2478.6</v>
      </c>
      <c r="N43" s="1142">
        <v>3144.6</v>
      </c>
      <c r="O43" s="1142">
        <v>3819.5000000000005</v>
      </c>
      <c r="P43" s="1143">
        <v>3193.3</v>
      </c>
      <c r="Q43" s="1143">
        <v>2036.8</v>
      </c>
      <c r="R43" s="1143">
        <v>2022.7999999999997</v>
      </c>
      <c r="S43" s="1143">
        <v>1934.3</v>
      </c>
      <c r="T43" s="1143">
        <v>2011.3000000000002</v>
      </c>
      <c r="U43" s="1143">
        <v>1945.6999999999998</v>
      </c>
      <c r="V43" s="1143">
        <v>1705.1999999999998</v>
      </c>
      <c r="W43" s="1143">
        <v>1509.9</v>
      </c>
      <c r="X43" s="1143">
        <v>1326.5</v>
      </c>
      <c r="Y43" s="1143">
        <v>1340.6000000000001</v>
      </c>
      <c r="Z43" s="1143">
        <v>1277.2</v>
      </c>
      <c r="AA43" s="1143">
        <v>1243.7999999999997</v>
      </c>
      <c r="AB43" s="1143">
        <v>1132.7</v>
      </c>
      <c r="AC43" s="2013">
        <v>1261.5</v>
      </c>
      <c r="AD43" s="3089"/>
      <c r="AE43" s="3089"/>
      <c r="AF43" s="3089" t="s">
        <v>1168</v>
      </c>
      <c r="AG43" s="3089"/>
      <c r="AH43" s="3090"/>
      <c r="AI43" s="3091"/>
      <c r="AJ43" s="1792"/>
      <c r="AK43" s="1792"/>
      <c r="AL43" s="1792"/>
      <c r="AM43" s="1792"/>
      <c r="AN43" s="1792"/>
      <c r="AO43" s="1792"/>
      <c r="AP43" s="1792"/>
      <c r="AQ43" s="1792"/>
      <c r="AR43" s="1792"/>
      <c r="AS43" s="1792"/>
      <c r="AT43" s="1792"/>
      <c r="AU43" s="1792"/>
      <c r="AV43" s="1792"/>
      <c r="AW43" s="1792"/>
      <c r="AX43" s="1792"/>
      <c r="AY43" s="1792"/>
    </row>
    <row r="44" spans="4:51" ht="30" customHeight="1">
      <c r="D44" s="3078"/>
      <c r="E44" s="3085"/>
      <c r="F44" s="1554"/>
      <c r="G44" s="1554"/>
      <c r="H44" s="1554"/>
      <c r="I44" s="1554"/>
      <c r="J44" s="1554" t="s">
        <v>1169</v>
      </c>
      <c r="K44" s="1196"/>
      <c r="L44" s="1150">
        <v>2883.2</v>
      </c>
      <c r="M44" s="1150">
        <v>2843.1000000000004</v>
      </c>
      <c r="N44" s="1150">
        <v>3528</v>
      </c>
      <c r="O44" s="1150">
        <v>4257.1000000000004</v>
      </c>
      <c r="P44" s="2245">
        <v>3534.8</v>
      </c>
      <c r="Q44" s="2245">
        <v>2484.5</v>
      </c>
      <c r="R44" s="2245">
        <v>2376.3999999999996</v>
      </c>
      <c r="S44" s="2245">
        <v>2322.5</v>
      </c>
      <c r="T44" s="2245">
        <v>2463.9</v>
      </c>
      <c r="U44" s="2245">
        <v>2394.1</v>
      </c>
      <c r="V44" s="2245">
        <v>2220.7999999999997</v>
      </c>
      <c r="W44" s="2245">
        <v>1796.8</v>
      </c>
      <c r="X44" s="2245">
        <v>1615</v>
      </c>
      <c r="Y44" s="2245">
        <v>1579.8000000000002</v>
      </c>
      <c r="Z44" s="1724">
        <v>1485</v>
      </c>
      <c r="AA44" s="1724">
        <v>1427.1999999999998</v>
      </c>
      <c r="AB44" s="1724">
        <v>1347.3</v>
      </c>
      <c r="AC44" s="1172">
        <v>1560.1000000000001</v>
      </c>
      <c r="AD44" s="3086"/>
      <c r="AE44" s="3086" t="s">
        <v>1170</v>
      </c>
      <c r="AF44" s="3086"/>
      <c r="AG44" s="3086"/>
      <c r="AH44" s="3092"/>
      <c r="AI44" s="3087"/>
      <c r="AJ44" s="1792"/>
      <c r="AK44" s="1792"/>
      <c r="AL44" s="1792"/>
      <c r="AM44" s="1792"/>
      <c r="AN44" s="1792"/>
      <c r="AO44" s="1792"/>
      <c r="AP44" s="1792"/>
      <c r="AQ44" s="1792"/>
      <c r="AR44" s="1792"/>
      <c r="AS44" s="1792"/>
      <c r="AT44" s="1792"/>
      <c r="AU44" s="1792"/>
      <c r="AV44" s="1792"/>
      <c r="AW44" s="1792"/>
      <c r="AX44" s="1792"/>
      <c r="AY44" s="1792"/>
    </row>
    <row r="45" spans="4:51" ht="30" customHeight="1">
      <c r="D45" s="3078"/>
      <c r="E45" s="3088"/>
      <c r="F45" s="2871"/>
      <c r="G45" s="2871"/>
      <c r="H45" s="2871"/>
      <c r="I45" s="2871"/>
      <c r="J45" s="2906" t="s">
        <v>1171</v>
      </c>
      <c r="K45" s="1836"/>
      <c r="L45" s="1148">
        <v>2371.8999999999996</v>
      </c>
      <c r="M45" s="1148">
        <v>2365.7000000000003</v>
      </c>
      <c r="N45" s="1148">
        <v>2423.3000000000002</v>
      </c>
      <c r="O45" s="1148">
        <v>2388</v>
      </c>
      <c r="P45" s="1149">
        <v>2327.6999999999998</v>
      </c>
      <c r="Q45" s="1149">
        <v>2229.8000000000002</v>
      </c>
      <c r="R45" s="1149">
        <v>2152.1</v>
      </c>
      <c r="S45" s="1149">
        <v>2247.3000000000002</v>
      </c>
      <c r="T45" s="1149">
        <v>2214.1999999999998</v>
      </c>
      <c r="U45" s="1149">
        <v>2242</v>
      </c>
      <c r="V45" s="1149">
        <v>2122.5</v>
      </c>
      <c r="W45" s="1149">
        <v>1782.6999999999998</v>
      </c>
      <c r="X45" s="1149">
        <v>1544.8000000000002</v>
      </c>
      <c r="Y45" s="1149">
        <v>1459.6</v>
      </c>
      <c r="Z45" s="1143">
        <v>1404.5</v>
      </c>
      <c r="AA45" s="1143">
        <v>1362.3000000000002</v>
      </c>
      <c r="AB45" s="1143">
        <v>1283.3</v>
      </c>
      <c r="AC45" s="2013">
        <v>1177.3</v>
      </c>
      <c r="AD45" s="3089" t="s">
        <v>1172</v>
      </c>
      <c r="AE45" s="3089"/>
      <c r="AF45" s="3089"/>
      <c r="AG45" s="3089"/>
      <c r="AH45" s="3090"/>
      <c r="AI45" s="3091"/>
      <c r="AJ45" s="1792"/>
      <c r="AK45" s="1792"/>
      <c r="AL45" s="1792"/>
      <c r="AM45" s="1792"/>
      <c r="AN45" s="1792"/>
      <c r="AO45" s="1792"/>
      <c r="AP45" s="1792"/>
      <c r="AQ45" s="1792"/>
      <c r="AR45" s="1792"/>
      <c r="AS45" s="1792"/>
      <c r="AT45" s="1792"/>
      <c r="AU45" s="1792"/>
      <c r="AV45" s="1792"/>
      <c r="AW45" s="1792"/>
      <c r="AX45" s="1792"/>
      <c r="AY45" s="1792"/>
    </row>
    <row r="46" spans="4:51" ht="30" customHeight="1">
      <c r="D46" s="3078"/>
      <c r="E46" s="3085"/>
      <c r="F46" s="1196"/>
      <c r="G46" s="1554"/>
      <c r="H46" s="1554"/>
      <c r="I46" s="1554"/>
      <c r="J46" s="1196" t="s">
        <v>1173</v>
      </c>
      <c r="K46" s="1196"/>
      <c r="L46" s="1141">
        <v>0</v>
      </c>
      <c r="M46" s="1141">
        <v>0</v>
      </c>
      <c r="N46" s="1141">
        <v>0</v>
      </c>
      <c r="O46" s="1141">
        <v>0</v>
      </c>
      <c r="P46" s="1724">
        <v>0</v>
      </c>
      <c r="Q46" s="1724">
        <v>0</v>
      </c>
      <c r="R46" s="1724">
        <v>0</v>
      </c>
      <c r="S46" s="1724">
        <v>0</v>
      </c>
      <c r="T46" s="1724">
        <v>0</v>
      </c>
      <c r="U46" s="1724">
        <v>0</v>
      </c>
      <c r="V46" s="1724">
        <v>0</v>
      </c>
      <c r="W46" s="1724">
        <v>0</v>
      </c>
      <c r="X46" s="1724">
        <v>56.2</v>
      </c>
      <c r="Y46" s="1724">
        <v>106.9</v>
      </c>
      <c r="Z46" s="1724">
        <v>70.2</v>
      </c>
      <c r="AA46" s="1724">
        <v>53.9</v>
      </c>
      <c r="AB46" s="1724">
        <v>47.9</v>
      </c>
      <c r="AC46" s="1172">
        <v>375.3</v>
      </c>
      <c r="AD46" s="3086" t="s">
        <v>1174</v>
      </c>
      <c r="AE46" s="3086"/>
      <c r="AF46" s="3086"/>
      <c r="AG46" s="3086"/>
      <c r="AH46" s="3086"/>
      <c r="AI46" s="3087"/>
      <c r="AJ46" s="1792"/>
      <c r="AK46" s="1792"/>
      <c r="AL46" s="1792"/>
      <c r="AM46" s="1792"/>
      <c r="AN46" s="1792"/>
      <c r="AO46" s="1792"/>
      <c r="AP46" s="1792"/>
      <c r="AQ46" s="1792"/>
      <c r="AR46" s="1792"/>
      <c r="AS46" s="1792"/>
      <c r="AT46" s="1792"/>
      <c r="AU46" s="1792"/>
      <c r="AV46" s="1792"/>
      <c r="AW46" s="1792"/>
      <c r="AX46" s="1792"/>
      <c r="AY46" s="1792"/>
    </row>
    <row r="47" spans="4:51" ht="30" customHeight="1">
      <c r="D47" s="3078"/>
      <c r="E47" s="2692"/>
      <c r="F47" s="1799"/>
      <c r="G47" s="1799"/>
      <c r="H47" s="1799"/>
      <c r="I47" s="1799"/>
      <c r="J47" s="1799" t="s">
        <v>1175</v>
      </c>
      <c r="K47" s="1474"/>
      <c r="L47" s="1151">
        <v>430.70000000000005</v>
      </c>
      <c r="M47" s="1151">
        <v>364.5</v>
      </c>
      <c r="N47" s="1151">
        <v>383.40000000000003</v>
      </c>
      <c r="O47" s="1151">
        <v>437.6</v>
      </c>
      <c r="P47" s="1739">
        <v>341.5</v>
      </c>
      <c r="Q47" s="1739">
        <v>447.70000000000005</v>
      </c>
      <c r="R47" s="1739">
        <v>353.59999999999997</v>
      </c>
      <c r="S47" s="1739">
        <v>388.20000000000005</v>
      </c>
      <c r="T47" s="1739">
        <v>452.59999999999997</v>
      </c>
      <c r="U47" s="1739">
        <v>448.4</v>
      </c>
      <c r="V47" s="1739">
        <v>515.6</v>
      </c>
      <c r="W47" s="1739">
        <v>286.89999999999998</v>
      </c>
      <c r="X47" s="1739">
        <v>288.5</v>
      </c>
      <c r="Y47" s="1739">
        <v>239.2</v>
      </c>
      <c r="Z47" s="1739">
        <v>207.8</v>
      </c>
      <c r="AA47" s="1739">
        <v>183.4</v>
      </c>
      <c r="AB47" s="1739">
        <v>214.6</v>
      </c>
      <c r="AC47" s="2404">
        <v>298.60000000000002</v>
      </c>
      <c r="AD47" s="3102"/>
      <c r="AE47" s="3102" t="s">
        <v>1176</v>
      </c>
      <c r="AF47" s="3102"/>
      <c r="AG47" s="3102"/>
      <c r="AH47" s="2374"/>
      <c r="AI47" s="3103"/>
      <c r="AJ47" s="1792"/>
      <c r="AK47" s="1792"/>
      <c r="AL47" s="1792"/>
      <c r="AM47" s="1792"/>
      <c r="AN47" s="1792"/>
      <c r="AO47" s="1792"/>
      <c r="AP47" s="1792"/>
      <c r="AQ47" s="1792"/>
      <c r="AR47" s="1792"/>
      <c r="AS47" s="1792"/>
      <c r="AT47" s="1792"/>
      <c r="AU47" s="1792"/>
      <c r="AV47" s="1792"/>
      <c r="AW47" s="1792"/>
      <c r="AX47" s="1792"/>
      <c r="AY47" s="1792"/>
    </row>
    <row r="48" spans="4:51" ht="30" customHeight="1">
      <c r="D48" s="3078"/>
      <c r="E48" s="3104"/>
      <c r="F48" s="2329"/>
      <c r="G48" s="2329"/>
      <c r="H48" s="2329"/>
      <c r="I48" s="2329"/>
      <c r="J48" s="2329" t="s">
        <v>1171</v>
      </c>
      <c r="K48" s="1659"/>
      <c r="L48" s="1144">
        <v>351.70000000000005</v>
      </c>
      <c r="M48" s="1144">
        <v>301.60000000000002</v>
      </c>
      <c r="N48" s="1144">
        <v>300.70000000000005</v>
      </c>
      <c r="O48" s="1144">
        <v>312.5</v>
      </c>
      <c r="P48" s="1725">
        <v>285.89999999999998</v>
      </c>
      <c r="Q48" s="1725">
        <v>287.89999999999998</v>
      </c>
      <c r="R48" s="1725">
        <v>275.2</v>
      </c>
      <c r="S48" s="1725">
        <v>309.8</v>
      </c>
      <c r="T48" s="1725">
        <v>314.60000000000002</v>
      </c>
      <c r="U48" s="1725">
        <v>295.29999999999995</v>
      </c>
      <c r="V48" s="1725">
        <v>299.60000000000002</v>
      </c>
      <c r="W48" s="1725">
        <v>251.1</v>
      </c>
      <c r="X48" s="1725">
        <v>218.4</v>
      </c>
      <c r="Y48" s="1725">
        <v>170.1</v>
      </c>
      <c r="Z48" s="1725">
        <v>141.9</v>
      </c>
      <c r="AA48" s="1725">
        <v>121.29999999999998</v>
      </c>
      <c r="AB48" s="1725">
        <v>120.80000000000001</v>
      </c>
      <c r="AC48" s="1207">
        <v>123.60000000000001</v>
      </c>
      <c r="AD48" s="3105" t="s">
        <v>1172</v>
      </c>
      <c r="AE48" s="3105"/>
      <c r="AF48" s="3105"/>
      <c r="AG48" s="3105"/>
      <c r="AH48" s="3105"/>
      <c r="AI48" s="3106"/>
      <c r="AJ48" s="1792"/>
      <c r="AK48" s="1792"/>
      <c r="AL48" s="1792"/>
      <c r="AM48" s="1792"/>
      <c r="AN48" s="1792"/>
      <c r="AO48" s="1792"/>
      <c r="AP48" s="1792"/>
      <c r="AQ48" s="1792"/>
      <c r="AR48" s="1792"/>
      <c r="AS48" s="1792"/>
      <c r="AT48" s="1792"/>
      <c r="AU48" s="1792"/>
      <c r="AV48" s="1792"/>
      <c r="AW48" s="1792"/>
      <c r="AX48" s="1792"/>
      <c r="AY48" s="1792"/>
    </row>
    <row r="49" spans="5:40" ht="6.95" customHeight="1">
      <c r="E49" s="1323"/>
      <c r="F49" s="1323"/>
      <c r="G49" s="1323"/>
      <c r="H49" s="1323"/>
      <c r="I49" s="1323"/>
      <c r="J49" s="1323"/>
      <c r="K49" s="1323"/>
      <c r="L49" s="1323"/>
      <c r="M49" s="1323"/>
      <c r="N49" s="1323"/>
      <c r="O49" s="1323"/>
      <c r="P49" s="1323"/>
      <c r="Q49" s="1323"/>
      <c r="R49" s="1323"/>
      <c r="S49" s="1323"/>
      <c r="T49" s="1323"/>
      <c r="U49" s="1323"/>
      <c r="V49" s="1323"/>
      <c r="W49" s="1323"/>
      <c r="X49" s="1323"/>
      <c r="Y49" s="1323"/>
      <c r="Z49" s="1323"/>
      <c r="AA49" s="1323"/>
      <c r="AB49" s="1323"/>
      <c r="AC49" s="1323"/>
      <c r="AD49" s="1323"/>
      <c r="AE49" s="1323"/>
      <c r="AF49" s="1323"/>
      <c r="AG49" s="1323"/>
      <c r="AH49" s="1323"/>
      <c r="AI49" s="1323"/>
    </row>
    <row r="50" spans="5:40" ht="18" customHeight="1">
      <c r="E50" s="2030"/>
      <c r="F50" s="3107" t="s">
        <v>552</v>
      </c>
      <c r="G50" s="1979" t="s">
        <v>502</v>
      </c>
      <c r="H50" s="2030" t="s">
        <v>1177</v>
      </c>
      <c r="I50" s="2030"/>
      <c r="J50" s="1453"/>
      <c r="K50" s="1488"/>
      <c r="L50" s="1488"/>
      <c r="M50" s="1488"/>
      <c r="N50" s="1488"/>
      <c r="O50" s="1488"/>
      <c r="P50" s="1488"/>
      <c r="Q50" s="1488"/>
      <c r="R50" s="1488"/>
      <c r="S50" s="1318"/>
      <c r="T50" s="1318"/>
      <c r="U50" s="1318"/>
      <c r="V50" s="3108"/>
      <c r="W50" s="3108"/>
      <c r="X50" s="3108"/>
      <c r="Y50" s="1318"/>
      <c r="Z50" s="1318"/>
      <c r="AA50" s="1318"/>
      <c r="AB50" s="1318"/>
      <c r="AC50" s="1318"/>
      <c r="AD50" s="1318"/>
      <c r="AE50" s="1318"/>
      <c r="AF50" s="2839" t="s">
        <v>1178</v>
      </c>
      <c r="AG50" s="1275" t="s">
        <v>502</v>
      </c>
      <c r="AH50" s="1275"/>
      <c r="AI50" s="3109" t="s">
        <v>552</v>
      </c>
      <c r="AJ50" s="3110"/>
      <c r="AK50" s="3110"/>
      <c r="AL50" s="3110"/>
      <c r="AM50" s="3111"/>
      <c r="AN50" s="3111"/>
    </row>
    <row r="51" spans="5:40" ht="18" customHeight="1">
      <c r="E51" s="2030"/>
      <c r="F51" s="1275" t="s">
        <v>1179</v>
      </c>
      <c r="G51" s="1979" t="s">
        <v>502</v>
      </c>
      <c r="H51" s="1979" t="s">
        <v>1180</v>
      </c>
      <c r="I51" s="1979"/>
      <c r="J51" s="1979"/>
      <c r="K51" s="1489"/>
      <c r="L51" s="1489"/>
      <c r="M51" s="1489"/>
      <c r="N51" s="1489"/>
      <c r="O51" s="1489"/>
      <c r="P51" s="1489"/>
      <c r="Q51" s="1489"/>
      <c r="R51" s="1489"/>
      <c r="S51" s="3112"/>
      <c r="T51" s="1318"/>
      <c r="U51" s="1318"/>
      <c r="V51" s="3108"/>
      <c r="W51" s="3108"/>
      <c r="X51" s="3108"/>
      <c r="Y51" s="1318"/>
      <c r="Z51" s="1318"/>
      <c r="AA51" s="2263"/>
      <c r="AB51" s="2263"/>
      <c r="AC51" s="2263"/>
      <c r="AD51" s="2263"/>
      <c r="AE51" s="2263"/>
      <c r="AF51" s="2839" t="s">
        <v>1181</v>
      </c>
      <c r="AG51" s="3113" t="s">
        <v>502</v>
      </c>
      <c r="AH51" s="3114"/>
      <c r="AI51" s="1275" t="s">
        <v>1179</v>
      </c>
      <c r="AJ51" s="3110"/>
      <c r="AK51" s="3110"/>
      <c r="AL51" s="3110"/>
      <c r="AM51" s="3111"/>
      <c r="AN51" s="3111"/>
    </row>
    <row r="52" spans="5:40" ht="18" customHeight="1">
      <c r="E52" s="2030"/>
      <c r="F52" s="1318"/>
      <c r="G52" s="1318"/>
      <c r="H52" s="1979" t="s">
        <v>2918</v>
      </c>
      <c r="I52" s="1979"/>
      <c r="J52" s="1979"/>
      <c r="K52" s="1489"/>
      <c r="L52" s="1489"/>
      <c r="M52" s="1489"/>
      <c r="N52" s="1489"/>
      <c r="O52" s="1489"/>
      <c r="P52" s="1489"/>
      <c r="Q52" s="1489"/>
      <c r="R52" s="1489"/>
      <c r="S52" s="1836"/>
      <c r="T52" s="1318"/>
      <c r="U52" s="1318"/>
      <c r="V52" s="3108"/>
      <c r="W52" s="3108"/>
      <c r="X52" s="3108"/>
      <c r="Y52" s="1318"/>
      <c r="Z52" s="4923" t="s">
        <v>2919</v>
      </c>
      <c r="AA52" s="4923"/>
      <c r="AB52" s="4923"/>
      <c r="AC52" s="4923"/>
      <c r="AD52" s="4923"/>
      <c r="AE52" s="4923"/>
      <c r="AF52" s="4923"/>
      <c r="AG52" s="1318"/>
      <c r="AH52" s="1318"/>
      <c r="AI52" s="2263"/>
      <c r="AJ52" s="3110"/>
      <c r="AK52" s="3110"/>
      <c r="AL52" s="3110"/>
      <c r="AM52" s="3111"/>
      <c r="AN52" s="3111"/>
    </row>
    <row r="53" spans="5:40" ht="19.5" customHeight="1">
      <c r="E53" s="1453"/>
      <c r="F53" s="1275" t="s">
        <v>1182</v>
      </c>
      <c r="G53" s="1979" t="s">
        <v>502</v>
      </c>
      <c r="H53" s="1979" t="s">
        <v>1183</v>
      </c>
      <c r="I53" s="1453"/>
      <c r="J53" s="1453"/>
      <c r="K53" s="1490"/>
      <c r="L53" s="1490"/>
      <c r="M53" s="1490"/>
      <c r="N53" s="1490"/>
      <c r="O53" s="1490"/>
      <c r="P53" s="1490"/>
      <c r="Q53" s="1490"/>
      <c r="R53" s="1490"/>
      <c r="S53" s="1318"/>
      <c r="T53" s="1318"/>
      <c r="U53" s="1318"/>
      <c r="V53" s="3108"/>
      <c r="W53" s="3108"/>
      <c r="X53" s="3108"/>
      <c r="Y53" s="1318"/>
      <c r="Z53" s="1318"/>
      <c r="AA53" s="1318"/>
      <c r="AB53" s="1318"/>
      <c r="AC53" s="1318"/>
      <c r="AD53" s="3115"/>
      <c r="AE53" s="3115"/>
      <c r="AF53" s="2839" t="s">
        <v>1184</v>
      </c>
      <c r="AG53" s="1275" t="s">
        <v>502</v>
      </c>
      <c r="AH53" s="2839"/>
      <c r="AI53" s="1275" t="s">
        <v>1182</v>
      </c>
      <c r="AJ53" s="3116"/>
      <c r="AK53" s="3116"/>
      <c r="AL53" s="3116"/>
    </row>
    <row r="54" spans="5:40" ht="18" customHeight="1">
      <c r="E54" s="3117"/>
      <c r="T54" s="3118"/>
      <c r="U54" s="3118"/>
      <c r="V54" s="3118"/>
      <c r="W54" s="3118"/>
      <c r="X54" s="3118"/>
      <c r="Y54" s="3118"/>
      <c r="Z54" s="3118"/>
      <c r="AJ54" s="2952"/>
      <c r="AK54" s="2952"/>
      <c r="AL54" s="2952"/>
      <c r="AM54" s="2952"/>
      <c r="AN54" s="2952"/>
    </row>
    <row r="55" spans="5:40" ht="18" customHeight="1">
      <c r="V55" s="3116"/>
      <c r="AJ55" s="3116"/>
      <c r="AK55" s="3116"/>
      <c r="AL55" s="3116"/>
    </row>
    <row r="56" spans="5:40" ht="23.25" customHeight="1"/>
  </sheetData>
  <mergeCells count="5">
    <mergeCell ref="E3:S3"/>
    <mergeCell ref="T3:AI3"/>
    <mergeCell ref="E4:S4"/>
    <mergeCell ref="T4:AI4"/>
    <mergeCell ref="Z52:AF5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4" orientation="portrait" r:id="rId1"/>
  <headerFooter alignWithMargins="0">
    <oddFooter>&amp;C&amp;"+,Regular"&amp;22-42-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M1:BA69"/>
  <sheetViews>
    <sheetView topLeftCell="D1" zoomScale="75" zoomScaleNormal="75" workbookViewId="0">
      <selection activeCell="I11" sqref="I11"/>
    </sheetView>
  </sheetViews>
  <sheetFormatPr defaultColWidth="0" defaultRowHeight="15"/>
  <cols>
    <col min="1" max="3" width="0" style="1792" hidden="1"/>
    <col min="4" max="12" width="3" style="1792" customWidth="1"/>
    <col min="13" max="13" width="3" customWidth="1"/>
    <col min="14" max="14" width="1.5703125" customWidth="1"/>
    <col min="15" max="15" width="1.28515625" customWidth="1"/>
    <col min="16" max="16" width="1.42578125" customWidth="1"/>
    <col min="17" max="19" width="1.140625" customWidth="1"/>
    <col min="20" max="20" width="1.5703125" customWidth="1"/>
    <col min="21" max="21" width="40.5703125" customWidth="1"/>
    <col min="22" max="37" width="18.140625" customWidth="1"/>
    <col min="38" max="39" width="18.140625" style="2952" customWidth="1"/>
    <col min="40" max="40" width="35.5703125" customWidth="1"/>
    <col min="41" max="41" width="1.5703125" customWidth="1"/>
    <col min="42" max="42" width="1.42578125" customWidth="1"/>
    <col min="43" max="43" width="1.28515625" customWidth="1"/>
    <col min="44" max="44" width="0.85546875" customWidth="1"/>
    <col min="45" max="45" width="3" customWidth="1"/>
    <col min="46" max="46" width="0" style="1792" hidden="1"/>
    <col min="47" max="47" width="11.42578125" style="1792" customWidth="1"/>
    <col min="48" max="269" width="0" style="1792" hidden="1"/>
    <col min="270" max="271" width="3" style="1792" customWidth="1"/>
    <col min="272" max="272" width="1.5703125" style="1792" customWidth="1"/>
    <col min="273" max="273" width="1.28515625" style="1792" customWidth="1"/>
    <col min="274" max="274" width="1.42578125" style="1792" customWidth="1"/>
    <col min="275" max="275" width="1.140625" style="1792" customWidth="1"/>
    <col min="276" max="276" width="1.5703125" style="1792" customWidth="1"/>
    <col min="277" max="277" width="40.5703125" style="1792" customWidth="1"/>
    <col min="278" max="295" width="18.140625" style="1792" customWidth="1"/>
    <col min="296" max="296" width="35.5703125" style="1792" customWidth="1"/>
    <col min="297" max="297" width="1.5703125" style="1792" customWidth="1"/>
    <col min="298" max="298" width="1.42578125" style="1792" customWidth="1"/>
    <col min="299" max="299" width="1.28515625" style="1792" customWidth="1"/>
    <col min="300" max="300" width="0.85546875" style="1792" customWidth="1"/>
    <col min="301" max="301" width="3" style="1792" customWidth="1"/>
    <col min="302" max="302" width="0" style="1792" hidden="1"/>
    <col min="303" max="303" width="11.42578125" style="1792" customWidth="1"/>
    <col min="304" max="525" width="0" style="1792" hidden="1"/>
    <col min="526" max="527" width="3" style="1792" customWidth="1"/>
    <col min="528" max="528" width="1.5703125" style="1792" customWidth="1"/>
    <col min="529" max="529" width="1.28515625" style="1792" customWidth="1"/>
    <col min="530" max="530" width="1.42578125" style="1792" customWidth="1"/>
    <col min="531" max="531" width="1.140625" style="1792" customWidth="1"/>
    <col min="532" max="532" width="1.5703125" style="1792" customWidth="1"/>
    <col min="533" max="533" width="40.5703125" style="1792" customWidth="1"/>
    <col min="534" max="551" width="18.140625" style="1792" customWidth="1"/>
    <col min="552" max="552" width="35.5703125" style="1792" customWidth="1"/>
    <col min="553" max="553" width="1.5703125" style="1792" customWidth="1"/>
    <col min="554" max="554" width="1.42578125" style="1792" customWidth="1"/>
    <col min="555" max="555" width="1.28515625" style="1792" customWidth="1"/>
    <col min="556" max="556" width="0.85546875" style="1792" customWidth="1"/>
    <col min="557" max="557" width="3" style="1792" customWidth="1"/>
    <col min="558" max="558" width="0" style="1792" hidden="1"/>
    <col min="559" max="559" width="11.42578125" style="1792" customWidth="1"/>
    <col min="560" max="781" width="0" style="1792" hidden="1"/>
    <col min="782" max="783" width="3" style="1792" customWidth="1"/>
    <col min="784" max="784" width="1.5703125" style="1792" customWidth="1"/>
    <col min="785" max="785" width="1.28515625" style="1792" customWidth="1"/>
    <col min="786" max="786" width="1.42578125" style="1792" customWidth="1"/>
    <col min="787" max="787" width="1.140625" style="1792" customWidth="1"/>
    <col min="788" max="788" width="1.5703125" style="1792" customWidth="1"/>
    <col min="789" max="789" width="40.5703125" style="1792" customWidth="1"/>
    <col min="790" max="807" width="18.140625" style="1792" customWidth="1"/>
    <col min="808" max="808" width="35.5703125" style="1792" customWidth="1"/>
    <col min="809" max="809" width="1.5703125" style="1792" customWidth="1"/>
    <col min="810" max="810" width="1.42578125" style="1792" customWidth="1"/>
    <col min="811" max="811" width="1.28515625" style="1792" customWidth="1"/>
    <col min="812" max="812" width="0.85546875" style="1792" customWidth="1"/>
    <col min="813" max="813" width="3" style="1792" customWidth="1"/>
    <col min="814" max="814" width="0" style="1792" hidden="1"/>
    <col min="815" max="815" width="11.42578125" style="1792" customWidth="1"/>
    <col min="816" max="1037" width="0" style="1792" hidden="1"/>
    <col min="1038" max="1039" width="3" style="1792" customWidth="1"/>
    <col min="1040" max="1040" width="1.5703125" style="1792" customWidth="1"/>
    <col min="1041" max="1041" width="1.28515625" style="1792" customWidth="1"/>
    <col min="1042" max="1042" width="1.42578125" style="1792" customWidth="1"/>
    <col min="1043" max="1043" width="1.140625" style="1792" customWidth="1"/>
    <col min="1044" max="1044" width="1.5703125" style="1792" customWidth="1"/>
    <col min="1045" max="1045" width="40.5703125" style="1792" customWidth="1"/>
    <col min="1046" max="1063" width="18.140625" style="1792" customWidth="1"/>
    <col min="1064" max="1064" width="35.5703125" style="1792" customWidth="1"/>
    <col min="1065" max="1065" width="1.5703125" style="1792" customWidth="1"/>
    <col min="1066" max="1066" width="1.42578125" style="1792" customWidth="1"/>
    <col min="1067" max="1067" width="1.28515625" style="1792" customWidth="1"/>
    <col min="1068" max="1068" width="0.85546875" style="1792" customWidth="1"/>
    <col min="1069" max="1069" width="3" style="1792" customWidth="1"/>
    <col min="1070" max="1070" width="0" style="1792" hidden="1"/>
    <col min="1071" max="1071" width="11.42578125" style="1792" customWidth="1"/>
    <col min="1072" max="1293" width="0" style="1792" hidden="1"/>
    <col min="1294" max="1295" width="3" style="1792" customWidth="1"/>
    <col min="1296" max="1296" width="1.5703125" style="1792" customWidth="1"/>
    <col min="1297" max="1297" width="1.28515625" style="1792" customWidth="1"/>
    <col min="1298" max="1298" width="1.42578125" style="1792" customWidth="1"/>
    <col min="1299" max="1299" width="1.140625" style="1792" customWidth="1"/>
    <col min="1300" max="1300" width="1.5703125" style="1792" customWidth="1"/>
    <col min="1301" max="1301" width="40.5703125" style="1792" customWidth="1"/>
    <col min="1302" max="1319" width="18.140625" style="1792" customWidth="1"/>
    <col min="1320" max="1320" width="35.5703125" style="1792" customWidth="1"/>
    <col min="1321" max="1321" width="1.5703125" style="1792" customWidth="1"/>
    <col min="1322" max="1322" width="1.42578125" style="1792" customWidth="1"/>
    <col min="1323" max="1323" width="1.28515625" style="1792" customWidth="1"/>
    <col min="1324" max="1324" width="0.85546875" style="1792" customWidth="1"/>
    <col min="1325" max="1325" width="3" style="1792" customWidth="1"/>
    <col min="1326" max="1326" width="0" style="1792" hidden="1"/>
    <col min="1327" max="1327" width="11.42578125" style="1792" customWidth="1"/>
    <col min="1328" max="1549" width="0" style="1792" hidden="1"/>
    <col min="1550" max="1551" width="3" style="1792" customWidth="1"/>
    <col min="1552" max="1552" width="1.5703125" style="1792" customWidth="1"/>
    <col min="1553" max="1553" width="1.28515625" style="1792" customWidth="1"/>
    <col min="1554" max="1554" width="1.42578125" style="1792" customWidth="1"/>
    <col min="1555" max="1555" width="1.140625" style="1792" customWidth="1"/>
    <col min="1556" max="1556" width="1.5703125" style="1792" customWidth="1"/>
    <col min="1557" max="1557" width="40.5703125" style="1792" customWidth="1"/>
    <col min="1558" max="1575" width="18.140625" style="1792" customWidth="1"/>
    <col min="1576" max="1576" width="35.5703125" style="1792" customWidth="1"/>
    <col min="1577" max="1577" width="1.5703125" style="1792" customWidth="1"/>
    <col min="1578" max="1578" width="1.42578125" style="1792" customWidth="1"/>
    <col min="1579" max="1579" width="1.28515625" style="1792" customWidth="1"/>
    <col min="1580" max="1580" width="0.85546875" style="1792" customWidth="1"/>
    <col min="1581" max="1581" width="3" style="1792" customWidth="1"/>
    <col min="1582" max="1582" width="0" style="1792" hidden="1"/>
    <col min="1583" max="1583" width="11.42578125" style="1792" customWidth="1"/>
    <col min="1584" max="1805" width="0" style="1792" hidden="1"/>
    <col min="1806" max="1807" width="3" style="1792" customWidth="1"/>
    <col min="1808" max="1808" width="1.5703125" style="1792" customWidth="1"/>
    <col min="1809" max="1809" width="1.28515625" style="1792" customWidth="1"/>
    <col min="1810" max="1810" width="1.42578125" style="1792" customWidth="1"/>
    <col min="1811" max="1811" width="1.140625" style="1792" customWidth="1"/>
    <col min="1812" max="1812" width="1.5703125" style="1792" customWidth="1"/>
    <col min="1813" max="1813" width="40.5703125" style="1792" customWidth="1"/>
    <col min="1814" max="1831" width="18.140625" style="1792" customWidth="1"/>
    <col min="1832" max="1832" width="35.5703125" style="1792" customWidth="1"/>
    <col min="1833" max="1833" width="1.5703125" style="1792" customWidth="1"/>
    <col min="1834" max="1834" width="1.42578125" style="1792" customWidth="1"/>
    <col min="1835" max="1835" width="1.28515625" style="1792" customWidth="1"/>
    <col min="1836" max="1836" width="0.85546875" style="1792" customWidth="1"/>
    <col min="1837" max="1837" width="3" style="1792" customWidth="1"/>
    <col min="1838" max="1838" width="0" style="1792" hidden="1"/>
    <col min="1839" max="1839" width="11.42578125" style="1792" customWidth="1"/>
    <col min="1840" max="2061" width="0" style="1792" hidden="1"/>
    <col min="2062" max="2063" width="3" style="1792" customWidth="1"/>
    <col min="2064" max="2064" width="1.5703125" style="1792" customWidth="1"/>
    <col min="2065" max="2065" width="1.28515625" style="1792" customWidth="1"/>
    <col min="2066" max="2066" width="1.42578125" style="1792" customWidth="1"/>
    <col min="2067" max="2067" width="1.140625" style="1792" customWidth="1"/>
    <col min="2068" max="2068" width="1.5703125" style="1792" customWidth="1"/>
    <col min="2069" max="2069" width="40.5703125" style="1792" customWidth="1"/>
    <col min="2070" max="2087" width="18.140625" style="1792" customWidth="1"/>
    <col min="2088" max="2088" width="35.5703125" style="1792" customWidth="1"/>
    <col min="2089" max="2089" width="1.5703125" style="1792" customWidth="1"/>
    <col min="2090" max="2090" width="1.42578125" style="1792" customWidth="1"/>
    <col min="2091" max="2091" width="1.28515625" style="1792" customWidth="1"/>
    <col min="2092" max="2092" width="0.85546875" style="1792" customWidth="1"/>
    <col min="2093" max="2093" width="3" style="1792" customWidth="1"/>
    <col min="2094" max="2094" width="0" style="1792" hidden="1"/>
    <col min="2095" max="2095" width="11.42578125" style="1792" customWidth="1"/>
    <col min="2096" max="2317" width="0" style="1792" hidden="1"/>
    <col min="2318" max="2319" width="3" style="1792" customWidth="1"/>
    <col min="2320" max="2320" width="1.5703125" style="1792" customWidth="1"/>
    <col min="2321" max="2321" width="1.28515625" style="1792" customWidth="1"/>
    <col min="2322" max="2322" width="1.42578125" style="1792" customWidth="1"/>
    <col min="2323" max="2323" width="1.140625" style="1792" customWidth="1"/>
    <col min="2324" max="2324" width="1.5703125" style="1792" customWidth="1"/>
    <col min="2325" max="2325" width="40.5703125" style="1792" customWidth="1"/>
    <col min="2326" max="2343" width="18.140625" style="1792" customWidth="1"/>
    <col min="2344" max="2344" width="35.5703125" style="1792" customWidth="1"/>
    <col min="2345" max="2345" width="1.5703125" style="1792" customWidth="1"/>
    <col min="2346" max="2346" width="1.42578125" style="1792" customWidth="1"/>
    <col min="2347" max="2347" width="1.28515625" style="1792" customWidth="1"/>
    <col min="2348" max="2348" width="0.85546875" style="1792" customWidth="1"/>
    <col min="2349" max="2349" width="3" style="1792" customWidth="1"/>
    <col min="2350" max="2350" width="0" style="1792" hidden="1"/>
    <col min="2351" max="2351" width="11.42578125" style="1792" customWidth="1"/>
    <col min="2352" max="2573" width="0" style="1792" hidden="1"/>
    <col min="2574" max="2575" width="3" style="1792" customWidth="1"/>
    <col min="2576" max="2576" width="1.5703125" style="1792" customWidth="1"/>
    <col min="2577" max="2577" width="1.28515625" style="1792" customWidth="1"/>
    <col min="2578" max="2578" width="1.42578125" style="1792" customWidth="1"/>
    <col min="2579" max="2579" width="1.140625" style="1792" customWidth="1"/>
    <col min="2580" max="2580" width="1.5703125" style="1792" customWidth="1"/>
    <col min="2581" max="2581" width="40.5703125" style="1792" customWidth="1"/>
    <col min="2582" max="2599" width="18.140625" style="1792" customWidth="1"/>
    <col min="2600" max="2600" width="35.5703125" style="1792" customWidth="1"/>
    <col min="2601" max="2601" width="1.5703125" style="1792" customWidth="1"/>
    <col min="2602" max="2602" width="1.42578125" style="1792" customWidth="1"/>
    <col min="2603" max="2603" width="1.28515625" style="1792" customWidth="1"/>
    <col min="2604" max="2604" width="0.85546875" style="1792" customWidth="1"/>
    <col min="2605" max="2605" width="3" style="1792" customWidth="1"/>
    <col min="2606" max="2606" width="0" style="1792" hidden="1"/>
    <col min="2607" max="2607" width="11.42578125" style="1792" customWidth="1"/>
    <col min="2608" max="2829" width="0" style="1792" hidden="1"/>
    <col min="2830" max="2831" width="3" style="1792" customWidth="1"/>
    <col min="2832" max="2832" width="1.5703125" style="1792" customWidth="1"/>
    <col min="2833" max="2833" width="1.28515625" style="1792" customWidth="1"/>
    <col min="2834" max="2834" width="1.42578125" style="1792" customWidth="1"/>
    <col min="2835" max="2835" width="1.140625" style="1792" customWidth="1"/>
    <col min="2836" max="2836" width="1.5703125" style="1792" customWidth="1"/>
    <col min="2837" max="2837" width="40.5703125" style="1792" customWidth="1"/>
    <col min="2838" max="2855" width="18.140625" style="1792" customWidth="1"/>
    <col min="2856" max="2856" width="35.5703125" style="1792" customWidth="1"/>
    <col min="2857" max="2857" width="1.5703125" style="1792" customWidth="1"/>
    <col min="2858" max="2858" width="1.42578125" style="1792" customWidth="1"/>
    <col min="2859" max="2859" width="1.28515625" style="1792" customWidth="1"/>
    <col min="2860" max="2860" width="0.85546875" style="1792" customWidth="1"/>
    <col min="2861" max="2861" width="3" style="1792" customWidth="1"/>
    <col min="2862" max="2862" width="0" style="1792" hidden="1"/>
    <col min="2863" max="2863" width="11.42578125" style="1792" customWidth="1"/>
    <col min="2864" max="3085" width="0" style="1792" hidden="1"/>
    <col min="3086" max="3087" width="3" style="1792" customWidth="1"/>
    <col min="3088" max="3088" width="1.5703125" style="1792" customWidth="1"/>
    <col min="3089" max="3089" width="1.28515625" style="1792" customWidth="1"/>
    <col min="3090" max="3090" width="1.42578125" style="1792" customWidth="1"/>
    <col min="3091" max="3091" width="1.140625" style="1792" customWidth="1"/>
    <col min="3092" max="3092" width="1.5703125" style="1792" customWidth="1"/>
    <col min="3093" max="3093" width="40.5703125" style="1792" customWidth="1"/>
    <col min="3094" max="3111" width="18.140625" style="1792" customWidth="1"/>
    <col min="3112" max="3112" width="35.5703125" style="1792" customWidth="1"/>
    <col min="3113" max="3113" width="1.5703125" style="1792" customWidth="1"/>
    <col min="3114" max="3114" width="1.42578125" style="1792" customWidth="1"/>
    <col min="3115" max="3115" width="1.28515625" style="1792" customWidth="1"/>
    <col min="3116" max="3116" width="0.85546875" style="1792" customWidth="1"/>
    <col min="3117" max="3117" width="3" style="1792" customWidth="1"/>
    <col min="3118" max="3118" width="0" style="1792" hidden="1"/>
    <col min="3119" max="3119" width="11.42578125" style="1792" customWidth="1"/>
    <col min="3120" max="3341" width="0" style="1792" hidden="1"/>
    <col min="3342" max="3343" width="3" style="1792" customWidth="1"/>
    <col min="3344" max="3344" width="1.5703125" style="1792" customWidth="1"/>
    <col min="3345" max="3345" width="1.28515625" style="1792" customWidth="1"/>
    <col min="3346" max="3346" width="1.42578125" style="1792" customWidth="1"/>
    <col min="3347" max="3347" width="1.140625" style="1792" customWidth="1"/>
    <col min="3348" max="3348" width="1.5703125" style="1792" customWidth="1"/>
    <col min="3349" max="3349" width="40.5703125" style="1792" customWidth="1"/>
    <col min="3350" max="3367" width="18.140625" style="1792" customWidth="1"/>
    <col min="3368" max="3368" width="35.5703125" style="1792" customWidth="1"/>
    <col min="3369" max="3369" width="1.5703125" style="1792" customWidth="1"/>
    <col min="3370" max="3370" width="1.42578125" style="1792" customWidth="1"/>
    <col min="3371" max="3371" width="1.28515625" style="1792" customWidth="1"/>
    <col min="3372" max="3372" width="0.85546875" style="1792" customWidth="1"/>
    <col min="3373" max="3373" width="3" style="1792" customWidth="1"/>
    <col min="3374" max="3374" width="0" style="1792" hidden="1"/>
    <col min="3375" max="3375" width="11.42578125" style="1792" customWidth="1"/>
    <col min="3376" max="3597" width="0" style="1792" hidden="1"/>
    <col min="3598" max="3599" width="3" style="1792" customWidth="1"/>
    <col min="3600" max="3600" width="1.5703125" style="1792" customWidth="1"/>
    <col min="3601" max="3601" width="1.28515625" style="1792" customWidth="1"/>
    <col min="3602" max="3602" width="1.42578125" style="1792" customWidth="1"/>
    <col min="3603" max="3603" width="1.140625" style="1792" customWidth="1"/>
    <col min="3604" max="3604" width="1.5703125" style="1792" customWidth="1"/>
    <col min="3605" max="3605" width="40.5703125" style="1792" customWidth="1"/>
    <col min="3606" max="3623" width="18.140625" style="1792" customWidth="1"/>
    <col min="3624" max="3624" width="35.5703125" style="1792" customWidth="1"/>
    <col min="3625" max="3625" width="1.5703125" style="1792" customWidth="1"/>
    <col min="3626" max="3626" width="1.42578125" style="1792" customWidth="1"/>
    <col min="3627" max="3627" width="1.28515625" style="1792" customWidth="1"/>
    <col min="3628" max="3628" width="0.85546875" style="1792" customWidth="1"/>
    <col min="3629" max="3629" width="3" style="1792" customWidth="1"/>
    <col min="3630" max="3630" width="0" style="1792" hidden="1"/>
    <col min="3631" max="3631" width="11.42578125" style="1792" customWidth="1"/>
    <col min="3632" max="3853" width="0" style="1792" hidden="1"/>
    <col min="3854" max="3855" width="3" style="1792" customWidth="1"/>
    <col min="3856" max="3856" width="1.5703125" style="1792" customWidth="1"/>
    <col min="3857" max="3857" width="1.28515625" style="1792" customWidth="1"/>
    <col min="3858" max="3858" width="1.42578125" style="1792" customWidth="1"/>
    <col min="3859" max="3859" width="1.140625" style="1792" customWidth="1"/>
    <col min="3860" max="3860" width="1.5703125" style="1792" customWidth="1"/>
    <col min="3861" max="3861" width="40.5703125" style="1792" customWidth="1"/>
    <col min="3862" max="3879" width="18.140625" style="1792" customWidth="1"/>
    <col min="3880" max="3880" width="35.5703125" style="1792" customWidth="1"/>
    <col min="3881" max="3881" width="1.5703125" style="1792" customWidth="1"/>
    <col min="3882" max="3882" width="1.42578125" style="1792" customWidth="1"/>
    <col min="3883" max="3883" width="1.28515625" style="1792" customWidth="1"/>
    <col min="3884" max="3884" width="0.85546875" style="1792" customWidth="1"/>
    <col min="3885" max="3885" width="3" style="1792" customWidth="1"/>
    <col min="3886" max="3886" width="0" style="1792" hidden="1"/>
    <col min="3887" max="3887" width="11.42578125" style="1792" customWidth="1"/>
    <col min="3888" max="4109" width="0" style="1792" hidden="1"/>
    <col min="4110" max="4111" width="3" style="1792" customWidth="1"/>
    <col min="4112" max="4112" width="1.5703125" style="1792" customWidth="1"/>
    <col min="4113" max="4113" width="1.28515625" style="1792" customWidth="1"/>
    <col min="4114" max="4114" width="1.42578125" style="1792" customWidth="1"/>
    <col min="4115" max="4115" width="1.140625" style="1792" customWidth="1"/>
    <col min="4116" max="4116" width="1.5703125" style="1792" customWidth="1"/>
    <col min="4117" max="4117" width="40.5703125" style="1792" customWidth="1"/>
    <col min="4118" max="4135" width="18.140625" style="1792" customWidth="1"/>
    <col min="4136" max="4136" width="35.5703125" style="1792" customWidth="1"/>
    <col min="4137" max="4137" width="1.5703125" style="1792" customWidth="1"/>
    <col min="4138" max="4138" width="1.42578125" style="1792" customWidth="1"/>
    <col min="4139" max="4139" width="1.28515625" style="1792" customWidth="1"/>
    <col min="4140" max="4140" width="0.85546875" style="1792" customWidth="1"/>
    <col min="4141" max="4141" width="3" style="1792" customWidth="1"/>
    <col min="4142" max="4142" width="0" style="1792" hidden="1"/>
    <col min="4143" max="4143" width="11.42578125" style="1792" customWidth="1"/>
    <col min="4144" max="4365" width="0" style="1792" hidden="1"/>
    <col min="4366" max="4367" width="3" style="1792" customWidth="1"/>
    <col min="4368" max="4368" width="1.5703125" style="1792" customWidth="1"/>
    <col min="4369" max="4369" width="1.28515625" style="1792" customWidth="1"/>
    <col min="4370" max="4370" width="1.42578125" style="1792" customWidth="1"/>
    <col min="4371" max="4371" width="1.140625" style="1792" customWidth="1"/>
    <col min="4372" max="4372" width="1.5703125" style="1792" customWidth="1"/>
    <col min="4373" max="4373" width="40.5703125" style="1792" customWidth="1"/>
    <col min="4374" max="4391" width="18.140625" style="1792" customWidth="1"/>
    <col min="4392" max="4392" width="35.5703125" style="1792" customWidth="1"/>
    <col min="4393" max="4393" width="1.5703125" style="1792" customWidth="1"/>
    <col min="4394" max="4394" width="1.42578125" style="1792" customWidth="1"/>
    <col min="4395" max="4395" width="1.28515625" style="1792" customWidth="1"/>
    <col min="4396" max="4396" width="0.85546875" style="1792" customWidth="1"/>
    <col min="4397" max="4397" width="3" style="1792" customWidth="1"/>
    <col min="4398" max="4398" width="0" style="1792" hidden="1"/>
    <col min="4399" max="4399" width="11.42578125" style="1792" customWidth="1"/>
    <col min="4400" max="4621" width="0" style="1792" hidden="1"/>
    <col min="4622" max="4623" width="3" style="1792" customWidth="1"/>
    <col min="4624" max="4624" width="1.5703125" style="1792" customWidth="1"/>
    <col min="4625" max="4625" width="1.28515625" style="1792" customWidth="1"/>
    <col min="4626" max="4626" width="1.42578125" style="1792" customWidth="1"/>
    <col min="4627" max="4627" width="1.140625" style="1792" customWidth="1"/>
    <col min="4628" max="4628" width="1.5703125" style="1792" customWidth="1"/>
    <col min="4629" max="4629" width="40.5703125" style="1792" customWidth="1"/>
    <col min="4630" max="4647" width="18.140625" style="1792" customWidth="1"/>
    <col min="4648" max="4648" width="35.5703125" style="1792" customWidth="1"/>
    <col min="4649" max="4649" width="1.5703125" style="1792" customWidth="1"/>
    <col min="4650" max="4650" width="1.42578125" style="1792" customWidth="1"/>
    <col min="4651" max="4651" width="1.28515625" style="1792" customWidth="1"/>
    <col min="4652" max="4652" width="0.85546875" style="1792" customWidth="1"/>
    <col min="4653" max="4653" width="3" style="1792" customWidth="1"/>
    <col min="4654" max="4654" width="0" style="1792" hidden="1"/>
    <col min="4655" max="4655" width="11.42578125" style="1792" customWidth="1"/>
    <col min="4656" max="4877" width="0" style="1792" hidden="1"/>
    <col min="4878" max="4879" width="3" style="1792" customWidth="1"/>
    <col min="4880" max="4880" width="1.5703125" style="1792" customWidth="1"/>
    <col min="4881" max="4881" width="1.28515625" style="1792" customWidth="1"/>
    <col min="4882" max="4882" width="1.42578125" style="1792" customWidth="1"/>
    <col min="4883" max="4883" width="1.140625" style="1792" customWidth="1"/>
    <col min="4884" max="4884" width="1.5703125" style="1792" customWidth="1"/>
    <col min="4885" max="4885" width="40.5703125" style="1792" customWidth="1"/>
    <col min="4886" max="4903" width="18.140625" style="1792" customWidth="1"/>
    <col min="4904" max="4904" width="35.5703125" style="1792" customWidth="1"/>
    <col min="4905" max="4905" width="1.5703125" style="1792" customWidth="1"/>
    <col min="4906" max="4906" width="1.42578125" style="1792" customWidth="1"/>
    <col min="4907" max="4907" width="1.28515625" style="1792" customWidth="1"/>
    <col min="4908" max="4908" width="0.85546875" style="1792" customWidth="1"/>
    <col min="4909" max="4909" width="3" style="1792" customWidth="1"/>
    <col min="4910" max="4910" width="0" style="1792" hidden="1"/>
    <col min="4911" max="4911" width="11.42578125" style="1792" customWidth="1"/>
    <col min="4912" max="5133" width="0" style="1792" hidden="1"/>
    <col min="5134" max="5135" width="3" style="1792" customWidth="1"/>
    <col min="5136" max="5136" width="1.5703125" style="1792" customWidth="1"/>
    <col min="5137" max="5137" width="1.28515625" style="1792" customWidth="1"/>
    <col min="5138" max="5138" width="1.42578125" style="1792" customWidth="1"/>
    <col min="5139" max="5139" width="1.140625" style="1792" customWidth="1"/>
    <col min="5140" max="5140" width="1.5703125" style="1792" customWidth="1"/>
    <col min="5141" max="5141" width="40.5703125" style="1792" customWidth="1"/>
    <col min="5142" max="5159" width="18.140625" style="1792" customWidth="1"/>
    <col min="5160" max="5160" width="35.5703125" style="1792" customWidth="1"/>
    <col min="5161" max="5161" width="1.5703125" style="1792" customWidth="1"/>
    <col min="5162" max="5162" width="1.42578125" style="1792" customWidth="1"/>
    <col min="5163" max="5163" width="1.28515625" style="1792" customWidth="1"/>
    <col min="5164" max="5164" width="0.85546875" style="1792" customWidth="1"/>
    <col min="5165" max="5165" width="3" style="1792" customWidth="1"/>
    <col min="5166" max="5166" width="0" style="1792" hidden="1"/>
    <col min="5167" max="5167" width="11.42578125" style="1792" customWidth="1"/>
    <col min="5168" max="5389" width="0" style="1792" hidden="1"/>
    <col min="5390" max="5391" width="3" style="1792" customWidth="1"/>
    <col min="5392" max="5392" width="1.5703125" style="1792" customWidth="1"/>
    <col min="5393" max="5393" width="1.28515625" style="1792" customWidth="1"/>
    <col min="5394" max="5394" width="1.42578125" style="1792" customWidth="1"/>
    <col min="5395" max="5395" width="1.140625" style="1792" customWidth="1"/>
    <col min="5396" max="5396" width="1.5703125" style="1792" customWidth="1"/>
    <col min="5397" max="5397" width="40.5703125" style="1792" customWidth="1"/>
    <col min="5398" max="5415" width="18.140625" style="1792" customWidth="1"/>
    <col min="5416" max="5416" width="35.5703125" style="1792" customWidth="1"/>
    <col min="5417" max="5417" width="1.5703125" style="1792" customWidth="1"/>
    <col min="5418" max="5418" width="1.42578125" style="1792" customWidth="1"/>
    <col min="5419" max="5419" width="1.28515625" style="1792" customWidth="1"/>
    <col min="5420" max="5420" width="0.85546875" style="1792" customWidth="1"/>
    <col min="5421" max="5421" width="3" style="1792" customWidth="1"/>
    <col min="5422" max="5422" width="0" style="1792" hidden="1"/>
    <col min="5423" max="5423" width="11.42578125" style="1792" customWidth="1"/>
    <col min="5424" max="5645" width="0" style="1792" hidden="1"/>
    <col min="5646" max="5647" width="3" style="1792" customWidth="1"/>
    <col min="5648" max="5648" width="1.5703125" style="1792" customWidth="1"/>
    <col min="5649" max="5649" width="1.28515625" style="1792" customWidth="1"/>
    <col min="5650" max="5650" width="1.42578125" style="1792" customWidth="1"/>
    <col min="5651" max="5651" width="1.140625" style="1792" customWidth="1"/>
    <col min="5652" max="5652" width="1.5703125" style="1792" customWidth="1"/>
    <col min="5653" max="5653" width="40.5703125" style="1792" customWidth="1"/>
    <col min="5654" max="5671" width="18.140625" style="1792" customWidth="1"/>
    <col min="5672" max="5672" width="35.5703125" style="1792" customWidth="1"/>
    <col min="5673" max="5673" width="1.5703125" style="1792" customWidth="1"/>
    <col min="5674" max="5674" width="1.42578125" style="1792" customWidth="1"/>
    <col min="5675" max="5675" width="1.28515625" style="1792" customWidth="1"/>
    <col min="5676" max="5676" width="0.85546875" style="1792" customWidth="1"/>
    <col min="5677" max="5677" width="3" style="1792" customWidth="1"/>
    <col min="5678" max="5678" width="0" style="1792" hidden="1"/>
    <col min="5679" max="5679" width="11.42578125" style="1792" customWidth="1"/>
    <col min="5680" max="5901" width="0" style="1792" hidden="1"/>
    <col min="5902" max="5903" width="3" style="1792" customWidth="1"/>
    <col min="5904" max="5904" width="1.5703125" style="1792" customWidth="1"/>
    <col min="5905" max="5905" width="1.28515625" style="1792" customWidth="1"/>
    <col min="5906" max="5906" width="1.42578125" style="1792" customWidth="1"/>
    <col min="5907" max="5907" width="1.140625" style="1792" customWidth="1"/>
    <col min="5908" max="5908" width="1.5703125" style="1792" customWidth="1"/>
    <col min="5909" max="5909" width="40.5703125" style="1792" customWidth="1"/>
    <col min="5910" max="5927" width="18.140625" style="1792" customWidth="1"/>
    <col min="5928" max="5928" width="35.5703125" style="1792" customWidth="1"/>
    <col min="5929" max="5929" width="1.5703125" style="1792" customWidth="1"/>
    <col min="5930" max="5930" width="1.42578125" style="1792" customWidth="1"/>
    <col min="5931" max="5931" width="1.28515625" style="1792" customWidth="1"/>
    <col min="5932" max="5932" width="0.85546875" style="1792" customWidth="1"/>
    <col min="5933" max="5933" width="3" style="1792" customWidth="1"/>
    <col min="5934" max="5934" width="0" style="1792" hidden="1"/>
    <col min="5935" max="5935" width="11.42578125" style="1792" customWidth="1"/>
    <col min="5936" max="6157" width="0" style="1792" hidden="1"/>
    <col min="6158" max="6159" width="3" style="1792" customWidth="1"/>
    <col min="6160" max="6160" width="1.5703125" style="1792" customWidth="1"/>
    <col min="6161" max="6161" width="1.28515625" style="1792" customWidth="1"/>
    <col min="6162" max="6162" width="1.42578125" style="1792" customWidth="1"/>
    <col min="6163" max="6163" width="1.140625" style="1792" customWidth="1"/>
    <col min="6164" max="6164" width="1.5703125" style="1792" customWidth="1"/>
    <col min="6165" max="6165" width="40.5703125" style="1792" customWidth="1"/>
    <col min="6166" max="6183" width="18.140625" style="1792" customWidth="1"/>
    <col min="6184" max="6184" width="35.5703125" style="1792" customWidth="1"/>
    <col min="6185" max="6185" width="1.5703125" style="1792" customWidth="1"/>
    <col min="6186" max="6186" width="1.42578125" style="1792" customWidth="1"/>
    <col min="6187" max="6187" width="1.28515625" style="1792" customWidth="1"/>
    <col min="6188" max="6188" width="0.85546875" style="1792" customWidth="1"/>
    <col min="6189" max="6189" width="3" style="1792" customWidth="1"/>
    <col min="6190" max="6190" width="0" style="1792" hidden="1"/>
    <col min="6191" max="6191" width="11.42578125" style="1792" customWidth="1"/>
    <col min="6192" max="6413" width="0" style="1792" hidden="1"/>
    <col min="6414" max="6415" width="3" style="1792" customWidth="1"/>
    <col min="6416" max="6416" width="1.5703125" style="1792" customWidth="1"/>
    <col min="6417" max="6417" width="1.28515625" style="1792" customWidth="1"/>
    <col min="6418" max="6418" width="1.42578125" style="1792" customWidth="1"/>
    <col min="6419" max="6419" width="1.140625" style="1792" customWidth="1"/>
    <col min="6420" max="6420" width="1.5703125" style="1792" customWidth="1"/>
    <col min="6421" max="6421" width="40.5703125" style="1792" customWidth="1"/>
    <col min="6422" max="6439" width="18.140625" style="1792" customWidth="1"/>
    <col min="6440" max="6440" width="35.5703125" style="1792" customWidth="1"/>
    <col min="6441" max="6441" width="1.5703125" style="1792" customWidth="1"/>
    <col min="6442" max="6442" width="1.42578125" style="1792" customWidth="1"/>
    <col min="6443" max="6443" width="1.28515625" style="1792" customWidth="1"/>
    <col min="6444" max="6444" width="0.85546875" style="1792" customWidth="1"/>
    <col min="6445" max="6445" width="3" style="1792" customWidth="1"/>
    <col min="6446" max="6446" width="0" style="1792" hidden="1"/>
    <col min="6447" max="6447" width="11.42578125" style="1792" customWidth="1"/>
    <col min="6448" max="6669" width="0" style="1792" hidden="1"/>
    <col min="6670" max="6671" width="3" style="1792" customWidth="1"/>
    <col min="6672" max="6672" width="1.5703125" style="1792" customWidth="1"/>
    <col min="6673" max="6673" width="1.28515625" style="1792" customWidth="1"/>
    <col min="6674" max="6674" width="1.42578125" style="1792" customWidth="1"/>
    <col min="6675" max="6675" width="1.140625" style="1792" customWidth="1"/>
    <col min="6676" max="6676" width="1.5703125" style="1792" customWidth="1"/>
    <col min="6677" max="6677" width="40.5703125" style="1792" customWidth="1"/>
    <col min="6678" max="6695" width="18.140625" style="1792" customWidth="1"/>
    <col min="6696" max="6696" width="35.5703125" style="1792" customWidth="1"/>
    <col min="6697" max="6697" width="1.5703125" style="1792" customWidth="1"/>
    <col min="6698" max="6698" width="1.42578125" style="1792" customWidth="1"/>
    <col min="6699" max="6699" width="1.28515625" style="1792" customWidth="1"/>
    <col min="6700" max="6700" width="0.85546875" style="1792" customWidth="1"/>
    <col min="6701" max="6701" width="3" style="1792" customWidth="1"/>
    <col min="6702" max="6702" width="0" style="1792" hidden="1"/>
    <col min="6703" max="6703" width="11.42578125" style="1792" customWidth="1"/>
    <col min="6704" max="6925" width="0" style="1792" hidden="1"/>
    <col min="6926" max="6927" width="3" style="1792" customWidth="1"/>
    <col min="6928" max="6928" width="1.5703125" style="1792" customWidth="1"/>
    <col min="6929" max="6929" width="1.28515625" style="1792" customWidth="1"/>
    <col min="6930" max="6930" width="1.42578125" style="1792" customWidth="1"/>
    <col min="6931" max="6931" width="1.140625" style="1792" customWidth="1"/>
    <col min="6932" max="6932" width="1.5703125" style="1792" customWidth="1"/>
    <col min="6933" max="6933" width="40.5703125" style="1792" customWidth="1"/>
    <col min="6934" max="6951" width="18.140625" style="1792" customWidth="1"/>
    <col min="6952" max="6952" width="35.5703125" style="1792" customWidth="1"/>
    <col min="6953" max="6953" width="1.5703125" style="1792" customWidth="1"/>
    <col min="6954" max="6954" width="1.42578125" style="1792" customWidth="1"/>
    <col min="6955" max="6955" width="1.28515625" style="1792" customWidth="1"/>
    <col min="6956" max="6956" width="0.85546875" style="1792" customWidth="1"/>
    <col min="6957" max="6957" width="3" style="1792" customWidth="1"/>
    <col min="6958" max="6958" width="0" style="1792" hidden="1"/>
    <col min="6959" max="6959" width="11.42578125" style="1792" customWidth="1"/>
    <col min="6960" max="7181" width="0" style="1792" hidden="1"/>
    <col min="7182" max="7183" width="3" style="1792" customWidth="1"/>
    <col min="7184" max="7184" width="1.5703125" style="1792" customWidth="1"/>
    <col min="7185" max="7185" width="1.28515625" style="1792" customWidth="1"/>
    <col min="7186" max="7186" width="1.42578125" style="1792" customWidth="1"/>
    <col min="7187" max="7187" width="1.140625" style="1792" customWidth="1"/>
    <col min="7188" max="7188" width="1.5703125" style="1792" customWidth="1"/>
    <col min="7189" max="7189" width="40.5703125" style="1792" customWidth="1"/>
    <col min="7190" max="7207" width="18.140625" style="1792" customWidth="1"/>
    <col min="7208" max="7208" width="35.5703125" style="1792" customWidth="1"/>
    <col min="7209" max="7209" width="1.5703125" style="1792" customWidth="1"/>
    <col min="7210" max="7210" width="1.42578125" style="1792" customWidth="1"/>
    <col min="7211" max="7211" width="1.28515625" style="1792" customWidth="1"/>
    <col min="7212" max="7212" width="0.85546875" style="1792" customWidth="1"/>
    <col min="7213" max="7213" width="3" style="1792" customWidth="1"/>
    <col min="7214" max="7214" width="0" style="1792" hidden="1"/>
    <col min="7215" max="7215" width="11.42578125" style="1792" customWidth="1"/>
    <col min="7216" max="7437" width="0" style="1792" hidden="1"/>
    <col min="7438" max="7439" width="3" style="1792" customWidth="1"/>
    <col min="7440" max="7440" width="1.5703125" style="1792" customWidth="1"/>
    <col min="7441" max="7441" width="1.28515625" style="1792" customWidth="1"/>
    <col min="7442" max="7442" width="1.42578125" style="1792" customWidth="1"/>
    <col min="7443" max="7443" width="1.140625" style="1792" customWidth="1"/>
    <col min="7444" max="7444" width="1.5703125" style="1792" customWidth="1"/>
    <col min="7445" max="7445" width="40.5703125" style="1792" customWidth="1"/>
    <col min="7446" max="7463" width="18.140625" style="1792" customWidth="1"/>
    <col min="7464" max="7464" width="35.5703125" style="1792" customWidth="1"/>
    <col min="7465" max="7465" width="1.5703125" style="1792" customWidth="1"/>
    <col min="7466" max="7466" width="1.42578125" style="1792" customWidth="1"/>
    <col min="7467" max="7467" width="1.28515625" style="1792" customWidth="1"/>
    <col min="7468" max="7468" width="0.85546875" style="1792" customWidth="1"/>
    <col min="7469" max="7469" width="3" style="1792" customWidth="1"/>
    <col min="7470" max="7470" width="0" style="1792" hidden="1"/>
    <col min="7471" max="7471" width="11.42578125" style="1792" customWidth="1"/>
    <col min="7472" max="7693" width="0" style="1792" hidden="1"/>
    <col min="7694" max="7695" width="3" style="1792" customWidth="1"/>
    <col min="7696" max="7696" width="1.5703125" style="1792" customWidth="1"/>
    <col min="7697" max="7697" width="1.28515625" style="1792" customWidth="1"/>
    <col min="7698" max="7698" width="1.42578125" style="1792" customWidth="1"/>
    <col min="7699" max="7699" width="1.140625" style="1792" customWidth="1"/>
    <col min="7700" max="7700" width="1.5703125" style="1792" customWidth="1"/>
    <col min="7701" max="7701" width="40.5703125" style="1792" customWidth="1"/>
    <col min="7702" max="7719" width="18.140625" style="1792" customWidth="1"/>
    <col min="7720" max="7720" width="35.5703125" style="1792" customWidth="1"/>
    <col min="7721" max="7721" width="1.5703125" style="1792" customWidth="1"/>
    <col min="7722" max="7722" width="1.42578125" style="1792" customWidth="1"/>
    <col min="7723" max="7723" width="1.28515625" style="1792" customWidth="1"/>
    <col min="7724" max="7724" width="0.85546875" style="1792" customWidth="1"/>
    <col min="7725" max="7725" width="3" style="1792" customWidth="1"/>
    <col min="7726" max="7726" width="0" style="1792" hidden="1"/>
    <col min="7727" max="7727" width="11.42578125" style="1792" customWidth="1"/>
    <col min="7728" max="7949" width="0" style="1792" hidden="1"/>
    <col min="7950" max="7951" width="3" style="1792" customWidth="1"/>
    <col min="7952" max="7952" width="1.5703125" style="1792" customWidth="1"/>
    <col min="7953" max="7953" width="1.28515625" style="1792" customWidth="1"/>
    <col min="7954" max="7954" width="1.42578125" style="1792" customWidth="1"/>
    <col min="7955" max="7955" width="1.140625" style="1792" customWidth="1"/>
    <col min="7956" max="7956" width="1.5703125" style="1792" customWidth="1"/>
    <col min="7957" max="7957" width="40.5703125" style="1792" customWidth="1"/>
    <col min="7958" max="7975" width="18.140625" style="1792" customWidth="1"/>
    <col min="7976" max="7976" width="35.5703125" style="1792" customWidth="1"/>
    <col min="7977" max="7977" width="1.5703125" style="1792" customWidth="1"/>
    <col min="7978" max="7978" width="1.42578125" style="1792" customWidth="1"/>
    <col min="7979" max="7979" width="1.28515625" style="1792" customWidth="1"/>
    <col min="7980" max="7980" width="0.85546875" style="1792" customWidth="1"/>
    <col min="7981" max="7981" width="3" style="1792" customWidth="1"/>
    <col min="7982" max="7982" width="0" style="1792" hidden="1"/>
    <col min="7983" max="7983" width="11.42578125" style="1792" customWidth="1"/>
    <col min="7984" max="8205" width="0" style="1792" hidden="1"/>
    <col min="8206" max="8207" width="3" style="1792" customWidth="1"/>
    <col min="8208" max="8208" width="1.5703125" style="1792" customWidth="1"/>
    <col min="8209" max="8209" width="1.28515625" style="1792" customWidth="1"/>
    <col min="8210" max="8210" width="1.42578125" style="1792" customWidth="1"/>
    <col min="8211" max="8211" width="1.140625" style="1792" customWidth="1"/>
    <col min="8212" max="8212" width="1.5703125" style="1792" customWidth="1"/>
    <col min="8213" max="8213" width="40.5703125" style="1792" customWidth="1"/>
    <col min="8214" max="8231" width="18.140625" style="1792" customWidth="1"/>
    <col min="8232" max="8232" width="35.5703125" style="1792" customWidth="1"/>
    <col min="8233" max="8233" width="1.5703125" style="1792" customWidth="1"/>
    <col min="8234" max="8234" width="1.42578125" style="1792" customWidth="1"/>
    <col min="8235" max="8235" width="1.28515625" style="1792" customWidth="1"/>
    <col min="8236" max="8236" width="0.85546875" style="1792" customWidth="1"/>
    <col min="8237" max="8237" width="3" style="1792" customWidth="1"/>
    <col min="8238" max="8238" width="0" style="1792" hidden="1"/>
    <col min="8239" max="8239" width="11.42578125" style="1792" customWidth="1"/>
    <col min="8240" max="8461" width="0" style="1792" hidden="1"/>
    <col min="8462" max="8463" width="3" style="1792" customWidth="1"/>
    <col min="8464" max="8464" width="1.5703125" style="1792" customWidth="1"/>
    <col min="8465" max="8465" width="1.28515625" style="1792" customWidth="1"/>
    <col min="8466" max="8466" width="1.42578125" style="1792" customWidth="1"/>
    <col min="8467" max="8467" width="1.140625" style="1792" customWidth="1"/>
    <col min="8468" max="8468" width="1.5703125" style="1792" customWidth="1"/>
    <col min="8469" max="8469" width="40.5703125" style="1792" customWidth="1"/>
    <col min="8470" max="8487" width="18.140625" style="1792" customWidth="1"/>
    <col min="8488" max="8488" width="35.5703125" style="1792" customWidth="1"/>
    <col min="8489" max="8489" width="1.5703125" style="1792" customWidth="1"/>
    <col min="8490" max="8490" width="1.42578125" style="1792" customWidth="1"/>
    <col min="8491" max="8491" width="1.28515625" style="1792" customWidth="1"/>
    <col min="8492" max="8492" width="0.85546875" style="1792" customWidth="1"/>
    <col min="8493" max="8493" width="3" style="1792" customWidth="1"/>
    <col min="8494" max="8494" width="0" style="1792" hidden="1"/>
    <col min="8495" max="8495" width="11.42578125" style="1792" customWidth="1"/>
    <col min="8496" max="8717" width="0" style="1792" hidden="1"/>
    <col min="8718" max="8719" width="3" style="1792" customWidth="1"/>
    <col min="8720" max="8720" width="1.5703125" style="1792" customWidth="1"/>
    <col min="8721" max="8721" width="1.28515625" style="1792" customWidth="1"/>
    <col min="8722" max="8722" width="1.42578125" style="1792" customWidth="1"/>
    <col min="8723" max="8723" width="1.140625" style="1792" customWidth="1"/>
    <col min="8724" max="8724" width="1.5703125" style="1792" customWidth="1"/>
    <col min="8725" max="8725" width="40.5703125" style="1792" customWidth="1"/>
    <col min="8726" max="8743" width="18.140625" style="1792" customWidth="1"/>
    <col min="8744" max="8744" width="35.5703125" style="1792" customWidth="1"/>
    <col min="8745" max="8745" width="1.5703125" style="1792" customWidth="1"/>
    <col min="8746" max="8746" width="1.42578125" style="1792" customWidth="1"/>
    <col min="8747" max="8747" width="1.28515625" style="1792" customWidth="1"/>
    <col min="8748" max="8748" width="0.85546875" style="1792" customWidth="1"/>
    <col min="8749" max="8749" width="3" style="1792" customWidth="1"/>
    <col min="8750" max="8750" width="0" style="1792" hidden="1"/>
    <col min="8751" max="8751" width="11.42578125" style="1792" customWidth="1"/>
    <col min="8752" max="8973" width="0" style="1792" hidden="1"/>
    <col min="8974" max="8975" width="3" style="1792" customWidth="1"/>
    <col min="8976" max="8976" width="1.5703125" style="1792" customWidth="1"/>
    <col min="8977" max="8977" width="1.28515625" style="1792" customWidth="1"/>
    <col min="8978" max="8978" width="1.42578125" style="1792" customWidth="1"/>
    <col min="8979" max="8979" width="1.140625" style="1792" customWidth="1"/>
    <col min="8980" max="8980" width="1.5703125" style="1792" customWidth="1"/>
    <col min="8981" max="8981" width="40.5703125" style="1792" customWidth="1"/>
    <col min="8982" max="8999" width="18.140625" style="1792" customWidth="1"/>
    <col min="9000" max="9000" width="35.5703125" style="1792" customWidth="1"/>
    <col min="9001" max="9001" width="1.5703125" style="1792" customWidth="1"/>
    <col min="9002" max="9002" width="1.42578125" style="1792" customWidth="1"/>
    <col min="9003" max="9003" width="1.28515625" style="1792" customWidth="1"/>
    <col min="9004" max="9004" width="0.85546875" style="1792" customWidth="1"/>
    <col min="9005" max="9005" width="3" style="1792" customWidth="1"/>
    <col min="9006" max="9006" width="0" style="1792" hidden="1"/>
    <col min="9007" max="9007" width="11.42578125" style="1792" customWidth="1"/>
    <col min="9008" max="9229" width="0" style="1792" hidden="1"/>
    <col min="9230" max="9231" width="3" style="1792" customWidth="1"/>
    <col min="9232" max="9232" width="1.5703125" style="1792" customWidth="1"/>
    <col min="9233" max="9233" width="1.28515625" style="1792" customWidth="1"/>
    <col min="9234" max="9234" width="1.42578125" style="1792" customWidth="1"/>
    <col min="9235" max="9235" width="1.140625" style="1792" customWidth="1"/>
    <col min="9236" max="9236" width="1.5703125" style="1792" customWidth="1"/>
    <col min="9237" max="9237" width="40.5703125" style="1792" customWidth="1"/>
    <col min="9238" max="9255" width="18.140625" style="1792" customWidth="1"/>
    <col min="9256" max="9256" width="35.5703125" style="1792" customWidth="1"/>
    <col min="9257" max="9257" width="1.5703125" style="1792" customWidth="1"/>
    <col min="9258" max="9258" width="1.42578125" style="1792" customWidth="1"/>
    <col min="9259" max="9259" width="1.28515625" style="1792" customWidth="1"/>
    <col min="9260" max="9260" width="0.85546875" style="1792" customWidth="1"/>
    <col min="9261" max="9261" width="3" style="1792" customWidth="1"/>
    <col min="9262" max="9262" width="0" style="1792" hidden="1"/>
    <col min="9263" max="9263" width="11.42578125" style="1792" customWidth="1"/>
    <col min="9264" max="9485" width="0" style="1792" hidden="1"/>
    <col min="9486" max="9487" width="3" style="1792" customWidth="1"/>
    <col min="9488" max="9488" width="1.5703125" style="1792" customWidth="1"/>
    <col min="9489" max="9489" width="1.28515625" style="1792" customWidth="1"/>
    <col min="9490" max="9490" width="1.42578125" style="1792" customWidth="1"/>
    <col min="9491" max="9491" width="1.140625" style="1792" customWidth="1"/>
    <col min="9492" max="9492" width="1.5703125" style="1792" customWidth="1"/>
    <col min="9493" max="9493" width="40.5703125" style="1792" customWidth="1"/>
    <col min="9494" max="9511" width="18.140625" style="1792" customWidth="1"/>
    <col min="9512" max="9512" width="35.5703125" style="1792" customWidth="1"/>
    <col min="9513" max="9513" width="1.5703125" style="1792" customWidth="1"/>
    <col min="9514" max="9514" width="1.42578125" style="1792" customWidth="1"/>
    <col min="9515" max="9515" width="1.28515625" style="1792" customWidth="1"/>
    <col min="9516" max="9516" width="0.85546875" style="1792" customWidth="1"/>
    <col min="9517" max="9517" width="3" style="1792" customWidth="1"/>
    <col min="9518" max="9518" width="0" style="1792" hidden="1"/>
    <col min="9519" max="9519" width="11.42578125" style="1792" customWidth="1"/>
    <col min="9520" max="9741" width="0" style="1792" hidden="1"/>
    <col min="9742" max="9743" width="3" style="1792" customWidth="1"/>
    <col min="9744" max="9744" width="1.5703125" style="1792" customWidth="1"/>
    <col min="9745" max="9745" width="1.28515625" style="1792" customWidth="1"/>
    <col min="9746" max="9746" width="1.42578125" style="1792" customWidth="1"/>
    <col min="9747" max="9747" width="1.140625" style="1792" customWidth="1"/>
    <col min="9748" max="9748" width="1.5703125" style="1792" customWidth="1"/>
    <col min="9749" max="9749" width="40.5703125" style="1792" customWidth="1"/>
    <col min="9750" max="9767" width="18.140625" style="1792" customWidth="1"/>
    <col min="9768" max="9768" width="35.5703125" style="1792" customWidth="1"/>
    <col min="9769" max="9769" width="1.5703125" style="1792" customWidth="1"/>
    <col min="9770" max="9770" width="1.42578125" style="1792" customWidth="1"/>
    <col min="9771" max="9771" width="1.28515625" style="1792" customWidth="1"/>
    <col min="9772" max="9772" width="0.85546875" style="1792" customWidth="1"/>
    <col min="9773" max="9773" width="3" style="1792" customWidth="1"/>
    <col min="9774" max="9774" width="0" style="1792" hidden="1"/>
    <col min="9775" max="9775" width="11.42578125" style="1792" customWidth="1"/>
    <col min="9776" max="9997" width="0" style="1792" hidden="1"/>
    <col min="9998" max="9999" width="3" style="1792" customWidth="1"/>
    <col min="10000" max="10000" width="1.5703125" style="1792" customWidth="1"/>
    <col min="10001" max="10001" width="1.28515625" style="1792" customWidth="1"/>
    <col min="10002" max="10002" width="1.42578125" style="1792" customWidth="1"/>
    <col min="10003" max="10003" width="1.140625" style="1792" customWidth="1"/>
    <col min="10004" max="10004" width="1.5703125" style="1792" customWidth="1"/>
    <col min="10005" max="10005" width="40.5703125" style="1792" customWidth="1"/>
    <col min="10006" max="10023" width="18.140625" style="1792" customWidth="1"/>
    <col min="10024" max="10024" width="35.5703125" style="1792" customWidth="1"/>
    <col min="10025" max="10025" width="1.5703125" style="1792" customWidth="1"/>
    <col min="10026" max="10026" width="1.42578125" style="1792" customWidth="1"/>
    <col min="10027" max="10027" width="1.28515625" style="1792" customWidth="1"/>
    <col min="10028" max="10028" width="0.85546875" style="1792" customWidth="1"/>
    <col min="10029" max="10029" width="3" style="1792" customWidth="1"/>
    <col min="10030" max="10030" width="0" style="1792" hidden="1"/>
    <col min="10031" max="10031" width="11.42578125" style="1792" customWidth="1"/>
    <col min="10032" max="10253" width="0" style="1792" hidden="1"/>
    <col min="10254" max="10255" width="3" style="1792" customWidth="1"/>
    <col min="10256" max="10256" width="1.5703125" style="1792" customWidth="1"/>
    <col min="10257" max="10257" width="1.28515625" style="1792" customWidth="1"/>
    <col min="10258" max="10258" width="1.42578125" style="1792" customWidth="1"/>
    <col min="10259" max="10259" width="1.140625" style="1792" customWidth="1"/>
    <col min="10260" max="10260" width="1.5703125" style="1792" customWidth="1"/>
    <col min="10261" max="10261" width="40.5703125" style="1792" customWidth="1"/>
    <col min="10262" max="10279" width="18.140625" style="1792" customWidth="1"/>
    <col min="10280" max="10280" width="35.5703125" style="1792" customWidth="1"/>
    <col min="10281" max="10281" width="1.5703125" style="1792" customWidth="1"/>
    <col min="10282" max="10282" width="1.42578125" style="1792" customWidth="1"/>
    <col min="10283" max="10283" width="1.28515625" style="1792" customWidth="1"/>
    <col min="10284" max="10284" width="0.85546875" style="1792" customWidth="1"/>
    <col min="10285" max="10285" width="3" style="1792" customWidth="1"/>
    <col min="10286" max="10286" width="0" style="1792" hidden="1"/>
    <col min="10287" max="10287" width="11.42578125" style="1792" customWidth="1"/>
    <col min="10288" max="10509" width="0" style="1792" hidden="1"/>
    <col min="10510" max="10511" width="3" style="1792" customWidth="1"/>
    <col min="10512" max="10512" width="1.5703125" style="1792" customWidth="1"/>
    <col min="10513" max="10513" width="1.28515625" style="1792" customWidth="1"/>
    <col min="10514" max="10514" width="1.42578125" style="1792" customWidth="1"/>
    <col min="10515" max="10515" width="1.140625" style="1792" customWidth="1"/>
    <col min="10516" max="10516" width="1.5703125" style="1792" customWidth="1"/>
    <col min="10517" max="10517" width="40.5703125" style="1792" customWidth="1"/>
    <col min="10518" max="10535" width="18.140625" style="1792" customWidth="1"/>
    <col min="10536" max="10536" width="35.5703125" style="1792" customWidth="1"/>
    <col min="10537" max="10537" width="1.5703125" style="1792" customWidth="1"/>
    <col min="10538" max="10538" width="1.42578125" style="1792" customWidth="1"/>
    <col min="10539" max="10539" width="1.28515625" style="1792" customWidth="1"/>
    <col min="10540" max="10540" width="0.85546875" style="1792" customWidth="1"/>
    <col min="10541" max="10541" width="3" style="1792" customWidth="1"/>
    <col min="10542" max="10542" width="0" style="1792" hidden="1"/>
    <col min="10543" max="10543" width="11.42578125" style="1792" customWidth="1"/>
    <col min="10544" max="10765" width="0" style="1792" hidden="1"/>
    <col min="10766" max="10767" width="3" style="1792" customWidth="1"/>
    <col min="10768" max="10768" width="1.5703125" style="1792" customWidth="1"/>
    <col min="10769" max="10769" width="1.28515625" style="1792" customWidth="1"/>
    <col min="10770" max="10770" width="1.42578125" style="1792" customWidth="1"/>
    <col min="10771" max="10771" width="1.140625" style="1792" customWidth="1"/>
    <col min="10772" max="10772" width="1.5703125" style="1792" customWidth="1"/>
    <col min="10773" max="10773" width="40.5703125" style="1792" customWidth="1"/>
    <col min="10774" max="10791" width="18.140625" style="1792" customWidth="1"/>
    <col min="10792" max="10792" width="35.5703125" style="1792" customWidth="1"/>
    <col min="10793" max="10793" width="1.5703125" style="1792" customWidth="1"/>
    <col min="10794" max="10794" width="1.42578125" style="1792" customWidth="1"/>
    <col min="10795" max="10795" width="1.28515625" style="1792" customWidth="1"/>
    <col min="10796" max="10796" width="0.85546875" style="1792" customWidth="1"/>
    <col min="10797" max="10797" width="3" style="1792" customWidth="1"/>
    <col min="10798" max="10798" width="0" style="1792" hidden="1"/>
    <col min="10799" max="10799" width="11.42578125" style="1792" customWidth="1"/>
    <col min="10800" max="11021" width="0" style="1792" hidden="1"/>
    <col min="11022" max="11023" width="3" style="1792" customWidth="1"/>
    <col min="11024" max="11024" width="1.5703125" style="1792" customWidth="1"/>
    <col min="11025" max="11025" width="1.28515625" style="1792" customWidth="1"/>
    <col min="11026" max="11026" width="1.42578125" style="1792" customWidth="1"/>
    <col min="11027" max="11027" width="1.140625" style="1792" customWidth="1"/>
    <col min="11028" max="11028" width="1.5703125" style="1792" customWidth="1"/>
    <col min="11029" max="11029" width="40.5703125" style="1792" customWidth="1"/>
    <col min="11030" max="11047" width="18.140625" style="1792" customWidth="1"/>
    <col min="11048" max="11048" width="35.5703125" style="1792" customWidth="1"/>
    <col min="11049" max="11049" width="1.5703125" style="1792" customWidth="1"/>
    <col min="11050" max="11050" width="1.42578125" style="1792" customWidth="1"/>
    <col min="11051" max="11051" width="1.28515625" style="1792" customWidth="1"/>
    <col min="11052" max="11052" width="0.85546875" style="1792" customWidth="1"/>
    <col min="11053" max="11053" width="3" style="1792" customWidth="1"/>
    <col min="11054" max="11054" width="0" style="1792" hidden="1"/>
    <col min="11055" max="11055" width="11.42578125" style="1792" customWidth="1"/>
    <col min="11056" max="11277" width="0" style="1792" hidden="1"/>
    <col min="11278" max="11279" width="3" style="1792" customWidth="1"/>
    <col min="11280" max="11280" width="1.5703125" style="1792" customWidth="1"/>
    <col min="11281" max="11281" width="1.28515625" style="1792" customWidth="1"/>
    <col min="11282" max="11282" width="1.42578125" style="1792" customWidth="1"/>
    <col min="11283" max="11283" width="1.140625" style="1792" customWidth="1"/>
    <col min="11284" max="11284" width="1.5703125" style="1792" customWidth="1"/>
    <col min="11285" max="11285" width="40.5703125" style="1792" customWidth="1"/>
    <col min="11286" max="11303" width="18.140625" style="1792" customWidth="1"/>
    <col min="11304" max="11304" width="35.5703125" style="1792" customWidth="1"/>
    <col min="11305" max="11305" width="1.5703125" style="1792" customWidth="1"/>
    <col min="11306" max="11306" width="1.42578125" style="1792" customWidth="1"/>
    <col min="11307" max="11307" width="1.28515625" style="1792" customWidth="1"/>
    <col min="11308" max="11308" width="0.85546875" style="1792" customWidth="1"/>
    <col min="11309" max="11309" width="3" style="1792" customWidth="1"/>
    <col min="11310" max="11310" width="0" style="1792" hidden="1"/>
    <col min="11311" max="11311" width="11.42578125" style="1792" customWidth="1"/>
    <col min="11312" max="11533" width="0" style="1792" hidden="1"/>
    <col min="11534" max="11535" width="3" style="1792" customWidth="1"/>
    <col min="11536" max="11536" width="1.5703125" style="1792" customWidth="1"/>
    <col min="11537" max="11537" width="1.28515625" style="1792" customWidth="1"/>
    <col min="11538" max="11538" width="1.42578125" style="1792" customWidth="1"/>
    <col min="11539" max="11539" width="1.140625" style="1792" customWidth="1"/>
    <col min="11540" max="11540" width="1.5703125" style="1792" customWidth="1"/>
    <col min="11541" max="11541" width="40.5703125" style="1792" customWidth="1"/>
    <col min="11542" max="11559" width="18.140625" style="1792" customWidth="1"/>
    <col min="11560" max="11560" width="35.5703125" style="1792" customWidth="1"/>
    <col min="11561" max="11561" width="1.5703125" style="1792" customWidth="1"/>
    <col min="11562" max="11562" width="1.42578125" style="1792" customWidth="1"/>
    <col min="11563" max="11563" width="1.28515625" style="1792" customWidth="1"/>
    <col min="11564" max="11564" width="0.85546875" style="1792" customWidth="1"/>
    <col min="11565" max="11565" width="3" style="1792" customWidth="1"/>
    <col min="11566" max="11566" width="0" style="1792" hidden="1"/>
    <col min="11567" max="11567" width="11.42578125" style="1792" customWidth="1"/>
    <col min="11568" max="11789" width="0" style="1792" hidden="1"/>
    <col min="11790" max="11791" width="3" style="1792" customWidth="1"/>
    <col min="11792" max="11792" width="1.5703125" style="1792" customWidth="1"/>
    <col min="11793" max="11793" width="1.28515625" style="1792" customWidth="1"/>
    <col min="11794" max="11794" width="1.42578125" style="1792" customWidth="1"/>
    <col min="11795" max="11795" width="1.140625" style="1792" customWidth="1"/>
    <col min="11796" max="11796" width="1.5703125" style="1792" customWidth="1"/>
    <col min="11797" max="11797" width="40.5703125" style="1792" customWidth="1"/>
    <col min="11798" max="11815" width="18.140625" style="1792" customWidth="1"/>
    <col min="11816" max="11816" width="35.5703125" style="1792" customWidth="1"/>
    <col min="11817" max="11817" width="1.5703125" style="1792" customWidth="1"/>
    <col min="11818" max="11818" width="1.42578125" style="1792" customWidth="1"/>
    <col min="11819" max="11819" width="1.28515625" style="1792" customWidth="1"/>
    <col min="11820" max="11820" width="0.85546875" style="1792" customWidth="1"/>
    <col min="11821" max="11821" width="3" style="1792" customWidth="1"/>
    <col min="11822" max="11822" width="0" style="1792" hidden="1"/>
    <col min="11823" max="11823" width="11.42578125" style="1792" customWidth="1"/>
    <col min="11824" max="12045" width="0" style="1792" hidden="1"/>
    <col min="12046" max="12047" width="3" style="1792" customWidth="1"/>
    <col min="12048" max="12048" width="1.5703125" style="1792" customWidth="1"/>
    <col min="12049" max="12049" width="1.28515625" style="1792" customWidth="1"/>
    <col min="12050" max="12050" width="1.42578125" style="1792" customWidth="1"/>
    <col min="12051" max="12051" width="1.140625" style="1792" customWidth="1"/>
    <col min="12052" max="12052" width="1.5703125" style="1792" customWidth="1"/>
    <col min="12053" max="12053" width="40.5703125" style="1792" customWidth="1"/>
    <col min="12054" max="12071" width="18.140625" style="1792" customWidth="1"/>
    <col min="12072" max="12072" width="35.5703125" style="1792" customWidth="1"/>
    <col min="12073" max="12073" width="1.5703125" style="1792" customWidth="1"/>
    <col min="12074" max="12074" width="1.42578125" style="1792" customWidth="1"/>
    <col min="12075" max="12075" width="1.28515625" style="1792" customWidth="1"/>
    <col min="12076" max="12076" width="0.85546875" style="1792" customWidth="1"/>
    <col min="12077" max="12077" width="3" style="1792" customWidth="1"/>
    <col min="12078" max="12078" width="0" style="1792" hidden="1"/>
    <col min="12079" max="12079" width="11.42578125" style="1792" customWidth="1"/>
    <col min="12080" max="12301" width="0" style="1792" hidden="1"/>
    <col min="12302" max="12303" width="3" style="1792" customWidth="1"/>
    <col min="12304" max="12304" width="1.5703125" style="1792" customWidth="1"/>
    <col min="12305" max="12305" width="1.28515625" style="1792" customWidth="1"/>
    <col min="12306" max="12306" width="1.42578125" style="1792" customWidth="1"/>
    <col min="12307" max="12307" width="1.140625" style="1792" customWidth="1"/>
    <col min="12308" max="12308" width="1.5703125" style="1792" customWidth="1"/>
    <col min="12309" max="12309" width="40.5703125" style="1792" customWidth="1"/>
    <col min="12310" max="12327" width="18.140625" style="1792" customWidth="1"/>
    <col min="12328" max="12328" width="35.5703125" style="1792" customWidth="1"/>
    <col min="12329" max="12329" width="1.5703125" style="1792" customWidth="1"/>
    <col min="12330" max="12330" width="1.42578125" style="1792" customWidth="1"/>
    <col min="12331" max="12331" width="1.28515625" style="1792" customWidth="1"/>
    <col min="12332" max="12332" width="0.85546875" style="1792" customWidth="1"/>
    <col min="12333" max="12333" width="3" style="1792" customWidth="1"/>
    <col min="12334" max="12334" width="0" style="1792" hidden="1"/>
    <col min="12335" max="12335" width="11.42578125" style="1792" customWidth="1"/>
    <col min="12336" max="12557" width="0" style="1792" hidden="1"/>
    <col min="12558" max="12559" width="3" style="1792" customWidth="1"/>
    <col min="12560" max="12560" width="1.5703125" style="1792" customWidth="1"/>
    <col min="12561" max="12561" width="1.28515625" style="1792" customWidth="1"/>
    <col min="12562" max="12562" width="1.42578125" style="1792" customWidth="1"/>
    <col min="12563" max="12563" width="1.140625" style="1792" customWidth="1"/>
    <col min="12564" max="12564" width="1.5703125" style="1792" customWidth="1"/>
    <col min="12565" max="12565" width="40.5703125" style="1792" customWidth="1"/>
    <col min="12566" max="12583" width="18.140625" style="1792" customWidth="1"/>
    <col min="12584" max="12584" width="35.5703125" style="1792" customWidth="1"/>
    <col min="12585" max="12585" width="1.5703125" style="1792" customWidth="1"/>
    <col min="12586" max="12586" width="1.42578125" style="1792" customWidth="1"/>
    <col min="12587" max="12587" width="1.28515625" style="1792" customWidth="1"/>
    <col min="12588" max="12588" width="0.85546875" style="1792" customWidth="1"/>
    <col min="12589" max="12589" width="3" style="1792" customWidth="1"/>
    <col min="12590" max="12590" width="0" style="1792" hidden="1"/>
    <col min="12591" max="12591" width="11.42578125" style="1792" customWidth="1"/>
    <col min="12592" max="12813" width="0" style="1792" hidden="1"/>
    <col min="12814" max="12815" width="3" style="1792" customWidth="1"/>
    <col min="12816" max="12816" width="1.5703125" style="1792" customWidth="1"/>
    <col min="12817" max="12817" width="1.28515625" style="1792" customWidth="1"/>
    <col min="12818" max="12818" width="1.42578125" style="1792" customWidth="1"/>
    <col min="12819" max="12819" width="1.140625" style="1792" customWidth="1"/>
    <col min="12820" max="12820" width="1.5703125" style="1792" customWidth="1"/>
    <col min="12821" max="12821" width="40.5703125" style="1792" customWidth="1"/>
    <col min="12822" max="12839" width="18.140625" style="1792" customWidth="1"/>
    <col min="12840" max="12840" width="35.5703125" style="1792" customWidth="1"/>
    <col min="12841" max="12841" width="1.5703125" style="1792" customWidth="1"/>
    <col min="12842" max="12842" width="1.42578125" style="1792" customWidth="1"/>
    <col min="12843" max="12843" width="1.28515625" style="1792" customWidth="1"/>
    <col min="12844" max="12844" width="0.85546875" style="1792" customWidth="1"/>
    <col min="12845" max="12845" width="3" style="1792" customWidth="1"/>
    <col min="12846" max="12846" width="0" style="1792" hidden="1"/>
    <col min="12847" max="12847" width="11.42578125" style="1792" customWidth="1"/>
    <col min="12848" max="13069" width="0" style="1792" hidden="1"/>
    <col min="13070" max="13071" width="3" style="1792" customWidth="1"/>
    <col min="13072" max="13072" width="1.5703125" style="1792" customWidth="1"/>
    <col min="13073" max="13073" width="1.28515625" style="1792" customWidth="1"/>
    <col min="13074" max="13074" width="1.42578125" style="1792" customWidth="1"/>
    <col min="13075" max="13075" width="1.140625" style="1792" customWidth="1"/>
    <col min="13076" max="13076" width="1.5703125" style="1792" customWidth="1"/>
    <col min="13077" max="13077" width="40.5703125" style="1792" customWidth="1"/>
    <col min="13078" max="13095" width="18.140625" style="1792" customWidth="1"/>
    <col min="13096" max="13096" width="35.5703125" style="1792" customWidth="1"/>
    <col min="13097" max="13097" width="1.5703125" style="1792" customWidth="1"/>
    <col min="13098" max="13098" width="1.42578125" style="1792" customWidth="1"/>
    <col min="13099" max="13099" width="1.28515625" style="1792" customWidth="1"/>
    <col min="13100" max="13100" width="0.85546875" style="1792" customWidth="1"/>
    <col min="13101" max="13101" width="3" style="1792" customWidth="1"/>
    <col min="13102" max="13102" width="0" style="1792" hidden="1"/>
    <col min="13103" max="13103" width="11.42578125" style="1792" customWidth="1"/>
    <col min="13104" max="13325" width="0" style="1792" hidden="1"/>
    <col min="13326" max="13327" width="3" style="1792" customWidth="1"/>
    <col min="13328" max="13328" width="1.5703125" style="1792" customWidth="1"/>
    <col min="13329" max="13329" width="1.28515625" style="1792" customWidth="1"/>
    <col min="13330" max="13330" width="1.42578125" style="1792" customWidth="1"/>
    <col min="13331" max="13331" width="1.140625" style="1792" customWidth="1"/>
    <col min="13332" max="13332" width="1.5703125" style="1792" customWidth="1"/>
    <col min="13333" max="13333" width="40.5703125" style="1792" customWidth="1"/>
    <col min="13334" max="13351" width="18.140625" style="1792" customWidth="1"/>
    <col min="13352" max="13352" width="35.5703125" style="1792" customWidth="1"/>
    <col min="13353" max="13353" width="1.5703125" style="1792" customWidth="1"/>
    <col min="13354" max="13354" width="1.42578125" style="1792" customWidth="1"/>
    <col min="13355" max="13355" width="1.28515625" style="1792" customWidth="1"/>
    <col min="13356" max="13356" width="0.85546875" style="1792" customWidth="1"/>
    <col min="13357" max="13357" width="3" style="1792" customWidth="1"/>
    <col min="13358" max="13358" width="0" style="1792" hidden="1"/>
    <col min="13359" max="13359" width="11.42578125" style="1792" customWidth="1"/>
    <col min="13360" max="13581" width="0" style="1792" hidden="1"/>
    <col min="13582" max="13583" width="3" style="1792" customWidth="1"/>
    <col min="13584" max="13584" width="1.5703125" style="1792" customWidth="1"/>
    <col min="13585" max="13585" width="1.28515625" style="1792" customWidth="1"/>
    <col min="13586" max="13586" width="1.42578125" style="1792" customWidth="1"/>
    <col min="13587" max="13587" width="1.140625" style="1792" customWidth="1"/>
    <col min="13588" max="13588" width="1.5703125" style="1792" customWidth="1"/>
    <col min="13589" max="13589" width="40.5703125" style="1792" customWidth="1"/>
    <col min="13590" max="13607" width="18.140625" style="1792" customWidth="1"/>
    <col min="13608" max="13608" width="35.5703125" style="1792" customWidth="1"/>
    <col min="13609" max="13609" width="1.5703125" style="1792" customWidth="1"/>
    <col min="13610" max="13610" width="1.42578125" style="1792" customWidth="1"/>
    <col min="13611" max="13611" width="1.28515625" style="1792" customWidth="1"/>
    <col min="13612" max="13612" width="0.85546875" style="1792" customWidth="1"/>
    <col min="13613" max="13613" width="3" style="1792" customWidth="1"/>
    <col min="13614" max="13614" width="0" style="1792" hidden="1"/>
    <col min="13615" max="13615" width="11.42578125" style="1792" customWidth="1"/>
    <col min="13616" max="13837" width="0" style="1792" hidden="1"/>
    <col min="13838" max="13839" width="3" style="1792" customWidth="1"/>
    <col min="13840" max="13840" width="1.5703125" style="1792" customWidth="1"/>
    <col min="13841" max="13841" width="1.28515625" style="1792" customWidth="1"/>
    <col min="13842" max="13842" width="1.42578125" style="1792" customWidth="1"/>
    <col min="13843" max="13843" width="1.140625" style="1792" customWidth="1"/>
    <col min="13844" max="13844" width="1.5703125" style="1792" customWidth="1"/>
    <col min="13845" max="13845" width="40.5703125" style="1792" customWidth="1"/>
    <col min="13846" max="13863" width="18.140625" style="1792" customWidth="1"/>
    <col min="13864" max="13864" width="35.5703125" style="1792" customWidth="1"/>
    <col min="13865" max="13865" width="1.5703125" style="1792" customWidth="1"/>
    <col min="13866" max="13866" width="1.42578125" style="1792" customWidth="1"/>
    <col min="13867" max="13867" width="1.28515625" style="1792" customWidth="1"/>
    <col min="13868" max="13868" width="0.85546875" style="1792" customWidth="1"/>
    <col min="13869" max="13869" width="3" style="1792" customWidth="1"/>
    <col min="13870" max="13870" width="0" style="1792" hidden="1"/>
    <col min="13871" max="13871" width="11.42578125" style="1792" customWidth="1"/>
    <col min="13872" max="14093" width="0" style="1792" hidden="1"/>
    <col min="14094" max="14095" width="3" style="1792" customWidth="1"/>
    <col min="14096" max="14096" width="1.5703125" style="1792" customWidth="1"/>
    <col min="14097" max="14097" width="1.28515625" style="1792" customWidth="1"/>
    <col min="14098" max="14098" width="1.42578125" style="1792" customWidth="1"/>
    <col min="14099" max="14099" width="1.140625" style="1792" customWidth="1"/>
    <col min="14100" max="14100" width="1.5703125" style="1792" customWidth="1"/>
    <col min="14101" max="14101" width="40.5703125" style="1792" customWidth="1"/>
    <col min="14102" max="14119" width="18.140625" style="1792" customWidth="1"/>
    <col min="14120" max="14120" width="35.5703125" style="1792" customWidth="1"/>
    <col min="14121" max="14121" width="1.5703125" style="1792" customWidth="1"/>
    <col min="14122" max="14122" width="1.42578125" style="1792" customWidth="1"/>
    <col min="14123" max="14123" width="1.28515625" style="1792" customWidth="1"/>
    <col min="14124" max="14124" width="0.85546875" style="1792" customWidth="1"/>
    <col min="14125" max="14125" width="3" style="1792" customWidth="1"/>
    <col min="14126" max="14126" width="0" style="1792" hidden="1"/>
    <col min="14127" max="14127" width="11.42578125" style="1792" customWidth="1"/>
    <col min="14128" max="14349" width="0" style="1792" hidden="1"/>
    <col min="14350" max="14351" width="3" style="1792" customWidth="1"/>
    <col min="14352" max="14352" width="1.5703125" style="1792" customWidth="1"/>
    <col min="14353" max="14353" width="1.28515625" style="1792" customWidth="1"/>
    <col min="14354" max="14354" width="1.42578125" style="1792" customWidth="1"/>
    <col min="14355" max="14355" width="1.140625" style="1792" customWidth="1"/>
    <col min="14356" max="14356" width="1.5703125" style="1792" customWidth="1"/>
    <col min="14357" max="14357" width="40.5703125" style="1792" customWidth="1"/>
    <col min="14358" max="14375" width="18.140625" style="1792" customWidth="1"/>
    <col min="14376" max="14376" width="35.5703125" style="1792" customWidth="1"/>
    <col min="14377" max="14377" width="1.5703125" style="1792" customWidth="1"/>
    <col min="14378" max="14378" width="1.42578125" style="1792" customWidth="1"/>
    <col min="14379" max="14379" width="1.28515625" style="1792" customWidth="1"/>
    <col min="14380" max="14380" width="0.85546875" style="1792" customWidth="1"/>
    <col min="14381" max="14381" width="3" style="1792" customWidth="1"/>
    <col min="14382" max="14382" width="0" style="1792" hidden="1"/>
    <col min="14383" max="14383" width="11.42578125" style="1792" customWidth="1"/>
    <col min="14384" max="14605" width="0" style="1792" hidden="1"/>
    <col min="14606" max="14607" width="3" style="1792" customWidth="1"/>
    <col min="14608" max="14608" width="1.5703125" style="1792" customWidth="1"/>
    <col min="14609" max="14609" width="1.28515625" style="1792" customWidth="1"/>
    <col min="14610" max="14610" width="1.42578125" style="1792" customWidth="1"/>
    <col min="14611" max="14611" width="1.140625" style="1792" customWidth="1"/>
    <col min="14612" max="14612" width="1.5703125" style="1792" customWidth="1"/>
    <col min="14613" max="14613" width="40.5703125" style="1792" customWidth="1"/>
    <col min="14614" max="14631" width="18.140625" style="1792" customWidth="1"/>
    <col min="14632" max="14632" width="35.5703125" style="1792" customWidth="1"/>
    <col min="14633" max="14633" width="1.5703125" style="1792" customWidth="1"/>
    <col min="14634" max="14634" width="1.42578125" style="1792" customWidth="1"/>
    <col min="14635" max="14635" width="1.28515625" style="1792" customWidth="1"/>
    <col min="14636" max="14636" width="0.85546875" style="1792" customWidth="1"/>
    <col min="14637" max="14637" width="3" style="1792" customWidth="1"/>
    <col min="14638" max="14638" width="0" style="1792" hidden="1"/>
    <col min="14639" max="14639" width="11.42578125" style="1792" customWidth="1"/>
    <col min="14640" max="14861" width="0" style="1792" hidden="1"/>
    <col min="14862" max="14863" width="3" style="1792" customWidth="1"/>
    <col min="14864" max="14864" width="1.5703125" style="1792" customWidth="1"/>
    <col min="14865" max="14865" width="1.28515625" style="1792" customWidth="1"/>
    <col min="14866" max="14866" width="1.42578125" style="1792" customWidth="1"/>
    <col min="14867" max="14867" width="1.140625" style="1792" customWidth="1"/>
    <col min="14868" max="14868" width="1.5703125" style="1792" customWidth="1"/>
    <col min="14869" max="14869" width="40.5703125" style="1792" customWidth="1"/>
    <col min="14870" max="14887" width="18.140625" style="1792" customWidth="1"/>
    <col min="14888" max="14888" width="35.5703125" style="1792" customWidth="1"/>
    <col min="14889" max="14889" width="1.5703125" style="1792" customWidth="1"/>
    <col min="14890" max="14890" width="1.42578125" style="1792" customWidth="1"/>
    <col min="14891" max="14891" width="1.28515625" style="1792" customWidth="1"/>
    <col min="14892" max="14892" width="0.85546875" style="1792" customWidth="1"/>
    <col min="14893" max="14893" width="3" style="1792" customWidth="1"/>
    <col min="14894" max="14894" width="0" style="1792" hidden="1"/>
    <col min="14895" max="14895" width="11.42578125" style="1792" customWidth="1"/>
    <col min="14896" max="15117" width="0" style="1792" hidden="1"/>
    <col min="15118" max="15119" width="3" style="1792" customWidth="1"/>
    <col min="15120" max="15120" width="1.5703125" style="1792" customWidth="1"/>
    <col min="15121" max="15121" width="1.28515625" style="1792" customWidth="1"/>
    <col min="15122" max="15122" width="1.42578125" style="1792" customWidth="1"/>
    <col min="15123" max="15123" width="1.140625" style="1792" customWidth="1"/>
    <col min="15124" max="15124" width="1.5703125" style="1792" customWidth="1"/>
    <col min="15125" max="15125" width="40.5703125" style="1792" customWidth="1"/>
    <col min="15126" max="15143" width="18.140625" style="1792" customWidth="1"/>
    <col min="15144" max="15144" width="35.5703125" style="1792" customWidth="1"/>
    <col min="15145" max="15145" width="1.5703125" style="1792" customWidth="1"/>
    <col min="15146" max="15146" width="1.42578125" style="1792" customWidth="1"/>
    <col min="15147" max="15147" width="1.28515625" style="1792" customWidth="1"/>
    <col min="15148" max="15148" width="0.85546875" style="1792" customWidth="1"/>
    <col min="15149" max="15149" width="3" style="1792" customWidth="1"/>
    <col min="15150" max="15150" width="0" style="1792" hidden="1"/>
    <col min="15151" max="15151" width="11.42578125" style="1792" customWidth="1"/>
    <col min="15152" max="15373" width="0" style="1792" hidden="1"/>
    <col min="15374" max="15375" width="3" style="1792" customWidth="1"/>
    <col min="15376" max="15376" width="1.5703125" style="1792" customWidth="1"/>
    <col min="15377" max="15377" width="1.28515625" style="1792" customWidth="1"/>
    <col min="15378" max="15378" width="1.42578125" style="1792" customWidth="1"/>
    <col min="15379" max="15379" width="1.140625" style="1792" customWidth="1"/>
    <col min="15380" max="15380" width="1.5703125" style="1792" customWidth="1"/>
    <col min="15381" max="15381" width="40.5703125" style="1792" customWidth="1"/>
    <col min="15382" max="15399" width="18.140625" style="1792" customWidth="1"/>
    <col min="15400" max="15400" width="35.5703125" style="1792" customWidth="1"/>
    <col min="15401" max="15401" width="1.5703125" style="1792" customWidth="1"/>
    <col min="15402" max="15402" width="1.42578125" style="1792" customWidth="1"/>
    <col min="15403" max="15403" width="1.28515625" style="1792" customWidth="1"/>
    <col min="15404" max="15404" width="0.85546875" style="1792" customWidth="1"/>
    <col min="15405" max="15405" width="3" style="1792" customWidth="1"/>
    <col min="15406" max="15406" width="0" style="1792" hidden="1"/>
    <col min="15407" max="15407" width="11.42578125" style="1792" customWidth="1"/>
    <col min="15408" max="15629" width="0" style="1792" hidden="1"/>
    <col min="15630" max="15631" width="3" style="1792" customWidth="1"/>
    <col min="15632" max="15632" width="1.5703125" style="1792" customWidth="1"/>
    <col min="15633" max="15633" width="1.28515625" style="1792" customWidth="1"/>
    <col min="15634" max="15634" width="1.42578125" style="1792" customWidth="1"/>
    <col min="15635" max="15635" width="1.140625" style="1792" customWidth="1"/>
    <col min="15636" max="15636" width="1.5703125" style="1792" customWidth="1"/>
    <col min="15637" max="15637" width="40.5703125" style="1792" customWidth="1"/>
    <col min="15638" max="15655" width="18.140625" style="1792" customWidth="1"/>
    <col min="15656" max="15656" width="35.5703125" style="1792" customWidth="1"/>
    <col min="15657" max="15657" width="1.5703125" style="1792" customWidth="1"/>
    <col min="15658" max="15658" width="1.42578125" style="1792" customWidth="1"/>
    <col min="15659" max="15659" width="1.28515625" style="1792" customWidth="1"/>
    <col min="15660" max="15660" width="0.85546875" style="1792" customWidth="1"/>
    <col min="15661" max="15661" width="3" style="1792" customWidth="1"/>
    <col min="15662" max="15662" width="0" style="1792" hidden="1"/>
    <col min="15663" max="15663" width="11.42578125" style="1792" customWidth="1"/>
    <col min="15664" max="15885" width="0" style="1792" hidden="1"/>
    <col min="15886" max="15887" width="3" style="1792" customWidth="1"/>
    <col min="15888" max="15888" width="1.5703125" style="1792" customWidth="1"/>
    <col min="15889" max="15889" width="1.28515625" style="1792" customWidth="1"/>
    <col min="15890" max="15890" width="1.42578125" style="1792" customWidth="1"/>
    <col min="15891" max="15891" width="1.140625" style="1792" customWidth="1"/>
    <col min="15892" max="15892" width="1.5703125" style="1792" customWidth="1"/>
    <col min="15893" max="15893" width="40.5703125" style="1792" customWidth="1"/>
    <col min="15894" max="15911" width="18.140625" style="1792" customWidth="1"/>
    <col min="15912" max="15912" width="35.5703125" style="1792" customWidth="1"/>
    <col min="15913" max="15913" width="1.5703125" style="1792" customWidth="1"/>
    <col min="15914" max="15914" width="1.42578125" style="1792" customWidth="1"/>
    <col min="15915" max="15915" width="1.28515625" style="1792" customWidth="1"/>
    <col min="15916" max="15916" width="0.85546875" style="1792" customWidth="1"/>
    <col min="15917" max="15917" width="3" style="1792" customWidth="1"/>
    <col min="15918" max="15918" width="0" style="1792" hidden="1"/>
    <col min="15919" max="15919" width="11.42578125" style="1792" customWidth="1"/>
    <col min="15920" max="16141" width="0" style="1792" hidden="1"/>
    <col min="16142" max="16143" width="3" style="1792" customWidth="1"/>
    <col min="16144" max="16144" width="1.5703125" style="1792" customWidth="1"/>
    <col min="16145" max="16145" width="1.28515625" style="1792" customWidth="1"/>
    <col min="16146" max="16146" width="1.42578125" style="1792" customWidth="1"/>
    <col min="16147" max="16147" width="1.140625" style="1792" customWidth="1"/>
    <col min="16148" max="16148" width="1.5703125" style="1792" customWidth="1"/>
    <col min="16149" max="16149" width="40.5703125" style="1792" customWidth="1"/>
    <col min="16150" max="16167" width="18.140625" style="1792" customWidth="1"/>
    <col min="16168" max="16168" width="35.5703125" style="1792" customWidth="1"/>
    <col min="16169" max="16169" width="1.5703125" style="1792" customWidth="1"/>
    <col min="16170" max="16170" width="1.42578125" style="1792" customWidth="1"/>
    <col min="16171" max="16171" width="1.28515625" style="1792" customWidth="1"/>
    <col min="16172" max="16172" width="0.85546875" style="1792" customWidth="1"/>
    <col min="16173" max="16173" width="3" style="1792" customWidth="1"/>
    <col min="16174" max="16174" width="0" style="1792" hidden="1"/>
    <col min="16175" max="16175" width="11.42578125" style="1792" customWidth="1"/>
    <col min="16176" max="16384" width="0" style="1792" hidden="1"/>
  </cols>
  <sheetData>
    <row r="1" spans="13:45" ht="35.1" customHeight="1">
      <c r="M1" s="4856" t="s">
        <v>2920</v>
      </c>
      <c r="N1" s="4856"/>
      <c r="O1" s="4856"/>
      <c r="P1" s="4856"/>
      <c r="Q1" s="4856"/>
      <c r="R1" s="4856"/>
      <c r="S1" s="4856"/>
      <c r="T1" s="4856"/>
      <c r="U1" s="4856"/>
      <c r="V1" s="4856"/>
      <c r="W1" s="4856"/>
      <c r="X1" s="4856"/>
      <c r="Y1" s="4856"/>
      <c r="Z1" s="4856"/>
      <c r="AA1" s="4856"/>
      <c r="AB1" s="4856"/>
      <c r="AC1" s="4856"/>
      <c r="AD1" s="4856" t="s">
        <v>2921</v>
      </c>
      <c r="AE1" s="4856"/>
      <c r="AF1" s="4856"/>
      <c r="AG1" s="4856"/>
      <c r="AH1" s="4856"/>
      <c r="AI1" s="4856"/>
      <c r="AJ1" s="4856"/>
      <c r="AK1" s="4856"/>
      <c r="AL1" s="4856"/>
      <c r="AM1" s="4856"/>
      <c r="AN1" s="4856"/>
      <c r="AO1" s="4856"/>
      <c r="AP1" s="4856"/>
      <c r="AQ1" s="4856"/>
      <c r="AR1" s="4856"/>
      <c r="AS1" s="4856"/>
    </row>
    <row r="2" spans="13:45" ht="35.1" customHeight="1">
      <c r="M2" s="4713" t="s">
        <v>2922</v>
      </c>
      <c r="N2" s="4713"/>
      <c r="O2" s="4713"/>
      <c r="P2" s="4713"/>
      <c r="Q2" s="4713"/>
      <c r="R2" s="4713"/>
      <c r="S2" s="4713"/>
      <c r="T2" s="4713"/>
      <c r="U2" s="4713"/>
      <c r="V2" s="4713"/>
      <c r="W2" s="4713"/>
      <c r="X2" s="4713"/>
      <c r="Y2" s="4713"/>
      <c r="Z2" s="4713"/>
      <c r="AA2" s="4713"/>
      <c r="AB2" s="4713"/>
      <c r="AC2" s="4713"/>
      <c r="AD2" s="4713" t="s">
        <v>2923</v>
      </c>
      <c r="AE2" s="4713"/>
      <c r="AF2" s="4713"/>
      <c r="AG2" s="4713"/>
      <c r="AH2" s="4713"/>
      <c r="AI2" s="4713"/>
      <c r="AJ2" s="4713"/>
      <c r="AK2" s="4713"/>
      <c r="AL2" s="4713"/>
      <c r="AM2" s="4713"/>
      <c r="AN2" s="4713"/>
      <c r="AO2" s="4713"/>
      <c r="AP2" s="4713"/>
      <c r="AQ2" s="4713"/>
      <c r="AR2" s="4713"/>
      <c r="AS2" s="4713"/>
    </row>
    <row r="3" spans="13:45" ht="18" customHeight="1">
      <c r="M3" s="3050" t="s">
        <v>545</v>
      </c>
      <c r="N3" s="3051"/>
      <c r="O3" s="1318"/>
      <c r="P3" s="1318"/>
      <c r="Q3" s="1318"/>
      <c r="R3" s="1318"/>
      <c r="S3" s="1318"/>
      <c r="T3" s="1318"/>
      <c r="U3" s="1318"/>
      <c r="V3" s="1318"/>
      <c r="W3" s="1318"/>
      <c r="X3" s="1318"/>
      <c r="Y3" s="1318"/>
      <c r="Z3" s="1318"/>
      <c r="AA3" s="3119"/>
      <c r="AB3" s="1318"/>
      <c r="AC3" s="3119"/>
      <c r="AD3" s="3052"/>
      <c r="AE3" s="3052"/>
      <c r="AF3" s="3052"/>
      <c r="AG3" s="3052"/>
      <c r="AH3" s="3052"/>
      <c r="AI3" s="3052"/>
      <c r="AJ3" s="1318"/>
      <c r="AK3" s="1318"/>
      <c r="AL3" s="3119"/>
      <c r="AM3" s="3119"/>
      <c r="AN3" s="3054"/>
      <c r="AO3" s="3054"/>
      <c r="AP3" s="3054"/>
      <c r="AQ3" s="3054"/>
      <c r="AR3" s="2544"/>
      <c r="AS3" s="1323" t="s">
        <v>1185</v>
      </c>
    </row>
    <row r="4" spans="13:45" ht="5.25" hidden="1" customHeight="1">
      <c r="M4" s="1176"/>
      <c r="N4" s="1176"/>
      <c r="O4" s="1176"/>
      <c r="P4" s="1176"/>
      <c r="Q4" s="1176"/>
      <c r="R4" s="1176"/>
      <c r="S4" s="1176"/>
      <c r="T4" s="1176"/>
      <c r="U4" s="1482"/>
      <c r="V4" s="1482"/>
      <c r="W4" s="1482"/>
      <c r="X4" s="1482"/>
      <c r="Y4" s="1482"/>
      <c r="Z4" s="1482"/>
      <c r="AA4" s="1176"/>
      <c r="AB4" s="1482"/>
      <c r="AC4" s="1176"/>
      <c r="AD4" s="1176"/>
      <c r="AE4" s="1176"/>
      <c r="AF4" s="1176"/>
      <c r="AG4" s="1176"/>
      <c r="AH4" s="1176"/>
      <c r="AI4" s="1176"/>
      <c r="AJ4" s="3120"/>
      <c r="AK4" s="3120"/>
      <c r="AL4" s="3121"/>
      <c r="AM4" s="3121"/>
      <c r="AN4" s="1482"/>
      <c r="AO4" s="1482"/>
      <c r="AP4" s="1482"/>
      <c r="AQ4" s="1482"/>
      <c r="AR4" s="1176"/>
      <c r="AS4" s="1176"/>
    </row>
    <row r="5" spans="13:45" ht="6" customHeight="1">
      <c r="M5" s="1176"/>
      <c r="N5" s="1176"/>
      <c r="O5" s="1176"/>
      <c r="P5" s="1176"/>
      <c r="Q5" s="1176"/>
      <c r="R5" s="1176"/>
      <c r="S5" s="1176"/>
      <c r="T5" s="1176"/>
      <c r="U5" s="1482"/>
      <c r="V5" s="1482"/>
      <c r="W5" s="1482"/>
      <c r="X5" s="1482"/>
      <c r="Y5" s="1482"/>
      <c r="Z5" s="1482"/>
      <c r="AA5" s="1176"/>
      <c r="AB5" s="1482"/>
      <c r="AC5" s="1176"/>
      <c r="AD5" s="1176"/>
      <c r="AE5" s="1176"/>
      <c r="AF5" s="1176"/>
      <c r="AG5" s="1176"/>
      <c r="AH5" s="1176"/>
      <c r="AI5" s="1176"/>
      <c r="AJ5" s="3120"/>
      <c r="AK5" s="3120"/>
      <c r="AL5" s="3121"/>
      <c r="AM5" s="3121"/>
      <c r="AN5" s="1482"/>
      <c r="AO5" s="1482"/>
      <c r="AP5" s="1482"/>
      <c r="AQ5" s="1482"/>
      <c r="AR5" s="1176"/>
      <c r="AS5" s="1176"/>
    </row>
    <row r="6" spans="13:45" ht="21.2" customHeight="1">
      <c r="M6" s="1991"/>
      <c r="N6" s="1992"/>
      <c r="O6" s="1992"/>
      <c r="P6" s="1992"/>
      <c r="Q6" s="1992"/>
      <c r="R6" s="1992"/>
      <c r="S6" s="1992"/>
      <c r="T6" s="1992"/>
      <c r="U6" s="2182"/>
      <c r="V6" s="4925" t="s">
        <v>2748</v>
      </c>
      <c r="W6" s="4925" t="s">
        <v>2618</v>
      </c>
      <c r="X6" s="4925" t="s">
        <v>2613</v>
      </c>
      <c r="Y6" s="4925" t="s">
        <v>2563</v>
      </c>
      <c r="Z6" s="4767" t="s">
        <v>1186</v>
      </c>
      <c r="AA6" s="4767" t="s">
        <v>1187</v>
      </c>
      <c r="AB6" s="4767">
        <v>2011</v>
      </c>
      <c r="AC6" s="4770">
        <v>2010</v>
      </c>
      <c r="AD6" s="4686">
        <v>2009</v>
      </c>
      <c r="AE6" s="4686">
        <v>2008</v>
      </c>
      <c r="AF6" s="4686">
        <v>2007</v>
      </c>
      <c r="AG6" s="4686">
        <v>2006</v>
      </c>
      <c r="AH6" s="4767">
        <v>2005</v>
      </c>
      <c r="AI6" s="4767">
        <v>2004</v>
      </c>
      <c r="AJ6" s="4767">
        <v>2003</v>
      </c>
      <c r="AK6" s="4767">
        <v>2002</v>
      </c>
      <c r="AL6" s="4767">
        <v>2001</v>
      </c>
      <c r="AM6" s="4767">
        <v>2000</v>
      </c>
      <c r="AN6" s="1994"/>
      <c r="AO6" s="1992"/>
      <c r="AP6" s="1992"/>
      <c r="AQ6" s="1992"/>
      <c r="AR6" s="1992"/>
      <c r="AS6" s="3122"/>
    </row>
    <row r="7" spans="13:45" ht="21.2" customHeight="1">
      <c r="M7" s="2316"/>
      <c r="N7" s="1283"/>
      <c r="O7" s="1283"/>
      <c r="P7" s="1283"/>
      <c r="Q7" s="1283"/>
      <c r="R7" s="1283"/>
      <c r="S7" s="1283"/>
      <c r="T7" s="1283"/>
      <c r="U7" s="3123"/>
      <c r="V7" s="4682"/>
      <c r="W7" s="4682"/>
      <c r="X7" s="4682"/>
      <c r="Y7" s="4682"/>
      <c r="Z7" s="4682"/>
      <c r="AA7" s="4682"/>
      <c r="AB7" s="4682"/>
      <c r="AC7" s="4683"/>
      <c r="AD7" s="4685"/>
      <c r="AE7" s="4685"/>
      <c r="AF7" s="4685"/>
      <c r="AG7" s="4685"/>
      <c r="AH7" s="4682"/>
      <c r="AI7" s="4682"/>
      <c r="AJ7" s="4682"/>
      <c r="AK7" s="4682"/>
      <c r="AL7" s="4682"/>
      <c r="AM7" s="4682"/>
      <c r="AN7" s="2293"/>
      <c r="AO7" s="1283"/>
      <c r="AP7" s="1283"/>
      <c r="AQ7" s="1283"/>
      <c r="AR7" s="1283"/>
      <c r="AS7" s="3124"/>
    </row>
    <row r="8" spans="13:45" ht="21.2" customHeight="1">
      <c r="M8" s="2316"/>
      <c r="N8" s="1283"/>
      <c r="O8" s="1283"/>
      <c r="P8" s="1283"/>
      <c r="Q8" s="1283"/>
      <c r="R8" s="1283"/>
      <c r="S8" s="1283"/>
      <c r="T8" s="1283"/>
      <c r="U8" s="3123"/>
      <c r="V8" s="4682"/>
      <c r="W8" s="4682"/>
      <c r="X8" s="4682"/>
      <c r="Y8" s="4682"/>
      <c r="Z8" s="4682"/>
      <c r="AA8" s="4682"/>
      <c r="AB8" s="4682"/>
      <c r="AC8" s="4683"/>
      <c r="AD8" s="4685"/>
      <c r="AE8" s="4685"/>
      <c r="AF8" s="4685"/>
      <c r="AG8" s="4685"/>
      <c r="AH8" s="4682"/>
      <c r="AI8" s="4682"/>
      <c r="AJ8" s="4682"/>
      <c r="AK8" s="4682"/>
      <c r="AL8" s="4682"/>
      <c r="AM8" s="4682"/>
      <c r="AN8" s="2293"/>
      <c r="AO8" s="1283"/>
      <c r="AP8" s="1283"/>
      <c r="AQ8" s="1283"/>
      <c r="AR8" s="1283"/>
      <c r="AS8" s="3124"/>
    </row>
    <row r="9" spans="13:45" ht="21.2" customHeight="1">
      <c r="M9" s="2316"/>
      <c r="N9" s="1283"/>
      <c r="O9" s="1283"/>
      <c r="P9" s="1283"/>
      <c r="Q9" s="1283"/>
      <c r="R9" s="1283"/>
      <c r="S9" s="1283"/>
      <c r="T9" s="1283"/>
      <c r="U9" s="3123"/>
      <c r="V9" s="4682"/>
      <c r="W9" s="4682"/>
      <c r="X9" s="4682"/>
      <c r="Y9" s="4682"/>
      <c r="Z9" s="4682"/>
      <c r="AA9" s="4682"/>
      <c r="AB9" s="4682"/>
      <c r="AC9" s="4683"/>
      <c r="AD9" s="4685"/>
      <c r="AE9" s="4685"/>
      <c r="AF9" s="4685"/>
      <c r="AG9" s="4685">
        <v>2006</v>
      </c>
      <c r="AH9" s="4682">
        <v>2005</v>
      </c>
      <c r="AI9" s="4682">
        <v>2004</v>
      </c>
      <c r="AJ9" s="4682">
        <v>2003</v>
      </c>
      <c r="AK9" s="4682">
        <v>2002</v>
      </c>
      <c r="AL9" s="4682"/>
      <c r="AM9" s="4682"/>
      <c r="AN9" s="2293"/>
      <c r="AO9" s="1283"/>
      <c r="AP9" s="1283"/>
      <c r="AQ9" s="1283"/>
      <c r="AR9" s="1283"/>
      <c r="AS9" s="3124"/>
    </row>
    <row r="10" spans="13:45" ht="21.2" customHeight="1">
      <c r="M10" s="3072"/>
      <c r="N10" s="1375"/>
      <c r="O10" s="1375"/>
      <c r="P10" s="1375"/>
      <c r="Q10" s="1375"/>
      <c r="R10" s="1375"/>
      <c r="S10" s="1375"/>
      <c r="T10" s="1375"/>
      <c r="U10" s="3125"/>
      <c r="V10" s="4769"/>
      <c r="W10" s="4769"/>
      <c r="X10" s="4769"/>
      <c r="Y10" s="4769"/>
      <c r="Z10" s="4769"/>
      <c r="AA10" s="4769"/>
      <c r="AB10" s="4769"/>
      <c r="AC10" s="4623"/>
      <c r="AD10" s="4679"/>
      <c r="AE10" s="4679"/>
      <c r="AF10" s="4679"/>
      <c r="AG10" s="4679"/>
      <c r="AH10" s="4769"/>
      <c r="AI10" s="4769"/>
      <c r="AJ10" s="4769"/>
      <c r="AK10" s="4769"/>
      <c r="AL10" s="4769"/>
      <c r="AM10" s="4769"/>
      <c r="AN10" s="2094"/>
      <c r="AO10" s="1772"/>
      <c r="AP10" s="1772"/>
      <c r="AQ10" s="1772"/>
      <c r="AR10" s="1375"/>
      <c r="AS10" s="3126"/>
    </row>
    <row r="11" spans="13:45" ht="28.35" customHeight="1">
      <c r="M11" s="2876" t="s">
        <v>1188</v>
      </c>
      <c r="N11" s="2872"/>
      <c r="O11" s="2877"/>
      <c r="P11" s="2872"/>
      <c r="Q11" s="2872"/>
      <c r="R11" s="2872"/>
      <c r="S11" s="2872"/>
      <c r="T11" s="2872"/>
      <c r="U11" s="2877"/>
      <c r="V11" s="1152">
        <v>2327</v>
      </c>
      <c r="W11" s="1152">
        <v>2375.6999999999998</v>
      </c>
      <c r="X11" s="1152">
        <v>1945.4</v>
      </c>
      <c r="Y11" s="1152">
        <v>1084.3000000000004</v>
      </c>
      <c r="Z11" s="1153">
        <v>1956.1000000000001</v>
      </c>
      <c r="AA11" s="1153">
        <v>3834</v>
      </c>
      <c r="AB11" s="1153">
        <v>2298.9000000000005</v>
      </c>
      <c r="AC11" s="1153">
        <v>799.40000000000009</v>
      </c>
      <c r="AD11" s="1153">
        <v>605.6</v>
      </c>
      <c r="AE11" s="1153">
        <v>1301.6999999999998</v>
      </c>
      <c r="AF11" s="1153">
        <v>1658.9</v>
      </c>
      <c r="AG11" s="1153">
        <v>1369.9</v>
      </c>
      <c r="AH11" s="1153">
        <v>1131.9000000000001</v>
      </c>
      <c r="AI11" s="1153">
        <v>-113.99999999999994</v>
      </c>
      <c r="AJ11" s="1153">
        <v>-912.39999999999986</v>
      </c>
      <c r="AK11" s="1153">
        <v>-261.90000000000003</v>
      </c>
      <c r="AL11" s="1153">
        <v>126.19999999999989</v>
      </c>
      <c r="AM11" s="3127">
        <v>-176.60000000000014</v>
      </c>
      <c r="AN11" s="2883"/>
      <c r="AO11" s="2883"/>
      <c r="AP11" s="2883"/>
      <c r="AQ11" s="2883"/>
      <c r="AR11" s="2883"/>
      <c r="AS11" s="2903" t="s">
        <v>1189</v>
      </c>
    </row>
    <row r="12" spans="13:45" ht="28.35" customHeight="1">
      <c r="M12" s="2921"/>
      <c r="N12" s="2470" t="s">
        <v>1110</v>
      </c>
      <c r="O12" s="2470"/>
      <c r="P12" s="2470"/>
      <c r="Q12" s="2470"/>
      <c r="R12" s="2470"/>
      <c r="S12" s="2470"/>
      <c r="T12" s="2470"/>
      <c r="U12" s="2470"/>
      <c r="V12" s="1755">
        <v>30</v>
      </c>
      <c r="W12" s="1755">
        <v>53</v>
      </c>
      <c r="X12" s="1755">
        <v>80</v>
      </c>
      <c r="Y12" s="1755">
        <v>58.3</v>
      </c>
      <c r="Z12" s="1752">
        <v>45.7</v>
      </c>
      <c r="AA12" s="1752">
        <v>1.7999999999999998</v>
      </c>
      <c r="AB12" s="1752">
        <v>0</v>
      </c>
      <c r="AC12" s="1752">
        <v>0.2</v>
      </c>
      <c r="AD12" s="1752">
        <v>0.4</v>
      </c>
      <c r="AE12" s="1752">
        <v>201.3</v>
      </c>
      <c r="AF12" s="1752">
        <v>9.1</v>
      </c>
      <c r="AG12" s="1752">
        <v>44.5</v>
      </c>
      <c r="AH12" s="1752">
        <v>6</v>
      </c>
      <c r="AI12" s="1752">
        <v>1.5000000000000002</v>
      </c>
      <c r="AJ12" s="1752">
        <v>66.3</v>
      </c>
      <c r="AK12" s="1752">
        <v>48.800000000000004</v>
      </c>
      <c r="AL12" s="1752">
        <v>15.3</v>
      </c>
      <c r="AM12" s="1345">
        <v>46</v>
      </c>
      <c r="AN12" s="2471"/>
      <c r="AO12" s="2471"/>
      <c r="AP12" s="2471"/>
      <c r="AQ12" s="2471"/>
      <c r="AR12" s="2470" t="s">
        <v>1190</v>
      </c>
      <c r="AS12" s="3128"/>
    </row>
    <row r="13" spans="13:45" ht="28.35" customHeight="1">
      <c r="M13" s="2467"/>
      <c r="N13" s="1799"/>
      <c r="O13" s="1799" t="s">
        <v>1191</v>
      </c>
      <c r="P13" s="1799"/>
      <c r="Q13" s="1799"/>
      <c r="R13" s="1799"/>
      <c r="S13" s="1799"/>
      <c r="T13" s="1799"/>
      <c r="U13" s="1799"/>
      <c r="V13" s="1151">
        <v>30</v>
      </c>
      <c r="W13" s="1151">
        <v>53</v>
      </c>
      <c r="X13" s="1151">
        <v>80</v>
      </c>
      <c r="Y13" s="1151">
        <v>58.3</v>
      </c>
      <c r="Z13" s="1739">
        <v>45.7</v>
      </c>
      <c r="AA13" s="1739">
        <v>1.7999999999999998</v>
      </c>
      <c r="AB13" s="1739">
        <v>0</v>
      </c>
      <c r="AC13" s="1739">
        <v>0.2</v>
      </c>
      <c r="AD13" s="1739">
        <v>0.4</v>
      </c>
      <c r="AE13" s="1739">
        <v>201.3</v>
      </c>
      <c r="AF13" s="1739">
        <v>9.1</v>
      </c>
      <c r="AG13" s="1739">
        <v>44.5</v>
      </c>
      <c r="AH13" s="1739">
        <v>6</v>
      </c>
      <c r="AI13" s="1739">
        <v>1.5000000000000002</v>
      </c>
      <c r="AJ13" s="1739">
        <v>66.3</v>
      </c>
      <c r="AK13" s="1739">
        <v>48.800000000000004</v>
      </c>
      <c r="AL13" s="1739">
        <v>15.3</v>
      </c>
      <c r="AM13" s="2404">
        <v>46</v>
      </c>
      <c r="AN13" s="2405"/>
      <c r="AO13" s="2405"/>
      <c r="AP13" s="2405"/>
      <c r="AQ13" s="2405" t="s">
        <v>1192</v>
      </c>
      <c r="AR13" s="2405"/>
      <c r="AS13" s="3129"/>
    </row>
    <row r="14" spans="13:45" ht="28.35" customHeight="1">
      <c r="M14" s="2921"/>
      <c r="N14" s="2470" t="s">
        <v>1193</v>
      </c>
      <c r="O14" s="2470"/>
      <c r="P14" s="2470"/>
      <c r="Q14" s="2470"/>
      <c r="R14" s="2470"/>
      <c r="S14" s="2470"/>
      <c r="T14" s="2470"/>
      <c r="U14" s="2470"/>
      <c r="V14" s="1755">
        <v>2297</v>
      </c>
      <c r="W14" s="1755">
        <v>2322.6999999999998</v>
      </c>
      <c r="X14" s="1755">
        <v>1865.3999999999999</v>
      </c>
      <c r="Y14" s="1755">
        <v>1026.0000000000005</v>
      </c>
      <c r="Z14" s="1752">
        <v>1910.3999999999999</v>
      </c>
      <c r="AA14" s="1752">
        <v>3832.2000000000003</v>
      </c>
      <c r="AB14" s="1752">
        <v>2298.9000000000005</v>
      </c>
      <c r="AC14" s="1752">
        <v>799.20000000000016</v>
      </c>
      <c r="AD14" s="1752">
        <v>605.20000000000016</v>
      </c>
      <c r="AE14" s="1752">
        <v>1100.3999999999999</v>
      </c>
      <c r="AF14" s="1752">
        <v>1649.8000000000002</v>
      </c>
      <c r="AG14" s="1752">
        <v>1325.4</v>
      </c>
      <c r="AH14" s="1752">
        <v>1125.9000000000001</v>
      </c>
      <c r="AI14" s="1752">
        <v>-115.49999999999994</v>
      </c>
      <c r="AJ14" s="1752">
        <v>-978.69999999999982</v>
      </c>
      <c r="AK14" s="1752">
        <v>-310.70000000000005</v>
      </c>
      <c r="AL14" s="1752">
        <v>110.89999999999989</v>
      </c>
      <c r="AM14" s="1345">
        <v>-222.60000000000014</v>
      </c>
      <c r="AN14" s="2471"/>
      <c r="AO14" s="2471"/>
      <c r="AP14" s="2471"/>
      <c r="AQ14" s="2471"/>
      <c r="AR14" s="2470" t="s">
        <v>1194</v>
      </c>
      <c r="AS14" s="3128"/>
    </row>
    <row r="15" spans="13:45" ht="28.35" customHeight="1">
      <c r="M15" s="3130"/>
      <c r="N15" s="1575"/>
      <c r="O15" s="1575" t="s">
        <v>1195</v>
      </c>
      <c r="P15" s="1575"/>
      <c r="Q15" s="3131"/>
      <c r="R15" s="3131"/>
      <c r="S15" s="3131"/>
      <c r="T15" s="3131"/>
      <c r="U15" s="1575"/>
      <c r="V15" s="1154">
        <v>1436.4</v>
      </c>
      <c r="W15" s="1154">
        <v>1100.3</v>
      </c>
      <c r="X15" s="1154">
        <v>1135.5</v>
      </c>
      <c r="Y15" s="1154">
        <v>1487.5</v>
      </c>
      <c r="Z15" s="1155">
        <v>1371.1</v>
      </c>
      <c r="AA15" s="1155">
        <v>1095.5</v>
      </c>
      <c r="AB15" s="1155">
        <v>1033.1000000000001</v>
      </c>
      <c r="AC15" s="1155">
        <v>1178.6999999999998</v>
      </c>
      <c r="AD15" s="1155">
        <v>1661.8999999999999</v>
      </c>
      <c r="AE15" s="1155">
        <v>1996.6000000000004</v>
      </c>
      <c r="AF15" s="1155">
        <v>1825</v>
      </c>
      <c r="AG15" s="1155">
        <v>2610.6</v>
      </c>
      <c r="AH15" s="1155">
        <v>1291.3</v>
      </c>
      <c r="AI15" s="1155">
        <v>651.30000000000007</v>
      </c>
      <c r="AJ15" s="1155">
        <v>390.40000000000003</v>
      </c>
      <c r="AK15" s="1155">
        <v>159.1</v>
      </c>
      <c r="AL15" s="1155">
        <v>171.59999999999997</v>
      </c>
      <c r="AM15" s="1525">
        <v>641.4</v>
      </c>
      <c r="AN15" s="2394"/>
      <c r="AO15" s="2394"/>
      <c r="AP15" s="2394"/>
      <c r="AQ15" s="2394" t="s">
        <v>1196</v>
      </c>
      <c r="AR15" s="3132"/>
      <c r="AS15" s="3133"/>
    </row>
    <row r="16" spans="13:45" ht="28.35" customHeight="1">
      <c r="M16" s="2888"/>
      <c r="N16" s="1554"/>
      <c r="O16" s="1554"/>
      <c r="P16" s="1554"/>
      <c r="Q16" s="1554" t="s">
        <v>1197</v>
      </c>
      <c r="R16" s="1554"/>
      <c r="S16" s="1554"/>
      <c r="T16" s="1554"/>
      <c r="U16" s="1554"/>
      <c r="V16" s="1141">
        <v>-4.6999999999999993</v>
      </c>
      <c r="W16" s="1141">
        <v>-2.2999999999999976</v>
      </c>
      <c r="X16" s="1141">
        <v>-0.69999999999999929</v>
      </c>
      <c r="Y16" s="1141">
        <v>-59.2</v>
      </c>
      <c r="Z16" s="1724">
        <v>-11.1</v>
      </c>
      <c r="AA16" s="1724">
        <v>-3.7999999999999994</v>
      </c>
      <c r="AB16" s="1724">
        <v>-21.9</v>
      </c>
      <c r="AC16" s="1724">
        <v>-20.200000000000003</v>
      </c>
      <c r="AD16" s="1724">
        <v>-51.400000000000006</v>
      </c>
      <c r="AE16" s="1724">
        <v>-9.0999999999999979</v>
      </c>
      <c r="AF16" s="1724">
        <v>-34.1</v>
      </c>
      <c r="AG16" s="1724">
        <v>97.9</v>
      </c>
      <c r="AH16" s="1724">
        <v>-115.69999999999999</v>
      </c>
      <c r="AI16" s="1724">
        <v>-12.9</v>
      </c>
      <c r="AJ16" s="1724">
        <v>2.5999999999999996</v>
      </c>
      <c r="AK16" s="1724">
        <v>-9.7999999999999989</v>
      </c>
      <c r="AL16" s="1724">
        <v>-22.4</v>
      </c>
      <c r="AM16" s="1172">
        <v>-6.1</v>
      </c>
      <c r="AN16" s="2384"/>
      <c r="AO16" s="2384"/>
      <c r="AP16" s="2384" t="s">
        <v>1198</v>
      </c>
      <c r="AQ16" s="2384"/>
      <c r="AR16" s="2384"/>
      <c r="AS16" s="3134"/>
    </row>
    <row r="17" spans="13:45" ht="28.35" customHeight="1">
      <c r="M17" s="2467"/>
      <c r="N17" s="1799"/>
      <c r="O17" s="1799"/>
      <c r="P17" s="1799"/>
      <c r="Q17" s="1799" t="s">
        <v>1199</v>
      </c>
      <c r="R17" s="1799"/>
      <c r="S17" s="1799"/>
      <c r="T17" s="1799"/>
      <c r="U17" s="1474"/>
      <c r="V17" s="1151">
        <v>1441.1000000000001</v>
      </c>
      <c r="W17" s="1151">
        <v>1102.5999999999999</v>
      </c>
      <c r="X17" s="1151">
        <v>1136.2</v>
      </c>
      <c r="Y17" s="1151">
        <v>1546.7</v>
      </c>
      <c r="Z17" s="1739">
        <v>1382.2</v>
      </c>
      <c r="AA17" s="1739">
        <v>1099.3</v>
      </c>
      <c r="AB17" s="1739">
        <v>1055</v>
      </c>
      <c r="AC17" s="1739">
        <v>1198.9000000000001</v>
      </c>
      <c r="AD17" s="1739">
        <v>1713.3</v>
      </c>
      <c r="AE17" s="1739">
        <v>2005.7</v>
      </c>
      <c r="AF17" s="1739">
        <v>1859.1</v>
      </c>
      <c r="AG17" s="1739">
        <v>2512.6999999999998</v>
      </c>
      <c r="AH17" s="1739">
        <v>1407</v>
      </c>
      <c r="AI17" s="1739">
        <v>664.2</v>
      </c>
      <c r="AJ17" s="1739">
        <v>387.8</v>
      </c>
      <c r="AK17" s="1739">
        <v>168.9</v>
      </c>
      <c r="AL17" s="1739">
        <v>193.99999999999997</v>
      </c>
      <c r="AM17" s="2404">
        <v>647.5</v>
      </c>
      <c r="AN17" s="2405"/>
      <c r="AO17" s="2405"/>
      <c r="AP17" s="2405" t="s">
        <v>1200</v>
      </c>
      <c r="AQ17" s="2405"/>
      <c r="AR17" s="3135"/>
      <c r="AS17" s="3129"/>
    </row>
    <row r="18" spans="13:45" ht="28.35" customHeight="1">
      <c r="M18" s="2921"/>
      <c r="N18" s="2470"/>
      <c r="O18" s="2470"/>
      <c r="P18" s="2470" t="s">
        <v>1201</v>
      </c>
      <c r="Q18" s="2470"/>
      <c r="R18" s="2470"/>
      <c r="S18" s="2470"/>
      <c r="T18" s="2470"/>
      <c r="U18" s="2470"/>
      <c r="V18" s="1755">
        <v>676.7</v>
      </c>
      <c r="W18" s="1755">
        <v>845.9</v>
      </c>
      <c r="X18" s="1755">
        <v>919.6</v>
      </c>
      <c r="Y18" s="1755">
        <v>825.00000000000011</v>
      </c>
      <c r="Z18" s="1752">
        <v>1172.5</v>
      </c>
      <c r="AA18" s="1752">
        <v>316.2</v>
      </c>
      <c r="AB18" s="1752">
        <v>169.10000000000005</v>
      </c>
      <c r="AC18" s="1752">
        <v>547</v>
      </c>
      <c r="AD18" s="1752">
        <v>-447</v>
      </c>
      <c r="AE18" s="1752">
        <v>406.79999999999995</v>
      </c>
      <c r="AF18" s="1752">
        <v>595.79999999999995</v>
      </c>
      <c r="AG18" s="1752">
        <v>-26.09999999999998</v>
      </c>
      <c r="AH18" s="1752">
        <v>221.7</v>
      </c>
      <c r="AI18" s="1752">
        <v>-204.8</v>
      </c>
      <c r="AJ18" s="1752">
        <v>-334.4</v>
      </c>
      <c r="AK18" s="1752">
        <v>-291.2</v>
      </c>
      <c r="AL18" s="1752">
        <v>-201.6</v>
      </c>
      <c r="AM18" s="1345">
        <v>-127.1</v>
      </c>
      <c r="AN18" s="2471"/>
      <c r="AO18" s="2471"/>
      <c r="AP18" s="2471"/>
      <c r="AQ18" s="2471" t="s">
        <v>1202</v>
      </c>
      <c r="AR18" s="2470"/>
      <c r="AS18" s="3128"/>
    </row>
    <row r="19" spans="13:45" ht="28.35" customHeight="1">
      <c r="M19" s="2467"/>
      <c r="N19" s="1799"/>
      <c r="O19" s="1799"/>
      <c r="P19" s="1799"/>
      <c r="Q19" s="1799"/>
      <c r="R19" s="1799"/>
      <c r="S19" s="1799"/>
      <c r="T19" s="1799" t="s">
        <v>1203</v>
      </c>
      <c r="U19" s="1799"/>
      <c r="V19" s="1151">
        <v>-10.8</v>
      </c>
      <c r="W19" s="1151">
        <v>-21.999999999999996</v>
      </c>
      <c r="X19" s="1151">
        <v>-50</v>
      </c>
      <c r="Y19" s="1151">
        <v>-73.699999999999989</v>
      </c>
      <c r="Z19" s="1739">
        <v>-13.899999999999999</v>
      </c>
      <c r="AA19" s="1739">
        <v>157.39999999999998</v>
      </c>
      <c r="AB19" s="1739">
        <v>200.60000000000002</v>
      </c>
      <c r="AC19" s="1739">
        <v>29.100000000000009</v>
      </c>
      <c r="AD19" s="1739">
        <v>-426</v>
      </c>
      <c r="AE19" s="1739">
        <v>36.9</v>
      </c>
      <c r="AF19" s="1739">
        <v>350.5</v>
      </c>
      <c r="AG19" s="1739">
        <v>-127.89999999999999</v>
      </c>
      <c r="AH19" s="1739">
        <v>101.80000000000001</v>
      </c>
      <c r="AI19" s="1739">
        <v>-141.10000000000002</v>
      </c>
      <c r="AJ19" s="1739">
        <v>-86.899999999999991</v>
      </c>
      <c r="AK19" s="1739">
        <v>-126.2</v>
      </c>
      <c r="AL19" s="1739">
        <v>-142.6</v>
      </c>
      <c r="AM19" s="2404">
        <v>-27.199999999999996</v>
      </c>
      <c r="AN19" s="2405"/>
      <c r="AO19" s="2405" t="s">
        <v>1204</v>
      </c>
      <c r="AP19" s="2405"/>
      <c r="AQ19" s="2405"/>
      <c r="AR19" s="2405"/>
      <c r="AS19" s="3129"/>
    </row>
    <row r="20" spans="13:45" ht="28.35" customHeight="1">
      <c r="M20" s="2888"/>
      <c r="N20" s="1554"/>
      <c r="O20" s="1554"/>
      <c r="P20" s="1554"/>
      <c r="Q20" s="1554"/>
      <c r="R20" s="1554"/>
      <c r="S20" s="1554"/>
      <c r="T20" s="1554"/>
      <c r="U20" s="1554" t="s">
        <v>192</v>
      </c>
      <c r="V20" s="1141">
        <v>-10.8</v>
      </c>
      <c r="W20" s="1141">
        <v>-21.999999999999996</v>
      </c>
      <c r="X20" s="1141">
        <v>-50</v>
      </c>
      <c r="Y20" s="1141">
        <v>-73.699999999999989</v>
      </c>
      <c r="Z20" s="1724">
        <v>-13.899999999999999</v>
      </c>
      <c r="AA20" s="1724">
        <v>157.39999999999998</v>
      </c>
      <c r="AB20" s="1724">
        <v>200.60000000000002</v>
      </c>
      <c r="AC20" s="1724">
        <v>29.100000000000009</v>
      </c>
      <c r="AD20" s="1724">
        <v>-426</v>
      </c>
      <c r="AE20" s="1724">
        <v>36.9</v>
      </c>
      <c r="AF20" s="1724">
        <v>350.5</v>
      </c>
      <c r="AG20" s="1724">
        <v>-127.89999999999999</v>
      </c>
      <c r="AH20" s="1724">
        <v>101.80000000000001</v>
      </c>
      <c r="AI20" s="1724">
        <v>-141.10000000000002</v>
      </c>
      <c r="AJ20" s="1724">
        <v>-86.899999999999991</v>
      </c>
      <c r="AK20" s="1724">
        <v>-126.2</v>
      </c>
      <c r="AL20" s="1724">
        <v>-142.6</v>
      </c>
      <c r="AM20" s="1172">
        <v>-27.199999999999996</v>
      </c>
      <c r="AN20" s="2384"/>
      <c r="AO20" s="2384" t="s">
        <v>168</v>
      </c>
      <c r="AP20" s="2384"/>
      <c r="AQ20" s="2384"/>
      <c r="AR20" s="2384"/>
      <c r="AS20" s="3134"/>
    </row>
    <row r="21" spans="13:45" ht="28.35" customHeight="1">
      <c r="M21" s="2467"/>
      <c r="N21" s="1799"/>
      <c r="O21" s="1799"/>
      <c r="P21" s="1799"/>
      <c r="Q21" s="1799"/>
      <c r="R21" s="1799"/>
      <c r="S21" s="1799"/>
      <c r="T21" s="1799" t="s">
        <v>1205</v>
      </c>
      <c r="U21" s="1799"/>
      <c r="V21" s="1151">
        <v>687.5</v>
      </c>
      <c r="W21" s="1151">
        <v>867.9</v>
      </c>
      <c r="X21" s="1151">
        <v>969.6</v>
      </c>
      <c r="Y21" s="1151">
        <v>898.7</v>
      </c>
      <c r="Z21" s="1739">
        <v>1186.4000000000001</v>
      </c>
      <c r="AA21" s="1739">
        <v>158.80000000000001</v>
      </c>
      <c r="AB21" s="1739">
        <v>-31.499999999999993</v>
      </c>
      <c r="AC21" s="1739">
        <v>517.9</v>
      </c>
      <c r="AD21" s="1739">
        <v>-21</v>
      </c>
      <c r="AE21" s="1739">
        <v>369.9</v>
      </c>
      <c r="AF21" s="1739">
        <v>245.3</v>
      </c>
      <c r="AG21" s="1739">
        <v>101.80000000000001</v>
      </c>
      <c r="AH21" s="1739">
        <v>119.89999999999998</v>
      </c>
      <c r="AI21" s="1739">
        <v>-63.7</v>
      </c>
      <c r="AJ21" s="1739">
        <v>-247.5</v>
      </c>
      <c r="AK21" s="1739">
        <v>-165</v>
      </c>
      <c r="AL21" s="1739">
        <v>-59</v>
      </c>
      <c r="AM21" s="2404">
        <v>-99.9</v>
      </c>
      <c r="AN21" s="2405"/>
      <c r="AO21" s="2405" t="s">
        <v>1206</v>
      </c>
      <c r="AP21" s="2405"/>
      <c r="AQ21" s="2405"/>
      <c r="AR21" s="2405"/>
      <c r="AS21" s="3129"/>
    </row>
    <row r="22" spans="13:45" ht="28.35" customHeight="1">
      <c r="M22" s="2467"/>
      <c r="N22" s="1799"/>
      <c r="O22" s="1799"/>
      <c r="P22" s="1799"/>
      <c r="Q22" s="1799"/>
      <c r="R22" s="1799"/>
      <c r="S22" s="1799"/>
      <c r="T22" s="1799"/>
      <c r="U22" s="1799" t="s">
        <v>1207</v>
      </c>
      <c r="V22" s="1151">
        <v>1025.8000000000002</v>
      </c>
      <c r="W22" s="1151">
        <v>631</v>
      </c>
      <c r="X22" s="1151">
        <v>959.24669999999992</v>
      </c>
      <c r="Y22" s="1151">
        <v>920.80000000000007</v>
      </c>
      <c r="Z22" s="1739">
        <v>1073.9141</v>
      </c>
      <c r="AA22" s="1739">
        <v>121.10000000000001</v>
      </c>
      <c r="AB22" s="1739">
        <v>-109.2</v>
      </c>
      <c r="AC22" s="1739">
        <v>532.5</v>
      </c>
      <c r="AD22" s="1739">
        <v>0</v>
      </c>
      <c r="AE22" s="1739">
        <v>0</v>
      </c>
      <c r="AF22" s="1739">
        <v>0</v>
      </c>
      <c r="AG22" s="1739">
        <v>0</v>
      </c>
      <c r="AH22" s="1739">
        <v>0</v>
      </c>
      <c r="AI22" s="1739">
        <v>0</v>
      </c>
      <c r="AJ22" s="1739">
        <v>0</v>
      </c>
      <c r="AK22" s="1739">
        <v>0</v>
      </c>
      <c r="AL22" s="1739">
        <v>0</v>
      </c>
      <c r="AM22" s="2404">
        <v>0</v>
      </c>
      <c r="AN22" s="2378"/>
      <c r="AO22" s="2405" t="s">
        <v>1208</v>
      </c>
      <c r="AP22" s="2405"/>
      <c r="AQ22" s="2405"/>
      <c r="AR22" s="2405"/>
      <c r="AS22" s="3129"/>
    </row>
    <row r="23" spans="13:45" ht="28.35" customHeight="1">
      <c r="M23" s="2921"/>
      <c r="N23" s="2470"/>
      <c r="O23" s="2470"/>
      <c r="P23" s="2470" t="s">
        <v>1209</v>
      </c>
      <c r="Q23" s="2470"/>
      <c r="R23" s="2470"/>
      <c r="S23" s="2470"/>
      <c r="T23" s="2470"/>
      <c r="U23" s="2470"/>
      <c r="V23" s="1755">
        <v>91.500000000000171</v>
      </c>
      <c r="W23" s="1755">
        <v>-406.60000000000014</v>
      </c>
      <c r="X23" s="1755">
        <v>357.89999999999986</v>
      </c>
      <c r="Y23" s="1755">
        <v>391.50000000000023</v>
      </c>
      <c r="Z23" s="1752">
        <v>3080.3</v>
      </c>
      <c r="AA23" s="1752">
        <v>94.900000000000148</v>
      </c>
      <c r="AB23" s="1752">
        <v>-75.599999999999795</v>
      </c>
      <c r="AC23" s="1752">
        <v>104.20000000000013</v>
      </c>
      <c r="AD23" s="1752">
        <v>1599.5</v>
      </c>
      <c r="AE23" s="1752">
        <v>-494.20000000000005</v>
      </c>
      <c r="AF23" s="1752">
        <v>-194.09999999999997</v>
      </c>
      <c r="AG23" s="1752">
        <v>-299.5</v>
      </c>
      <c r="AH23" s="1752">
        <v>-256.99999999999994</v>
      </c>
      <c r="AI23" s="1752">
        <v>-503.9</v>
      </c>
      <c r="AJ23" s="1752">
        <v>-200.29999999999993</v>
      </c>
      <c r="AK23" s="1752">
        <v>464.3</v>
      </c>
      <c r="AL23" s="1752">
        <v>-48.300000000000011</v>
      </c>
      <c r="AM23" s="1345">
        <v>-250.70000000000005</v>
      </c>
      <c r="AN23" s="2471"/>
      <c r="AO23" s="2471"/>
      <c r="AP23" s="2471"/>
      <c r="AQ23" s="2471" t="s">
        <v>1210</v>
      </c>
      <c r="AR23" s="2470"/>
      <c r="AS23" s="3128"/>
    </row>
    <row r="24" spans="13:45" ht="28.35" customHeight="1">
      <c r="M24" s="2467"/>
      <c r="N24" s="1799"/>
      <c r="O24" s="1799"/>
      <c r="P24" s="1799"/>
      <c r="Q24" s="1799"/>
      <c r="R24" s="1799"/>
      <c r="S24" s="1799"/>
      <c r="T24" s="1799" t="s">
        <v>1203</v>
      </c>
      <c r="U24" s="1474"/>
      <c r="V24" s="1151">
        <v>-115.09999999999994</v>
      </c>
      <c r="W24" s="1151">
        <v>-577.40000000000009</v>
      </c>
      <c r="X24" s="1151">
        <v>302</v>
      </c>
      <c r="Y24" s="1151">
        <v>167.90000000000015</v>
      </c>
      <c r="Z24" s="1739">
        <v>639.60000000000014</v>
      </c>
      <c r="AA24" s="1739">
        <v>-720.3</v>
      </c>
      <c r="AB24" s="1739">
        <v>-352.49999999999977</v>
      </c>
      <c r="AC24" s="1739">
        <v>-872.3</v>
      </c>
      <c r="AD24" s="1739">
        <v>1067.4000000000001</v>
      </c>
      <c r="AE24" s="1739">
        <v>521.60000000000014</v>
      </c>
      <c r="AF24" s="1739">
        <v>-666.2</v>
      </c>
      <c r="AG24" s="1739">
        <v>-813.89999999999986</v>
      </c>
      <c r="AH24" s="1739">
        <v>-436.69999999999993</v>
      </c>
      <c r="AI24" s="1739">
        <v>-482.7</v>
      </c>
      <c r="AJ24" s="1739">
        <v>179.29999999999998</v>
      </c>
      <c r="AK24" s="1739">
        <v>-2.1000000000000014</v>
      </c>
      <c r="AL24" s="1739">
        <v>-450.59999999999997</v>
      </c>
      <c r="AM24" s="2404">
        <v>-668</v>
      </c>
      <c r="AN24" s="2405"/>
      <c r="AO24" s="2405" t="s">
        <v>1204</v>
      </c>
      <c r="AP24" s="2405"/>
      <c r="AQ24" s="2405"/>
      <c r="AR24" s="3135"/>
      <c r="AS24" s="3129"/>
    </row>
    <row r="25" spans="13:45" ht="28.35" customHeight="1">
      <c r="M25" s="2888"/>
      <c r="N25" s="1554"/>
      <c r="O25" s="1554"/>
      <c r="P25" s="1554"/>
      <c r="Q25" s="1554"/>
      <c r="R25" s="1554"/>
      <c r="S25" s="1554"/>
      <c r="T25" s="1554"/>
      <c r="U25" s="1196" t="s">
        <v>1211</v>
      </c>
      <c r="V25" s="1141">
        <v>-15.600000000000001</v>
      </c>
      <c r="W25" s="1141">
        <v>12.099999999999998</v>
      </c>
      <c r="X25" s="1141">
        <v>-17.299999999999997</v>
      </c>
      <c r="Y25" s="1141">
        <v>16.7</v>
      </c>
      <c r="Z25" s="1724">
        <v>59.4</v>
      </c>
      <c r="AA25" s="1724">
        <v>6.2000000000000028</v>
      </c>
      <c r="AB25" s="1724">
        <v>8.1</v>
      </c>
      <c r="AC25" s="1724">
        <v>-53.9</v>
      </c>
      <c r="AD25" s="1724">
        <v>102.2</v>
      </c>
      <c r="AE25" s="1724">
        <v>-115.70000000000002</v>
      </c>
      <c r="AF25" s="1724">
        <v>0</v>
      </c>
      <c r="AG25" s="1724">
        <v>0</v>
      </c>
      <c r="AH25" s="1724">
        <v>0</v>
      </c>
      <c r="AI25" s="1724">
        <v>0</v>
      </c>
      <c r="AJ25" s="1724">
        <v>0</v>
      </c>
      <c r="AK25" s="1724">
        <v>0</v>
      </c>
      <c r="AL25" s="1724">
        <v>0</v>
      </c>
      <c r="AM25" s="1172">
        <v>0</v>
      </c>
      <c r="AN25" s="2384" t="s">
        <v>1212</v>
      </c>
      <c r="AO25" s="2384"/>
      <c r="AP25" s="2384"/>
      <c r="AQ25" s="2384"/>
      <c r="AR25" s="1570"/>
      <c r="AS25" s="3134"/>
    </row>
    <row r="26" spans="13:45" ht="28.35" customHeight="1">
      <c r="M26" s="3136"/>
      <c r="N26" s="3137"/>
      <c r="O26" s="3137"/>
      <c r="P26" s="3137"/>
      <c r="Q26" s="3137"/>
      <c r="R26" s="3137"/>
      <c r="S26" s="3137"/>
      <c r="T26" s="3137" t="s">
        <v>1213</v>
      </c>
      <c r="U26" s="3137"/>
      <c r="V26" s="1156">
        <v>-20.399999999999999</v>
      </c>
      <c r="W26" s="1156">
        <v>-2.699999999999998</v>
      </c>
      <c r="X26" s="1156">
        <v>4.8000000000000007</v>
      </c>
      <c r="Y26" s="1156">
        <v>-213.39999999999998</v>
      </c>
      <c r="Z26" s="1723">
        <v>146.5</v>
      </c>
      <c r="AA26" s="1723">
        <v>120.6</v>
      </c>
      <c r="AB26" s="1723">
        <v>46.099999999999994</v>
      </c>
      <c r="AC26" s="1723">
        <v>-74.800000000000011</v>
      </c>
      <c r="AD26" s="1723">
        <v>-408.9</v>
      </c>
      <c r="AE26" s="1723">
        <v>-226.69999999999996</v>
      </c>
      <c r="AF26" s="1723">
        <v>3.199999999999998</v>
      </c>
      <c r="AG26" s="1723">
        <v>-83.399999999999991</v>
      </c>
      <c r="AH26" s="1723">
        <v>24.6</v>
      </c>
      <c r="AI26" s="1723">
        <v>35.799999999999997</v>
      </c>
      <c r="AJ26" s="1723">
        <v>-18.599999999999998</v>
      </c>
      <c r="AK26" s="1723">
        <v>9.8999999999999986</v>
      </c>
      <c r="AL26" s="1723">
        <v>7.5999999999999979</v>
      </c>
      <c r="AM26" s="1195">
        <v>102.70000000000002</v>
      </c>
      <c r="AN26" s="3138"/>
      <c r="AO26" s="3138" t="s">
        <v>1214</v>
      </c>
      <c r="AP26" s="3138"/>
      <c r="AQ26" s="3138"/>
      <c r="AR26" s="3138"/>
      <c r="AS26" s="1619"/>
    </row>
    <row r="27" spans="13:45" ht="28.35" customHeight="1">
      <c r="M27" s="2888"/>
      <c r="N27" s="1554"/>
      <c r="O27" s="1554"/>
      <c r="P27" s="1554"/>
      <c r="Q27" s="1554"/>
      <c r="R27" s="1554"/>
      <c r="S27" s="1554"/>
      <c r="T27" s="1554" t="s">
        <v>1215</v>
      </c>
      <c r="U27" s="1554"/>
      <c r="V27" s="1141">
        <v>0</v>
      </c>
      <c r="W27" s="1141">
        <v>0</v>
      </c>
      <c r="X27" s="1141">
        <v>0</v>
      </c>
      <c r="Y27" s="1141">
        <v>0</v>
      </c>
      <c r="Z27" s="1724">
        <v>0</v>
      </c>
      <c r="AA27" s="1724">
        <v>0</v>
      </c>
      <c r="AB27" s="1724">
        <v>0</v>
      </c>
      <c r="AC27" s="1724">
        <v>0</v>
      </c>
      <c r="AD27" s="1724">
        <v>0</v>
      </c>
      <c r="AE27" s="1724">
        <v>0</v>
      </c>
      <c r="AF27" s="1724">
        <v>0</v>
      </c>
      <c r="AG27" s="1724">
        <v>0</v>
      </c>
      <c r="AH27" s="1724">
        <v>0</v>
      </c>
      <c r="AI27" s="1724">
        <v>0</v>
      </c>
      <c r="AJ27" s="1724">
        <v>8</v>
      </c>
      <c r="AK27" s="1724">
        <v>38.799999999999997</v>
      </c>
      <c r="AL27" s="1724">
        <v>21.7</v>
      </c>
      <c r="AM27" s="1172">
        <v>105.30000000000001</v>
      </c>
      <c r="AN27" s="2384"/>
      <c r="AO27" s="2384" t="s">
        <v>1216</v>
      </c>
      <c r="AP27" s="2384"/>
      <c r="AQ27" s="2384"/>
      <c r="AR27" s="2384"/>
      <c r="AS27" s="3134"/>
    </row>
    <row r="28" spans="13:45" ht="28.35" customHeight="1">
      <c r="M28" s="3136"/>
      <c r="N28" s="3137"/>
      <c r="O28" s="3137"/>
      <c r="P28" s="3137"/>
      <c r="Q28" s="3137"/>
      <c r="R28" s="3137"/>
      <c r="S28" s="3137"/>
      <c r="T28" s="3137" t="s">
        <v>1217</v>
      </c>
      <c r="U28" s="3137"/>
      <c r="V28" s="1156">
        <v>-20.399999999999999</v>
      </c>
      <c r="W28" s="1156">
        <v>-2.699999999999998</v>
      </c>
      <c r="X28" s="1156">
        <v>4.8000000000000007</v>
      </c>
      <c r="Y28" s="1156">
        <v>-213.39999999999998</v>
      </c>
      <c r="Z28" s="1723">
        <v>146.5</v>
      </c>
      <c r="AA28" s="1723">
        <v>120.6</v>
      </c>
      <c r="AB28" s="1723">
        <v>46.099999999999994</v>
      </c>
      <c r="AC28" s="1723">
        <v>-74.800000000000011</v>
      </c>
      <c r="AD28" s="1723">
        <v>-408.9</v>
      </c>
      <c r="AE28" s="1723">
        <v>-226.69999999999996</v>
      </c>
      <c r="AF28" s="1723">
        <v>3.199999999999998</v>
      </c>
      <c r="AG28" s="1723">
        <v>-83.399999999999991</v>
      </c>
      <c r="AH28" s="1723">
        <v>24.6</v>
      </c>
      <c r="AI28" s="1723">
        <v>35.799999999999997</v>
      </c>
      <c r="AJ28" s="1723">
        <v>-26.599999999999998</v>
      </c>
      <c r="AK28" s="1723">
        <v>-28.9</v>
      </c>
      <c r="AL28" s="1723">
        <v>-14.100000000000001</v>
      </c>
      <c r="AM28" s="1195">
        <v>-2.5999999999999996</v>
      </c>
      <c r="AN28" s="3138"/>
      <c r="AO28" s="3138" t="s">
        <v>1218</v>
      </c>
      <c r="AP28" s="3138"/>
      <c r="AQ28" s="3138"/>
      <c r="AR28" s="3138"/>
      <c r="AS28" s="1619"/>
    </row>
    <row r="29" spans="13:45" ht="28.35" customHeight="1">
      <c r="M29" s="2888"/>
      <c r="N29" s="1554"/>
      <c r="O29" s="1554"/>
      <c r="P29" s="1554"/>
      <c r="Q29" s="1554"/>
      <c r="R29" s="1554"/>
      <c r="S29" s="1554"/>
      <c r="T29" s="1554" t="s">
        <v>1219</v>
      </c>
      <c r="U29" s="1196"/>
      <c r="V29" s="1141">
        <v>-57.59999999999998</v>
      </c>
      <c r="W29" s="1141">
        <v>-505.40000000000003</v>
      </c>
      <c r="X29" s="1141">
        <v>294.3</v>
      </c>
      <c r="Y29" s="1141">
        <v>239.10000000000002</v>
      </c>
      <c r="Z29" s="1724">
        <v>386.60000000000014</v>
      </c>
      <c r="AA29" s="1724">
        <v>-790.30000000000007</v>
      </c>
      <c r="AB29" s="1724">
        <v>-421.7</v>
      </c>
      <c r="AC29" s="1724">
        <v>-721.5</v>
      </c>
      <c r="AD29" s="1724">
        <v>1366.9</v>
      </c>
      <c r="AE29" s="1724">
        <v>734.40000000000009</v>
      </c>
      <c r="AF29" s="1724">
        <v>-608.00000000000011</v>
      </c>
      <c r="AG29" s="1724">
        <v>-594.59999999999991</v>
      </c>
      <c r="AH29" s="1724">
        <v>-413.49999999999994</v>
      </c>
      <c r="AI29" s="1724">
        <v>-483.9</v>
      </c>
      <c r="AJ29" s="1724">
        <v>202.7</v>
      </c>
      <c r="AK29" s="1724">
        <v>-53.5</v>
      </c>
      <c r="AL29" s="1724">
        <v>-376.5</v>
      </c>
      <c r="AM29" s="1172">
        <v>-668.1</v>
      </c>
      <c r="AN29" s="2384"/>
      <c r="AO29" s="2384" t="s">
        <v>1220</v>
      </c>
      <c r="AP29" s="2384"/>
      <c r="AQ29" s="2384"/>
      <c r="AR29" s="1570"/>
      <c r="AS29" s="3134"/>
    </row>
    <row r="30" spans="13:45" ht="28.35" customHeight="1">
      <c r="M30" s="3136"/>
      <c r="N30" s="3137"/>
      <c r="O30" s="3137"/>
      <c r="P30" s="3137"/>
      <c r="Q30" s="3137"/>
      <c r="R30" s="3137"/>
      <c r="S30" s="3137"/>
      <c r="T30" s="3137" t="s">
        <v>1221</v>
      </c>
      <c r="U30" s="3137"/>
      <c r="V30" s="1156">
        <v>-157</v>
      </c>
      <c r="W30" s="1156">
        <v>-666.7</v>
      </c>
      <c r="X30" s="1156">
        <v>57.399999999999977</v>
      </c>
      <c r="Y30" s="1156">
        <v>86.700000000000017</v>
      </c>
      <c r="Z30" s="1723">
        <v>1140.3</v>
      </c>
      <c r="AA30" s="1723">
        <v>-293.20000000000005</v>
      </c>
      <c r="AB30" s="1723">
        <v>-421.7</v>
      </c>
      <c r="AC30" s="1723">
        <v>-721.5</v>
      </c>
      <c r="AD30" s="1723">
        <v>1366.9</v>
      </c>
      <c r="AE30" s="1723">
        <v>734.40000000000009</v>
      </c>
      <c r="AF30" s="1723">
        <v>-608.00000000000011</v>
      </c>
      <c r="AG30" s="1723">
        <v>-594.59999999999991</v>
      </c>
      <c r="AH30" s="1723">
        <v>-413.49999999999994</v>
      </c>
      <c r="AI30" s="1723">
        <v>-483.9</v>
      </c>
      <c r="AJ30" s="1723">
        <v>202.7</v>
      </c>
      <c r="AK30" s="1723">
        <v>-53.5</v>
      </c>
      <c r="AL30" s="1723">
        <v>-376.5</v>
      </c>
      <c r="AM30" s="1195">
        <v>-668.1</v>
      </c>
      <c r="AN30" s="3138" t="s">
        <v>1222</v>
      </c>
      <c r="AO30" s="3138"/>
      <c r="AP30" s="3138"/>
      <c r="AQ30" s="3138"/>
      <c r="AR30" s="3138"/>
      <c r="AS30" s="1619"/>
    </row>
    <row r="31" spans="13:45" ht="28.35" customHeight="1">
      <c r="M31" s="2888"/>
      <c r="N31" s="1554"/>
      <c r="O31" s="1554"/>
      <c r="P31" s="1554"/>
      <c r="Q31" s="1554"/>
      <c r="R31" s="1554"/>
      <c r="S31" s="1554"/>
      <c r="T31" s="1554" t="s">
        <v>1223</v>
      </c>
      <c r="U31" s="1554"/>
      <c r="V31" s="1141">
        <v>-21.499999999999993</v>
      </c>
      <c r="W31" s="1141">
        <v>-81.400000000000006</v>
      </c>
      <c r="X31" s="1141">
        <v>20.200000000000003</v>
      </c>
      <c r="Y31" s="1141">
        <v>125.5</v>
      </c>
      <c r="Z31" s="1724">
        <v>47.1</v>
      </c>
      <c r="AA31" s="1724">
        <v>-56.8</v>
      </c>
      <c r="AB31" s="1724">
        <v>14.999999999999998</v>
      </c>
      <c r="AC31" s="1724">
        <v>-22.1</v>
      </c>
      <c r="AD31" s="1724">
        <v>7.1999999999999993</v>
      </c>
      <c r="AE31" s="1724">
        <v>129.6</v>
      </c>
      <c r="AF31" s="1724">
        <v>-61.399999999999977</v>
      </c>
      <c r="AG31" s="1724">
        <v>-135.89999999999998</v>
      </c>
      <c r="AH31" s="1724">
        <v>-47.800000000000011</v>
      </c>
      <c r="AI31" s="1724">
        <v>-34.600000000000009</v>
      </c>
      <c r="AJ31" s="1724">
        <v>-4.8</v>
      </c>
      <c r="AK31" s="1724">
        <v>41.5</v>
      </c>
      <c r="AL31" s="1724">
        <v>-81.7</v>
      </c>
      <c r="AM31" s="1172">
        <v>-102.6</v>
      </c>
      <c r="AN31" s="2384"/>
      <c r="AO31" s="2384" t="s">
        <v>1224</v>
      </c>
      <c r="AP31" s="2384"/>
      <c r="AQ31" s="2384"/>
      <c r="AR31" s="1570"/>
      <c r="AS31" s="3134"/>
    </row>
    <row r="32" spans="13:45" ht="28.35" customHeight="1">
      <c r="M32" s="3136"/>
      <c r="N32" s="3137"/>
      <c r="O32" s="3137"/>
      <c r="P32" s="3137"/>
      <c r="Q32" s="3137"/>
      <c r="R32" s="3137"/>
      <c r="S32" s="3137"/>
      <c r="T32" s="3137" t="s">
        <v>1205</v>
      </c>
      <c r="U32" s="3137"/>
      <c r="V32" s="1156">
        <v>206.60000000000008</v>
      </c>
      <c r="W32" s="1156">
        <v>170.79999999999995</v>
      </c>
      <c r="X32" s="1156">
        <v>55.899999999999977</v>
      </c>
      <c r="Y32" s="1156">
        <v>223.60000000000014</v>
      </c>
      <c r="Z32" s="1723">
        <v>2440.6999999999998</v>
      </c>
      <c r="AA32" s="1723">
        <v>815.2</v>
      </c>
      <c r="AB32" s="1723">
        <v>276.90000000000003</v>
      </c>
      <c r="AC32" s="1723">
        <v>976.50000000000011</v>
      </c>
      <c r="AD32" s="1723">
        <v>532.1</v>
      </c>
      <c r="AE32" s="1723">
        <v>-1015.8000000000003</v>
      </c>
      <c r="AF32" s="1723">
        <v>472.1</v>
      </c>
      <c r="AG32" s="1723">
        <v>514.39999999999986</v>
      </c>
      <c r="AH32" s="1723">
        <v>179.7</v>
      </c>
      <c r="AI32" s="1723">
        <v>-21.199999999999996</v>
      </c>
      <c r="AJ32" s="1723">
        <v>-379.59999999999991</v>
      </c>
      <c r="AK32" s="1723">
        <v>466.40000000000003</v>
      </c>
      <c r="AL32" s="1723">
        <v>402.29999999999995</v>
      </c>
      <c r="AM32" s="1195">
        <v>417.29999999999995</v>
      </c>
      <c r="AN32" s="3138"/>
      <c r="AO32" s="3138" t="s">
        <v>1206</v>
      </c>
      <c r="AP32" s="3138"/>
      <c r="AQ32" s="3138"/>
      <c r="AR32" s="3138"/>
      <c r="AS32" s="1619"/>
    </row>
    <row r="33" spans="13:45" ht="28.35" customHeight="1">
      <c r="M33" s="2888"/>
      <c r="N33" s="1554"/>
      <c r="O33" s="1554"/>
      <c r="P33" s="1554"/>
      <c r="Q33" s="1554"/>
      <c r="R33" s="1554"/>
      <c r="S33" s="1554"/>
      <c r="T33" s="1554" t="s">
        <v>1225</v>
      </c>
      <c r="U33" s="1196"/>
      <c r="V33" s="1150">
        <v>14.200000000000017</v>
      </c>
      <c r="W33" s="1150">
        <v>285.2</v>
      </c>
      <c r="X33" s="1150">
        <v>-129.1</v>
      </c>
      <c r="Y33" s="1150">
        <v>-18.500000000000028</v>
      </c>
      <c r="Z33" s="2245">
        <v>-51</v>
      </c>
      <c r="AA33" s="2245">
        <v>99.2</v>
      </c>
      <c r="AB33" s="2245">
        <v>215</v>
      </c>
      <c r="AC33" s="2245">
        <v>19.399999999999999</v>
      </c>
      <c r="AD33" s="2245">
        <v>-88.8</v>
      </c>
      <c r="AE33" s="2245">
        <v>43.699999999999996</v>
      </c>
      <c r="AF33" s="2245">
        <v>21.199999999999996</v>
      </c>
      <c r="AG33" s="2245">
        <v>33.699999999999996</v>
      </c>
      <c r="AH33" s="2245">
        <v>-5.6000000000000014</v>
      </c>
      <c r="AI33" s="2245">
        <v>-26.5</v>
      </c>
      <c r="AJ33" s="1724">
        <v>2.6000000000000085</v>
      </c>
      <c r="AK33" s="1724">
        <v>53.7</v>
      </c>
      <c r="AL33" s="1724">
        <v>13.1</v>
      </c>
      <c r="AM33" s="1172">
        <v>25.4</v>
      </c>
      <c r="AN33" s="2384"/>
      <c r="AO33" s="2384" t="s">
        <v>1226</v>
      </c>
      <c r="AP33" s="2384"/>
      <c r="AQ33" s="2384"/>
      <c r="AR33" s="1570"/>
      <c r="AS33" s="3134"/>
    </row>
    <row r="34" spans="13:45" ht="28.35" customHeight="1">
      <c r="M34" s="3136"/>
      <c r="N34" s="3137"/>
      <c r="O34" s="3137"/>
      <c r="P34" s="3137"/>
      <c r="Q34" s="3137"/>
      <c r="R34" s="3137"/>
      <c r="S34" s="3137"/>
      <c r="T34" s="3137" t="s">
        <v>1227</v>
      </c>
      <c r="U34" s="3137"/>
      <c r="V34" s="1156">
        <v>-110.69999999999996</v>
      </c>
      <c r="W34" s="1156">
        <v>287</v>
      </c>
      <c r="X34" s="1156">
        <v>485.40000000000009</v>
      </c>
      <c r="Y34" s="1156">
        <v>395</v>
      </c>
      <c r="Z34" s="1723">
        <v>848.80000000000007</v>
      </c>
      <c r="AA34" s="1723">
        <v>543.79999999999995</v>
      </c>
      <c r="AB34" s="1723">
        <v>-105.6</v>
      </c>
      <c r="AC34" s="1723">
        <v>286.70000000000005</v>
      </c>
      <c r="AD34" s="1723">
        <v>418.6</v>
      </c>
      <c r="AE34" s="1723">
        <v>-1901.4</v>
      </c>
      <c r="AF34" s="1723">
        <v>-130.60000000000002</v>
      </c>
      <c r="AG34" s="1723">
        <v>-44.200000000000038</v>
      </c>
      <c r="AH34" s="1723">
        <v>-28.299999999999986</v>
      </c>
      <c r="AI34" s="1723">
        <v>-190.89999999999998</v>
      </c>
      <c r="AJ34" s="1723">
        <v>-185.79999999999995</v>
      </c>
      <c r="AK34" s="1723">
        <v>63.30000000000004</v>
      </c>
      <c r="AL34" s="1723">
        <v>106.99999999999996</v>
      </c>
      <c r="AM34" s="1195">
        <v>49.99999999999995</v>
      </c>
      <c r="AN34" s="3138"/>
      <c r="AO34" s="3138" t="s">
        <v>1228</v>
      </c>
      <c r="AP34" s="3138"/>
      <c r="AQ34" s="3138"/>
      <c r="AR34" s="3138"/>
      <c r="AS34" s="1619"/>
    </row>
    <row r="35" spans="13:45" ht="28.35" customHeight="1">
      <c r="M35" s="2888"/>
      <c r="N35" s="1554"/>
      <c r="O35" s="1554"/>
      <c r="P35" s="1554"/>
      <c r="Q35" s="1554"/>
      <c r="R35" s="1554"/>
      <c r="S35" s="1554"/>
      <c r="T35" s="1554" t="s">
        <v>1215</v>
      </c>
      <c r="U35" s="1554"/>
      <c r="V35" s="1141">
        <v>-270.70000000000005</v>
      </c>
      <c r="W35" s="1141">
        <v>-113.4</v>
      </c>
      <c r="X35" s="1141">
        <v>390.8</v>
      </c>
      <c r="Y35" s="1141">
        <v>259.8</v>
      </c>
      <c r="Z35" s="1724">
        <v>473.3</v>
      </c>
      <c r="AA35" s="1724">
        <v>255.09999999999997</v>
      </c>
      <c r="AB35" s="1724">
        <v>-6.3999999999999977</v>
      </c>
      <c r="AC35" s="1724">
        <v>50.500000000000007</v>
      </c>
      <c r="AD35" s="1724">
        <v>86.5</v>
      </c>
      <c r="AE35" s="1724">
        <v>-41.800000000000004</v>
      </c>
      <c r="AF35" s="1724">
        <v>-56.4</v>
      </c>
      <c r="AG35" s="1724">
        <v>-68.099999999999994</v>
      </c>
      <c r="AH35" s="1724">
        <v>-61.3</v>
      </c>
      <c r="AI35" s="1724">
        <v>-77.8</v>
      </c>
      <c r="AJ35" s="1724">
        <v>-75.099999999999994</v>
      </c>
      <c r="AK35" s="1724">
        <v>0.39999999999999858</v>
      </c>
      <c r="AL35" s="1724">
        <v>-8.3999999999999968</v>
      </c>
      <c r="AM35" s="1172">
        <v>-20.100000000000001</v>
      </c>
      <c r="AN35" s="2384"/>
      <c r="AO35" s="2384" t="s">
        <v>1229</v>
      </c>
      <c r="AP35" s="2384"/>
      <c r="AQ35" s="2384"/>
      <c r="AR35" s="1570"/>
      <c r="AS35" s="3134"/>
    </row>
    <row r="36" spans="13:45" ht="28.35" customHeight="1">
      <c r="M36" s="3136"/>
      <c r="N36" s="3137"/>
      <c r="O36" s="3137"/>
      <c r="P36" s="3137"/>
      <c r="Q36" s="3137"/>
      <c r="R36" s="3137"/>
      <c r="S36" s="3137"/>
      <c r="T36" s="3137" t="s">
        <v>1230</v>
      </c>
      <c r="U36" s="3137"/>
      <c r="V36" s="1156">
        <v>-293.89999999999998</v>
      </c>
      <c r="W36" s="1156">
        <v>-139.1</v>
      </c>
      <c r="X36" s="1156">
        <v>393.5</v>
      </c>
      <c r="Y36" s="1156">
        <v>276.5</v>
      </c>
      <c r="Z36" s="1723">
        <v>458.1</v>
      </c>
      <c r="AA36" s="1723">
        <v>270.59999999999997</v>
      </c>
      <c r="AB36" s="1723">
        <v>0</v>
      </c>
      <c r="AC36" s="1723">
        <v>0</v>
      </c>
      <c r="AD36" s="1723">
        <v>-11</v>
      </c>
      <c r="AE36" s="1723">
        <v>-41.800000000000004</v>
      </c>
      <c r="AF36" s="1723">
        <v>-56.4</v>
      </c>
      <c r="AG36" s="1723">
        <v>-68.099999999999994</v>
      </c>
      <c r="AH36" s="1723">
        <v>-54.699999999999996</v>
      </c>
      <c r="AI36" s="1723">
        <v>-69.599999999999994</v>
      </c>
      <c r="AJ36" s="1723">
        <v>-68.599999999999994</v>
      </c>
      <c r="AK36" s="1723">
        <v>10.299999999999997</v>
      </c>
      <c r="AL36" s="1723">
        <v>-9.0999999999999979</v>
      </c>
      <c r="AM36" s="1195">
        <v>-8.2000000000000028</v>
      </c>
      <c r="AN36" s="3138"/>
      <c r="AO36" s="3138" t="s">
        <v>1231</v>
      </c>
      <c r="AP36" s="3138"/>
      <c r="AQ36" s="3138"/>
      <c r="AR36" s="3138"/>
      <c r="AS36" s="1619"/>
    </row>
    <row r="37" spans="13:45" ht="28.35" customHeight="1">
      <c r="M37" s="2888"/>
      <c r="N37" s="1554"/>
      <c r="O37" s="1554"/>
      <c r="P37" s="1554"/>
      <c r="Q37" s="1554"/>
      <c r="R37" s="1554"/>
      <c r="S37" s="1554"/>
      <c r="T37" s="1554" t="s">
        <v>1232</v>
      </c>
      <c r="U37" s="1554"/>
      <c r="V37" s="1141">
        <v>50.8</v>
      </c>
      <c r="W37" s="1141">
        <v>50.9</v>
      </c>
      <c r="X37" s="1141">
        <v>425.1</v>
      </c>
      <c r="Y37" s="1141">
        <v>276.5</v>
      </c>
      <c r="Z37" s="1724">
        <v>458.1</v>
      </c>
      <c r="AA37" s="1724">
        <v>276.39999999999998</v>
      </c>
      <c r="AB37" s="1724">
        <v>0</v>
      </c>
      <c r="AC37" s="1724">
        <v>1.4</v>
      </c>
      <c r="AD37" s="1724">
        <v>0</v>
      </c>
      <c r="AE37" s="1724">
        <v>0</v>
      </c>
      <c r="AF37" s="1724">
        <v>0</v>
      </c>
      <c r="AG37" s="1724">
        <v>0</v>
      </c>
      <c r="AH37" s="1724">
        <v>0.2</v>
      </c>
      <c r="AI37" s="1724">
        <v>0</v>
      </c>
      <c r="AJ37" s="1724">
        <v>0</v>
      </c>
      <c r="AK37" s="1724">
        <v>64.5</v>
      </c>
      <c r="AL37" s="1724">
        <v>27.3</v>
      </c>
      <c r="AM37" s="1172">
        <v>14.2</v>
      </c>
      <c r="AN37" s="2384"/>
      <c r="AO37" s="2384" t="s">
        <v>1233</v>
      </c>
      <c r="AP37" s="2384"/>
      <c r="AQ37" s="2384"/>
      <c r="AR37" s="2384"/>
      <c r="AS37" s="3134"/>
    </row>
    <row r="38" spans="13:45" ht="28.35" customHeight="1">
      <c r="M38" s="3136"/>
      <c r="N38" s="3137"/>
      <c r="O38" s="3137"/>
      <c r="P38" s="3137"/>
      <c r="Q38" s="3137"/>
      <c r="R38" s="3137"/>
      <c r="S38" s="3137"/>
      <c r="T38" s="3137" t="s">
        <v>1234</v>
      </c>
      <c r="U38" s="3137"/>
      <c r="V38" s="1156">
        <v>-344.7</v>
      </c>
      <c r="W38" s="1156">
        <v>-190</v>
      </c>
      <c r="X38" s="1156">
        <v>-31.6</v>
      </c>
      <c r="Y38" s="1156">
        <v>0</v>
      </c>
      <c r="Z38" s="1723">
        <v>0</v>
      </c>
      <c r="AA38" s="1723">
        <v>-5.8</v>
      </c>
      <c r="AB38" s="1723">
        <v>0</v>
      </c>
      <c r="AC38" s="1723">
        <v>-1.4</v>
      </c>
      <c r="AD38" s="1723">
        <v>-11</v>
      </c>
      <c r="AE38" s="1723">
        <v>-41.800000000000004</v>
      </c>
      <c r="AF38" s="1723">
        <v>-56.4</v>
      </c>
      <c r="AG38" s="1723">
        <v>-68.099999999999994</v>
      </c>
      <c r="AH38" s="1723">
        <v>-54.9</v>
      </c>
      <c r="AI38" s="1723">
        <v>-69.599999999999994</v>
      </c>
      <c r="AJ38" s="1723">
        <v>-68.599999999999994</v>
      </c>
      <c r="AK38" s="1723">
        <v>-54.2</v>
      </c>
      <c r="AL38" s="1723">
        <v>-36.4</v>
      </c>
      <c r="AM38" s="1195">
        <v>-22.400000000000002</v>
      </c>
      <c r="AN38" s="3138"/>
      <c r="AO38" s="3138" t="s">
        <v>1235</v>
      </c>
      <c r="AP38" s="3138"/>
      <c r="AQ38" s="3138"/>
      <c r="AR38" s="3138"/>
      <c r="AS38" s="1619"/>
    </row>
    <row r="39" spans="13:45" ht="28.35" customHeight="1">
      <c r="M39" s="2888"/>
      <c r="N39" s="1554"/>
      <c r="O39" s="1554"/>
      <c r="P39" s="1554"/>
      <c r="Q39" s="1554"/>
      <c r="R39" s="1554"/>
      <c r="S39" s="1554"/>
      <c r="T39" s="1554" t="s">
        <v>1236</v>
      </c>
      <c r="U39" s="1196"/>
      <c r="V39" s="1141">
        <v>23.200000000000006</v>
      </c>
      <c r="W39" s="1141">
        <v>25.700000000000003</v>
      </c>
      <c r="X39" s="1141">
        <v>-2.7000000000000028</v>
      </c>
      <c r="Y39" s="1141">
        <v>-16.699999999999996</v>
      </c>
      <c r="Z39" s="1724">
        <v>15.200000000000006</v>
      </c>
      <c r="AA39" s="1724">
        <v>-15.5</v>
      </c>
      <c r="AB39" s="1724">
        <v>-6.3999999999999977</v>
      </c>
      <c r="AC39" s="1724">
        <v>50.500000000000007</v>
      </c>
      <c r="AD39" s="1724">
        <v>97.5</v>
      </c>
      <c r="AE39" s="1724">
        <v>0</v>
      </c>
      <c r="AF39" s="1724">
        <v>0</v>
      </c>
      <c r="AG39" s="1724">
        <v>0</v>
      </c>
      <c r="AH39" s="1724">
        <v>-6.6</v>
      </c>
      <c r="AI39" s="1724">
        <v>-8.1999999999999993</v>
      </c>
      <c r="AJ39" s="1724">
        <v>-6.5</v>
      </c>
      <c r="AK39" s="1724">
        <v>-9.8999999999999986</v>
      </c>
      <c r="AL39" s="1724">
        <v>0.70000000000000107</v>
      </c>
      <c r="AM39" s="1172">
        <v>-11.899999999999999</v>
      </c>
      <c r="AN39" s="2384"/>
      <c r="AO39" s="2384" t="s">
        <v>1237</v>
      </c>
      <c r="AP39" s="2384"/>
      <c r="AQ39" s="1554"/>
      <c r="AR39" s="1570"/>
      <c r="AS39" s="3134"/>
    </row>
    <row r="40" spans="13:45" ht="28.35" customHeight="1">
      <c r="M40" s="3136"/>
      <c r="N40" s="3137"/>
      <c r="O40" s="3137"/>
      <c r="P40" s="3137"/>
      <c r="Q40" s="3137"/>
      <c r="R40" s="3137"/>
      <c r="S40" s="3137"/>
      <c r="T40" s="3137" t="s">
        <v>1232</v>
      </c>
      <c r="U40" s="3137"/>
      <c r="V40" s="1156">
        <v>39.1</v>
      </c>
      <c r="W40" s="1156">
        <v>44.8</v>
      </c>
      <c r="X40" s="1156">
        <v>41.9</v>
      </c>
      <c r="Y40" s="1156">
        <v>11.9</v>
      </c>
      <c r="Z40" s="1723">
        <v>57.7</v>
      </c>
      <c r="AA40" s="1723">
        <v>20.400000000000002</v>
      </c>
      <c r="AB40" s="1723">
        <v>29.1</v>
      </c>
      <c r="AC40" s="1723">
        <v>58.900000000000006</v>
      </c>
      <c r="AD40" s="1723">
        <v>98.1</v>
      </c>
      <c r="AE40" s="1723">
        <v>0</v>
      </c>
      <c r="AF40" s="1723">
        <v>0</v>
      </c>
      <c r="AG40" s="1723">
        <v>0</v>
      </c>
      <c r="AH40" s="1723">
        <v>0</v>
      </c>
      <c r="AI40" s="1723">
        <v>0</v>
      </c>
      <c r="AJ40" s="1723">
        <v>0</v>
      </c>
      <c r="AK40" s="1723">
        <v>0.8</v>
      </c>
      <c r="AL40" s="1723">
        <v>14</v>
      </c>
      <c r="AM40" s="1195">
        <v>0</v>
      </c>
      <c r="AN40" s="3138"/>
      <c r="AO40" s="3138" t="s">
        <v>1233</v>
      </c>
      <c r="AP40" s="3138"/>
      <c r="AQ40" s="3138"/>
      <c r="AR40" s="3138"/>
      <c r="AS40" s="1619"/>
    </row>
    <row r="41" spans="13:45" ht="28.35" customHeight="1">
      <c r="M41" s="2888"/>
      <c r="N41" s="1554"/>
      <c r="O41" s="1554"/>
      <c r="P41" s="1554"/>
      <c r="Q41" s="1554"/>
      <c r="R41" s="1554"/>
      <c r="S41" s="1554"/>
      <c r="T41" s="1554" t="s">
        <v>1234</v>
      </c>
      <c r="U41" s="1554"/>
      <c r="V41" s="1141">
        <v>-15.9</v>
      </c>
      <c r="W41" s="1141">
        <v>-19.100000000000001</v>
      </c>
      <c r="X41" s="1141">
        <v>-44.599999999999994</v>
      </c>
      <c r="Y41" s="1141">
        <v>-28.599999999999998</v>
      </c>
      <c r="Z41" s="1724">
        <v>-42.5</v>
      </c>
      <c r="AA41" s="1724">
        <v>-35.700000000000003</v>
      </c>
      <c r="AB41" s="1724">
        <v>-35.5</v>
      </c>
      <c r="AC41" s="1724">
        <v>-8.4</v>
      </c>
      <c r="AD41" s="1724">
        <v>-0.6</v>
      </c>
      <c r="AE41" s="1724">
        <v>0</v>
      </c>
      <c r="AF41" s="1724">
        <v>0</v>
      </c>
      <c r="AG41" s="1724">
        <v>0</v>
      </c>
      <c r="AH41" s="1724">
        <v>-6.6</v>
      </c>
      <c r="AI41" s="1724">
        <v>-8.1999999999999993</v>
      </c>
      <c r="AJ41" s="1724">
        <v>-6.5</v>
      </c>
      <c r="AK41" s="1724">
        <v>-10.7</v>
      </c>
      <c r="AL41" s="1724">
        <v>-13.299999999999999</v>
      </c>
      <c r="AM41" s="1172">
        <v>-11.899999999999999</v>
      </c>
      <c r="AN41" s="2384"/>
      <c r="AO41" s="2384" t="s">
        <v>1235</v>
      </c>
      <c r="AP41" s="2384"/>
      <c r="AQ41" s="2384"/>
      <c r="AR41" s="2384"/>
      <c r="AS41" s="3134"/>
    </row>
    <row r="42" spans="13:45" ht="28.35" customHeight="1">
      <c r="M42" s="3136"/>
      <c r="N42" s="3137"/>
      <c r="O42" s="3137"/>
      <c r="P42" s="3137"/>
      <c r="Q42" s="3137"/>
      <c r="R42" s="3137"/>
      <c r="S42" s="3137"/>
      <c r="T42" s="3137" t="s">
        <v>1238</v>
      </c>
      <c r="U42" s="3137"/>
      <c r="V42" s="1156">
        <v>270.20000000000005</v>
      </c>
      <c r="W42" s="1156">
        <v>347.6</v>
      </c>
      <c r="X42" s="1156">
        <v>223.4</v>
      </c>
      <c r="Y42" s="1156">
        <v>113.29999999999998</v>
      </c>
      <c r="Z42" s="1723">
        <v>163.99999999999997</v>
      </c>
      <c r="AA42" s="1723">
        <v>114.49999999999999</v>
      </c>
      <c r="AB42" s="1723">
        <v>-186.5</v>
      </c>
      <c r="AC42" s="1723">
        <v>-131.80000000000001</v>
      </c>
      <c r="AD42" s="1723">
        <v>154.40000000000003</v>
      </c>
      <c r="AE42" s="1723">
        <v>-1827.45</v>
      </c>
      <c r="AF42" s="1723">
        <v>-103.80000000000001</v>
      </c>
      <c r="AG42" s="1723">
        <v>-65.200000000000045</v>
      </c>
      <c r="AH42" s="1723">
        <v>4.3000000000000114</v>
      </c>
      <c r="AI42" s="1723">
        <v>-58.900000000000006</v>
      </c>
      <c r="AJ42" s="1723">
        <v>-71.599999999999966</v>
      </c>
      <c r="AK42" s="1723">
        <v>92.400000000000034</v>
      </c>
      <c r="AL42" s="1723">
        <v>138.99999999999997</v>
      </c>
      <c r="AM42" s="1195">
        <v>24.69999999999996</v>
      </c>
      <c r="AN42" s="3138"/>
      <c r="AO42" s="3138" t="s">
        <v>1239</v>
      </c>
      <c r="AP42" s="3138"/>
      <c r="AQ42" s="3138"/>
      <c r="AR42" s="3138"/>
      <c r="AS42" s="1619"/>
    </row>
    <row r="43" spans="13:45" ht="28.35" customHeight="1">
      <c r="M43" s="2888"/>
      <c r="N43" s="1554"/>
      <c r="O43" s="1554"/>
      <c r="P43" s="1554"/>
      <c r="Q43" s="1554"/>
      <c r="R43" s="1554"/>
      <c r="S43" s="1554"/>
      <c r="T43" s="1554" t="s">
        <v>1240</v>
      </c>
      <c r="U43" s="1554"/>
      <c r="V43" s="1141">
        <v>618.79999999999995</v>
      </c>
      <c r="W43" s="1141">
        <v>664.9</v>
      </c>
      <c r="X43" s="1141">
        <v>697</v>
      </c>
      <c r="Y43" s="1141">
        <v>686.2</v>
      </c>
      <c r="Z43" s="1724">
        <v>494.90000000000003</v>
      </c>
      <c r="AA43" s="1724">
        <v>486.6</v>
      </c>
      <c r="AB43" s="1724">
        <v>164.9</v>
      </c>
      <c r="AC43" s="1724">
        <v>182.1</v>
      </c>
      <c r="AD43" s="1724">
        <v>416.2</v>
      </c>
      <c r="AE43" s="1724">
        <v>129.30000000000001</v>
      </c>
      <c r="AF43" s="1724">
        <v>99.4</v>
      </c>
      <c r="AG43" s="1724">
        <v>150.69999999999999</v>
      </c>
      <c r="AH43" s="1724">
        <v>166.4</v>
      </c>
      <c r="AI43" s="1724">
        <v>122.6</v>
      </c>
      <c r="AJ43" s="1724">
        <v>125.9</v>
      </c>
      <c r="AK43" s="1724">
        <v>236.50000000000003</v>
      </c>
      <c r="AL43" s="1724">
        <v>241.2</v>
      </c>
      <c r="AM43" s="1172">
        <v>98.1</v>
      </c>
      <c r="AN43" s="2384"/>
      <c r="AO43" s="2384" t="s">
        <v>1241</v>
      </c>
      <c r="AP43" s="2384"/>
      <c r="AQ43" s="2384"/>
      <c r="AR43" s="1570"/>
      <c r="AS43" s="3134"/>
    </row>
    <row r="44" spans="13:45" ht="28.35" customHeight="1">
      <c r="M44" s="3136"/>
      <c r="N44" s="3137"/>
      <c r="O44" s="3137"/>
      <c r="P44" s="3137"/>
      <c r="Q44" s="3137"/>
      <c r="R44" s="3137"/>
      <c r="S44" s="3137"/>
      <c r="T44" s="3137" t="s">
        <v>1242</v>
      </c>
      <c r="U44" s="3137"/>
      <c r="V44" s="1156">
        <v>0</v>
      </c>
      <c r="W44" s="1156">
        <v>0</v>
      </c>
      <c r="X44" s="1156">
        <v>0</v>
      </c>
      <c r="Y44" s="1156">
        <v>0</v>
      </c>
      <c r="Z44" s="1723">
        <v>0</v>
      </c>
      <c r="AA44" s="1723">
        <v>0</v>
      </c>
      <c r="AB44" s="1723">
        <v>0</v>
      </c>
      <c r="AC44" s="1723">
        <v>0</v>
      </c>
      <c r="AD44" s="1723">
        <v>0</v>
      </c>
      <c r="AE44" s="1723">
        <v>0</v>
      </c>
      <c r="AF44" s="1723">
        <v>140.69999999999999</v>
      </c>
      <c r="AG44" s="1723">
        <v>148.19999999999999</v>
      </c>
      <c r="AH44" s="1723">
        <v>154.79999999999998</v>
      </c>
      <c r="AI44" s="1723">
        <v>161.80000000000001</v>
      </c>
      <c r="AJ44" s="1723">
        <v>194.3</v>
      </c>
      <c r="AK44" s="1723">
        <v>154.4</v>
      </c>
      <c r="AL44" s="1723">
        <v>144.9</v>
      </c>
      <c r="AM44" s="1195">
        <v>141.6</v>
      </c>
      <c r="AN44" s="3138"/>
      <c r="AO44" s="3138" t="s">
        <v>1243</v>
      </c>
      <c r="AP44" s="3138"/>
      <c r="AQ44" s="3138"/>
      <c r="AR44" s="3138"/>
      <c r="AS44" s="1619"/>
    </row>
    <row r="45" spans="13:45" ht="28.35" customHeight="1">
      <c r="M45" s="2888"/>
      <c r="N45" s="1554"/>
      <c r="O45" s="1554"/>
      <c r="P45" s="1554"/>
      <c r="Q45" s="1554"/>
      <c r="R45" s="1554"/>
      <c r="S45" s="1554"/>
      <c r="T45" s="1554" t="s">
        <v>1244</v>
      </c>
      <c r="U45" s="1554"/>
      <c r="V45" s="1141">
        <v>-348.6</v>
      </c>
      <c r="W45" s="1141">
        <v>-317.3</v>
      </c>
      <c r="X45" s="1141">
        <v>-473.6</v>
      </c>
      <c r="Y45" s="1141">
        <v>-572.9</v>
      </c>
      <c r="Z45" s="1724">
        <v>-330.90000000000003</v>
      </c>
      <c r="AA45" s="1724">
        <v>-372.1</v>
      </c>
      <c r="AB45" s="1724">
        <v>-351.4</v>
      </c>
      <c r="AC45" s="1724">
        <v>-313.89999999999998</v>
      </c>
      <c r="AD45" s="1724">
        <v>-261.8</v>
      </c>
      <c r="AE45" s="1724">
        <v>-1956.8</v>
      </c>
      <c r="AF45" s="1724">
        <v>-343.9</v>
      </c>
      <c r="AG45" s="1724">
        <v>-364.1</v>
      </c>
      <c r="AH45" s="1724">
        <v>-316.89999999999998</v>
      </c>
      <c r="AI45" s="1724">
        <v>-343.3</v>
      </c>
      <c r="AJ45" s="1724">
        <v>-391.79999999999995</v>
      </c>
      <c r="AK45" s="1724">
        <v>-298.5</v>
      </c>
      <c r="AL45" s="1724">
        <v>-247.10000000000002</v>
      </c>
      <c r="AM45" s="1172">
        <v>-215.00000000000003</v>
      </c>
      <c r="AN45" s="2384"/>
      <c r="AO45" s="2384" t="s">
        <v>1245</v>
      </c>
      <c r="AP45" s="2384"/>
      <c r="AQ45" s="2384"/>
      <c r="AR45" s="1570"/>
      <c r="AS45" s="3134"/>
    </row>
    <row r="46" spans="13:45" ht="28.35" customHeight="1">
      <c r="M46" s="3136"/>
      <c r="N46" s="3137"/>
      <c r="O46" s="3137"/>
      <c r="P46" s="3137"/>
      <c r="Q46" s="3137"/>
      <c r="R46" s="3137"/>
      <c r="S46" s="3137"/>
      <c r="T46" s="3137"/>
      <c r="U46" s="3137" t="s">
        <v>1246</v>
      </c>
      <c r="V46" s="1156">
        <v>0</v>
      </c>
      <c r="W46" s="1156">
        <v>0</v>
      </c>
      <c r="X46" s="1156">
        <v>0</v>
      </c>
      <c r="Y46" s="1156">
        <v>0</v>
      </c>
      <c r="Z46" s="1723">
        <v>0</v>
      </c>
      <c r="AA46" s="1723">
        <v>0</v>
      </c>
      <c r="AB46" s="1723">
        <v>0</v>
      </c>
      <c r="AC46" s="1723">
        <v>0</v>
      </c>
      <c r="AD46" s="1723">
        <v>-0.5</v>
      </c>
      <c r="AE46" s="1723">
        <v>-39.199999999999996</v>
      </c>
      <c r="AF46" s="1723">
        <v>-9.5</v>
      </c>
      <c r="AG46" s="1723">
        <v>-54.900000000000006</v>
      </c>
      <c r="AH46" s="1723">
        <v>-6.2</v>
      </c>
      <c r="AI46" s="1723">
        <v>-1.4000000000000001</v>
      </c>
      <c r="AJ46" s="1723">
        <v>-105.5</v>
      </c>
      <c r="AK46" s="1723">
        <v>-48.800000000000004</v>
      </c>
      <c r="AL46" s="1723">
        <v>-22.9</v>
      </c>
      <c r="AM46" s="1195">
        <v>-35.699999999999996</v>
      </c>
      <c r="AN46" s="3138" t="s">
        <v>1247</v>
      </c>
      <c r="AO46" s="3138"/>
      <c r="AP46" s="3138"/>
      <c r="AQ46" s="3138"/>
      <c r="AR46" s="3138"/>
      <c r="AS46" s="1619"/>
    </row>
    <row r="47" spans="13:45" ht="28.35" customHeight="1">
      <c r="M47" s="2888"/>
      <c r="N47" s="1554"/>
      <c r="O47" s="1554"/>
      <c r="P47" s="1554"/>
      <c r="Q47" s="1554"/>
      <c r="R47" s="1554"/>
      <c r="S47" s="1554"/>
      <c r="T47" s="1554"/>
      <c r="U47" s="1196" t="s">
        <v>1248</v>
      </c>
      <c r="V47" s="1141">
        <v>0</v>
      </c>
      <c r="W47" s="1141">
        <v>0</v>
      </c>
      <c r="X47" s="1141">
        <v>0</v>
      </c>
      <c r="Y47" s="1141">
        <v>0</v>
      </c>
      <c r="Z47" s="1724">
        <v>0</v>
      </c>
      <c r="AA47" s="1724">
        <v>0</v>
      </c>
      <c r="AB47" s="1724">
        <v>0</v>
      </c>
      <c r="AC47" s="1724">
        <v>0</v>
      </c>
      <c r="AD47" s="1724">
        <v>0</v>
      </c>
      <c r="AE47" s="1724">
        <v>0</v>
      </c>
      <c r="AF47" s="1724">
        <v>-94.1</v>
      </c>
      <c r="AG47" s="1724">
        <v>-96.300000000000011</v>
      </c>
      <c r="AH47" s="1724">
        <v>-94.8</v>
      </c>
      <c r="AI47" s="1724">
        <v>-93.9</v>
      </c>
      <c r="AJ47" s="1724">
        <v>-94.7</v>
      </c>
      <c r="AK47" s="1724">
        <v>-79.600000000000009</v>
      </c>
      <c r="AL47" s="1724">
        <v>-76</v>
      </c>
      <c r="AM47" s="1172">
        <v>-57.6</v>
      </c>
      <c r="AN47" s="2384" t="s">
        <v>1249</v>
      </c>
      <c r="AO47" s="2384"/>
      <c r="AP47" s="2384"/>
      <c r="AQ47" s="2384"/>
      <c r="AR47" s="1570"/>
      <c r="AS47" s="3134"/>
    </row>
    <row r="48" spans="13:45" ht="28.35" customHeight="1">
      <c r="M48" s="3136"/>
      <c r="N48" s="3137"/>
      <c r="O48" s="3137"/>
      <c r="P48" s="3137"/>
      <c r="Q48" s="3137"/>
      <c r="R48" s="3137"/>
      <c r="S48" s="3137"/>
      <c r="T48" s="3137" t="s">
        <v>1250</v>
      </c>
      <c r="U48" s="3137"/>
      <c r="V48" s="1156">
        <v>-37.400000000000006</v>
      </c>
      <c r="W48" s="1156">
        <v>78.3</v>
      </c>
      <c r="X48" s="1156">
        <v>-1.7999999999999998</v>
      </c>
      <c r="Y48" s="1156">
        <v>2.6999999999999997</v>
      </c>
      <c r="Z48" s="1723">
        <v>1.9000000000000001</v>
      </c>
      <c r="AA48" s="1723">
        <v>-5.6000000000000005</v>
      </c>
      <c r="AB48" s="1723">
        <v>5.2</v>
      </c>
      <c r="AC48" s="1723">
        <v>-7.9</v>
      </c>
      <c r="AD48" s="1723">
        <v>-26.4</v>
      </c>
      <c r="AE48" s="1723">
        <v>-38.70000000000001</v>
      </c>
      <c r="AF48" s="1723">
        <v>-2.5999999999999996</v>
      </c>
      <c r="AG48" s="1723">
        <v>49.599999999999994</v>
      </c>
      <c r="AH48" s="1723">
        <v>28.400000000000002</v>
      </c>
      <c r="AI48" s="1723">
        <v>2.6000000000000005</v>
      </c>
      <c r="AJ48" s="1723">
        <v>-1</v>
      </c>
      <c r="AK48" s="1723">
        <v>7.4999999999999991</v>
      </c>
      <c r="AL48" s="1723">
        <v>0.20000000000000018</v>
      </c>
      <c r="AM48" s="1195">
        <v>-1</v>
      </c>
      <c r="AN48" s="3138"/>
      <c r="AO48" s="3138" t="s">
        <v>1251</v>
      </c>
      <c r="AP48" s="3138"/>
      <c r="AQ48" s="3138"/>
      <c r="AR48" s="3138"/>
      <c r="AS48" s="1619"/>
    </row>
    <row r="49" spans="13:53" ht="28.35" customHeight="1">
      <c r="M49" s="2888"/>
      <c r="N49" s="1554"/>
      <c r="O49" s="1554"/>
      <c r="P49" s="1554"/>
      <c r="Q49" s="1554"/>
      <c r="R49" s="1554"/>
      <c r="S49" s="1554"/>
      <c r="T49" s="1554" t="s">
        <v>1252</v>
      </c>
      <c r="U49" s="1196"/>
      <c r="V49" s="1150">
        <v>-72.8</v>
      </c>
      <c r="W49" s="1150">
        <v>-25.499999999999996</v>
      </c>
      <c r="X49" s="1150">
        <v>-126.99999999999997</v>
      </c>
      <c r="Y49" s="1150">
        <v>19.199999999999989</v>
      </c>
      <c r="Z49" s="2245">
        <v>209.59999999999997</v>
      </c>
      <c r="AA49" s="2245">
        <v>179.6</v>
      </c>
      <c r="AB49" s="2245">
        <v>82.1</v>
      </c>
      <c r="AC49" s="2245">
        <v>375.9</v>
      </c>
      <c r="AD49" s="2245">
        <v>204.1</v>
      </c>
      <c r="AE49" s="2245">
        <v>6.55</v>
      </c>
      <c r="AF49" s="2245">
        <v>32.200000000000003</v>
      </c>
      <c r="AG49" s="2245">
        <v>39.500000000000007</v>
      </c>
      <c r="AH49" s="2245">
        <v>0.29999999999999716</v>
      </c>
      <c r="AI49" s="2245">
        <v>-56.8</v>
      </c>
      <c r="AJ49" s="1724">
        <v>-38.1</v>
      </c>
      <c r="AK49" s="1724">
        <v>-37</v>
      </c>
      <c r="AL49" s="1724">
        <v>-23.799999999999997</v>
      </c>
      <c r="AM49" s="1172">
        <v>46.399999999999991</v>
      </c>
      <c r="AN49" s="2384"/>
      <c r="AO49" s="2384" t="s">
        <v>1253</v>
      </c>
      <c r="AP49" s="2384"/>
      <c r="AQ49" s="2384"/>
      <c r="AR49" s="1570"/>
      <c r="AS49" s="3134"/>
    </row>
    <row r="50" spans="13:53" ht="28.35" customHeight="1">
      <c r="M50" s="3136"/>
      <c r="N50" s="3137"/>
      <c r="O50" s="3137"/>
      <c r="P50" s="3137"/>
      <c r="Q50" s="3137"/>
      <c r="R50" s="3137"/>
      <c r="S50" s="3137"/>
      <c r="T50" s="3137" t="s">
        <v>1240</v>
      </c>
      <c r="U50" s="3137"/>
      <c r="V50" s="1156">
        <v>74.300000000000011</v>
      </c>
      <c r="W50" s="1156">
        <v>99.2</v>
      </c>
      <c r="X50" s="1156">
        <v>31.700000000000003</v>
      </c>
      <c r="Y50" s="1156">
        <v>162.1</v>
      </c>
      <c r="Z50" s="1723">
        <v>264.39999999999998</v>
      </c>
      <c r="AA50" s="1723">
        <v>230.3</v>
      </c>
      <c r="AB50" s="1723">
        <v>102.6</v>
      </c>
      <c r="AC50" s="1723">
        <v>408.7</v>
      </c>
      <c r="AD50" s="1723">
        <v>235.4</v>
      </c>
      <c r="AE50" s="1723">
        <v>29.400000000000002</v>
      </c>
      <c r="AF50" s="1723">
        <v>62.300000000000004</v>
      </c>
      <c r="AG50" s="1723">
        <v>55.800000000000004</v>
      </c>
      <c r="AH50" s="1723">
        <v>18.399999999999999</v>
      </c>
      <c r="AI50" s="1723">
        <v>1.7</v>
      </c>
      <c r="AJ50" s="1723">
        <v>0.9</v>
      </c>
      <c r="AK50" s="1723">
        <v>8.2999999999999989</v>
      </c>
      <c r="AL50" s="1723">
        <v>14.5</v>
      </c>
      <c r="AM50" s="1195">
        <v>97.8</v>
      </c>
      <c r="AN50" s="3138"/>
      <c r="AO50" s="3138" t="s">
        <v>1241</v>
      </c>
      <c r="AP50" s="3138"/>
      <c r="AQ50" s="3138"/>
      <c r="AR50" s="3138"/>
      <c r="AS50" s="1619"/>
    </row>
    <row r="51" spans="13:53" ht="28.35" customHeight="1">
      <c r="M51" s="2888"/>
      <c r="N51" s="1554"/>
      <c r="O51" s="1554"/>
      <c r="P51" s="1554"/>
      <c r="Q51" s="1554"/>
      <c r="R51" s="1554"/>
      <c r="S51" s="1554"/>
      <c r="T51" s="1554" t="s">
        <v>1254</v>
      </c>
      <c r="U51" s="1196"/>
      <c r="V51" s="1141">
        <v>-147.1</v>
      </c>
      <c r="W51" s="1141">
        <v>-124.69999999999999</v>
      </c>
      <c r="X51" s="1141">
        <v>-158.69999999999999</v>
      </c>
      <c r="Y51" s="1141">
        <v>-142.9</v>
      </c>
      <c r="Z51" s="1724">
        <v>-54.8</v>
      </c>
      <c r="AA51" s="1724">
        <v>-50.7</v>
      </c>
      <c r="AB51" s="1724">
        <v>-20.5</v>
      </c>
      <c r="AC51" s="1724">
        <v>-32.799999999999997</v>
      </c>
      <c r="AD51" s="1724">
        <v>-31.3</v>
      </c>
      <c r="AE51" s="1724">
        <v>-22.85</v>
      </c>
      <c r="AF51" s="1724">
        <v>-30.1</v>
      </c>
      <c r="AG51" s="1724">
        <v>-16.299999999999997</v>
      </c>
      <c r="AH51" s="1724">
        <v>-18.100000000000001</v>
      </c>
      <c r="AI51" s="1724">
        <v>-58.5</v>
      </c>
      <c r="AJ51" s="1724">
        <v>-39</v>
      </c>
      <c r="AK51" s="1724">
        <v>-45.3</v>
      </c>
      <c r="AL51" s="1724">
        <v>-38.299999999999997</v>
      </c>
      <c r="AM51" s="1172">
        <v>-51.400000000000006</v>
      </c>
      <c r="AN51" s="2384"/>
      <c r="AO51" s="2384" t="s">
        <v>1255</v>
      </c>
      <c r="AP51" s="2384"/>
      <c r="AQ51" s="2384"/>
      <c r="AR51" s="1570"/>
      <c r="AS51" s="3134"/>
    </row>
    <row r="52" spans="13:53" ht="28.35" customHeight="1">
      <c r="M52" s="3136"/>
      <c r="N52" s="3137"/>
      <c r="O52" s="3137"/>
      <c r="P52" s="3137"/>
      <c r="Q52" s="3137"/>
      <c r="R52" s="3137"/>
      <c r="S52" s="3137"/>
      <c r="T52" s="3137" t="s">
        <v>1256</v>
      </c>
      <c r="U52" s="3137"/>
      <c r="V52" s="1156">
        <v>384.7</v>
      </c>
      <c r="W52" s="1156">
        <v>-465.90000000000003</v>
      </c>
      <c r="X52" s="1156">
        <v>-323.20000000000005</v>
      </c>
      <c r="Y52" s="1156">
        <v>-158.59999999999994</v>
      </c>
      <c r="Z52" s="1723">
        <v>1753.4</v>
      </c>
      <c r="AA52" s="1723">
        <v>32.200000000000045</v>
      </c>
      <c r="AB52" s="1723">
        <v>175.20000000000007</v>
      </c>
      <c r="AC52" s="1723">
        <v>663.6</v>
      </c>
      <c r="AD52" s="1723">
        <v>38.200000000000031</v>
      </c>
      <c r="AE52" s="1723">
        <v>849.4</v>
      </c>
      <c r="AF52" s="1723">
        <v>554.6</v>
      </c>
      <c r="AG52" s="1723">
        <v>590.09999999999991</v>
      </c>
      <c r="AH52" s="1723">
        <v>164.99999999999997</v>
      </c>
      <c r="AI52" s="1723">
        <v>218.29999999999998</v>
      </c>
      <c r="AJ52" s="1723">
        <v>-72.500000000000014</v>
      </c>
      <c r="AK52" s="1723">
        <v>322.2</v>
      </c>
      <c r="AL52" s="1723">
        <v>221.9</v>
      </c>
      <c r="AM52" s="1195">
        <v>243.6</v>
      </c>
      <c r="AN52" s="3138"/>
      <c r="AO52" s="3138" t="s">
        <v>1257</v>
      </c>
      <c r="AP52" s="3138"/>
      <c r="AQ52" s="3138"/>
      <c r="AR52" s="3138"/>
      <c r="AS52" s="1619"/>
    </row>
    <row r="53" spans="13:53" ht="28.35" customHeight="1">
      <c r="M53" s="2888"/>
      <c r="N53" s="1554"/>
      <c r="O53" s="1554"/>
      <c r="P53" s="1554"/>
      <c r="Q53" s="1554"/>
      <c r="R53" s="1554"/>
      <c r="S53" s="1554"/>
      <c r="T53" s="1554" t="s">
        <v>1215</v>
      </c>
      <c r="U53" s="1196"/>
      <c r="V53" s="1141">
        <v>-102.80000000000001</v>
      </c>
      <c r="W53" s="1141">
        <v>-194.39999999999998</v>
      </c>
      <c r="X53" s="1141">
        <v>-235.29999999999998</v>
      </c>
      <c r="Y53" s="1141">
        <v>-152.30000000000001</v>
      </c>
      <c r="Z53" s="1724">
        <v>736</v>
      </c>
      <c r="AA53" s="1724">
        <v>503.3</v>
      </c>
      <c r="AB53" s="1724">
        <v>-355</v>
      </c>
      <c r="AC53" s="1724">
        <v>346.3</v>
      </c>
      <c r="AD53" s="1724">
        <v>-138.79999999999998</v>
      </c>
      <c r="AE53" s="1724">
        <v>74.09999999999998</v>
      </c>
      <c r="AF53" s="1724">
        <v>1.6</v>
      </c>
      <c r="AG53" s="1724">
        <v>69.3</v>
      </c>
      <c r="AH53" s="1724">
        <v>9.9999999999999978E-2</v>
      </c>
      <c r="AI53" s="1724">
        <v>-12.6</v>
      </c>
      <c r="AJ53" s="1724">
        <v>-3</v>
      </c>
      <c r="AK53" s="1724">
        <v>-0.69999999999999973</v>
      </c>
      <c r="AL53" s="1724">
        <v>2.5999999999999996</v>
      </c>
      <c r="AM53" s="1172">
        <v>-37.6</v>
      </c>
      <c r="AN53" s="2384"/>
      <c r="AO53" s="2384" t="s">
        <v>1258</v>
      </c>
      <c r="AP53" s="2384"/>
      <c r="AQ53" s="1554"/>
      <c r="AR53" s="1570"/>
      <c r="AS53" s="3134"/>
    </row>
    <row r="54" spans="13:53" ht="28.35" customHeight="1">
      <c r="M54" s="3136"/>
      <c r="N54" s="3137"/>
      <c r="O54" s="3137"/>
      <c r="P54" s="3137"/>
      <c r="Q54" s="3137"/>
      <c r="R54" s="3137"/>
      <c r="S54" s="3137"/>
      <c r="T54" s="3137" t="s">
        <v>1217</v>
      </c>
      <c r="U54" s="3137"/>
      <c r="V54" s="1156">
        <v>487.5</v>
      </c>
      <c r="W54" s="1156">
        <v>-271.5</v>
      </c>
      <c r="X54" s="1156">
        <v>-87.900000000000034</v>
      </c>
      <c r="Y54" s="1156">
        <v>-6.2999999999999829</v>
      </c>
      <c r="Z54" s="1723">
        <v>1017.4</v>
      </c>
      <c r="AA54" s="1723">
        <v>-471.1</v>
      </c>
      <c r="AB54" s="1723">
        <v>175.50000000000011</v>
      </c>
      <c r="AC54" s="1723">
        <v>317.3</v>
      </c>
      <c r="AD54" s="1723">
        <v>177</v>
      </c>
      <c r="AE54" s="1723">
        <v>775.30000000000007</v>
      </c>
      <c r="AF54" s="1723">
        <v>553</v>
      </c>
      <c r="AG54" s="1723">
        <v>520.79999999999995</v>
      </c>
      <c r="AH54" s="1723">
        <v>164.89999999999998</v>
      </c>
      <c r="AI54" s="1723">
        <v>230.89999999999998</v>
      </c>
      <c r="AJ54" s="1723">
        <v>-69.500000000000014</v>
      </c>
      <c r="AK54" s="1723">
        <v>322.89999999999998</v>
      </c>
      <c r="AL54" s="1723">
        <v>219.3</v>
      </c>
      <c r="AM54" s="1195">
        <v>281.2</v>
      </c>
      <c r="AN54" s="3138"/>
      <c r="AO54" s="3138" t="s">
        <v>1259</v>
      </c>
      <c r="AP54" s="3138"/>
      <c r="AQ54" s="3138"/>
      <c r="AR54" s="3138"/>
      <c r="AS54" s="1619"/>
    </row>
    <row r="55" spans="13:53" s="3139" customFormat="1" ht="28.35" customHeight="1">
      <c r="M55" s="2888"/>
      <c r="N55" s="1554"/>
      <c r="O55" s="1554"/>
      <c r="P55" s="1554"/>
      <c r="Q55" s="1554"/>
      <c r="R55" s="1554"/>
      <c r="S55" s="1554"/>
      <c r="T55" s="1554"/>
      <c r="U55" s="1554" t="s">
        <v>2924</v>
      </c>
      <c r="V55" s="1141">
        <v>-81.600000000000009</v>
      </c>
      <c r="W55" s="1141">
        <v>64.5</v>
      </c>
      <c r="X55" s="1141">
        <v>22.8</v>
      </c>
      <c r="Y55" s="1141">
        <v>5.7000000000000028</v>
      </c>
      <c r="Z55" s="1724">
        <v>-110.5</v>
      </c>
      <c r="AA55" s="1724">
        <v>140.00000000000003</v>
      </c>
      <c r="AB55" s="1724">
        <v>-7.7</v>
      </c>
      <c r="AC55" s="1724">
        <v>6.8000000000000007</v>
      </c>
      <c r="AD55" s="1724">
        <v>164.1</v>
      </c>
      <c r="AE55" s="1724">
        <v>-7.4999999999999991</v>
      </c>
      <c r="AF55" s="1724">
        <v>26.9</v>
      </c>
      <c r="AG55" s="1724">
        <v>-65.2</v>
      </c>
      <c r="AH55" s="1724">
        <v>48.600000000000009</v>
      </c>
      <c r="AI55" s="1724">
        <v>-22.1</v>
      </c>
      <c r="AJ55" s="1724">
        <v>-123.9</v>
      </c>
      <c r="AK55" s="1724">
        <v>27.2</v>
      </c>
      <c r="AL55" s="1724">
        <v>60.3</v>
      </c>
      <c r="AM55" s="1172">
        <v>98.3</v>
      </c>
      <c r="AN55" s="2384" t="s">
        <v>1260</v>
      </c>
      <c r="AO55" s="2384"/>
      <c r="AP55" s="2384"/>
      <c r="AQ55" s="2384"/>
      <c r="AR55" s="2384"/>
      <c r="AS55" s="3134"/>
      <c r="AU55" s="1792"/>
      <c r="AV55" s="1792"/>
      <c r="AW55" s="1792"/>
      <c r="AX55" s="1792"/>
      <c r="AY55" s="1792"/>
      <c r="AZ55" s="1792"/>
      <c r="BA55" s="1792"/>
    </row>
    <row r="56" spans="13:53" s="3139" customFormat="1" ht="28.35" customHeight="1">
      <c r="M56" s="3136"/>
      <c r="N56" s="3137"/>
      <c r="O56" s="3137"/>
      <c r="P56" s="3137"/>
      <c r="Q56" s="3137"/>
      <c r="R56" s="3137"/>
      <c r="S56" s="3137"/>
      <c r="T56" s="3137"/>
      <c r="U56" s="3137" t="s">
        <v>2925</v>
      </c>
      <c r="V56" s="1156">
        <v>0</v>
      </c>
      <c r="W56" s="1156">
        <v>0</v>
      </c>
      <c r="X56" s="1156">
        <v>0</v>
      </c>
      <c r="Y56" s="1156">
        <v>0</v>
      </c>
      <c r="Z56" s="1723">
        <v>0</v>
      </c>
      <c r="AA56" s="1723">
        <v>0</v>
      </c>
      <c r="AB56" s="1723">
        <v>0</v>
      </c>
      <c r="AC56" s="1723">
        <v>0</v>
      </c>
      <c r="AD56" s="1723">
        <v>162.19999999999999</v>
      </c>
      <c r="AE56" s="1723">
        <v>0</v>
      </c>
      <c r="AF56" s="1723">
        <v>0</v>
      </c>
      <c r="AG56" s="1723">
        <v>0</v>
      </c>
      <c r="AH56" s="1723">
        <v>0</v>
      </c>
      <c r="AI56" s="1723">
        <v>0</v>
      </c>
      <c r="AJ56" s="1723">
        <v>0</v>
      </c>
      <c r="AK56" s="1723">
        <v>0</v>
      </c>
      <c r="AL56" s="1723">
        <v>0</v>
      </c>
      <c r="AM56" s="1195">
        <v>0</v>
      </c>
      <c r="AN56" s="3138" t="s">
        <v>1261</v>
      </c>
      <c r="AO56" s="3137"/>
      <c r="AP56" s="3138"/>
      <c r="AQ56" s="3138"/>
      <c r="AR56" s="3138"/>
      <c r="AS56" s="1619"/>
      <c r="AU56" s="1792"/>
      <c r="AV56" s="1792"/>
      <c r="AW56" s="1792"/>
      <c r="AX56" s="1792"/>
      <c r="AY56" s="1792"/>
      <c r="AZ56" s="1792"/>
      <c r="BA56" s="1792"/>
    </row>
    <row r="57" spans="13:53" s="3139" customFormat="1" ht="28.35" customHeight="1">
      <c r="M57" s="2888"/>
      <c r="N57" s="1554"/>
      <c r="O57" s="1554"/>
      <c r="P57" s="1554"/>
      <c r="Q57" s="1554"/>
      <c r="R57" s="1554"/>
      <c r="S57" s="1554"/>
      <c r="T57" s="1554"/>
      <c r="U57" s="1196" t="s">
        <v>1262</v>
      </c>
      <c r="V57" s="1141">
        <v>0</v>
      </c>
      <c r="W57" s="1141">
        <v>0</v>
      </c>
      <c r="X57" s="1141">
        <v>0</v>
      </c>
      <c r="Y57" s="1141">
        <v>0</v>
      </c>
      <c r="Z57" s="1724">
        <v>0</v>
      </c>
      <c r="AA57" s="1724">
        <v>0</v>
      </c>
      <c r="AB57" s="1724">
        <v>0</v>
      </c>
      <c r="AC57" s="1724">
        <v>0</v>
      </c>
      <c r="AD57" s="1724">
        <v>162.19999999999999</v>
      </c>
      <c r="AE57" s="1724">
        <v>0</v>
      </c>
      <c r="AF57" s="1724">
        <v>0</v>
      </c>
      <c r="AG57" s="1724">
        <v>0</v>
      </c>
      <c r="AH57" s="1724">
        <v>0</v>
      </c>
      <c r="AI57" s="1724">
        <v>0</v>
      </c>
      <c r="AJ57" s="1724">
        <v>0</v>
      </c>
      <c r="AK57" s="1724">
        <v>0</v>
      </c>
      <c r="AL57" s="1724">
        <v>0</v>
      </c>
      <c r="AM57" s="1172">
        <v>0</v>
      </c>
      <c r="AN57" s="2384" t="s">
        <v>1263</v>
      </c>
      <c r="AO57" s="1554"/>
      <c r="AP57" s="2384"/>
      <c r="AQ57" s="2384"/>
      <c r="AR57" s="2384"/>
      <c r="AS57" s="3134"/>
      <c r="AU57" s="1792"/>
      <c r="AV57" s="1792"/>
      <c r="AW57" s="1792"/>
      <c r="AX57" s="1792"/>
      <c r="AY57" s="1792"/>
      <c r="AZ57" s="1792"/>
      <c r="BA57" s="1792"/>
    </row>
    <row r="58" spans="13:53" s="3140" customFormat="1" ht="28.35" customHeight="1">
      <c r="M58" s="3141"/>
      <c r="N58" s="3142" t="s">
        <v>1264</v>
      </c>
      <c r="O58" s="3142"/>
      <c r="P58" s="3142"/>
      <c r="Q58" s="3142"/>
      <c r="R58" s="3142"/>
      <c r="S58" s="3142"/>
      <c r="T58" s="3142"/>
      <c r="U58" s="3142"/>
      <c r="V58" s="1753">
        <v>92.400000000000091</v>
      </c>
      <c r="W58" s="1753">
        <v>783.10000000000014</v>
      </c>
      <c r="X58" s="1753">
        <v>-547.6</v>
      </c>
      <c r="Y58" s="1753">
        <v>-1678</v>
      </c>
      <c r="Z58" s="1754">
        <v>-3713.5</v>
      </c>
      <c r="AA58" s="1754">
        <v>2325.6</v>
      </c>
      <c r="AB58" s="1754">
        <v>1172.3</v>
      </c>
      <c r="AC58" s="1754">
        <v>-1030.7</v>
      </c>
      <c r="AD58" s="1754">
        <v>-2209.1999999999998</v>
      </c>
      <c r="AE58" s="1754">
        <v>-808.8</v>
      </c>
      <c r="AF58" s="1754">
        <v>-576.9</v>
      </c>
      <c r="AG58" s="1754">
        <v>-959.59999999999991</v>
      </c>
      <c r="AH58" s="1754">
        <v>-130.1</v>
      </c>
      <c r="AI58" s="1754">
        <v>-58.100000000000023</v>
      </c>
      <c r="AJ58" s="1754">
        <v>-834.4</v>
      </c>
      <c r="AK58" s="1754">
        <v>-642.90000000000009</v>
      </c>
      <c r="AL58" s="1754">
        <v>189.19999999999993</v>
      </c>
      <c r="AM58" s="1343">
        <v>-486.20000000000005</v>
      </c>
      <c r="AN58" s="3143"/>
      <c r="AO58" s="3143"/>
      <c r="AP58" s="3143"/>
      <c r="AQ58" s="3143" t="s">
        <v>1265</v>
      </c>
      <c r="AR58" s="3142"/>
      <c r="AS58" s="3144"/>
      <c r="AU58" s="1792"/>
      <c r="AV58" s="1792"/>
      <c r="AW58" s="1792"/>
      <c r="AX58" s="1792"/>
      <c r="AY58" s="1792"/>
      <c r="AZ58" s="1792"/>
      <c r="BA58" s="1792"/>
    </row>
    <row r="59" spans="13:53" ht="28.35" customHeight="1">
      <c r="M59" s="2888"/>
      <c r="N59" s="1554"/>
      <c r="O59" s="1554"/>
      <c r="P59" s="1554" t="s">
        <v>1266</v>
      </c>
      <c r="Q59" s="1554"/>
      <c r="R59" s="1554"/>
      <c r="S59" s="1554"/>
      <c r="T59" s="1554"/>
      <c r="U59" s="1554"/>
      <c r="V59" s="1141">
        <v>-268.29999999999995</v>
      </c>
      <c r="W59" s="1141">
        <v>-32.799999999999983</v>
      </c>
      <c r="X59" s="1141">
        <v>-611</v>
      </c>
      <c r="Y59" s="1141">
        <v>-110</v>
      </c>
      <c r="Z59" s="1724">
        <v>-55</v>
      </c>
      <c r="AA59" s="1724">
        <v>-42.4</v>
      </c>
      <c r="AB59" s="1724">
        <v>0</v>
      </c>
      <c r="AC59" s="1724">
        <v>0</v>
      </c>
      <c r="AD59" s="1724">
        <v>0</v>
      </c>
      <c r="AE59" s="1724">
        <v>28.200000000000003</v>
      </c>
      <c r="AF59" s="1724">
        <v>-28.8</v>
      </c>
      <c r="AG59" s="1724">
        <v>0.7</v>
      </c>
      <c r="AH59" s="1724">
        <v>0</v>
      </c>
      <c r="AI59" s="1724">
        <v>0</v>
      </c>
      <c r="AJ59" s="1724">
        <v>-0.30000000000000004</v>
      </c>
      <c r="AK59" s="1724">
        <v>-0.89999999999999991</v>
      </c>
      <c r="AL59" s="1724">
        <v>-0.8</v>
      </c>
      <c r="AM59" s="1172">
        <v>14.8</v>
      </c>
      <c r="AN59" s="2384"/>
      <c r="AO59" s="2384" t="s">
        <v>1267</v>
      </c>
      <c r="AP59" s="2384"/>
      <c r="AQ59" s="2384"/>
      <c r="AR59" s="2384"/>
      <c r="AS59" s="3134"/>
    </row>
    <row r="60" spans="13:53" ht="28.35" customHeight="1">
      <c r="M60" s="3136"/>
      <c r="N60" s="3137"/>
      <c r="O60" s="3137"/>
      <c r="P60" s="3137" t="s">
        <v>1268</v>
      </c>
      <c r="Q60" s="3137"/>
      <c r="R60" s="3137"/>
      <c r="S60" s="3137"/>
      <c r="T60" s="3137"/>
      <c r="U60" s="3137"/>
      <c r="V60" s="1156">
        <v>24.699999999999996</v>
      </c>
      <c r="W60" s="1156">
        <v>29.5</v>
      </c>
      <c r="X60" s="1156">
        <v>29.9</v>
      </c>
      <c r="Y60" s="1156">
        <v>24.6</v>
      </c>
      <c r="Z60" s="1723">
        <v>4.8</v>
      </c>
      <c r="AA60" s="1723">
        <v>4</v>
      </c>
      <c r="AB60" s="1723">
        <v>-0.90000000000000036</v>
      </c>
      <c r="AC60" s="1723">
        <v>3.1000000000000014</v>
      </c>
      <c r="AD60" s="1723">
        <v>-160.19999999999999</v>
      </c>
      <c r="AE60" s="1723">
        <v>-0.80000000000000027</v>
      </c>
      <c r="AF60" s="1723">
        <v>-0.70000000000000018</v>
      </c>
      <c r="AG60" s="1723">
        <v>-0.5</v>
      </c>
      <c r="AH60" s="1723">
        <v>0.6</v>
      </c>
      <c r="AI60" s="1723">
        <v>-0.5</v>
      </c>
      <c r="AJ60" s="1723">
        <v>-0.10000000000000009</v>
      </c>
      <c r="AK60" s="1723">
        <v>0.20000000000000018</v>
      </c>
      <c r="AL60" s="1723">
        <v>-0.50000000000000011</v>
      </c>
      <c r="AM60" s="1195">
        <v>-0.30000000000000004</v>
      </c>
      <c r="AN60" s="3138"/>
      <c r="AO60" s="3138" t="s">
        <v>1269</v>
      </c>
      <c r="AP60" s="3138"/>
      <c r="AQ60" s="3138"/>
      <c r="AR60" s="3138"/>
      <c r="AS60" s="1619"/>
    </row>
    <row r="61" spans="13:53" ht="28.35" customHeight="1">
      <c r="M61" s="2888"/>
      <c r="N61" s="1554"/>
      <c r="O61" s="1554"/>
      <c r="P61" s="1554" t="s">
        <v>1270</v>
      </c>
      <c r="Q61" s="1554"/>
      <c r="R61" s="1554"/>
      <c r="S61" s="1554"/>
      <c r="T61" s="1554"/>
      <c r="U61" s="1196"/>
      <c r="V61" s="1150">
        <v>347.10000000000014</v>
      </c>
      <c r="W61" s="1150">
        <v>792.10000000000014</v>
      </c>
      <c r="X61" s="1150">
        <v>36</v>
      </c>
      <c r="Y61" s="1150">
        <v>-1589.1999999999998</v>
      </c>
      <c r="Z61" s="2245">
        <v>-3664.1000000000004</v>
      </c>
      <c r="AA61" s="2245">
        <v>2375.6999999999998</v>
      </c>
      <c r="AB61" s="2245">
        <v>1173.1999999999998</v>
      </c>
      <c r="AC61" s="2245">
        <v>-1033.8</v>
      </c>
      <c r="AD61" s="2245">
        <v>-2049</v>
      </c>
      <c r="AE61" s="2245">
        <v>-836.19999999999982</v>
      </c>
      <c r="AF61" s="2245">
        <v>-547.4</v>
      </c>
      <c r="AG61" s="2245">
        <v>-959.8</v>
      </c>
      <c r="AH61" s="2245">
        <v>-130.69999999999999</v>
      </c>
      <c r="AI61" s="2245">
        <v>-57.600000000000023</v>
      </c>
      <c r="AJ61" s="1724">
        <v>-834</v>
      </c>
      <c r="AK61" s="1724">
        <v>-642.20000000000005</v>
      </c>
      <c r="AL61" s="1724">
        <v>190.49999999999994</v>
      </c>
      <c r="AM61" s="1172">
        <v>-500.70000000000005</v>
      </c>
      <c r="AN61" s="2384"/>
      <c r="AO61" s="2384" t="s">
        <v>1271</v>
      </c>
      <c r="AP61" s="2384"/>
      <c r="AQ61" s="2384"/>
      <c r="AR61" s="1570"/>
      <c r="AS61" s="3134"/>
    </row>
    <row r="62" spans="13:53" ht="28.35" customHeight="1">
      <c r="M62" s="3136"/>
      <c r="N62" s="3137"/>
      <c r="O62" s="3137"/>
      <c r="P62" s="3137"/>
      <c r="Q62" s="3137"/>
      <c r="R62" s="3137"/>
      <c r="S62" s="3137"/>
      <c r="T62" s="3137" t="s">
        <v>1272</v>
      </c>
      <c r="U62" s="3137"/>
      <c r="V62" s="1156">
        <v>-32.799999999999955</v>
      </c>
      <c r="W62" s="1156">
        <v>-17.199999999999932</v>
      </c>
      <c r="X62" s="1156">
        <v>1037.5999999999999</v>
      </c>
      <c r="Y62" s="1156">
        <v>-1763.7</v>
      </c>
      <c r="Z62" s="1723">
        <v>-1637.9</v>
      </c>
      <c r="AA62" s="1723">
        <v>977.59999999999991</v>
      </c>
      <c r="AB62" s="1723">
        <v>656.1</v>
      </c>
      <c r="AC62" s="1723">
        <v>-256.8</v>
      </c>
      <c r="AD62" s="1723">
        <v>-2014.5</v>
      </c>
      <c r="AE62" s="1723">
        <v>1619.6</v>
      </c>
      <c r="AF62" s="1723">
        <v>-358.09999999999997</v>
      </c>
      <c r="AG62" s="1723">
        <v>-1004.8000000000001</v>
      </c>
      <c r="AH62" s="1723">
        <v>-21.099999999999994</v>
      </c>
      <c r="AI62" s="1723">
        <v>-363.6</v>
      </c>
      <c r="AJ62" s="1723">
        <v>-413.6</v>
      </c>
      <c r="AK62" s="1723">
        <v>-305.60000000000002</v>
      </c>
      <c r="AL62" s="1723">
        <v>663.4</v>
      </c>
      <c r="AM62" s="1195">
        <v>-204.3</v>
      </c>
      <c r="AN62" s="3138" t="s">
        <v>1257</v>
      </c>
      <c r="AO62" s="3138"/>
      <c r="AP62" s="3138"/>
      <c r="AQ62" s="3138"/>
      <c r="AR62" s="3138"/>
      <c r="AS62" s="1619"/>
    </row>
    <row r="63" spans="13:53" s="3139" customFormat="1" ht="28.35" customHeight="1">
      <c r="M63" s="2888"/>
      <c r="N63" s="1554"/>
      <c r="O63" s="1554"/>
      <c r="P63" s="1554"/>
      <c r="Q63" s="1554"/>
      <c r="R63" s="1554"/>
      <c r="S63" s="1554"/>
      <c r="T63" s="1554" t="s">
        <v>1273</v>
      </c>
      <c r="U63" s="1554"/>
      <c r="V63" s="1141">
        <v>379.90000000000003</v>
      </c>
      <c r="W63" s="1141">
        <v>809.3</v>
      </c>
      <c r="X63" s="1141">
        <v>-1001.6</v>
      </c>
      <c r="Y63" s="1141">
        <v>174.5</v>
      </c>
      <c r="Z63" s="1724">
        <v>-2026.2</v>
      </c>
      <c r="AA63" s="1724">
        <v>1398.1000000000001</v>
      </c>
      <c r="AB63" s="1724">
        <v>517.1</v>
      </c>
      <c r="AC63" s="1724">
        <v>-777</v>
      </c>
      <c r="AD63" s="1724">
        <v>-34.5</v>
      </c>
      <c r="AE63" s="1724">
        <v>-2455.8000000000002</v>
      </c>
      <c r="AF63" s="1724">
        <v>-189.3</v>
      </c>
      <c r="AG63" s="1724">
        <v>45.000000000000057</v>
      </c>
      <c r="AH63" s="1724">
        <v>-109.6</v>
      </c>
      <c r="AI63" s="1724">
        <v>306</v>
      </c>
      <c r="AJ63" s="1724">
        <v>-420.40000000000003</v>
      </c>
      <c r="AK63" s="1724">
        <v>-336.6</v>
      </c>
      <c r="AL63" s="1724">
        <v>-472.90000000000003</v>
      </c>
      <c r="AM63" s="1172">
        <v>-296.40000000000003</v>
      </c>
      <c r="AN63" s="2384" t="s">
        <v>1274</v>
      </c>
      <c r="AO63" s="1554"/>
      <c r="AP63" s="2384"/>
      <c r="AQ63" s="2384"/>
      <c r="AR63" s="2384"/>
      <c r="AS63" s="3134"/>
      <c r="AU63" s="1792"/>
      <c r="AV63" s="1792"/>
      <c r="AW63" s="1792"/>
      <c r="AX63" s="1792"/>
      <c r="AY63" s="1792"/>
      <c r="AZ63" s="1792"/>
      <c r="BA63" s="1792"/>
    </row>
    <row r="64" spans="13:53" s="3139" customFormat="1" ht="28.35" customHeight="1">
      <c r="M64" s="3136"/>
      <c r="N64" s="3137"/>
      <c r="O64" s="3137"/>
      <c r="P64" s="3137"/>
      <c r="Q64" s="3137"/>
      <c r="R64" s="3137"/>
      <c r="S64" s="3137"/>
      <c r="T64" s="3137"/>
      <c r="U64" s="3137" t="s">
        <v>1275</v>
      </c>
      <c r="V64" s="1156">
        <v>-11.100000000000001</v>
      </c>
      <c r="W64" s="1156">
        <v>-5.7</v>
      </c>
      <c r="X64" s="1156">
        <v>-2.5</v>
      </c>
      <c r="Y64" s="1156">
        <v>-3.4</v>
      </c>
      <c r="Z64" s="1723">
        <v>0.79999999999999982</v>
      </c>
      <c r="AA64" s="1723">
        <v>-11.7</v>
      </c>
      <c r="AB64" s="1723">
        <v>0</v>
      </c>
      <c r="AC64" s="1723">
        <v>0</v>
      </c>
      <c r="AD64" s="1723">
        <v>0</v>
      </c>
      <c r="AE64" s="1723">
        <v>0</v>
      </c>
      <c r="AF64" s="1723">
        <v>0</v>
      </c>
      <c r="AG64" s="1723">
        <v>0</v>
      </c>
      <c r="AH64" s="1723">
        <v>0</v>
      </c>
      <c r="AI64" s="1723">
        <v>0</v>
      </c>
      <c r="AJ64" s="1723">
        <v>0</v>
      </c>
      <c r="AK64" s="1723">
        <v>0</v>
      </c>
      <c r="AL64" s="1723">
        <v>0</v>
      </c>
      <c r="AM64" s="1195">
        <v>0</v>
      </c>
      <c r="AN64" s="3138" t="s">
        <v>1276</v>
      </c>
      <c r="AO64" s="3138"/>
      <c r="AP64" s="3138"/>
      <c r="AQ64" s="3138"/>
      <c r="AR64" s="3138"/>
      <c r="AS64" s="1619"/>
      <c r="AU64" s="1792"/>
      <c r="AV64" s="1792"/>
      <c r="AW64" s="1792"/>
      <c r="AX64" s="1792"/>
      <c r="AY64" s="1792"/>
      <c r="AZ64" s="1792"/>
      <c r="BA64" s="1792"/>
    </row>
    <row r="65" spans="13:46" ht="28.35" customHeight="1">
      <c r="M65" s="2932" t="s">
        <v>1120</v>
      </c>
      <c r="N65" s="2483"/>
      <c r="O65" s="2483"/>
      <c r="P65" s="2483"/>
      <c r="Q65" s="2483"/>
      <c r="R65" s="2483"/>
      <c r="S65" s="2483"/>
      <c r="T65" s="2483"/>
      <c r="U65" s="2483"/>
      <c r="V65" s="1650">
        <v>726.8</v>
      </c>
      <c r="W65" s="1650">
        <v>243.4</v>
      </c>
      <c r="X65" s="1650">
        <v>472.79999999999933</v>
      </c>
      <c r="Y65" s="1650">
        <v>767.59999999999923</v>
      </c>
      <c r="Z65" s="1651">
        <v>531.59999999999923</v>
      </c>
      <c r="AA65" s="1651">
        <v>-489.10000000000025</v>
      </c>
      <c r="AB65" s="1651">
        <v>-200.10000000000059</v>
      </c>
      <c r="AC65" s="1651">
        <v>536.8999999999993</v>
      </c>
      <c r="AD65" s="1651">
        <v>277.2</v>
      </c>
      <c r="AE65" s="1651">
        <v>155.49999999999991</v>
      </c>
      <c r="AF65" s="1651">
        <v>379.1</v>
      </c>
      <c r="AG65" s="1651">
        <v>-146.099999999999</v>
      </c>
      <c r="AH65" s="1651">
        <v>478.70000000000027</v>
      </c>
      <c r="AI65" s="1651">
        <v>86.30000000000058</v>
      </c>
      <c r="AJ65" s="1651">
        <v>62.600000000000591</v>
      </c>
      <c r="AK65" s="1651">
        <v>-93.799999999999784</v>
      </c>
      <c r="AL65" s="1651">
        <v>-108.50000000000007</v>
      </c>
      <c r="AM65" s="1346">
        <v>157.10000000000014</v>
      </c>
      <c r="AN65" s="2482"/>
      <c r="AO65" s="2483"/>
      <c r="AP65" s="2482"/>
      <c r="AQ65" s="2482"/>
      <c r="AR65" s="2482" t="s">
        <v>1277</v>
      </c>
      <c r="AS65" s="3145"/>
    </row>
    <row r="66" spans="13:46" ht="7.5" customHeight="1">
      <c r="M66" s="3146"/>
      <c r="N66" s="3146"/>
      <c r="O66" s="3146"/>
      <c r="P66" s="3146"/>
      <c r="Q66" s="3146"/>
      <c r="R66" s="3146"/>
      <c r="S66" s="3146"/>
      <c r="T66" s="3146"/>
      <c r="U66" s="3147"/>
      <c r="V66" s="1491"/>
      <c r="W66" s="1491"/>
      <c r="X66" s="1491"/>
      <c r="Y66" s="3147"/>
      <c r="Z66" s="3148"/>
      <c r="AA66" s="3149"/>
      <c r="AB66" s="3149"/>
      <c r="AC66" s="3149"/>
      <c r="AD66" s="3149"/>
      <c r="AE66" s="3149"/>
      <c r="AF66" s="3149"/>
      <c r="AG66" s="3149"/>
      <c r="AH66" s="3149"/>
      <c r="AI66" s="3149"/>
      <c r="AJ66" s="3148"/>
      <c r="AK66" s="3148"/>
      <c r="AL66" s="3148"/>
      <c r="AM66" s="3148"/>
      <c r="AN66" s="3150"/>
      <c r="AO66" s="3150"/>
      <c r="AP66" s="3150"/>
      <c r="AQ66" s="3150"/>
      <c r="AR66" s="3151"/>
      <c r="AS66" s="3151"/>
    </row>
    <row r="67" spans="13:46" ht="18.95" customHeight="1">
      <c r="M67" s="3152" t="s">
        <v>552</v>
      </c>
      <c r="N67" s="1275" t="s">
        <v>502</v>
      </c>
      <c r="O67" s="1318" t="s">
        <v>1278</v>
      </c>
      <c r="P67" s="1318"/>
      <c r="Q67" s="1318"/>
      <c r="R67" s="1318"/>
      <c r="S67" s="1318"/>
      <c r="T67" s="1318"/>
      <c r="U67" s="1318"/>
      <c r="V67" s="1318"/>
      <c r="W67" s="1318"/>
      <c r="X67" s="1318"/>
      <c r="Y67" s="1318"/>
      <c r="Z67" s="1836"/>
      <c r="AA67" s="1836"/>
      <c r="AB67" s="1836"/>
      <c r="AC67" s="1836"/>
      <c r="AD67" s="1836"/>
      <c r="AE67" s="1836"/>
      <c r="AF67" s="1836"/>
      <c r="AG67" s="1836"/>
      <c r="AH67" s="1836"/>
      <c r="AI67" s="1836"/>
      <c r="AJ67" s="1836"/>
      <c r="AK67" s="1318"/>
      <c r="AL67" s="2262"/>
      <c r="AM67" s="2262"/>
      <c r="AN67" s="1318"/>
      <c r="AO67" s="1318"/>
      <c r="AP67" s="1318"/>
      <c r="AQ67" s="2263" t="s">
        <v>1279</v>
      </c>
      <c r="AR67" s="1275" t="s">
        <v>502</v>
      </c>
      <c r="AS67" s="3153" t="s">
        <v>552</v>
      </c>
    </row>
    <row r="68" spans="13:46" ht="18.95" customHeight="1">
      <c r="M68" s="1275" t="s">
        <v>1179</v>
      </c>
      <c r="N68" s="1275" t="s">
        <v>502</v>
      </c>
      <c r="O68" s="1453" t="s">
        <v>1280</v>
      </c>
      <c r="P68" s="1453"/>
      <c r="Q68" s="1318"/>
      <c r="R68" s="1318"/>
      <c r="S68" s="1318"/>
      <c r="T68" s="1318"/>
      <c r="U68" s="1318"/>
      <c r="V68" s="1318"/>
      <c r="W68" s="1318"/>
      <c r="X68" s="1318"/>
      <c r="Y68" s="1318"/>
      <c r="Z68" s="1836"/>
      <c r="AA68" s="1836"/>
      <c r="AB68" s="1836"/>
      <c r="AC68" s="1836"/>
      <c r="AD68" s="1836"/>
      <c r="AE68" s="1836"/>
      <c r="AF68" s="1836"/>
      <c r="AG68" s="1836"/>
      <c r="AH68" s="1836"/>
      <c r="AI68" s="1836"/>
      <c r="AJ68" s="1836"/>
      <c r="AK68" s="1318"/>
      <c r="AL68" s="2262"/>
      <c r="AM68" s="2262"/>
      <c r="AN68" s="4924" t="s">
        <v>1281</v>
      </c>
      <c r="AO68" s="4924"/>
      <c r="AP68" s="4924"/>
      <c r="AQ68" s="4924"/>
      <c r="AR68" s="1275" t="s">
        <v>502</v>
      </c>
      <c r="AS68" s="3154" t="s">
        <v>1179</v>
      </c>
      <c r="AT68" s="3155"/>
    </row>
    <row r="69" spans="13:46" ht="18.95" customHeight="1">
      <c r="M69" s="1275" t="s">
        <v>1182</v>
      </c>
      <c r="N69" s="1275" t="s">
        <v>502</v>
      </c>
      <c r="O69" s="1453" t="s">
        <v>1282</v>
      </c>
      <c r="P69" s="1318"/>
      <c r="Q69" s="1318"/>
      <c r="R69" s="1318"/>
      <c r="S69" s="1318"/>
      <c r="T69" s="1318"/>
      <c r="U69" s="1318"/>
      <c r="V69" s="1318"/>
      <c r="W69" s="1318"/>
      <c r="X69" s="1318"/>
      <c r="Y69" s="1318"/>
      <c r="Z69" s="1836"/>
      <c r="AA69" s="1836"/>
      <c r="AB69" s="1836"/>
      <c r="AC69" s="1836"/>
      <c r="AD69" s="1836"/>
      <c r="AE69" s="1836"/>
      <c r="AF69" s="1836"/>
      <c r="AG69" s="1836"/>
      <c r="AH69" s="1836"/>
      <c r="AI69" s="1836"/>
      <c r="AJ69" s="1836"/>
      <c r="AK69" s="4924" t="s">
        <v>1283</v>
      </c>
      <c r="AL69" s="4924"/>
      <c r="AM69" s="4924"/>
      <c r="AN69" s="4924"/>
      <c r="AO69" s="4924"/>
      <c r="AP69" s="4924"/>
      <c r="AQ69" s="4924"/>
      <c r="AR69" s="1275" t="s">
        <v>502</v>
      </c>
      <c r="AS69" s="1318" t="s">
        <v>1182</v>
      </c>
    </row>
  </sheetData>
  <mergeCells count="24">
    <mergeCell ref="M1:AC1"/>
    <mergeCell ref="AD1:AS1"/>
    <mergeCell ref="M2:AC2"/>
    <mergeCell ref="AD2:AS2"/>
    <mergeCell ref="V6:V10"/>
    <mergeCell ref="W6:W10"/>
    <mergeCell ref="AH6:AH10"/>
    <mergeCell ref="AI6:AI10"/>
    <mergeCell ref="AJ6:AJ10"/>
    <mergeCell ref="AK6:AK10"/>
    <mergeCell ref="AL6:AL10"/>
    <mergeCell ref="AM6:AM10"/>
    <mergeCell ref="AA6:AA10"/>
    <mergeCell ref="Z6:Z10"/>
    <mergeCell ref="Y6:Y10"/>
    <mergeCell ref="X6:X10"/>
    <mergeCell ref="AN68:AQ68"/>
    <mergeCell ref="AK69:AQ69"/>
    <mergeCell ref="AB6:AB10"/>
    <mergeCell ref="AC6:AC10"/>
    <mergeCell ref="AD6:AD10"/>
    <mergeCell ref="AE6:AE10"/>
    <mergeCell ref="AF6:AF10"/>
    <mergeCell ref="AG6:AG10"/>
  </mergeCells>
  <printOptions horizontalCentered="1" verticalCentered="1"/>
  <pageMargins left="0" right="0" top="0" bottom="1.0629921259842521" header="0" footer="0"/>
  <pageSetup paperSize="9" scale="42" orientation="portrait" horizontalDpi="4294967294" verticalDpi="300" r:id="rId1"/>
  <headerFooter alignWithMargins="0">
    <oddFooter>&amp;C&amp;"Times New Roman (Arabic),Regular"&amp;22-45-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E76"/>
  <sheetViews>
    <sheetView topLeftCell="A64" zoomScale="75" zoomScaleNormal="75" workbookViewId="0">
      <selection activeCell="I77" sqref="I77"/>
    </sheetView>
  </sheetViews>
  <sheetFormatPr defaultColWidth="10" defaultRowHeight="20.25"/>
  <cols>
    <col min="1" max="2" width="10" style="1192"/>
    <col min="3" max="3" width="10" style="1192" customWidth="1"/>
    <col min="4" max="4" width="16.42578125" style="1192" customWidth="1"/>
    <col min="5" max="5" width="16.42578125" style="1793" customWidth="1"/>
    <col min="6" max="7" width="16.42578125" style="1192" customWidth="1"/>
    <col min="8" max="8" width="16.42578125" style="1400" customWidth="1"/>
    <col min="9" max="11" width="16.42578125" style="1192" customWidth="1"/>
    <col min="12" max="12" width="8.7109375" style="1793" customWidth="1"/>
    <col min="13" max="13" width="4.140625" style="1192" customWidth="1"/>
    <col min="14" max="23" width="10" style="1192" customWidth="1"/>
    <col min="24" max="24" width="9.42578125" style="1813" customWidth="1"/>
    <col min="25" max="258" width="10" style="1192"/>
    <col min="259" max="259" width="10" style="1192" customWidth="1"/>
    <col min="260" max="267" width="16.42578125" style="1192" customWidth="1"/>
    <col min="268" max="268" width="8.7109375" style="1192" customWidth="1"/>
    <col min="269" max="269" width="4.140625" style="1192" customWidth="1"/>
    <col min="270" max="279" width="10" style="1192" customWidth="1"/>
    <col min="280" max="280" width="9.42578125" style="1192" customWidth="1"/>
    <col min="281" max="514" width="10" style="1192"/>
    <col min="515" max="515" width="10" style="1192" customWidth="1"/>
    <col min="516" max="523" width="16.42578125" style="1192" customWidth="1"/>
    <col min="524" max="524" width="8.7109375" style="1192" customWidth="1"/>
    <col min="525" max="525" width="4.140625" style="1192" customWidth="1"/>
    <col min="526" max="535" width="10" style="1192" customWidth="1"/>
    <col min="536" max="536" width="9.42578125" style="1192" customWidth="1"/>
    <col min="537" max="770" width="10" style="1192"/>
    <col min="771" max="771" width="10" style="1192" customWidth="1"/>
    <col min="772" max="779" width="16.42578125" style="1192" customWidth="1"/>
    <col min="780" max="780" width="8.7109375" style="1192" customWidth="1"/>
    <col min="781" max="781" width="4.140625" style="1192" customWidth="1"/>
    <col min="782" max="791" width="10" style="1192" customWidth="1"/>
    <col min="792" max="792" width="9.42578125" style="1192" customWidth="1"/>
    <col min="793" max="1026" width="10" style="1192"/>
    <col min="1027" max="1027" width="10" style="1192" customWidth="1"/>
    <col min="1028" max="1035" width="16.42578125" style="1192" customWidth="1"/>
    <col min="1036" max="1036" width="8.7109375" style="1192" customWidth="1"/>
    <col min="1037" max="1037" width="4.140625" style="1192" customWidth="1"/>
    <col min="1038" max="1047" width="10" style="1192" customWidth="1"/>
    <col min="1048" max="1048" width="9.42578125" style="1192" customWidth="1"/>
    <col min="1049" max="1282" width="10" style="1192"/>
    <col min="1283" max="1283" width="10" style="1192" customWidth="1"/>
    <col min="1284" max="1291" width="16.42578125" style="1192" customWidth="1"/>
    <col min="1292" max="1292" width="8.7109375" style="1192" customWidth="1"/>
    <col min="1293" max="1293" width="4.140625" style="1192" customWidth="1"/>
    <col min="1294" max="1303" width="10" style="1192" customWidth="1"/>
    <col min="1304" max="1304" width="9.42578125" style="1192" customWidth="1"/>
    <col min="1305" max="1538" width="10" style="1192"/>
    <col min="1539" max="1539" width="10" style="1192" customWidth="1"/>
    <col min="1540" max="1547" width="16.42578125" style="1192" customWidth="1"/>
    <col min="1548" max="1548" width="8.7109375" style="1192" customWidth="1"/>
    <col min="1549" max="1549" width="4.140625" style="1192" customWidth="1"/>
    <col min="1550" max="1559" width="10" style="1192" customWidth="1"/>
    <col min="1560" max="1560" width="9.42578125" style="1192" customWidth="1"/>
    <col min="1561" max="1794" width="10" style="1192"/>
    <col min="1795" max="1795" width="10" style="1192" customWidth="1"/>
    <col min="1796" max="1803" width="16.42578125" style="1192" customWidth="1"/>
    <col min="1804" max="1804" width="8.7109375" style="1192" customWidth="1"/>
    <col min="1805" max="1805" width="4.140625" style="1192" customWidth="1"/>
    <col min="1806" max="1815" width="10" style="1192" customWidth="1"/>
    <col min="1816" max="1816" width="9.42578125" style="1192" customWidth="1"/>
    <col min="1817" max="2050" width="10" style="1192"/>
    <col min="2051" max="2051" width="10" style="1192" customWidth="1"/>
    <col min="2052" max="2059" width="16.42578125" style="1192" customWidth="1"/>
    <col min="2060" max="2060" width="8.7109375" style="1192" customWidth="1"/>
    <col min="2061" max="2061" width="4.140625" style="1192" customWidth="1"/>
    <col min="2062" max="2071" width="10" style="1192" customWidth="1"/>
    <col min="2072" max="2072" width="9.42578125" style="1192" customWidth="1"/>
    <col min="2073" max="2306" width="10" style="1192"/>
    <col min="2307" max="2307" width="10" style="1192" customWidth="1"/>
    <col min="2308" max="2315" width="16.42578125" style="1192" customWidth="1"/>
    <col min="2316" max="2316" width="8.7109375" style="1192" customWidth="1"/>
    <col min="2317" max="2317" width="4.140625" style="1192" customWidth="1"/>
    <col min="2318" max="2327" width="10" style="1192" customWidth="1"/>
    <col min="2328" max="2328" width="9.42578125" style="1192" customWidth="1"/>
    <col min="2329" max="2562" width="10" style="1192"/>
    <col min="2563" max="2563" width="10" style="1192" customWidth="1"/>
    <col min="2564" max="2571" width="16.42578125" style="1192" customWidth="1"/>
    <col min="2572" max="2572" width="8.7109375" style="1192" customWidth="1"/>
    <col min="2573" max="2573" width="4.140625" style="1192" customWidth="1"/>
    <col min="2574" max="2583" width="10" style="1192" customWidth="1"/>
    <col min="2584" max="2584" width="9.42578125" style="1192" customWidth="1"/>
    <col min="2585" max="2818" width="10" style="1192"/>
    <col min="2819" max="2819" width="10" style="1192" customWidth="1"/>
    <col min="2820" max="2827" width="16.42578125" style="1192" customWidth="1"/>
    <col min="2828" max="2828" width="8.7109375" style="1192" customWidth="1"/>
    <col min="2829" max="2829" width="4.140625" style="1192" customWidth="1"/>
    <col min="2830" max="2839" width="10" style="1192" customWidth="1"/>
    <col min="2840" max="2840" width="9.42578125" style="1192" customWidth="1"/>
    <col min="2841" max="3074" width="10" style="1192"/>
    <col min="3075" max="3075" width="10" style="1192" customWidth="1"/>
    <col min="3076" max="3083" width="16.42578125" style="1192" customWidth="1"/>
    <col min="3084" max="3084" width="8.7109375" style="1192" customWidth="1"/>
    <col min="3085" max="3085" width="4.140625" style="1192" customWidth="1"/>
    <col min="3086" max="3095" width="10" style="1192" customWidth="1"/>
    <col min="3096" max="3096" width="9.42578125" style="1192" customWidth="1"/>
    <col min="3097" max="3330" width="10" style="1192"/>
    <col min="3331" max="3331" width="10" style="1192" customWidth="1"/>
    <col min="3332" max="3339" width="16.42578125" style="1192" customWidth="1"/>
    <col min="3340" max="3340" width="8.7109375" style="1192" customWidth="1"/>
    <col min="3341" max="3341" width="4.140625" style="1192" customWidth="1"/>
    <col min="3342" max="3351" width="10" style="1192" customWidth="1"/>
    <col min="3352" max="3352" width="9.42578125" style="1192" customWidth="1"/>
    <col min="3353" max="3586" width="10" style="1192"/>
    <col min="3587" max="3587" width="10" style="1192" customWidth="1"/>
    <col min="3588" max="3595" width="16.42578125" style="1192" customWidth="1"/>
    <col min="3596" max="3596" width="8.7109375" style="1192" customWidth="1"/>
    <col min="3597" max="3597" width="4.140625" style="1192" customWidth="1"/>
    <col min="3598" max="3607" width="10" style="1192" customWidth="1"/>
    <col min="3608" max="3608" width="9.42578125" style="1192" customWidth="1"/>
    <col min="3609" max="3842" width="10" style="1192"/>
    <col min="3843" max="3843" width="10" style="1192" customWidth="1"/>
    <col min="3844" max="3851" width="16.42578125" style="1192" customWidth="1"/>
    <col min="3852" max="3852" width="8.7109375" style="1192" customWidth="1"/>
    <col min="3853" max="3853" width="4.140625" style="1192" customWidth="1"/>
    <col min="3854" max="3863" width="10" style="1192" customWidth="1"/>
    <col min="3864" max="3864" width="9.42578125" style="1192" customWidth="1"/>
    <col min="3865" max="4098" width="10" style="1192"/>
    <col min="4099" max="4099" width="10" style="1192" customWidth="1"/>
    <col min="4100" max="4107" width="16.42578125" style="1192" customWidth="1"/>
    <col min="4108" max="4108" width="8.7109375" style="1192" customWidth="1"/>
    <col min="4109" max="4109" width="4.140625" style="1192" customWidth="1"/>
    <col min="4110" max="4119" width="10" style="1192" customWidth="1"/>
    <col min="4120" max="4120" width="9.42578125" style="1192" customWidth="1"/>
    <col min="4121" max="4354" width="10" style="1192"/>
    <col min="4355" max="4355" width="10" style="1192" customWidth="1"/>
    <col min="4356" max="4363" width="16.42578125" style="1192" customWidth="1"/>
    <col min="4364" max="4364" width="8.7109375" style="1192" customWidth="1"/>
    <col min="4365" max="4365" width="4.140625" style="1192" customWidth="1"/>
    <col min="4366" max="4375" width="10" style="1192" customWidth="1"/>
    <col min="4376" max="4376" width="9.42578125" style="1192" customWidth="1"/>
    <col min="4377" max="4610" width="10" style="1192"/>
    <col min="4611" max="4611" width="10" style="1192" customWidth="1"/>
    <col min="4612" max="4619" width="16.42578125" style="1192" customWidth="1"/>
    <col min="4620" max="4620" width="8.7109375" style="1192" customWidth="1"/>
    <col min="4621" max="4621" width="4.140625" style="1192" customWidth="1"/>
    <col min="4622" max="4631" width="10" style="1192" customWidth="1"/>
    <col min="4632" max="4632" width="9.42578125" style="1192" customWidth="1"/>
    <col min="4633" max="4866" width="10" style="1192"/>
    <col min="4867" max="4867" width="10" style="1192" customWidth="1"/>
    <col min="4868" max="4875" width="16.42578125" style="1192" customWidth="1"/>
    <col min="4876" max="4876" width="8.7109375" style="1192" customWidth="1"/>
    <col min="4877" max="4877" width="4.140625" style="1192" customWidth="1"/>
    <col min="4878" max="4887" width="10" style="1192" customWidth="1"/>
    <col min="4888" max="4888" width="9.42578125" style="1192" customWidth="1"/>
    <col min="4889" max="5122" width="10" style="1192"/>
    <col min="5123" max="5123" width="10" style="1192" customWidth="1"/>
    <col min="5124" max="5131" width="16.42578125" style="1192" customWidth="1"/>
    <col min="5132" max="5132" width="8.7109375" style="1192" customWidth="1"/>
    <col min="5133" max="5133" width="4.140625" style="1192" customWidth="1"/>
    <col min="5134" max="5143" width="10" style="1192" customWidth="1"/>
    <col min="5144" max="5144" width="9.42578125" style="1192" customWidth="1"/>
    <col min="5145" max="5378" width="10" style="1192"/>
    <col min="5379" max="5379" width="10" style="1192" customWidth="1"/>
    <col min="5380" max="5387" width="16.42578125" style="1192" customWidth="1"/>
    <col min="5388" max="5388" width="8.7109375" style="1192" customWidth="1"/>
    <col min="5389" max="5389" width="4.140625" style="1192" customWidth="1"/>
    <col min="5390" max="5399" width="10" style="1192" customWidth="1"/>
    <col min="5400" max="5400" width="9.42578125" style="1192" customWidth="1"/>
    <col min="5401" max="5634" width="10" style="1192"/>
    <col min="5635" max="5635" width="10" style="1192" customWidth="1"/>
    <col min="5636" max="5643" width="16.42578125" style="1192" customWidth="1"/>
    <col min="5644" max="5644" width="8.7109375" style="1192" customWidth="1"/>
    <col min="5645" max="5645" width="4.140625" style="1192" customWidth="1"/>
    <col min="5646" max="5655" width="10" style="1192" customWidth="1"/>
    <col min="5656" max="5656" width="9.42578125" style="1192" customWidth="1"/>
    <col min="5657" max="5890" width="10" style="1192"/>
    <col min="5891" max="5891" width="10" style="1192" customWidth="1"/>
    <col min="5892" max="5899" width="16.42578125" style="1192" customWidth="1"/>
    <col min="5900" max="5900" width="8.7109375" style="1192" customWidth="1"/>
    <col min="5901" max="5901" width="4.140625" style="1192" customWidth="1"/>
    <col min="5902" max="5911" width="10" style="1192" customWidth="1"/>
    <col min="5912" max="5912" width="9.42578125" style="1192" customWidth="1"/>
    <col min="5913" max="6146" width="10" style="1192"/>
    <col min="6147" max="6147" width="10" style="1192" customWidth="1"/>
    <col min="6148" max="6155" width="16.42578125" style="1192" customWidth="1"/>
    <col min="6156" max="6156" width="8.7109375" style="1192" customWidth="1"/>
    <col min="6157" max="6157" width="4.140625" style="1192" customWidth="1"/>
    <col min="6158" max="6167" width="10" style="1192" customWidth="1"/>
    <col min="6168" max="6168" width="9.42578125" style="1192" customWidth="1"/>
    <col min="6169" max="6402" width="10" style="1192"/>
    <col min="6403" max="6403" width="10" style="1192" customWidth="1"/>
    <col min="6404" max="6411" width="16.42578125" style="1192" customWidth="1"/>
    <col min="6412" max="6412" width="8.7109375" style="1192" customWidth="1"/>
    <col min="6413" max="6413" width="4.140625" style="1192" customWidth="1"/>
    <col min="6414" max="6423" width="10" style="1192" customWidth="1"/>
    <col min="6424" max="6424" width="9.42578125" style="1192" customWidth="1"/>
    <col min="6425" max="6658" width="10" style="1192"/>
    <col min="6659" max="6659" width="10" style="1192" customWidth="1"/>
    <col min="6660" max="6667" width="16.42578125" style="1192" customWidth="1"/>
    <col min="6668" max="6668" width="8.7109375" style="1192" customWidth="1"/>
    <col min="6669" max="6669" width="4.140625" style="1192" customWidth="1"/>
    <col min="6670" max="6679" width="10" style="1192" customWidth="1"/>
    <col min="6680" max="6680" width="9.42578125" style="1192" customWidth="1"/>
    <col min="6681" max="6914" width="10" style="1192"/>
    <col min="6915" max="6915" width="10" style="1192" customWidth="1"/>
    <col min="6916" max="6923" width="16.42578125" style="1192" customWidth="1"/>
    <col min="6924" max="6924" width="8.7109375" style="1192" customWidth="1"/>
    <col min="6925" max="6925" width="4.140625" style="1192" customWidth="1"/>
    <col min="6926" max="6935" width="10" style="1192" customWidth="1"/>
    <col min="6936" max="6936" width="9.42578125" style="1192" customWidth="1"/>
    <col min="6937" max="7170" width="10" style="1192"/>
    <col min="7171" max="7171" width="10" style="1192" customWidth="1"/>
    <col min="7172" max="7179" width="16.42578125" style="1192" customWidth="1"/>
    <col min="7180" max="7180" width="8.7109375" style="1192" customWidth="1"/>
    <col min="7181" max="7181" width="4.140625" style="1192" customWidth="1"/>
    <col min="7182" max="7191" width="10" style="1192" customWidth="1"/>
    <col min="7192" max="7192" width="9.42578125" style="1192" customWidth="1"/>
    <col min="7193" max="7426" width="10" style="1192"/>
    <col min="7427" max="7427" width="10" style="1192" customWidth="1"/>
    <col min="7428" max="7435" width="16.42578125" style="1192" customWidth="1"/>
    <col min="7436" max="7436" width="8.7109375" style="1192" customWidth="1"/>
    <col min="7437" max="7437" width="4.140625" style="1192" customWidth="1"/>
    <col min="7438" max="7447" width="10" style="1192" customWidth="1"/>
    <col min="7448" max="7448" width="9.42578125" style="1192" customWidth="1"/>
    <col min="7449" max="7682" width="10" style="1192"/>
    <col min="7683" max="7683" width="10" style="1192" customWidth="1"/>
    <col min="7684" max="7691" width="16.42578125" style="1192" customWidth="1"/>
    <col min="7692" max="7692" width="8.7109375" style="1192" customWidth="1"/>
    <col min="7693" max="7693" width="4.140625" style="1192" customWidth="1"/>
    <col min="7694" max="7703" width="10" style="1192" customWidth="1"/>
    <col min="7704" max="7704" width="9.42578125" style="1192" customWidth="1"/>
    <col min="7705" max="7938" width="10" style="1192"/>
    <col min="7939" max="7939" width="10" style="1192" customWidth="1"/>
    <col min="7940" max="7947" width="16.42578125" style="1192" customWidth="1"/>
    <col min="7948" max="7948" width="8.7109375" style="1192" customWidth="1"/>
    <col min="7949" max="7949" width="4.140625" style="1192" customWidth="1"/>
    <col min="7950" max="7959" width="10" style="1192" customWidth="1"/>
    <col min="7960" max="7960" width="9.42578125" style="1192" customWidth="1"/>
    <col min="7961" max="8194" width="10" style="1192"/>
    <col min="8195" max="8195" width="10" style="1192" customWidth="1"/>
    <col min="8196" max="8203" width="16.42578125" style="1192" customWidth="1"/>
    <col min="8204" max="8204" width="8.7109375" style="1192" customWidth="1"/>
    <col min="8205" max="8205" width="4.140625" style="1192" customWidth="1"/>
    <col min="8206" max="8215" width="10" style="1192" customWidth="1"/>
    <col min="8216" max="8216" width="9.42578125" style="1192" customWidth="1"/>
    <col min="8217" max="8450" width="10" style="1192"/>
    <col min="8451" max="8451" width="10" style="1192" customWidth="1"/>
    <col min="8452" max="8459" width="16.42578125" style="1192" customWidth="1"/>
    <col min="8460" max="8460" width="8.7109375" style="1192" customWidth="1"/>
    <col min="8461" max="8461" width="4.140625" style="1192" customWidth="1"/>
    <col min="8462" max="8471" width="10" style="1192" customWidth="1"/>
    <col min="8472" max="8472" width="9.42578125" style="1192" customWidth="1"/>
    <col min="8473" max="8706" width="10" style="1192"/>
    <col min="8707" max="8707" width="10" style="1192" customWidth="1"/>
    <col min="8708" max="8715" width="16.42578125" style="1192" customWidth="1"/>
    <col min="8716" max="8716" width="8.7109375" style="1192" customWidth="1"/>
    <col min="8717" max="8717" width="4.140625" style="1192" customWidth="1"/>
    <col min="8718" max="8727" width="10" style="1192" customWidth="1"/>
    <col min="8728" max="8728" width="9.42578125" style="1192" customWidth="1"/>
    <col min="8729" max="8962" width="10" style="1192"/>
    <col min="8963" max="8963" width="10" style="1192" customWidth="1"/>
    <col min="8964" max="8971" width="16.42578125" style="1192" customWidth="1"/>
    <col min="8972" max="8972" width="8.7109375" style="1192" customWidth="1"/>
    <col min="8973" max="8973" width="4.140625" style="1192" customWidth="1"/>
    <col min="8974" max="8983" width="10" style="1192" customWidth="1"/>
    <col min="8984" max="8984" width="9.42578125" style="1192" customWidth="1"/>
    <col min="8985" max="9218" width="10" style="1192"/>
    <col min="9219" max="9219" width="10" style="1192" customWidth="1"/>
    <col min="9220" max="9227" width="16.42578125" style="1192" customWidth="1"/>
    <col min="9228" max="9228" width="8.7109375" style="1192" customWidth="1"/>
    <col min="9229" max="9229" width="4.140625" style="1192" customWidth="1"/>
    <col min="9230" max="9239" width="10" style="1192" customWidth="1"/>
    <col min="9240" max="9240" width="9.42578125" style="1192" customWidth="1"/>
    <col min="9241" max="9474" width="10" style="1192"/>
    <col min="9475" max="9475" width="10" style="1192" customWidth="1"/>
    <col min="9476" max="9483" width="16.42578125" style="1192" customWidth="1"/>
    <col min="9484" max="9484" width="8.7109375" style="1192" customWidth="1"/>
    <col min="9485" max="9485" width="4.140625" style="1192" customWidth="1"/>
    <col min="9486" max="9495" width="10" style="1192" customWidth="1"/>
    <col min="9496" max="9496" width="9.42578125" style="1192" customWidth="1"/>
    <col min="9497" max="9730" width="10" style="1192"/>
    <col min="9731" max="9731" width="10" style="1192" customWidth="1"/>
    <col min="9732" max="9739" width="16.42578125" style="1192" customWidth="1"/>
    <col min="9740" max="9740" width="8.7109375" style="1192" customWidth="1"/>
    <col min="9741" max="9741" width="4.140625" style="1192" customWidth="1"/>
    <col min="9742" max="9751" width="10" style="1192" customWidth="1"/>
    <col min="9752" max="9752" width="9.42578125" style="1192" customWidth="1"/>
    <col min="9753" max="9986" width="10" style="1192"/>
    <col min="9987" max="9987" width="10" style="1192" customWidth="1"/>
    <col min="9988" max="9995" width="16.42578125" style="1192" customWidth="1"/>
    <col min="9996" max="9996" width="8.7109375" style="1192" customWidth="1"/>
    <col min="9997" max="9997" width="4.140625" style="1192" customWidth="1"/>
    <col min="9998" max="10007" width="10" style="1192" customWidth="1"/>
    <col min="10008" max="10008" width="9.42578125" style="1192" customWidth="1"/>
    <col min="10009" max="10242" width="10" style="1192"/>
    <col min="10243" max="10243" width="10" style="1192" customWidth="1"/>
    <col min="10244" max="10251" width="16.42578125" style="1192" customWidth="1"/>
    <col min="10252" max="10252" width="8.7109375" style="1192" customWidth="1"/>
    <col min="10253" max="10253" width="4.140625" style="1192" customWidth="1"/>
    <col min="10254" max="10263" width="10" style="1192" customWidth="1"/>
    <col min="10264" max="10264" width="9.42578125" style="1192" customWidth="1"/>
    <col min="10265" max="10498" width="10" style="1192"/>
    <col min="10499" max="10499" width="10" style="1192" customWidth="1"/>
    <col min="10500" max="10507" width="16.42578125" style="1192" customWidth="1"/>
    <col min="10508" max="10508" width="8.7109375" style="1192" customWidth="1"/>
    <col min="10509" max="10509" width="4.140625" style="1192" customWidth="1"/>
    <col min="10510" max="10519" width="10" style="1192" customWidth="1"/>
    <col min="10520" max="10520" width="9.42578125" style="1192" customWidth="1"/>
    <col min="10521" max="10754" width="10" style="1192"/>
    <col min="10755" max="10755" width="10" style="1192" customWidth="1"/>
    <col min="10756" max="10763" width="16.42578125" style="1192" customWidth="1"/>
    <col min="10764" max="10764" width="8.7109375" style="1192" customWidth="1"/>
    <col min="10765" max="10765" width="4.140625" style="1192" customWidth="1"/>
    <col min="10766" max="10775" width="10" style="1192" customWidth="1"/>
    <col min="10776" max="10776" width="9.42578125" style="1192" customWidth="1"/>
    <col min="10777" max="11010" width="10" style="1192"/>
    <col min="11011" max="11011" width="10" style="1192" customWidth="1"/>
    <col min="11012" max="11019" width="16.42578125" style="1192" customWidth="1"/>
    <col min="11020" max="11020" width="8.7109375" style="1192" customWidth="1"/>
    <col min="11021" max="11021" width="4.140625" style="1192" customWidth="1"/>
    <col min="11022" max="11031" width="10" style="1192" customWidth="1"/>
    <col min="11032" max="11032" width="9.42578125" style="1192" customWidth="1"/>
    <col min="11033" max="11266" width="10" style="1192"/>
    <col min="11267" max="11267" width="10" style="1192" customWidth="1"/>
    <col min="11268" max="11275" width="16.42578125" style="1192" customWidth="1"/>
    <col min="11276" max="11276" width="8.7109375" style="1192" customWidth="1"/>
    <col min="11277" max="11277" width="4.140625" style="1192" customWidth="1"/>
    <col min="11278" max="11287" width="10" style="1192" customWidth="1"/>
    <col min="11288" max="11288" width="9.42578125" style="1192" customWidth="1"/>
    <col min="11289" max="11522" width="10" style="1192"/>
    <col min="11523" max="11523" width="10" style="1192" customWidth="1"/>
    <col min="11524" max="11531" width="16.42578125" style="1192" customWidth="1"/>
    <col min="11532" max="11532" width="8.7109375" style="1192" customWidth="1"/>
    <col min="11533" max="11533" width="4.140625" style="1192" customWidth="1"/>
    <col min="11534" max="11543" width="10" style="1192" customWidth="1"/>
    <col min="11544" max="11544" width="9.42578125" style="1192" customWidth="1"/>
    <col min="11545" max="11778" width="10" style="1192"/>
    <col min="11779" max="11779" width="10" style="1192" customWidth="1"/>
    <col min="11780" max="11787" width="16.42578125" style="1192" customWidth="1"/>
    <col min="11788" max="11788" width="8.7109375" style="1192" customWidth="1"/>
    <col min="11789" max="11789" width="4.140625" style="1192" customWidth="1"/>
    <col min="11790" max="11799" width="10" style="1192" customWidth="1"/>
    <col min="11800" max="11800" width="9.42578125" style="1192" customWidth="1"/>
    <col min="11801" max="12034" width="10" style="1192"/>
    <col min="12035" max="12035" width="10" style="1192" customWidth="1"/>
    <col min="12036" max="12043" width="16.42578125" style="1192" customWidth="1"/>
    <col min="12044" max="12044" width="8.7109375" style="1192" customWidth="1"/>
    <col min="12045" max="12045" width="4.140625" style="1192" customWidth="1"/>
    <col min="12046" max="12055" width="10" style="1192" customWidth="1"/>
    <col min="12056" max="12056" width="9.42578125" style="1192" customWidth="1"/>
    <col min="12057" max="12290" width="10" style="1192"/>
    <col min="12291" max="12291" width="10" style="1192" customWidth="1"/>
    <col min="12292" max="12299" width="16.42578125" style="1192" customWidth="1"/>
    <col min="12300" max="12300" width="8.7109375" style="1192" customWidth="1"/>
    <col min="12301" max="12301" width="4.140625" style="1192" customWidth="1"/>
    <col min="12302" max="12311" width="10" style="1192" customWidth="1"/>
    <col min="12312" max="12312" width="9.42578125" style="1192" customWidth="1"/>
    <col min="12313" max="12546" width="10" style="1192"/>
    <col min="12547" max="12547" width="10" style="1192" customWidth="1"/>
    <col min="12548" max="12555" width="16.42578125" style="1192" customWidth="1"/>
    <col min="12556" max="12556" width="8.7109375" style="1192" customWidth="1"/>
    <col min="12557" max="12557" width="4.140625" style="1192" customWidth="1"/>
    <col min="12558" max="12567" width="10" style="1192" customWidth="1"/>
    <col min="12568" max="12568" width="9.42578125" style="1192" customWidth="1"/>
    <col min="12569" max="12802" width="10" style="1192"/>
    <col min="12803" max="12803" width="10" style="1192" customWidth="1"/>
    <col min="12804" max="12811" width="16.42578125" style="1192" customWidth="1"/>
    <col min="12812" max="12812" width="8.7109375" style="1192" customWidth="1"/>
    <col min="12813" max="12813" width="4.140625" style="1192" customWidth="1"/>
    <col min="12814" max="12823" width="10" style="1192" customWidth="1"/>
    <col min="12824" max="12824" width="9.42578125" style="1192" customWidth="1"/>
    <col min="12825" max="13058" width="10" style="1192"/>
    <col min="13059" max="13059" width="10" style="1192" customWidth="1"/>
    <col min="13060" max="13067" width="16.42578125" style="1192" customWidth="1"/>
    <col min="13068" max="13068" width="8.7109375" style="1192" customWidth="1"/>
    <col min="13069" max="13069" width="4.140625" style="1192" customWidth="1"/>
    <col min="13070" max="13079" width="10" style="1192" customWidth="1"/>
    <col min="13080" max="13080" width="9.42578125" style="1192" customWidth="1"/>
    <col min="13081" max="13314" width="10" style="1192"/>
    <col min="13315" max="13315" width="10" style="1192" customWidth="1"/>
    <col min="13316" max="13323" width="16.42578125" style="1192" customWidth="1"/>
    <col min="13324" max="13324" width="8.7109375" style="1192" customWidth="1"/>
    <col min="13325" max="13325" width="4.140625" style="1192" customWidth="1"/>
    <col min="13326" max="13335" width="10" style="1192" customWidth="1"/>
    <col min="13336" max="13336" width="9.42578125" style="1192" customWidth="1"/>
    <col min="13337" max="13570" width="10" style="1192"/>
    <col min="13571" max="13571" width="10" style="1192" customWidth="1"/>
    <col min="13572" max="13579" width="16.42578125" style="1192" customWidth="1"/>
    <col min="13580" max="13580" width="8.7109375" style="1192" customWidth="1"/>
    <col min="13581" max="13581" width="4.140625" style="1192" customWidth="1"/>
    <col min="13582" max="13591" width="10" style="1192" customWidth="1"/>
    <col min="13592" max="13592" width="9.42578125" style="1192" customWidth="1"/>
    <col min="13593" max="13826" width="10" style="1192"/>
    <col min="13827" max="13827" width="10" style="1192" customWidth="1"/>
    <col min="13828" max="13835" width="16.42578125" style="1192" customWidth="1"/>
    <col min="13836" max="13836" width="8.7109375" style="1192" customWidth="1"/>
    <col min="13837" max="13837" width="4.140625" style="1192" customWidth="1"/>
    <col min="13838" max="13847" width="10" style="1192" customWidth="1"/>
    <col min="13848" max="13848" width="9.42578125" style="1192" customWidth="1"/>
    <col min="13849" max="14082" width="10" style="1192"/>
    <col min="14083" max="14083" width="10" style="1192" customWidth="1"/>
    <col min="14084" max="14091" width="16.42578125" style="1192" customWidth="1"/>
    <col min="14092" max="14092" width="8.7109375" style="1192" customWidth="1"/>
    <col min="14093" max="14093" width="4.140625" style="1192" customWidth="1"/>
    <col min="14094" max="14103" width="10" style="1192" customWidth="1"/>
    <col min="14104" max="14104" width="9.42578125" style="1192" customWidth="1"/>
    <col min="14105" max="14338" width="10" style="1192"/>
    <col min="14339" max="14339" width="10" style="1192" customWidth="1"/>
    <col min="14340" max="14347" width="16.42578125" style="1192" customWidth="1"/>
    <col min="14348" max="14348" width="8.7109375" style="1192" customWidth="1"/>
    <col min="14349" max="14349" width="4.140625" style="1192" customWidth="1"/>
    <col min="14350" max="14359" width="10" style="1192" customWidth="1"/>
    <col min="14360" max="14360" width="9.42578125" style="1192" customWidth="1"/>
    <col min="14361" max="14594" width="10" style="1192"/>
    <col min="14595" max="14595" width="10" style="1192" customWidth="1"/>
    <col min="14596" max="14603" width="16.42578125" style="1192" customWidth="1"/>
    <col min="14604" max="14604" width="8.7109375" style="1192" customWidth="1"/>
    <col min="14605" max="14605" width="4.140625" style="1192" customWidth="1"/>
    <col min="14606" max="14615" width="10" style="1192" customWidth="1"/>
    <col min="14616" max="14616" width="9.42578125" style="1192" customWidth="1"/>
    <col min="14617" max="14850" width="10" style="1192"/>
    <col min="14851" max="14851" width="10" style="1192" customWidth="1"/>
    <col min="14852" max="14859" width="16.42578125" style="1192" customWidth="1"/>
    <col min="14860" max="14860" width="8.7109375" style="1192" customWidth="1"/>
    <col min="14861" max="14861" width="4.140625" style="1192" customWidth="1"/>
    <col min="14862" max="14871" width="10" style="1192" customWidth="1"/>
    <col min="14872" max="14872" width="9.42578125" style="1192" customWidth="1"/>
    <col min="14873" max="15106" width="10" style="1192"/>
    <col min="15107" max="15107" width="10" style="1192" customWidth="1"/>
    <col min="15108" max="15115" width="16.42578125" style="1192" customWidth="1"/>
    <col min="15116" max="15116" width="8.7109375" style="1192" customWidth="1"/>
    <col min="15117" max="15117" width="4.140625" style="1192" customWidth="1"/>
    <col min="15118" max="15127" width="10" style="1192" customWidth="1"/>
    <col min="15128" max="15128" width="9.42578125" style="1192" customWidth="1"/>
    <col min="15129" max="15362" width="10" style="1192"/>
    <col min="15363" max="15363" width="10" style="1192" customWidth="1"/>
    <col min="15364" max="15371" width="16.42578125" style="1192" customWidth="1"/>
    <col min="15372" max="15372" width="8.7109375" style="1192" customWidth="1"/>
    <col min="15373" max="15373" width="4.140625" style="1192" customWidth="1"/>
    <col min="15374" max="15383" width="10" style="1192" customWidth="1"/>
    <col min="15384" max="15384" width="9.42578125" style="1192" customWidth="1"/>
    <col min="15385" max="15618" width="10" style="1192"/>
    <col min="15619" max="15619" width="10" style="1192" customWidth="1"/>
    <col min="15620" max="15627" width="16.42578125" style="1192" customWidth="1"/>
    <col min="15628" max="15628" width="8.7109375" style="1192" customWidth="1"/>
    <col min="15629" max="15629" width="4.140625" style="1192" customWidth="1"/>
    <col min="15630" max="15639" width="10" style="1192" customWidth="1"/>
    <col min="15640" max="15640" width="9.42578125" style="1192" customWidth="1"/>
    <col min="15641" max="15874" width="10" style="1192"/>
    <col min="15875" max="15875" width="10" style="1192" customWidth="1"/>
    <col min="15876" max="15883" width="16.42578125" style="1192" customWidth="1"/>
    <col min="15884" max="15884" width="8.7109375" style="1192" customWidth="1"/>
    <col min="15885" max="15885" width="4.140625" style="1192" customWidth="1"/>
    <col min="15886" max="15895" width="10" style="1192" customWidth="1"/>
    <col min="15896" max="15896" width="9.42578125" style="1192" customWidth="1"/>
    <col min="15897" max="16130" width="10" style="1192"/>
    <col min="16131" max="16131" width="10" style="1192" customWidth="1"/>
    <col min="16132" max="16139" width="16.42578125" style="1192" customWidth="1"/>
    <col min="16140" max="16140" width="8.7109375" style="1192" customWidth="1"/>
    <col min="16141" max="16141" width="4.140625" style="1192" customWidth="1"/>
    <col min="16142" max="16151" width="10" style="1192" customWidth="1"/>
    <col min="16152" max="16152" width="9.42578125" style="1192" customWidth="1"/>
    <col min="16153" max="16384" width="10" style="1192"/>
  </cols>
  <sheetData>
    <row r="1" spans="4:31" ht="28.35" customHeight="1"/>
    <row r="2" spans="4:31" ht="28.35" customHeight="1"/>
    <row r="3" spans="4:31" s="1761" customFormat="1" ht="28.35" customHeight="1">
      <c r="D3" s="4930" t="s">
        <v>1284</v>
      </c>
      <c r="E3" s="4930"/>
      <c r="F3" s="4930"/>
      <c r="G3" s="4930"/>
      <c r="H3" s="4930"/>
      <c r="I3" s="4930"/>
      <c r="J3" s="4930"/>
      <c r="K3" s="4930"/>
      <c r="L3" s="4930"/>
      <c r="M3" s="4930"/>
      <c r="X3" s="3156"/>
    </row>
    <row r="4" spans="4:31" s="3157" customFormat="1" ht="28.35" customHeight="1">
      <c r="D4" s="4931" t="s">
        <v>1285</v>
      </c>
      <c r="E4" s="4931"/>
      <c r="F4" s="4931"/>
      <c r="G4" s="4931"/>
      <c r="H4" s="4931"/>
      <c r="I4" s="4931"/>
      <c r="J4" s="4931"/>
      <c r="K4" s="4931"/>
      <c r="L4" s="4931"/>
      <c r="M4" s="4931"/>
      <c r="X4" s="3158"/>
    </row>
    <row r="5" spans="4:31" s="2264" customFormat="1" ht="17.100000000000001" customHeight="1">
      <c r="D5" s="1799" t="s">
        <v>1286</v>
      </c>
      <c r="E5" s="1318"/>
      <c r="F5" s="2262"/>
      <c r="G5" s="2262"/>
      <c r="H5" s="2262"/>
      <c r="I5" s="2262"/>
      <c r="J5" s="2155"/>
      <c r="K5" s="2155"/>
      <c r="L5" s="1318"/>
      <c r="M5" s="1989" t="s">
        <v>1287</v>
      </c>
      <c r="N5" s="3159"/>
      <c r="O5" s="3159"/>
      <c r="P5" s="2588"/>
      <c r="Q5" s="2588"/>
      <c r="R5" s="2588"/>
      <c r="S5" s="2588"/>
      <c r="T5" s="2588"/>
      <c r="U5" s="2588"/>
      <c r="V5" s="2588"/>
      <c r="W5" s="2588"/>
      <c r="X5" s="3160"/>
    </row>
    <row r="6" spans="4:31" s="2264" customFormat="1" ht="4.3499999999999996" customHeight="1">
      <c r="D6" s="3161"/>
      <c r="E6" s="1318"/>
      <c r="F6" s="2262"/>
      <c r="G6" s="2262"/>
      <c r="H6" s="2262"/>
      <c r="I6" s="2262"/>
      <c r="J6" s="2155"/>
      <c r="K6" s="2155"/>
      <c r="L6" s="1318"/>
      <c r="M6" s="1990"/>
      <c r="N6" s="2588"/>
      <c r="O6" s="2588"/>
      <c r="P6" s="2588"/>
      <c r="Q6" s="2588"/>
      <c r="R6" s="2588"/>
      <c r="S6" s="2588"/>
      <c r="T6" s="2588"/>
      <c r="U6" s="2588"/>
      <c r="V6" s="2588"/>
      <c r="W6" s="2588"/>
      <c r="X6" s="3160"/>
    </row>
    <row r="7" spans="4:31" ht="11.1" customHeight="1">
      <c r="D7" s="3162"/>
      <c r="E7" s="2182"/>
      <c r="F7" s="3163"/>
      <c r="G7" s="2229"/>
      <c r="H7" s="2511"/>
      <c r="I7" s="2508"/>
      <c r="J7" s="3164"/>
      <c r="K7" s="3165"/>
      <c r="L7" s="2507"/>
      <c r="M7" s="2512"/>
      <c r="N7" s="1793"/>
      <c r="O7" s="1793"/>
      <c r="P7" s="1793"/>
      <c r="Q7" s="1793"/>
      <c r="R7" s="1793"/>
      <c r="S7" s="1793"/>
      <c r="T7" s="1793"/>
      <c r="U7" s="1793"/>
      <c r="V7" s="1793"/>
      <c r="W7" s="1793"/>
    </row>
    <row r="8" spans="4:31" ht="29.25" customHeight="1">
      <c r="D8" s="4774" t="s">
        <v>1288</v>
      </c>
      <c r="E8" s="4685"/>
      <c r="F8" s="4683" t="s">
        <v>1289</v>
      </c>
      <c r="G8" s="4685"/>
      <c r="H8" s="4683" t="s">
        <v>1290</v>
      </c>
      <c r="I8" s="4685"/>
      <c r="J8" s="4824" t="s">
        <v>170</v>
      </c>
      <c r="K8" s="4822"/>
      <c r="L8" s="2296"/>
      <c r="M8" s="2303"/>
      <c r="N8" s="1793"/>
      <c r="O8" s="1793"/>
      <c r="P8" s="1793"/>
      <c r="Q8" s="1793"/>
      <c r="R8" s="1793"/>
      <c r="S8" s="1793"/>
      <c r="T8" s="1793"/>
      <c r="U8" s="1793"/>
      <c r="V8" s="1793"/>
      <c r="W8" s="1793"/>
    </row>
    <row r="9" spans="4:31" ht="29.25" customHeight="1">
      <c r="D9" s="4774" t="s">
        <v>1291</v>
      </c>
      <c r="E9" s="4685"/>
      <c r="F9" s="4683" t="s">
        <v>1292</v>
      </c>
      <c r="G9" s="4685"/>
      <c r="H9" s="4683" t="s">
        <v>1293</v>
      </c>
      <c r="I9" s="4685"/>
      <c r="J9" s="4824" t="s">
        <v>187</v>
      </c>
      <c r="K9" s="4822"/>
      <c r="L9" s="1240"/>
      <c r="M9" s="2273"/>
      <c r="N9" s="1793"/>
      <c r="O9" s="1793"/>
      <c r="P9" s="1793"/>
      <c r="Q9" s="1793"/>
      <c r="R9" s="1793"/>
      <c r="S9" s="1793"/>
      <c r="T9" s="1793"/>
      <c r="U9" s="1793"/>
      <c r="V9" s="1793"/>
      <c r="W9" s="1793"/>
      <c r="Y9" s="1793"/>
      <c r="Z9" s="1793"/>
      <c r="AA9" s="1793"/>
      <c r="AB9" s="1793"/>
      <c r="AC9" s="1793"/>
      <c r="AD9" s="1793"/>
      <c r="AE9" s="1793"/>
    </row>
    <row r="10" spans="4:31" ht="15.75" customHeight="1">
      <c r="D10" s="3166"/>
      <c r="E10" s="1289"/>
      <c r="F10" s="1285"/>
      <c r="G10" s="1289"/>
      <c r="H10" s="1285"/>
      <c r="I10" s="1289"/>
      <c r="J10" s="3167"/>
      <c r="K10" s="3168"/>
      <c r="L10" s="1240"/>
      <c r="M10" s="2273"/>
      <c r="N10" s="1793"/>
      <c r="O10" s="1793"/>
      <c r="P10" s="1793"/>
      <c r="Q10" s="1793"/>
      <c r="R10" s="1793"/>
      <c r="S10" s="1793"/>
      <c r="T10" s="1793"/>
      <c r="U10" s="1793"/>
      <c r="V10" s="1793"/>
      <c r="W10" s="1793"/>
      <c r="Y10" s="1793"/>
      <c r="Z10" s="1793"/>
      <c r="AA10" s="1793"/>
      <c r="AB10" s="1793"/>
      <c r="AC10" s="1793"/>
      <c r="AD10" s="1793"/>
      <c r="AE10" s="1793"/>
    </row>
    <row r="11" spans="4:31" s="1793" customFormat="1" ht="32.25" customHeight="1">
      <c r="D11" s="2367" t="s">
        <v>1294</v>
      </c>
      <c r="E11" s="1731" t="s">
        <v>1295</v>
      </c>
      <c r="F11" s="1731" t="s">
        <v>1294</v>
      </c>
      <c r="G11" s="1731" t="s">
        <v>1295</v>
      </c>
      <c r="H11" s="1731" t="s">
        <v>1294</v>
      </c>
      <c r="I11" s="1731" t="s">
        <v>1295</v>
      </c>
      <c r="J11" s="1242" t="s">
        <v>1294</v>
      </c>
      <c r="K11" s="1242" t="s">
        <v>1295</v>
      </c>
      <c r="L11" s="1240"/>
      <c r="M11" s="2273"/>
      <c r="X11" s="1813"/>
    </row>
    <row r="12" spans="4:31" ht="3.75" customHeight="1">
      <c r="D12" s="2513" t="s">
        <v>8</v>
      </c>
      <c r="E12" s="2271" t="s">
        <v>8</v>
      </c>
      <c r="F12" s="2271" t="s">
        <v>8</v>
      </c>
      <c r="G12" s="2271" t="s">
        <v>8</v>
      </c>
      <c r="H12" s="2271" t="s">
        <v>8</v>
      </c>
      <c r="I12" s="2271" t="s">
        <v>8</v>
      </c>
      <c r="J12" s="1249" t="s">
        <v>8</v>
      </c>
      <c r="K12" s="1249" t="s">
        <v>8</v>
      </c>
      <c r="L12" s="2296"/>
      <c r="M12" s="2303"/>
      <c r="N12" s="1793"/>
      <c r="O12" s="1793"/>
      <c r="P12" s="1793"/>
      <c r="Q12" s="1793"/>
      <c r="R12" s="1793"/>
      <c r="S12" s="1793"/>
      <c r="T12" s="1793"/>
      <c r="U12" s="1793"/>
      <c r="V12" s="1793"/>
      <c r="W12" s="1793"/>
    </row>
    <row r="13" spans="4:31" s="1793" customFormat="1" ht="23.25" customHeight="1">
      <c r="D13" s="2597" t="s">
        <v>1296</v>
      </c>
      <c r="E13" s="1732" t="s">
        <v>1297</v>
      </c>
      <c r="F13" s="1732" t="s">
        <v>1296</v>
      </c>
      <c r="G13" s="1732" t="s">
        <v>1297</v>
      </c>
      <c r="H13" s="1732" t="s">
        <v>1296</v>
      </c>
      <c r="I13" s="1732" t="s">
        <v>1297</v>
      </c>
      <c r="J13" s="2515" t="s">
        <v>1296</v>
      </c>
      <c r="K13" s="2515" t="s">
        <v>1297</v>
      </c>
      <c r="L13" s="1772"/>
      <c r="M13" s="2321"/>
      <c r="X13" s="1813"/>
    </row>
    <row r="14" spans="4:31" s="1793" customFormat="1" ht="21.75" customHeight="1">
      <c r="D14" s="3169">
        <f t="shared" ref="D14:E45" si="0">J14-H14-F14</f>
        <v>286.70000000000005</v>
      </c>
      <c r="E14" s="2043">
        <f t="shared" si="0"/>
        <v>164.19999999999993</v>
      </c>
      <c r="F14" s="2044">
        <v>200.6</v>
      </c>
      <c r="G14" s="2044">
        <v>179.5</v>
      </c>
      <c r="H14" s="2044">
        <v>88.7</v>
      </c>
      <c r="I14" s="2044">
        <v>213.6</v>
      </c>
      <c r="J14" s="1161">
        <v>576</v>
      </c>
      <c r="K14" s="3170">
        <v>557.29999999999995</v>
      </c>
      <c r="L14" s="4928">
        <v>1964</v>
      </c>
      <c r="M14" s="4929"/>
      <c r="X14" s="1813"/>
    </row>
    <row r="15" spans="4:31" s="1793" customFormat="1" ht="21.75" customHeight="1">
      <c r="D15" s="1740">
        <f t="shared" si="0"/>
        <v>201.90000000000009</v>
      </c>
      <c r="E15" s="2244">
        <f t="shared" si="0"/>
        <v>213.49999999999994</v>
      </c>
      <c r="F15" s="1724">
        <v>289.39999999999998</v>
      </c>
      <c r="G15" s="1724">
        <v>240.8</v>
      </c>
      <c r="H15" s="1724">
        <v>245.4</v>
      </c>
      <c r="I15" s="1724">
        <v>278</v>
      </c>
      <c r="J15" s="1752">
        <v>736.7</v>
      </c>
      <c r="K15" s="1345">
        <v>732.3</v>
      </c>
      <c r="L15" s="4691">
        <v>1965</v>
      </c>
      <c r="M15" s="4692"/>
      <c r="X15" s="1813"/>
    </row>
    <row r="16" spans="4:31" s="1793" customFormat="1" ht="21.75" customHeight="1">
      <c r="D16" s="3169">
        <f t="shared" si="0"/>
        <v>250.19999999999993</v>
      </c>
      <c r="E16" s="2043">
        <f t="shared" si="0"/>
        <v>249.70000000000005</v>
      </c>
      <c r="F16" s="2044">
        <v>366.6</v>
      </c>
      <c r="G16" s="2044">
        <v>338.9</v>
      </c>
      <c r="H16" s="2044">
        <v>321.2</v>
      </c>
      <c r="I16" s="2044">
        <v>343.5</v>
      </c>
      <c r="J16" s="1161">
        <v>938</v>
      </c>
      <c r="K16" s="3170">
        <v>932.1</v>
      </c>
      <c r="L16" s="4928">
        <v>1966</v>
      </c>
      <c r="M16" s="4929"/>
      <c r="X16" s="1813"/>
    </row>
    <row r="17" spans="4:24" s="1793" customFormat="1" ht="21.75" customHeight="1">
      <c r="D17" s="1740">
        <f t="shared" si="0"/>
        <v>162.60000000000002</v>
      </c>
      <c r="E17" s="2244">
        <f t="shared" si="0"/>
        <v>143.5</v>
      </c>
      <c r="F17" s="1724">
        <v>263</v>
      </c>
      <c r="G17" s="1724">
        <v>246</v>
      </c>
      <c r="H17" s="1724">
        <v>307.10000000000002</v>
      </c>
      <c r="I17" s="1724">
        <v>331.1</v>
      </c>
      <c r="J17" s="1752">
        <v>732.7</v>
      </c>
      <c r="K17" s="1345">
        <v>720.6</v>
      </c>
      <c r="L17" s="4691">
        <v>1967</v>
      </c>
      <c r="M17" s="4692"/>
      <c r="X17" s="1813"/>
    </row>
    <row r="18" spans="4:24" s="1793" customFormat="1" ht="21.75" customHeight="1">
      <c r="D18" s="3169">
        <f t="shared" si="0"/>
        <v>96.000000000000057</v>
      </c>
      <c r="E18" s="2043">
        <f t="shared" si="0"/>
        <v>96.599999999999966</v>
      </c>
      <c r="F18" s="2044">
        <v>279.39999999999998</v>
      </c>
      <c r="G18" s="2044">
        <v>281.2</v>
      </c>
      <c r="H18" s="2044">
        <v>344.2</v>
      </c>
      <c r="I18" s="2044">
        <v>374.5</v>
      </c>
      <c r="J18" s="1161">
        <v>719.6</v>
      </c>
      <c r="K18" s="3170">
        <v>752.3</v>
      </c>
      <c r="L18" s="4928">
        <v>1968</v>
      </c>
      <c r="M18" s="4929"/>
      <c r="X18" s="1813"/>
    </row>
    <row r="19" spans="4:24" s="1793" customFormat="1" ht="21.75" customHeight="1">
      <c r="D19" s="1740">
        <f t="shared" si="0"/>
        <v>68.299999999999955</v>
      </c>
      <c r="E19" s="2244">
        <f t="shared" si="0"/>
        <v>81.400000000000034</v>
      </c>
      <c r="F19" s="1724">
        <v>271.5</v>
      </c>
      <c r="G19" s="1724">
        <v>268.7</v>
      </c>
      <c r="H19" s="1724">
        <v>358.5</v>
      </c>
      <c r="I19" s="1724">
        <v>386</v>
      </c>
      <c r="J19" s="1752">
        <v>698.3</v>
      </c>
      <c r="K19" s="1345">
        <v>736.1</v>
      </c>
      <c r="L19" s="4691">
        <v>1969</v>
      </c>
      <c r="M19" s="4692"/>
      <c r="X19" s="1813"/>
    </row>
    <row r="20" spans="4:24" s="1793" customFormat="1" ht="21.75" customHeight="1">
      <c r="D20" s="3169">
        <f t="shared" si="0"/>
        <v>95.800000000000011</v>
      </c>
      <c r="E20" s="2043">
        <f t="shared" si="0"/>
        <v>95</v>
      </c>
      <c r="F20" s="2044">
        <v>206</v>
      </c>
      <c r="G20" s="2044">
        <v>198.3</v>
      </c>
      <c r="H20" s="2044">
        <v>307.8</v>
      </c>
      <c r="I20" s="2044">
        <v>325.2</v>
      </c>
      <c r="J20" s="1161">
        <v>609.6</v>
      </c>
      <c r="K20" s="3170">
        <v>618.5</v>
      </c>
      <c r="L20" s="4928">
        <v>1970</v>
      </c>
      <c r="M20" s="4929"/>
      <c r="X20" s="1813"/>
    </row>
    <row r="21" spans="4:24" s="1793" customFormat="1" ht="21.75" customHeight="1">
      <c r="D21" s="1740">
        <f t="shared" si="0"/>
        <v>33.900000000000034</v>
      </c>
      <c r="E21" s="2244">
        <f t="shared" si="0"/>
        <v>32.699999999999989</v>
      </c>
      <c r="F21" s="1724">
        <v>223</v>
      </c>
      <c r="G21" s="1724">
        <v>209.7</v>
      </c>
      <c r="H21" s="1724">
        <v>341.8</v>
      </c>
      <c r="I21" s="1724">
        <v>362.5</v>
      </c>
      <c r="J21" s="1752">
        <v>598.70000000000005</v>
      </c>
      <c r="K21" s="1345">
        <v>604.9</v>
      </c>
      <c r="L21" s="4691">
        <v>1971</v>
      </c>
      <c r="M21" s="4692"/>
      <c r="X21" s="1813"/>
    </row>
    <row r="22" spans="4:24" s="1793" customFormat="1" ht="21.75" customHeight="1">
      <c r="D22" s="3169">
        <f t="shared" si="0"/>
        <v>48.099999999999966</v>
      </c>
      <c r="E22" s="2043">
        <f t="shared" si="0"/>
        <v>42.399999999999977</v>
      </c>
      <c r="F22" s="2044">
        <v>244</v>
      </c>
      <c r="G22" s="2044">
        <v>240.2</v>
      </c>
      <c r="H22" s="2044">
        <v>345.2</v>
      </c>
      <c r="I22" s="2044">
        <v>379.7</v>
      </c>
      <c r="J22" s="1161">
        <v>637.29999999999995</v>
      </c>
      <c r="K22" s="3170">
        <v>662.3</v>
      </c>
      <c r="L22" s="4928">
        <v>1972</v>
      </c>
      <c r="M22" s="4929"/>
      <c r="X22" s="1813"/>
    </row>
    <row r="23" spans="4:24" s="1793" customFormat="1" ht="21.75" customHeight="1">
      <c r="D23" s="1740">
        <f t="shared" si="0"/>
        <v>49.199999999999932</v>
      </c>
      <c r="E23" s="2244">
        <f t="shared" si="0"/>
        <v>45.299999999999955</v>
      </c>
      <c r="F23" s="1724">
        <v>258.60000000000002</v>
      </c>
      <c r="G23" s="1724">
        <v>249</v>
      </c>
      <c r="H23" s="1724">
        <v>448.1</v>
      </c>
      <c r="I23" s="1724">
        <v>464.5</v>
      </c>
      <c r="J23" s="1752">
        <v>755.9</v>
      </c>
      <c r="K23" s="1345">
        <v>758.8</v>
      </c>
      <c r="L23" s="4691">
        <v>1973</v>
      </c>
      <c r="M23" s="4692"/>
      <c r="X23" s="1813"/>
    </row>
    <row r="24" spans="4:24" s="1793" customFormat="1" ht="21.75" customHeight="1">
      <c r="D24" s="3169">
        <f t="shared" si="0"/>
        <v>204.89999999999998</v>
      </c>
      <c r="E24" s="2043">
        <f t="shared" si="0"/>
        <v>191.5</v>
      </c>
      <c r="F24" s="2044">
        <v>350</v>
      </c>
      <c r="G24" s="2044">
        <v>306.10000000000002</v>
      </c>
      <c r="H24" s="2044">
        <v>547.9</v>
      </c>
      <c r="I24" s="2044">
        <v>583.4</v>
      </c>
      <c r="J24" s="1161">
        <v>1102.8</v>
      </c>
      <c r="K24" s="3170">
        <v>1081</v>
      </c>
      <c r="L24" s="4928">
        <v>1974</v>
      </c>
      <c r="M24" s="4929"/>
      <c r="X24" s="1813"/>
    </row>
    <row r="25" spans="4:24" s="1793" customFormat="1" ht="21.75" customHeight="1">
      <c r="D25" s="1740">
        <f t="shared" si="0"/>
        <v>270.29999999999995</v>
      </c>
      <c r="E25" s="2244">
        <f t="shared" si="0"/>
        <v>244.69999999999993</v>
      </c>
      <c r="F25" s="1724">
        <v>437.5</v>
      </c>
      <c r="G25" s="1724">
        <v>366.6</v>
      </c>
      <c r="H25" s="1724">
        <v>615.29999999999995</v>
      </c>
      <c r="I25" s="1724">
        <v>654.70000000000005</v>
      </c>
      <c r="J25" s="1752">
        <v>1323.1</v>
      </c>
      <c r="K25" s="1345">
        <v>1266</v>
      </c>
      <c r="L25" s="4691">
        <v>1975</v>
      </c>
      <c r="M25" s="4692"/>
      <c r="X25" s="1813"/>
    </row>
    <row r="26" spans="4:24" s="1793" customFormat="1" ht="21.75" customHeight="1">
      <c r="D26" s="3169">
        <f t="shared" si="0"/>
        <v>316.70000000000005</v>
      </c>
      <c r="E26" s="2043">
        <f t="shared" si="0"/>
        <v>307.59999999999991</v>
      </c>
      <c r="F26" s="2044">
        <v>746</v>
      </c>
      <c r="G26" s="2044">
        <v>617.20000000000005</v>
      </c>
      <c r="H26" s="2044">
        <v>633.20000000000005</v>
      </c>
      <c r="I26" s="2044">
        <v>715.3</v>
      </c>
      <c r="J26" s="1161">
        <v>1695.9</v>
      </c>
      <c r="K26" s="3170">
        <v>1640.1</v>
      </c>
      <c r="L26" s="4928">
        <v>1976</v>
      </c>
      <c r="M26" s="4929"/>
      <c r="X26" s="1813"/>
    </row>
    <row r="27" spans="4:24" s="1793" customFormat="1" ht="21.75" customHeight="1">
      <c r="D27" s="1740">
        <f t="shared" si="0"/>
        <v>201.30000000000007</v>
      </c>
      <c r="E27" s="2244">
        <f t="shared" si="0"/>
        <v>193.79999999999984</v>
      </c>
      <c r="F27" s="1724">
        <v>739.5</v>
      </c>
      <c r="G27" s="1724">
        <v>616.1</v>
      </c>
      <c r="H27" s="1724">
        <v>653.9</v>
      </c>
      <c r="I27" s="1724">
        <v>754.7</v>
      </c>
      <c r="J27" s="1752">
        <v>1594.7</v>
      </c>
      <c r="K27" s="1345">
        <v>1564.6</v>
      </c>
      <c r="L27" s="4691">
        <v>1977</v>
      </c>
      <c r="M27" s="4692"/>
      <c r="X27" s="1813"/>
    </row>
    <row r="28" spans="4:24" s="1793" customFormat="1" ht="21.75" customHeight="1">
      <c r="D28" s="3169">
        <f t="shared" si="0"/>
        <v>428.79999999999995</v>
      </c>
      <c r="E28" s="2043">
        <f t="shared" si="0"/>
        <v>371.29999999999995</v>
      </c>
      <c r="F28" s="2044">
        <v>734.7</v>
      </c>
      <c r="G28" s="2044">
        <v>615.4</v>
      </c>
      <c r="H28" s="2044">
        <v>615.6</v>
      </c>
      <c r="I28" s="2044">
        <v>584.6</v>
      </c>
      <c r="J28" s="1161">
        <v>1779.1</v>
      </c>
      <c r="K28" s="3170">
        <v>1571.3</v>
      </c>
      <c r="L28" s="4928">
        <v>1978</v>
      </c>
      <c r="M28" s="4929"/>
      <c r="X28" s="1813"/>
    </row>
    <row r="29" spans="4:24" s="1793" customFormat="1" ht="21.75" customHeight="1">
      <c r="D29" s="1740">
        <f t="shared" si="0"/>
        <v>236.70000000000005</v>
      </c>
      <c r="E29" s="2244">
        <f t="shared" si="0"/>
        <v>244.90000000000009</v>
      </c>
      <c r="F29" s="1724">
        <v>1075</v>
      </c>
      <c r="G29" s="1724">
        <v>1044.9000000000001</v>
      </c>
      <c r="H29" s="1724">
        <v>741.7</v>
      </c>
      <c r="I29" s="1724">
        <v>719.9</v>
      </c>
      <c r="J29" s="1752">
        <v>2053.4</v>
      </c>
      <c r="K29" s="1345">
        <v>2009.7</v>
      </c>
      <c r="L29" s="4691">
        <v>1979</v>
      </c>
      <c r="M29" s="4692"/>
      <c r="X29" s="1813"/>
    </row>
    <row r="30" spans="4:24" s="1793" customFormat="1" ht="21.75" customHeight="1">
      <c r="D30" s="3169">
        <f t="shared" si="0"/>
        <v>406.40000000000009</v>
      </c>
      <c r="E30" s="2043">
        <f t="shared" si="0"/>
        <v>366.10000000000014</v>
      </c>
      <c r="F30" s="2044">
        <v>1213.2</v>
      </c>
      <c r="G30" s="2044">
        <v>1036.8</v>
      </c>
      <c r="H30" s="2044">
        <v>633.20000000000005</v>
      </c>
      <c r="I30" s="2044">
        <v>642.9</v>
      </c>
      <c r="J30" s="1161">
        <v>2252.8000000000002</v>
      </c>
      <c r="K30" s="3170">
        <v>2045.8</v>
      </c>
      <c r="L30" s="4928">
        <v>1980</v>
      </c>
      <c r="M30" s="4929"/>
      <c r="X30" s="1813"/>
    </row>
    <row r="31" spans="4:24" s="1793" customFormat="1" ht="21.75" customHeight="1">
      <c r="D31" s="1740">
        <f t="shared" si="0"/>
        <v>363.40000000000032</v>
      </c>
      <c r="E31" s="2244">
        <f t="shared" si="0"/>
        <v>373.90000000000009</v>
      </c>
      <c r="F31" s="1724">
        <v>1124.5999999999999</v>
      </c>
      <c r="G31" s="1724">
        <v>1139.0999999999999</v>
      </c>
      <c r="H31" s="1724">
        <v>731.8</v>
      </c>
      <c r="I31" s="1724">
        <v>669.5</v>
      </c>
      <c r="J31" s="1752">
        <v>2219.8000000000002</v>
      </c>
      <c r="K31" s="1345">
        <v>2182.5</v>
      </c>
      <c r="L31" s="4691">
        <v>1981</v>
      </c>
      <c r="M31" s="4692"/>
      <c r="X31" s="1813"/>
    </row>
    <row r="32" spans="4:24" s="1793" customFormat="1" ht="21.75" customHeight="1">
      <c r="D32" s="3169">
        <f t="shared" si="0"/>
        <v>281.29999999999995</v>
      </c>
      <c r="E32" s="2043">
        <f t="shared" si="0"/>
        <v>300.90000000000009</v>
      </c>
      <c r="F32" s="2044">
        <v>1646.3</v>
      </c>
      <c r="G32" s="2044">
        <v>1510.2</v>
      </c>
      <c r="H32" s="2044">
        <v>625.4</v>
      </c>
      <c r="I32" s="2044">
        <v>694.3</v>
      </c>
      <c r="J32" s="1161">
        <v>2553</v>
      </c>
      <c r="K32" s="3170">
        <v>2505.4</v>
      </c>
      <c r="L32" s="4928">
        <v>1982</v>
      </c>
      <c r="M32" s="4929"/>
      <c r="X32" s="1813"/>
    </row>
    <row r="33" spans="4:24" s="1793" customFormat="1" ht="21.75" customHeight="1">
      <c r="D33" s="1740">
        <f t="shared" si="0"/>
        <v>290.80000000000018</v>
      </c>
      <c r="E33" s="2244">
        <f t="shared" si="0"/>
        <v>256.30000000000018</v>
      </c>
      <c r="F33" s="1724">
        <v>1463.1</v>
      </c>
      <c r="G33" s="1724">
        <v>1401.9</v>
      </c>
      <c r="H33" s="1724">
        <v>682.5</v>
      </c>
      <c r="I33" s="1724">
        <v>706.6</v>
      </c>
      <c r="J33" s="1752">
        <v>2436.4</v>
      </c>
      <c r="K33" s="1345">
        <v>2364.8000000000002</v>
      </c>
      <c r="L33" s="4691">
        <v>1983</v>
      </c>
      <c r="M33" s="4692"/>
      <c r="X33" s="1813"/>
    </row>
    <row r="34" spans="4:24" s="1793" customFormat="1" ht="21.75" customHeight="1">
      <c r="D34" s="3169">
        <f t="shared" si="0"/>
        <v>281.00000000000023</v>
      </c>
      <c r="E34" s="2043">
        <f t="shared" si="0"/>
        <v>259</v>
      </c>
      <c r="F34" s="2044">
        <v>1284</v>
      </c>
      <c r="G34" s="2044">
        <v>1273.7</v>
      </c>
      <c r="H34" s="2044">
        <v>694.3</v>
      </c>
      <c r="I34" s="2044">
        <v>697.7</v>
      </c>
      <c r="J34" s="1161">
        <v>2259.3000000000002</v>
      </c>
      <c r="K34" s="3170">
        <v>2230.4</v>
      </c>
      <c r="L34" s="4928">
        <v>1984</v>
      </c>
      <c r="M34" s="4929"/>
      <c r="X34" s="1813"/>
    </row>
    <row r="35" spans="4:24" s="1793" customFormat="1" ht="21.75" customHeight="1">
      <c r="D35" s="1740">
        <f t="shared" si="0"/>
        <v>287.69999999999982</v>
      </c>
      <c r="E35" s="2244">
        <f t="shared" si="0"/>
        <v>276.29999999999995</v>
      </c>
      <c r="F35" s="1724">
        <v>1561.2</v>
      </c>
      <c r="G35" s="1724">
        <v>1518.7</v>
      </c>
      <c r="H35" s="1724">
        <v>909.7</v>
      </c>
      <c r="I35" s="1724">
        <v>893.6</v>
      </c>
      <c r="J35" s="1752">
        <v>2758.6</v>
      </c>
      <c r="K35" s="1345">
        <v>2688.6</v>
      </c>
      <c r="L35" s="4691">
        <v>1985</v>
      </c>
      <c r="M35" s="4692"/>
      <c r="X35" s="1813"/>
    </row>
    <row r="36" spans="4:24" s="1793" customFormat="1" ht="21.75" customHeight="1">
      <c r="D36" s="3169">
        <f t="shared" si="0"/>
        <v>293.30000000000018</v>
      </c>
      <c r="E36" s="2043">
        <f t="shared" si="0"/>
        <v>294.20000000000005</v>
      </c>
      <c r="F36" s="2044">
        <v>1603.7</v>
      </c>
      <c r="G36" s="2044">
        <v>1546</v>
      </c>
      <c r="H36" s="2044">
        <v>837.8</v>
      </c>
      <c r="I36" s="2044">
        <v>963.3</v>
      </c>
      <c r="J36" s="1161">
        <v>2734.8</v>
      </c>
      <c r="K36" s="3170">
        <v>2803.5</v>
      </c>
      <c r="L36" s="4928">
        <v>1986</v>
      </c>
      <c r="M36" s="4929"/>
      <c r="X36" s="1813"/>
    </row>
    <row r="37" spans="4:24" s="1793" customFormat="1" ht="21.75" customHeight="1">
      <c r="D37" s="1740">
        <f t="shared" si="0"/>
        <v>293.30000000000018</v>
      </c>
      <c r="E37" s="2244">
        <f t="shared" si="0"/>
        <v>326.60000000000014</v>
      </c>
      <c r="F37" s="1724">
        <v>1603.6</v>
      </c>
      <c r="G37" s="1724">
        <v>1584.3</v>
      </c>
      <c r="H37" s="1724">
        <v>1027.4000000000001</v>
      </c>
      <c r="I37" s="1724">
        <v>1212.4000000000001</v>
      </c>
      <c r="J37" s="1752">
        <v>2924.3</v>
      </c>
      <c r="K37" s="1345">
        <v>3123.3</v>
      </c>
      <c r="L37" s="4691">
        <v>1987</v>
      </c>
      <c r="M37" s="4692"/>
      <c r="X37" s="1813"/>
    </row>
    <row r="38" spans="4:24" ht="21.75" customHeight="1">
      <c r="D38" s="3169">
        <f t="shared" si="0"/>
        <v>317.59999999999991</v>
      </c>
      <c r="E38" s="2043">
        <f t="shared" si="0"/>
        <v>356.50000000000045</v>
      </c>
      <c r="F38" s="2043">
        <v>2071.4</v>
      </c>
      <c r="G38" s="2043">
        <v>2060.6999999999998</v>
      </c>
      <c r="H38" s="2043">
        <v>1135.7</v>
      </c>
      <c r="I38" s="2043">
        <v>1269.0999999999999</v>
      </c>
      <c r="J38" s="2042">
        <v>3524.7</v>
      </c>
      <c r="K38" s="3170">
        <v>3686.3</v>
      </c>
      <c r="L38" s="4928">
        <v>1988</v>
      </c>
      <c r="M38" s="4929"/>
    </row>
    <row r="39" spans="4:24" ht="21.75" customHeight="1">
      <c r="D39" s="1740">
        <f t="shared" si="0"/>
        <v>339.90000000000009</v>
      </c>
      <c r="E39" s="2244">
        <f t="shared" si="0"/>
        <v>334.69999999999982</v>
      </c>
      <c r="F39" s="1724">
        <v>1926.5</v>
      </c>
      <c r="G39" s="1724">
        <v>1783</v>
      </c>
      <c r="H39" s="1724">
        <v>1107</v>
      </c>
      <c r="I39" s="1724">
        <v>1190.9000000000001</v>
      </c>
      <c r="J39" s="1752">
        <v>3373.4</v>
      </c>
      <c r="K39" s="1345">
        <v>3308.6</v>
      </c>
      <c r="L39" s="4691">
        <v>1989</v>
      </c>
      <c r="M39" s="4692"/>
    </row>
    <row r="40" spans="4:24" ht="21.75" customHeight="1">
      <c r="D40" s="3169">
        <f t="shared" si="0"/>
        <v>558.90000000000009</v>
      </c>
      <c r="E40" s="2043">
        <f t="shared" si="0"/>
        <v>580.59999999999991</v>
      </c>
      <c r="F40" s="2043">
        <v>2075.1</v>
      </c>
      <c r="G40" s="2043">
        <v>1959.1</v>
      </c>
      <c r="H40" s="2043">
        <v>1276.5</v>
      </c>
      <c r="I40" s="2043">
        <v>1143.2</v>
      </c>
      <c r="J40" s="2042">
        <v>3910.5</v>
      </c>
      <c r="K40" s="3170">
        <v>3682.9</v>
      </c>
      <c r="L40" s="4928">
        <v>1990</v>
      </c>
      <c r="M40" s="4929"/>
    </row>
    <row r="41" spans="4:24" ht="21.75" customHeight="1">
      <c r="D41" s="1740">
        <f t="shared" si="0"/>
        <v>264.39999999999986</v>
      </c>
      <c r="E41" s="2244">
        <f t="shared" si="0"/>
        <v>238.10000000000014</v>
      </c>
      <c r="F41" s="1724">
        <v>1963.3</v>
      </c>
      <c r="G41" s="1724">
        <v>1778.8</v>
      </c>
      <c r="H41" s="1724">
        <v>893.9</v>
      </c>
      <c r="I41" s="1724">
        <v>858.6</v>
      </c>
      <c r="J41" s="1752">
        <v>3121.6</v>
      </c>
      <c r="K41" s="1345">
        <v>2875.5</v>
      </c>
      <c r="L41" s="4691">
        <v>1991</v>
      </c>
      <c r="M41" s="4692"/>
    </row>
    <row r="42" spans="4:24" ht="21.75" customHeight="1">
      <c r="D42" s="3169">
        <f t="shared" si="0"/>
        <v>380.60000000000036</v>
      </c>
      <c r="E42" s="2043">
        <f t="shared" si="0"/>
        <v>330.29999999999973</v>
      </c>
      <c r="F42" s="2043">
        <v>2862.1</v>
      </c>
      <c r="G42" s="2043">
        <v>2674.3</v>
      </c>
      <c r="H42" s="2043">
        <v>1090.5999999999999</v>
      </c>
      <c r="I42" s="2043">
        <v>1079.0999999999999</v>
      </c>
      <c r="J42" s="2042">
        <v>4333.3</v>
      </c>
      <c r="K42" s="3170">
        <v>4083.7</v>
      </c>
      <c r="L42" s="4928">
        <v>1992</v>
      </c>
      <c r="M42" s="4929"/>
    </row>
    <row r="43" spans="4:24" ht="21.75" customHeight="1">
      <c r="D43" s="1740">
        <f t="shared" si="0"/>
        <v>421.59999999999991</v>
      </c>
      <c r="E43" s="2244">
        <f t="shared" si="0"/>
        <v>391.29999999999973</v>
      </c>
      <c r="F43" s="1724">
        <v>2677.2</v>
      </c>
      <c r="G43" s="1724">
        <v>2600</v>
      </c>
      <c r="H43" s="1724">
        <v>1089.5999999999999</v>
      </c>
      <c r="I43" s="1724">
        <v>1128.0999999999999</v>
      </c>
      <c r="J43" s="1752">
        <v>4188.3999999999996</v>
      </c>
      <c r="K43" s="1345">
        <v>4119.3999999999996</v>
      </c>
      <c r="L43" s="4691">
        <v>1993</v>
      </c>
      <c r="M43" s="4692"/>
    </row>
    <row r="44" spans="4:24" ht="21.75" customHeight="1">
      <c r="D44" s="3169">
        <f t="shared" si="0"/>
        <v>467.10000000000036</v>
      </c>
      <c r="E44" s="2043">
        <f t="shared" si="0"/>
        <v>440</v>
      </c>
      <c r="F44" s="2043">
        <v>2758.1</v>
      </c>
      <c r="G44" s="2043">
        <v>2616.1999999999998</v>
      </c>
      <c r="H44" s="2043">
        <v>1142.5999999999999</v>
      </c>
      <c r="I44" s="2043">
        <v>1072.3</v>
      </c>
      <c r="J44" s="2042">
        <v>4367.8</v>
      </c>
      <c r="K44" s="3170">
        <v>4128.5</v>
      </c>
      <c r="L44" s="4928">
        <v>1994</v>
      </c>
      <c r="M44" s="4929"/>
    </row>
    <row r="45" spans="4:24" ht="21.75" customHeight="1">
      <c r="D45" s="1740">
        <f t="shared" si="0"/>
        <v>657.80000000000064</v>
      </c>
      <c r="E45" s="2244">
        <f t="shared" si="0"/>
        <v>662.09999999999945</v>
      </c>
      <c r="F45" s="1724">
        <v>2619.1999999999998</v>
      </c>
      <c r="G45" s="1724">
        <v>2549.5</v>
      </c>
      <c r="H45" s="1724">
        <v>1104.5999999999999</v>
      </c>
      <c r="I45" s="1724">
        <v>1127.3</v>
      </c>
      <c r="J45" s="1752">
        <v>4381.6000000000004</v>
      </c>
      <c r="K45" s="1345">
        <v>4338.8999999999996</v>
      </c>
      <c r="L45" s="4691">
        <v>1995</v>
      </c>
      <c r="M45" s="4692"/>
    </row>
    <row r="46" spans="4:24" ht="21.75" customHeight="1">
      <c r="D46" s="3169">
        <v>698.1</v>
      </c>
      <c r="E46" s="2043">
        <v>707.4</v>
      </c>
      <c r="F46" s="2043">
        <v>2465.6999999999998</v>
      </c>
      <c r="G46" s="2043">
        <v>2327.6</v>
      </c>
      <c r="H46" s="2043">
        <v>1102.7</v>
      </c>
      <c r="I46" s="2043">
        <v>1140.5</v>
      </c>
      <c r="J46" s="2042">
        <f t="shared" ref="J46:J53" si="1">D46+F46+H46</f>
        <v>4266.5</v>
      </c>
      <c r="K46" s="3170">
        <f t="shared" ref="K46:K53" si="2">I46+G46+E46</f>
        <v>4175.5</v>
      </c>
      <c r="L46" s="4928">
        <v>1996</v>
      </c>
      <c r="M46" s="4929"/>
    </row>
    <row r="47" spans="4:24" ht="21.75" customHeight="1">
      <c r="D47" s="1740">
        <v>683.9</v>
      </c>
      <c r="E47" s="2244">
        <v>669.3</v>
      </c>
      <c r="F47" s="1724">
        <v>2384.3000000000002</v>
      </c>
      <c r="G47" s="1724">
        <v>2209.9</v>
      </c>
      <c r="H47" s="1724">
        <v>1198</v>
      </c>
      <c r="I47" s="1724">
        <v>1233.0999999999999</v>
      </c>
      <c r="J47" s="1752">
        <f t="shared" si="1"/>
        <v>4266.2000000000007</v>
      </c>
      <c r="K47" s="1345">
        <f t="shared" si="2"/>
        <v>4112.3</v>
      </c>
      <c r="L47" s="4691">
        <v>1997</v>
      </c>
      <c r="M47" s="4692"/>
    </row>
    <row r="48" spans="4:24" ht="21.75" customHeight="1">
      <c r="D48" s="3169">
        <v>652.70000000000005</v>
      </c>
      <c r="E48" s="2043">
        <v>705.7</v>
      </c>
      <c r="F48" s="2043">
        <v>2650.2</v>
      </c>
      <c r="G48" s="2043">
        <v>2594.1999999999998</v>
      </c>
      <c r="H48" s="2043">
        <v>1283.0999999999999</v>
      </c>
      <c r="I48" s="2043">
        <v>1346.9</v>
      </c>
      <c r="J48" s="2042">
        <f t="shared" si="1"/>
        <v>4586</v>
      </c>
      <c r="K48" s="3170">
        <f t="shared" si="2"/>
        <v>4646.8</v>
      </c>
      <c r="L48" s="4928">
        <v>1998</v>
      </c>
      <c r="M48" s="4929"/>
    </row>
    <row r="49" spans="4:24" ht="21.75" customHeight="1">
      <c r="D49" s="1740">
        <v>747.2</v>
      </c>
      <c r="E49" s="2244">
        <v>724.7</v>
      </c>
      <c r="F49" s="1724">
        <v>2568</v>
      </c>
      <c r="G49" s="1724">
        <v>2292.6999999999998</v>
      </c>
      <c r="H49" s="1724">
        <v>1452.3</v>
      </c>
      <c r="I49" s="1724">
        <v>1562.5</v>
      </c>
      <c r="J49" s="1752">
        <f t="shared" si="1"/>
        <v>4767.5</v>
      </c>
      <c r="K49" s="1345">
        <f t="shared" si="2"/>
        <v>4579.8999999999996</v>
      </c>
      <c r="L49" s="4691">
        <v>1999</v>
      </c>
      <c r="M49" s="4692"/>
    </row>
    <row r="50" spans="4:24" ht="21.75" customHeight="1">
      <c r="D50" s="3169">
        <v>775.5</v>
      </c>
      <c r="E50" s="2043">
        <v>672.1</v>
      </c>
      <c r="F50" s="2043">
        <v>2243.4</v>
      </c>
      <c r="G50" s="2043">
        <v>1778.1</v>
      </c>
      <c r="H50" s="2043">
        <v>1599.2</v>
      </c>
      <c r="I50" s="2043">
        <v>1627</v>
      </c>
      <c r="J50" s="2042">
        <f t="shared" si="1"/>
        <v>4618.1000000000004</v>
      </c>
      <c r="K50" s="3170">
        <f t="shared" si="2"/>
        <v>4077.2</v>
      </c>
      <c r="L50" s="4928">
        <v>2000</v>
      </c>
      <c r="M50" s="4929"/>
    </row>
    <row r="51" spans="4:24" ht="21.75" customHeight="1">
      <c r="D51" s="1740">
        <v>651.1</v>
      </c>
      <c r="E51" s="2244">
        <v>544.5</v>
      </c>
      <c r="F51" s="1724">
        <v>2860.6</v>
      </c>
      <c r="G51" s="1724">
        <v>2240.6</v>
      </c>
      <c r="H51" s="1724">
        <v>1723.3</v>
      </c>
      <c r="I51" s="1724">
        <v>1755.2</v>
      </c>
      <c r="J51" s="1752">
        <f t="shared" si="1"/>
        <v>5235</v>
      </c>
      <c r="K51" s="1345">
        <f t="shared" si="2"/>
        <v>4540.3</v>
      </c>
      <c r="L51" s="4691">
        <v>2001</v>
      </c>
      <c r="M51" s="4692"/>
    </row>
    <row r="52" spans="4:24" ht="21.75" customHeight="1">
      <c r="D52" s="3169">
        <v>631.1</v>
      </c>
      <c r="E52" s="2043">
        <v>549.70000000000005</v>
      </c>
      <c r="F52" s="2043">
        <v>3284.9</v>
      </c>
      <c r="G52" s="2043">
        <v>3082</v>
      </c>
      <c r="H52" s="2043">
        <v>1626.7</v>
      </c>
      <c r="I52" s="2043">
        <v>1728.3</v>
      </c>
      <c r="J52" s="2042">
        <f t="shared" si="1"/>
        <v>5542.7</v>
      </c>
      <c r="K52" s="3170">
        <f t="shared" si="2"/>
        <v>5360</v>
      </c>
      <c r="L52" s="4928">
        <v>2002</v>
      </c>
      <c r="M52" s="4929"/>
    </row>
    <row r="53" spans="4:24" ht="21.75" customHeight="1">
      <c r="D53" s="1740">
        <v>667.6</v>
      </c>
      <c r="E53" s="2244">
        <v>599</v>
      </c>
      <c r="F53" s="1724">
        <v>3229.8</v>
      </c>
      <c r="G53" s="1724">
        <v>3323.2</v>
      </c>
      <c r="H53" s="1724">
        <v>1410.1</v>
      </c>
      <c r="I53" s="1724">
        <v>1532.8</v>
      </c>
      <c r="J53" s="1752">
        <f t="shared" si="1"/>
        <v>5307.5</v>
      </c>
      <c r="K53" s="1345">
        <f t="shared" si="2"/>
        <v>5455</v>
      </c>
      <c r="L53" s="4691">
        <v>2003</v>
      </c>
      <c r="M53" s="4692"/>
    </row>
    <row r="54" spans="4:24" s="1174" customFormat="1" ht="21.75" customHeight="1">
      <c r="D54" s="1738">
        <v>755.7</v>
      </c>
      <c r="E54" s="1739">
        <v>629.79999999999995</v>
      </c>
      <c r="F54" s="1739">
        <v>3030.5</v>
      </c>
      <c r="G54" s="1739">
        <v>2927.9</v>
      </c>
      <c r="H54" s="1739">
        <v>1239.3</v>
      </c>
      <c r="I54" s="1739">
        <v>1319.8</v>
      </c>
      <c r="J54" s="2042">
        <f>D54+F54+H54</f>
        <v>5025.5</v>
      </c>
      <c r="K54" s="3170">
        <f>I54+G54+E54</f>
        <v>4877.5</v>
      </c>
      <c r="L54" s="4928">
        <v>2004</v>
      </c>
      <c r="M54" s="4929"/>
      <c r="X54" s="2298"/>
    </row>
    <row r="55" spans="4:24" s="1174" customFormat="1" ht="21.75" customHeight="1">
      <c r="D55" s="1740">
        <v>1065.1510000000001</v>
      </c>
      <c r="E55" s="2244">
        <v>978.35900000000004</v>
      </c>
      <c r="F55" s="1724">
        <v>5317.0370000000003</v>
      </c>
      <c r="G55" s="1724">
        <v>4806.1589999999997</v>
      </c>
      <c r="H55" s="1724">
        <v>2498.29</v>
      </c>
      <c r="I55" s="1724">
        <v>2593.5940000000001</v>
      </c>
      <c r="J55" s="1752">
        <f>D55+F55+H55</f>
        <v>8880.4779999999992</v>
      </c>
      <c r="K55" s="1345">
        <f>I55+G55+E55</f>
        <v>8378.1119999999992</v>
      </c>
      <c r="L55" s="4691">
        <v>2005</v>
      </c>
      <c r="M55" s="4692"/>
      <c r="X55" s="2298"/>
    </row>
    <row r="56" spans="4:24" s="1801" customFormat="1" ht="21.75" customHeight="1">
      <c r="D56" s="1738">
        <v>1185.5</v>
      </c>
      <c r="E56" s="1739">
        <v>1084.0999999999999</v>
      </c>
      <c r="F56" s="1739">
        <v>5679.5</v>
      </c>
      <c r="G56" s="1739">
        <v>5152.5</v>
      </c>
      <c r="H56" s="1739">
        <v>2670.8</v>
      </c>
      <c r="I56" s="1739">
        <v>2755.3</v>
      </c>
      <c r="J56" s="1155">
        <f t="shared" ref="J56:J61" si="3">D56+F56+H56</f>
        <v>9535.7999999999993</v>
      </c>
      <c r="K56" s="1525">
        <f t="shared" ref="K56:K61" si="4">I56+G56+E56</f>
        <v>8991.9</v>
      </c>
      <c r="L56" s="4928">
        <v>2006</v>
      </c>
      <c r="M56" s="4929"/>
      <c r="X56" s="2298"/>
    </row>
    <row r="57" spans="4:24" ht="21.75" customHeight="1">
      <c r="D57" s="1740">
        <v>1434.6</v>
      </c>
      <c r="E57" s="2244">
        <v>1338.6</v>
      </c>
      <c r="F57" s="1724">
        <v>5262.7</v>
      </c>
      <c r="G57" s="1724">
        <v>4849.8999999999996</v>
      </c>
      <c r="H57" s="1724">
        <v>2250.1999999999998</v>
      </c>
      <c r="I57" s="1724">
        <v>2286.8000000000002</v>
      </c>
      <c r="J57" s="1752">
        <f t="shared" si="3"/>
        <v>8947.5</v>
      </c>
      <c r="K57" s="1345">
        <f t="shared" si="4"/>
        <v>8475.2999999999993</v>
      </c>
      <c r="L57" s="4691">
        <v>2007</v>
      </c>
      <c r="M57" s="4692"/>
      <c r="O57" s="1801"/>
      <c r="P57" s="1843"/>
    </row>
    <row r="58" spans="4:24" ht="21.75" customHeight="1">
      <c r="D58" s="3169">
        <v>1587.6</v>
      </c>
      <c r="E58" s="2043">
        <v>1537.2</v>
      </c>
      <c r="F58" s="2043">
        <v>5364.3</v>
      </c>
      <c r="G58" s="2043">
        <v>5177.8</v>
      </c>
      <c r="H58" s="2043">
        <v>2507</v>
      </c>
      <c r="I58" s="2043">
        <v>2516.8000000000002</v>
      </c>
      <c r="J58" s="2042">
        <f t="shared" si="3"/>
        <v>9458.9</v>
      </c>
      <c r="K58" s="3170">
        <f t="shared" si="4"/>
        <v>9231.8000000000011</v>
      </c>
      <c r="L58" s="4928">
        <v>2008</v>
      </c>
      <c r="M58" s="4929"/>
      <c r="P58" s="1843"/>
    </row>
    <row r="59" spans="4:24" ht="21.75" customHeight="1">
      <c r="D59" s="1740">
        <f>952+58+49.2+94.2+159+183.9</f>
        <v>1496.3000000000002</v>
      </c>
      <c r="E59" s="2244">
        <f>911.1+56.1+44.1+91.4+153.5+175.1</f>
        <v>1431.3</v>
      </c>
      <c r="F59" s="1724">
        <f>1022.5+293.8+1235+2277.5+557</f>
        <v>5385.8</v>
      </c>
      <c r="G59" s="1724">
        <f>1009.8+283.4+1193.1+2165.7+548</f>
        <v>5200</v>
      </c>
      <c r="H59" s="1724">
        <v>2618.3000000000002</v>
      </c>
      <c r="I59" s="1724">
        <v>2646.7</v>
      </c>
      <c r="J59" s="1752">
        <f t="shared" si="3"/>
        <v>9500.4000000000015</v>
      </c>
      <c r="K59" s="1345">
        <f t="shared" si="4"/>
        <v>9278</v>
      </c>
      <c r="L59" s="4691">
        <v>2009</v>
      </c>
      <c r="M59" s="4692"/>
      <c r="P59" s="1843"/>
    </row>
    <row r="60" spans="4:24" s="1793" customFormat="1" ht="21.75" customHeight="1">
      <c r="D60" s="4465">
        <f>1231.5+73.7+49.3+113+182.4+200.7</f>
        <v>1850.6000000000001</v>
      </c>
      <c r="E60" s="4461">
        <f>1140.5+71+49.8+106.4+172.2+186.8</f>
        <v>1726.7</v>
      </c>
      <c r="F60" s="4461">
        <f>1129+341.6+1368.9+2609+507</f>
        <v>5955.5</v>
      </c>
      <c r="G60" s="4461">
        <f>1111.1+330.2+1345.3+2508.1+489.7</f>
        <v>5784.4</v>
      </c>
      <c r="H60" s="4461">
        <v>3584.4</v>
      </c>
      <c r="I60" s="4461">
        <v>3614.9</v>
      </c>
      <c r="J60" s="4467">
        <f t="shared" si="3"/>
        <v>11390.5</v>
      </c>
      <c r="K60" s="1343">
        <f t="shared" si="4"/>
        <v>11126</v>
      </c>
      <c r="L60" s="4928">
        <v>2010</v>
      </c>
      <c r="M60" s="4929"/>
      <c r="O60" s="1192"/>
      <c r="P60" s="1843"/>
      <c r="X60" s="1813"/>
    </row>
    <row r="61" spans="4:24" s="1793" customFormat="1" ht="21.75" customHeight="1">
      <c r="D61" s="4464">
        <v>1559.529</v>
      </c>
      <c r="E61" s="4463">
        <v>1492</v>
      </c>
      <c r="F61" s="4462">
        <v>4809.2869999999994</v>
      </c>
      <c r="G61" s="4462">
        <v>4717.2</v>
      </c>
      <c r="H61" s="4462">
        <v>2491.4569999999999</v>
      </c>
      <c r="I61" s="4462">
        <v>2530.0400000000004</v>
      </c>
      <c r="J61" s="4466">
        <f t="shared" si="3"/>
        <v>8860.2729999999992</v>
      </c>
      <c r="K61" s="1345">
        <f t="shared" si="4"/>
        <v>8739.24</v>
      </c>
      <c r="L61" s="4691">
        <v>2011</v>
      </c>
      <c r="M61" s="4692"/>
      <c r="P61" s="1843"/>
      <c r="X61" s="1813"/>
    </row>
    <row r="62" spans="4:24" s="1793" customFormat="1" ht="21.75" customHeight="1">
      <c r="D62" s="4465">
        <v>1430.2</v>
      </c>
      <c r="E62" s="4461">
        <v>1368.1</v>
      </c>
      <c r="F62" s="4461">
        <v>4404.3</v>
      </c>
      <c r="G62" s="4461">
        <v>4261.3</v>
      </c>
      <c r="H62" s="4461">
        <v>2399.3000000000002</v>
      </c>
      <c r="I62" s="4461">
        <v>2435.8000000000002</v>
      </c>
      <c r="J62" s="4467">
        <f>D62+F62+H62</f>
        <v>8233.7999999999993</v>
      </c>
      <c r="K62" s="1343">
        <f>I62+G62+E62</f>
        <v>8065.2000000000007</v>
      </c>
      <c r="L62" s="4928">
        <v>2012</v>
      </c>
      <c r="M62" s="4929"/>
      <c r="P62" s="1843"/>
      <c r="X62" s="1813"/>
    </row>
    <row r="63" spans="4:24" s="1793" customFormat="1" ht="21.75" customHeight="1">
      <c r="D63" s="4464">
        <v>1346.2</v>
      </c>
      <c r="E63" s="4462">
        <v>1263.4000000000001</v>
      </c>
      <c r="F63" s="4462">
        <v>3452.5</v>
      </c>
      <c r="G63" s="4462">
        <v>3383</v>
      </c>
      <c r="H63" s="4462">
        <v>2296.4</v>
      </c>
      <c r="I63" s="4462">
        <v>2332.4</v>
      </c>
      <c r="J63" s="4466">
        <f>D63+F63+H63</f>
        <v>7095.1</v>
      </c>
      <c r="K63" s="1345">
        <f>I63+G63+E63</f>
        <v>6978.7999999999993</v>
      </c>
      <c r="L63" s="4691">
        <v>2013</v>
      </c>
      <c r="M63" s="4692"/>
      <c r="P63" s="1843"/>
      <c r="X63" s="1813"/>
    </row>
    <row r="64" spans="4:24" s="1793" customFormat="1" ht="21.75" customHeight="1">
      <c r="D64" s="4465">
        <v>1295.9000000000001</v>
      </c>
      <c r="E64" s="4461">
        <v>1236.2</v>
      </c>
      <c r="F64" s="4461">
        <v>3284.4</v>
      </c>
      <c r="G64" s="4461">
        <v>3214.2</v>
      </c>
      <c r="H64" s="4461">
        <v>2451.8000000000002</v>
      </c>
      <c r="I64" s="4461">
        <v>2490.3000000000002</v>
      </c>
      <c r="J64" s="4467">
        <v>7032</v>
      </c>
      <c r="K64" s="1343">
        <v>6940.7</v>
      </c>
      <c r="L64" s="4928">
        <v>2014</v>
      </c>
      <c r="M64" s="4929"/>
      <c r="P64" s="1843"/>
      <c r="X64" s="1813"/>
    </row>
    <row r="65" spans="3:24" s="1793" customFormat="1" ht="21.75" customHeight="1">
      <c r="D65" s="4464">
        <v>1087.3000000000002</v>
      </c>
      <c r="E65" s="4462">
        <v>1051.9000000000001</v>
      </c>
      <c r="F65" s="4462">
        <v>2802.0999999999995</v>
      </c>
      <c r="G65" s="4462">
        <v>2796.3249999999998</v>
      </c>
      <c r="H65" s="4462">
        <v>2552.4</v>
      </c>
      <c r="I65" s="4462">
        <v>2580.8449999999998</v>
      </c>
      <c r="J65" s="4466">
        <f t="shared" ref="J65:K65" si="5">H65+F65+D65</f>
        <v>6441.8</v>
      </c>
      <c r="K65" s="1345">
        <f t="shared" si="5"/>
        <v>6429.07</v>
      </c>
      <c r="L65" s="4691">
        <v>2015</v>
      </c>
      <c r="M65" s="4692"/>
      <c r="P65" s="1843"/>
      <c r="X65" s="1813"/>
    </row>
    <row r="66" spans="3:24" s="1793" customFormat="1" ht="21.75" customHeight="1">
      <c r="D66" s="4465">
        <v>1148.9000000000001</v>
      </c>
      <c r="E66" s="4461">
        <v>1123.8</v>
      </c>
      <c r="F66" s="4461">
        <v>2547.8000000000002</v>
      </c>
      <c r="G66" s="4461">
        <v>2583.6999999999998</v>
      </c>
      <c r="H66" s="4461">
        <v>2726</v>
      </c>
      <c r="I66" s="4461">
        <v>2751.7</v>
      </c>
      <c r="J66" s="4467">
        <v>6422.7000000000007</v>
      </c>
      <c r="K66" s="1343">
        <v>6459.2</v>
      </c>
      <c r="L66" s="4928">
        <v>2016</v>
      </c>
      <c r="M66" s="4929"/>
      <c r="P66" s="1843"/>
      <c r="X66" s="1813"/>
    </row>
    <row r="67" spans="3:24" s="1793" customFormat="1" ht="21.75" customHeight="1">
      <c r="D67" s="4497">
        <v>1355.7</v>
      </c>
      <c r="E67" s="4492">
        <v>1329.6</v>
      </c>
      <c r="F67" s="4492">
        <v>2674.7</v>
      </c>
      <c r="G67" s="4492">
        <v>2697.7</v>
      </c>
      <c r="H67" s="4492">
        <v>2893.3</v>
      </c>
      <c r="I67" s="4492">
        <v>2902.1</v>
      </c>
      <c r="J67" s="4502">
        <v>6923.7</v>
      </c>
      <c r="K67" s="1345">
        <v>6929.4</v>
      </c>
      <c r="L67" s="4691">
        <v>2017</v>
      </c>
      <c r="M67" s="4692"/>
      <c r="P67" s="1843"/>
      <c r="X67" s="1813"/>
    </row>
    <row r="68" spans="3:24" s="1793" customFormat="1" ht="21.75" customHeight="1">
      <c r="D68" s="4500">
        <v>1628.8139999999999</v>
      </c>
      <c r="E68" s="4493">
        <v>1608.4810000000002</v>
      </c>
      <c r="F68" s="4493">
        <v>2907.8310000000001</v>
      </c>
      <c r="G68" s="4493">
        <v>2906.3409999999999</v>
      </c>
      <c r="H68" s="4493">
        <v>2921.61</v>
      </c>
      <c r="I68" s="4493">
        <v>2926.2730000000001</v>
      </c>
      <c r="J68" s="4503">
        <v>7458.255000000001</v>
      </c>
      <c r="K68" s="1343">
        <v>7441.0949999999993</v>
      </c>
      <c r="L68" s="4928">
        <v>2018</v>
      </c>
      <c r="M68" s="4929"/>
      <c r="P68" s="1843"/>
      <c r="X68" s="1813"/>
    </row>
    <row r="69" spans="3:24" s="1793" customFormat="1" ht="21.75" customHeight="1">
      <c r="D69" s="4497">
        <v>1992.7750000000001</v>
      </c>
      <c r="E69" s="4492">
        <v>1951.7</v>
      </c>
      <c r="F69" s="4492">
        <v>3210.6019999999999</v>
      </c>
      <c r="G69" s="4492">
        <v>3270.9</v>
      </c>
      <c r="H69" s="4492">
        <v>3270.8</v>
      </c>
      <c r="I69" s="4492">
        <v>3300.7</v>
      </c>
      <c r="J69" s="4502">
        <v>8474.1769999999997</v>
      </c>
      <c r="K69" s="1345">
        <v>8523.3000000000011</v>
      </c>
      <c r="L69" s="4691">
        <v>2019</v>
      </c>
      <c r="M69" s="4692"/>
      <c r="P69" s="1843"/>
      <c r="X69" s="1813"/>
    </row>
    <row r="70" spans="3:24" s="1793" customFormat="1" ht="21.75" customHeight="1">
      <c r="D70" s="4500">
        <v>353.70299999999997</v>
      </c>
      <c r="E70" s="4493">
        <v>397.6</v>
      </c>
      <c r="F70" s="4493">
        <v>735.75400000000013</v>
      </c>
      <c r="G70" s="4493">
        <v>773</v>
      </c>
      <c r="H70" s="4493">
        <v>823.4</v>
      </c>
      <c r="I70" s="4493">
        <v>823.5</v>
      </c>
      <c r="J70" s="1343">
        <v>1912.857</v>
      </c>
      <c r="K70" s="1343">
        <v>1994.1</v>
      </c>
      <c r="L70" s="4928">
        <v>2020</v>
      </c>
      <c r="M70" s="4929"/>
      <c r="P70" s="1843"/>
      <c r="X70" s="1813"/>
    </row>
    <row r="71" spans="3:24" s="1398" customFormat="1">
      <c r="C71" s="2635"/>
      <c r="D71" s="4524">
        <v>501.66799999999972</v>
      </c>
      <c r="E71" s="4517">
        <v>472.4</v>
      </c>
      <c r="F71" s="4517">
        <v>1583.711</v>
      </c>
      <c r="G71" s="4517">
        <v>1555.7</v>
      </c>
      <c r="H71" s="4517">
        <v>1718.6</v>
      </c>
      <c r="I71" s="4517">
        <v>1757.3</v>
      </c>
      <c r="J71" s="1345">
        <v>3803.9789999999994</v>
      </c>
      <c r="K71" s="1345">
        <v>3785.4</v>
      </c>
      <c r="L71" s="4691">
        <v>2021</v>
      </c>
      <c r="M71" s="4692"/>
      <c r="X71" s="3171"/>
    </row>
    <row r="72" spans="3:24" s="1793" customFormat="1" ht="21.75" customHeight="1">
      <c r="D72" s="4528">
        <v>1562.8679999999999</v>
      </c>
      <c r="E72" s="4519">
        <v>1520.4</v>
      </c>
      <c r="F72" s="4519">
        <v>3105.5739999999996</v>
      </c>
      <c r="G72" s="4519">
        <v>3098.82</v>
      </c>
      <c r="H72" s="4519">
        <v>2894.04</v>
      </c>
      <c r="I72" s="4519">
        <v>2945.34</v>
      </c>
      <c r="J72" s="1694">
        <v>7562.482</v>
      </c>
      <c r="K72" s="1694">
        <v>7564.5599999999995</v>
      </c>
      <c r="L72" s="4926">
        <v>2022</v>
      </c>
      <c r="M72" s="4927"/>
      <c r="P72" s="1843"/>
      <c r="X72" s="1813"/>
    </row>
    <row r="73" spans="3:24" s="1398" customFormat="1" ht="18">
      <c r="D73" s="1453" t="s">
        <v>1298</v>
      </c>
      <c r="E73" s="2081"/>
      <c r="F73" s="2262"/>
      <c r="G73" s="2262"/>
      <c r="H73" s="2155"/>
      <c r="I73" s="2262"/>
      <c r="J73" s="2262"/>
      <c r="K73" s="1318"/>
      <c r="L73" s="2088"/>
      <c r="M73" s="4495" t="s">
        <v>1299</v>
      </c>
      <c r="X73" s="3171"/>
    </row>
    <row r="74" spans="3:24" ht="18.75" customHeight="1">
      <c r="D74" s="1318" t="s">
        <v>1300</v>
      </c>
      <c r="E74" s="1453"/>
      <c r="F74" s="1318"/>
      <c r="G74" s="1318"/>
      <c r="H74" s="2262"/>
      <c r="I74" s="1318"/>
      <c r="J74" s="1318"/>
      <c r="K74" s="1318"/>
      <c r="L74" s="1318"/>
      <c r="M74" s="1318" t="s">
        <v>1301</v>
      </c>
    </row>
    <row r="75" spans="3:24">
      <c r="D75" s="1318" t="s">
        <v>1302</v>
      </c>
      <c r="E75" s="1838"/>
      <c r="F75" s="1318"/>
      <c r="G75" s="1318"/>
      <c r="H75" s="2262"/>
      <c r="I75" s="1318"/>
      <c r="J75" s="1318"/>
      <c r="K75" s="1318"/>
      <c r="L75" s="1318" t="s">
        <v>1303</v>
      </c>
      <c r="M75" s="1318"/>
    </row>
    <row r="76" spans="3:24">
      <c r="D76" s="1400"/>
      <c r="E76" s="3172"/>
      <c r="K76" s="3173"/>
    </row>
  </sheetData>
  <mergeCells count="69">
    <mergeCell ref="L70:M70"/>
    <mergeCell ref="L64:M64"/>
    <mergeCell ref="L65:M65"/>
    <mergeCell ref="L66:M66"/>
    <mergeCell ref="L67:M67"/>
    <mergeCell ref="L68:M68"/>
    <mergeCell ref="L69:M69"/>
    <mergeCell ref="L59:M59"/>
    <mergeCell ref="L60:M60"/>
    <mergeCell ref="L61:M61"/>
    <mergeCell ref="L62:M62"/>
    <mergeCell ref="L63:M63"/>
    <mergeCell ref="L54:M54"/>
    <mergeCell ref="L55:M55"/>
    <mergeCell ref="L56:M56"/>
    <mergeCell ref="L57:M57"/>
    <mergeCell ref="L58:M58"/>
    <mergeCell ref="L49:M49"/>
    <mergeCell ref="L50:M50"/>
    <mergeCell ref="L51:M51"/>
    <mergeCell ref="L52:M52"/>
    <mergeCell ref="L53:M53"/>
    <mergeCell ref="L44:M44"/>
    <mergeCell ref="L45:M45"/>
    <mergeCell ref="L46:M46"/>
    <mergeCell ref="L47:M47"/>
    <mergeCell ref="L48:M48"/>
    <mergeCell ref="L39:M39"/>
    <mergeCell ref="L40:M40"/>
    <mergeCell ref="L41:M41"/>
    <mergeCell ref="L42:M42"/>
    <mergeCell ref="L43:M43"/>
    <mergeCell ref="L34:M34"/>
    <mergeCell ref="L35:M35"/>
    <mergeCell ref="L36:M36"/>
    <mergeCell ref="L37:M37"/>
    <mergeCell ref="L38:M38"/>
    <mergeCell ref="L29:M29"/>
    <mergeCell ref="L30:M30"/>
    <mergeCell ref="L31:M31"/>
    <mergeCell ref="L32:M32"/>
    <mergeCell ref="L33:M33"/>
    <mergeCell ref="L28:M28"/>
    <mergeCell ref="D3:M3"/>
    <mergeCell ref="D4:M4"/>
    <mergeCell ref="D8:E8"/>
    <mergeCell ref="D9:E9"/>
    <mergeCell ref="F8:G8"/>
    <mergeCell ref="H8:I8"/>
    <mergeCell ref="J8:K8"/>
    <mergeCell ref="F9:G9"/>
    <mergeCell ref="H9:I9"/>
    <mergeCell ref="J9:K9"/>
    <mergeCell ref="L72:M72"/>
    <mergeCell ref="L71:M71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9" orientation="portrait" horizontalDpi="300" verticalDpi="300" r:id="rId1"/>
  <headerFooter alignWithMargins="0">
    <oddFooter>&amp;C&amp;"Times New Roman (Arabic),Regular"&amp;22-46-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6"/>
  <sheetViews>
    <sheetView zoomScale="75" zoomScaleNormal="75" workbookViewId="0">
      <selection activeCell="C1" sqref="C1"/>
    </sheetView>
  </sheetViews>
  <sheetFormatPr defaultColWidth="0" defaultRowHeight="20.25"/>
  <cols>
    <col min="1" max="1" width="13.42578125" style="1174" customWidth="1"/>
    <col min="2" max="2" width="17" style="1174" customWidth="1"/>
    <col min="3" max="3" width="20.42578125" style="3200" customWidth="1"/>
    <col min="4" max="4" width="18" style="1174" customWidth="1"/>
    <col min="5" max="6" width="20.28515625" style="1174" customWidth="1"/>
    <col min="7" max="8" width="15.7109375" style="1174" customWidth="1"/>
    <col min="9" max="9" width="18" style="1174" customWidth="1"/>
    <col min="10" max="10" width="2.42578125" style="1174" customWidth="1"/>
    <col min="11" max="11" width="8.5703125" style="1174" customWidth="1"/>
    <col min="12" max="12" width="2.42578125" style="1174" customWidth="1"/>
    <col min="13" max="13" width="14.42578125" style="1174" customWidth="1"/>
    <col min="14" max="15" width="12" style="1174" customWidth="1"/>
    <col min="16" max="16" width="20.28515625" style="1174" customWidth="1"/>
    <col min="17" max="235" width="12" style="1174" customWidth="1"/>
    <col min="236" max="256" width="0" style="1174" hidden="1"/>
    <col min="257" max="257" width="13.42578125" style="1174" customWidth="1"/>
    <col min="258" max="258" width="17" style="1174" customWidth="1"/>
    <col min="259" max="260" width="18" style="1174" customWidth="1"/>
    <col min="261" max="262" width="20.28515625" style="1174" customWidth="1"/>
    <col min="263" max="264" width="15.7109375" style="1174" customWidth="1"/>
    <col min="265" max="265" width="18" style="1174" customWidth="1"/>
    <col min="266" max="266" width="2.42578125" style="1174" customWidth="1"/>
    <col min="267" max="267" width="7.5703125" style="1174" customWidth="1"/>
    <col min="268" max="268" width="2.42578125" style="1174" customWidth="1"/>
    <col min="269" max="269" width="14.42578125" style="1174" customWidth="1"/>
    <col min="270" max="271" width="12" style="1174" customWidth="1"/>
    <col min="272" max="272" width="20.28515625" style="1174" customWidth="1"/>
    <col min="273" max="491" width="12" style="1174" customWidth="1"/>
    <col min="492" max="512" width="0" style="1174" hidden="1"/>
    <col min="513" max="513" width="13.42578125" style="1174" customWidth="1"/>
    <col min="514" max="514" width="17" style="1174" customWidth="1"/>
    <col min="515" max="516" width="18" style="1174" customWidth="1"/>
    <col min="517" max="518" width="20.28515625" style="1174" customWidth="1"/>
    <col min="519" max="520" width="15.7109375" style="1174" customWidth="1"/>
    <col min="521" max="521" width="18" style="1174" customWidth="1"/>
    <col min="522" max="522" width="2.42578125" style="1174" customWidth="1"/>
    <col min="523" max="523" width="7.5703125" style="1174" customWidth="1"/>
    <col min="524" max="524" width="2.42578125" style="1174" customWidth="1"/>
    <col min="525" max="525" width="14.42578125" style="1174" customWidth="1"/>
    <col min="526" max="527" width="12" style="1174" customWidth="1"/>
    <col min="528" max="528" width="20.28515625" style="1174" customWidth="1"/>
    <col min="529" max="747" width="12" style="1174" customWidth="1"/>
    <col min="748" max="768" width="0" style="1174" hidden="1"/>
    <col min="769" max="769" width="13.42578125" style="1174" customWidth="1"/>
    <col min="770" max="770" width="17" style="1174" customWidth="1"/>
    <col min="771" max="772" width="18" style="1174" customWidth="1"/>
    <col min="773" max="774" width="20.28515625" style="1174" customWidth="1"/>
    <col min="775" max="776" width="15.7109375" style="1174" customWidth="1"/>
    <col min="777" max="777" width="18" style="1174" customWidth="1"/>
    <col min="778" max="778" width="2.42578125" style="1174" customWidth="1"/>
    <col min="779" max="779" width="7.5703125" style="1174" customWidth="1"/>
    <col min="780" max="780" width="2.42578125" style="1174" customWidth="1"/>
    <col min="781" max="781" width="14.42578125" style="1174" customWidth="1"/>
    <col min="782" max="783" width="12" style="1174" customWidth="1"/>
    <col min="784" max="784" width="20.28515625" style="1174" customWidth="1"/>
    <col min="785" max="1003" width="12" style="1174" customWidth="1"/>
    <col min="1004" max="1024" width="0" style="1174" hidden="1"/>
    <col min="1025" max="1025" width="13.42578125" style="1174" customWidth="1"/>
    <col min="1026" max="1026" width="17" style="1174" customWidth="1"/>
    <col min="1027" max="1028" width="18" style="1174" customWidth="1"/>
    <col min="1029" max="1030" width="20.28515625" style="1174" customWidth="1"/>
    <col min="1031" max="1032" width="15.7109375" style="1174" customWidth="1"/>
    <col min="1033" max="1033" width="18" style="1174" customWidth="1"/>
    <col min="1034" max="1034" width="2.42578125" style="1174" customWidth="1"/>
    <col min="1035" max="1035" width="7.5703125" style="1174" customWidth="1"/>
    <col min="1036" max="1036" width="2.42578125" style="1174" customWidth="1"/>
    <col min="1037" max="1037" width="14.42578125" style="1174" customWidth="1"/>
    <col min="1038" max="1039" width="12" style="1174" customWidth="1"/>
    <col min="1040" max="1040" width="20.28515625" style="1174" customWidth="1"/>
    <col min="1041" max="1259" width="12" style="1174" customWidth="1"/>
    <col min="1260" max="1280" width="0" style="1174" hidden="1"/>
    <col min="1281" max="1281" width="13.42578125" style="1174" customWidth="1"/>
    <col min="1282" max="1282" width="17" style="1174" customWidth="1"/>
    <col min="1283" max="1284" width="18" style="1174" customWidth="1"/>
    <col min="1285" max="1286" width="20.28515625" style="1174" customWidth="1"/>
    <col min="1287" max="1288" width="15.7109375" style="1174" customWidth="1"/>
    <col min="1289" max="1289" width="18" style="1174" customWidth="1"/>
    <col min="1290" max="1290" width="2.42578125" style="1174" customWidth="1"/>
    <col min="1291" max="1291" width="7.5703125" style="1174" customWidth="1"/>
    <col min="1292" max="1292" width="2.42578125" style="1174" customWidth="1"/>
    <col min="1293" max="1293" width="14.42578125" style="1174" customWidth="1"/>
    <col min="1294" max="1295" width="12" style="1174" customWidth="1"/>
    <col min="1296" max="1296" width="20.28515625" style="1174" customWidth="1"/>
    <col min="1297" max="1515" width="12" style="1174" customWidth="1"/>
    <col min="1516" max="1536" width="0" style="1174" hidden="1"/>
    <col min="1537" max="1537" width="13.42578125" style="1174" customWidth="1"/>
    <col min="1538" max="1538" width="17" style="1174" customWidth="1"/>
    <col min="1539" max="1540" width="18" style="1174" customWidth="1"/>
    <col min="1541" max="1542" width="20.28515625" style="1174" customWidth="1"/>
    <col min="1543" max="1544" width="15.7109375" style="1174" customWidth="1"/>
    <col min="1545" max="1545" width="18" style="1174" customWidth="1"/>
    <col min="1546" max="1546" width="2.42578125" style="1174" customWidth="1"/>
    <col min="1547" max="1547" width="7.5703125" style="1174" customWidth="1"/>
    <col min="1548" max="1548" width="2.42578125" style="1174" customWidth="1"/>
    <col min="1549" max="1549" width="14.42578125" style="1174" customWidth="1"/>
    <col min="1550" max="1551" width="12" style="1174" customWidth="1"/>
    <col min="1552" max="1552" width="20.28515625" style="1174" customWidth="1"/>
    <col min="1553" max="1771" width="12" style="1174" customWidth="1"/>
    <col min="1772" max="1792" width="0" style="1174" hidden="1"/>
    <col min="1793" max="1793" width="13.42578125" style="1174" customWidth="1"/>
    <col min="1794" max="1794" width="17" style="1174" customWidth="1"/>
    <col min="1795" max="1796" width="18" style="1174" customWidth="1"/>
    <col min="1797" max="1798" width="20.28515625" style="1174" customWidth="1"/>
    <col min="1799" max="1800" width="15.7109375" style="1174" customWidth="1"/>
    <col min="1801" max="1801" width="18" style="1174" customWidth="1"/>
    <col min="1802" max="1802" width="2.42578125" style="1174" customWidth="1"/>
    <col min="1803" max="1803" width="7.5703125" style="1174" customWidth="1"/>
    <col min="1804" max="1804" width="2.42578125" style="1174" customWidth="1"/>
    <col min="1805" max="1805" width="14.42578125" style="1174" customWidth="1"/>
    <col min="1806" max="1807" width="12" style="1174" customWidth="1"/>
    <col min="1808" max="1808" width="20.28515625" style="1174" customWidth="1"/>
    <col min="1809" max="2027" width="12" style="1174" customWidth="1"/>
    <col min="2028" max="2048" width="0" style="1174" hidden="1"/>
    <col min="2049" max="2049" width="13.42578125" style="1174" customWidth="1"/>
    <col min="2050" max="2050" width="17" style="1174" customWidth="1"/>
    <col min="2051" max="2052" width="18" style="1174" customWidth="1"/>
    <col min="2053" max="2054" width="20.28515625" style="1174" customWidth="1"/>
    <col min="2055" max="2056" width="15.7109375" style="1174" customWidth="1"/>
    <col min="2057" max="2057" width="18" style="1174" customWidth="1"/>
    <col min="2058" max="2058" width="2.42578125" style="1174" customWidth="1"/>
    <col min="2059" max="2059" width="7.5703125" style="1174" customWidth="1"/>
    <col min="2060" max="2060" width="2.42578125" style="1174" customWidth="1"/>
    <col min="2061" max="2061" width="14.42578125" style="1174" customWidth="1"/>
    <col min="2062" max="2063" width="12" style="1174" customWidth="1"/>
    <col min="2064" max="2064" width="20.28515625" style="1174" customWidth="1"/>
    <col min="2065" max="2283" width="12" style="1174" customWidth="1"/>
    <col min="2284" max="2304" width="0" style="1174" hidden="1"/>
    <col min="2305" max="2305" width="13.42578125" style="1174" customWidth="1"/>
    <col min="2306" max="2306" width="17" style="1174" customWidth="1"/>
    <col min="2307" max="2308" width="18" style="1174" customWidth="1"/>
    <col min="2309" max="2310" width="20.28515625" style="1174" customWidth="1"/>
    <col min="2311" max="2312" width="15.7109375" style="1174" customWidth="1"/>
    <col min="2313" max="2313" width="18" style="1174" customWidth="1"/>
    <col min="2314" max="2314" width="2.42578125" style="1174" customWidth="1"/>
    <col min="2315" max="2315" width="7.5703125" style="1174" customWidth="1"/>
    <col min="2316" max="2316" width="2.42578125" style="1174" customWidth="1"/>
    <col min="2317" max="2317" width="14.42578125" style="1174" customWidth="1"/>
    <col min="2318" max="2319" width="12" style="1174" customWidth="1"/>
    <col min="2320" max="2320" width="20.28515625" style="1174" customWidth="1"/>
    <col min="2321" max="2539" width="12" style="1174" customWidth="1"/>
    <col min="2540" max="2560" width="0" style="1174" hidden="1"/>
    <col min="2561" max="2561" width="13.42578125" style="1174" customWidth="1"/>
    <col min="2562" max="2562" width="17" style="1174" customWidth="1"/>
    <col min="2563" max="2564" width="18" style="1174" customWidth="1"/>
    <col min="2565" max="2566" width="20.28515625" style="1174" customWidth="1"/>
    <col min="2567" max="2568" width="15.7109375" style="1174" customWidth="1"/>
    <col min="2569" max="2569" width="18" style="1174" customWidth="1"/>
    <col min="2570" max="2570" width="2.42578125" style="1174" customWidth="1"/>
    <col min="2571" max="2571" width="7.5703125" style="1174" customWidth="1"/>
    <col min="2572" max="2572" width="2.42578125" style="1174" customWidth="1"/>
    <col min="2573" max="2573" width="14.42578125" style="1174" customWidth="1"/>
    <col min="2574" max="2575" width="12" style="1174" customWidth="1"/>
    <col min="2576" max="2576" width="20.28515625" style="1174" customWidth="1"/>
    <col min="2577" max="2795" width="12" style="1174" customWidth="1"/>
    <col min="2796" max="2816" width="0" style="1174" hidden="1"/>
    <col min="2817" max="2817" width="13.42578125" style="1174" customWidth="1"/>
    <col min="2818" max="2818" width="17" style="1174" customWidth="1"/>
    <col min="2819" max="2820" width="18" style="1174" customWidth="1"/>
    <col min="2821" max="2822" width="20.28515625" style="1174" customWidth="1"/>
    <col min="2823" max="2824" width="15.7109375" style="1174" customWidth="1"/>
    <col min="2825" max="2825" width="18" style="1174" customWidth="1"/>
    <col min="2826" max="2826" width="2.42578125" style="1174" customWidth="1"/>
    <col min="2827" max="2827" width="7.5703125" style="1174" customWidth="1"/>
    <col min="2828" max="2828" width="2.42578125" style="1174" customWidth="1"/>
    <col min="2829" max="2829" width="14.42578125" style="1174" customWidth="1"/>
    <col min="2830" max="2831" width="12" style="1174" customWidth="1"/>
    <col min="2832" max="2832" width="20.28515625" style="1174" customWidth="1"/>
    <col min="2833" max="3051" width="12" style="1174" customWidth="1"/>
    <col min="3052" max="3072" width="0" style="1174" hidden="1"/>
    <col min="3073" max="3073" width="13.42578125" style="1174" customWidth="1"/>
    <col min="3074" max="3074" width="17" style="1174" customWidth="1"/>
    <col min="3075" max="3076" width="18" style="1174" customWidth="1"/>
    <col min="3077" max="3078" width="20.28515625" style="1174" customWidth="1"/>
    <col min="3079" max="3080" width="15.7109375" style="1174" customWidth="1"/>
    <col min="3081" max="3081" width="18" style="1174" customWidth="1"/>
    <col min="3082" max="3082" width="2.42578125" style="1174" customWidth="1"/>
    <col min="3083" max="3083" width="7.5703125" style="1174" customWidth="1"/>
    <col min="3084" max="3084" width="2.42578125" style="1174" customWidth="1"/>
    <col min="3085" max="3085" width="14.42578125" style="1174" customWidth="1"/>
    <col min="3086" max="3087" width="12" style="1174" customWidth="1"/>
    <col min="3088" max="3088" width="20.28515625" style="1174" customWidth="1"/>
    <col min="3089" max="3307" width="12" style="1174" customWidth="1"/>
    <col min="3308" max="3328" width="0" style="1174" hidden="1"/>
    <col min="3329" max="3329" width="13.42578125" style="1174" customWidth="1"/>
    <col min="3330" max="3330" width="17" style="1174" customWidth="1"/>
    <col min="3331" max="3332" width="18" style="1174" customWidth="1"/>
    <col min="3333" max="3334" width="20.28515625" style="1174" customWidth="1"/>
    <col min="3335" max="3336" width="15.7109375" style="1174" customWidth="1"/>
    <col min="3337" max="3337" width="18" style="1174" customWidth="1"/>
    <col min="3338" max="3338" width="2.42578125" style="1174" customWidth="1"/>
    <col min="3339" max="3339" width="7.5703125" style="1174" customWidth="1"/>
    <col min="3340" max="3340" width="2.42578125" style="1174" customWidth="1"/>
    <col min="3341" max="3341" width="14.42578125" style="1174" customWidth="1"/>
    <col min="3342" max="3343" width="12" style="1174" customWidth="1"/>
    <col min="3344" max="3344" width="20.28515625" style="1174" customWidth="1"/>
    <col min="3345" max="3563" width="12" style="1174" customWidth="1"/>
    <col min="3564" max="3584" width="0" style="1174" hidden="1"/>
    <col min="3585" max="3585" width="13.42578125" style="1174" customWidth="1"/>
    <col min="3586" max="3586" width="17" style="1174" customWidth="1"/>
    <col min="3587" max="3588" width="18" style="1174" customWidth="1"/>
    <col min="3589" max="3590" width="20.28515625" style="1174" customWidth="1"/>
    <col min="3591" max="3592" width="15.7109375" style="1174" customWidth="1"/>
    <col min="3593" max="3593" width="18" style="1174" customWidth="1"/>
    <col min="3594" max="3594" width="2.42578125" style="1174" customWidth="1"/>
    <col min="3595" max="3595" width="7.5703125" style="1174" customWidth="1"/>
    <col min="3596" max="3596" width="2.42578125" style="1174" customWidth="1"/>
    <col min="3597" max="3597" width="14.42578125" style="1174" customWidth="1"/>
    <col min="3598" max="3599" width="12" style="1174" customWidth="1"/>
    <col min="3600" max="3600" width="20.28515625" style="1174" customWidth="1"/>
    <col min="3601" max="3819" width="12" style="1174" customWidth="1"/>
    <col min="3820" max="3840" width="0" style="1174" hidden="1"/>
    <col min="3841" max="3841" width="13.42578125" style="1174" customWidth="1"/>
    <col min="3842" max="3842" width="17" style="1174" customWidth="1"/>
    <col min="3843" max="3844" width="18" style="1174" customWidth="1"/>
    <col min="3845" max="3846" width="20.28515625" style="1174" customWidth="1"/>
    <col min="3847" max="3848" width="15.7109375" style="1174" customWidth="1"/>
    <col min="3849" max="3849" width="18" style="1174" customWidth="1"/>
    <col min="3850" max="3850" width="2.42578125" style="1174" customWidth="1"/>
    <col min="3851" max="3851" width="7.5703125" style="1174" customWidth="1"/>
    <col min="3852" max="3852" width="2.42578125" style="1174" customWidth="1"/>
    <col min="3853" max="3853" width="14.42578125" style="1174" customWidth="1"/>
    <col min="3854" max="3855" width="12" style="1174" customWidth="1"/>
    <col min="3856" max="3856" width="20.28515625" style="1174" customWidth="1"/>
    <col min="3857" max="4075" width="12" style="1174" customWidth="1"/>
    <col min="4076" max="4096" width="0" style="1174" hidden="1"/>
    <col min="4097" max="4097" width="13.42578125" style="1174" customWidth="1"/>
    <col min="4098" max="4098" width="17" style="1174" customWidth="1"/>
    <col min="4099" max="4100" width="18" style="1174" customWidth="1"/>
    <col min="4101" max="4102" width="20.28515625" style="1174" customWidth="1"/>
    <col min="4103" max="4104" width="15.7109375" style="1174" customWidth="1"/>
    <col min="4105" max="4105" width="18" style="1174" customWidth="1"/>
    <col min="4106" max="4106" width="2.42578125" style="1174" customWidth="1"/>
    <col min="4107" max="4107" width="7.5703125" style="1174" customWidth="1"/>
    <col min="4108" max="4108" width="2.42578125" style="1174" customWidth="1"/>
    <col min="4109" max="4109" width="14.42578125" style="1174" customWidth="1"/>
    <col min="4110" max="4111" width="12" style="1174" customWidth="1"/>
    <col min="4112" max="4112" width="20.28515625" style="1174" customWidth="1"/>
    <col min="4113" max="4331" width="12" style="1174" customWidth="1"/>
    <col min="4332" max="4352" width="0" style="1174" hidden="1"/>
    <col min="4353" max="4353" width="13.42578125" style="1174" customWidth="1"/>
    <col min="4354" max="4354" width="17" style="1174" customWidth="1"/>
    <col min="4355" max="4356" width="18" style="1174" customWidth="1"/>
    <col min="4357" max="4358" width="20.28515625" style="1174" customWidth="1"/>
    <col min="4359" max="4360" width="15.7109375" style="1174" customWidth="1"/>
    <col min="4361" max="4361" width="18" style="1174" customWidth="1"/>
    <col min="4362" max="4362" width="2.42578125" style="1174" customWidth="1"/>
    <col min="4363" max="4363" width="7.5703125" style="1174" customWidth="1"/>
    <col min="4364" max="4364" width="2.42578125" style="1174" customWidth="1"/>
    <col min="4365" max="4365" width="14.42578125" style="1174" customWidth="1"/>
    <col min="4366" max="4367" width="12" style="1174" customWidth="1"/>
    <col min="4368" max="4368" width="20.28515625" style="1174" customWidth="1"/>
    <col min="4369" max="4587" width="12" style="1174" customWidth="1"/>
    <col min="4588" max="4608" width="0" style="1174" hidden="1"/>
    <col min="4609" max="4609" width="13.42578125" style="1174" customWidth="1"/>
    <col min="4610" max="4610" width="17" style="1174" customWidth="1"/>
    <col min="4611" max="4612" width="18" style="1174" customWidth="1"/>
    <col min="4613" max="4614" width="20.28515625" style="1174" customWidth="1"/>
    <col min="4615" max="4616" width="15.7109375" style="1174" customWidth="1"/>
    <col min="4617" max="4617" width="18" style="1174" customWidth="1"/>
    <col min="4618" max="4618" width="2.42578125" style="1174" customWidth="1"/>
    <col min="4619" max="4619" width="7.5703125" style="1174" customWidth="1"/>
    <col min="4620" max="4620" width="2.42578125" style="1174" customWidth="1"/>
    <col min="4621" max="4621" width="14.42578125" style="1174" customWidth="1"/>
    <col min="4622" max="4623" width="12" style="1174" customWidth="1"/>
    <col min="4624" max="4624" width="20.28515625" style="1174" customWidth="1"/>
    <col min="4625" max="4843" width="12" style="1174" customWidth="1"/>
    <col min="4844" max="4864" width="0" style="1174" hidden="1"/>
    <col min="4865" max="4865" width="13.42578125" style="1174" customWidth="1"/>
    <col min="4866" max="4866" width="17" style="1174" customWidth="1"/>
    <col min="4867" max="4868" width="18" style="1174" customWidth="1"/>
    <col min="4869" max="4870" width="20.28515625" style="1174" customWidth="1"/>
    <col min="4871" max="4872" width="15.7109375" style="1174" customWidth="1"/>
    <col min="4873" max="4873" width="18" style="1174" customWidth="1"/>
    <col min="4874" max="4874" width="2.42578125" style="1174" customWidth="1"/>
    <col min="4875" max="4875" width="7.5703125" style="1174" customWidth="1"/>
    <col min="4876" max="4876" width="2.42578125" style="1174" customWidth="1"/>
    <col min="4877" max="4877" width="14.42578125" style="1174" customWidth="1"/>
    <col min="4878" max="4879" width="12" style="1174" customWidth="1"/>
    <col min="4880" max="4880" width="20.28515625" style="1174" customWidth="1"/>
    <col min="4881" max="5099" width="12" style="1174" customWidth="1"/>
    <col min="5100" max="5120" width="0" style="1174" hidden="1"/>
    <col min="5121" max="5121" width="13.42578125" style="1174" customWidth="1"/>
    <col min="5122" max="5122" width="17" style="1174" customWidth="1"/>
    <col min="5123" max="5124" width="18" style="1174" customWidth="1"/>
    <col min="5125" max="5126" width="20.28515625" style="1174" customWidth="1"/>
    <col min="5127" max="5128" width="15.7109375" style="1174" customWidth="1"/>
    <col min="5129" max="5129" width="18" style="1174" customWidth="1"/>
    <col min="5130" max="5130" width="2.42578125" style="1174" customWidth="1"/>
    <col min="5131" max="5131" width="7.5703125" style="1174" customWidth="1"/>
    <col min="5132" max="5132" width="2.42578125" style="1174" customWidth="1"/>
    <col min="5133" max="5133" width="14.42578125" style="1174" customWidth="1"/>
    <col min="5134" max="5135" width="12" style="1174" customWidth="1"/>
    <col min="5136" max="5136" width="20.28515625" style="1174" customWidth="1"/>
    <col min="5137" max="5355" width="12" style="1174" customWidth="1"/>
    <col min="5356" max="5376" width="0" style="1174" hidden="1"/>
    <col min="5377" max="5377" width="13.42578125" style="1174" customWidth="1"/>
    <col min="5378" max="5378" width="17" style="1174" customWidth="1"/>
    <col min="5379" max="5380" width="18" style="1174" customWidth="1"/>
    <col min="5381" max="5382" width="20.28515625" style="1174" customWidth="1"/>
    <col min="5383" max="5384" width="15.7109375" style="1174" customWidth="1"/>
    <col min="5385" max="5385" width="18" style="1174" customWidth="1"/>
    <col min="5386" max="5386" width="2.42578125" style="1174" customWidth="1"/>
    <col min="5387" max="5387" width="7.5703125" style="1174" customWidth="1"/>
    <col min="5388" max="5388" width="2.42578125" style="1174" customWidth="1"/>
    <col min="5389" max="5389" width="14.42578125" style="1174" customWidth="1"/>
    <col min="5390" max="5391" width="12" style="1174" customWidth="1"/>
    <col min="5392" max="5392" width="20.28515625" style="1174" customWidth="1"/>
    <col min="5393" max="5611" width="12" style="1174" customWidth="1"/>
    <col min="5612" max="5632" width="0" style="1174" hidden="1"/>
    <col min="5633" max="5633" width="13.42578125" style="1174" customWidth="1"/>
    <col min="5634" max="5634" width="17" style="1174" customWidth="1"/>
    <col min="5635" max="5636" width="18" style="1174" customWidth="1"/>
    <col min="5637" max="5638" width="20.28515625" style="1174" customWidth="1"/>
    <col min="5639" max="5640" width="15.7109375" style="1174" customWidth="1"/>
    <col min="5641" max="5641" width="18" style="1174" customWidth="1"/>
    <col min="5642" max="5642" width="2.42578125" style="1174" customWidth="1"/>
    <col min="5643" max="5643" width="7.5703125" style="1174" customWidth="1"/>
    <col min="5644" max="5644" width="2.42578125" style="1174" customWidth="1"/>
    <col min="5645" max="5645" width="14.42578125" style="1174" customWidth="1"/>
    <col min="5646" max="5647" width="12" style="1174" customWidth="1"/>
    <col min="5648" max="5648" width="20.28515625" style="1174" customWidth="1"/>
    <col min="5649" max="5867" width="12" style="1174" customWidth="1"/>
    <col min="5868" max="5888" width="0" style="1174" hidden="1"/>
    <col min="5889" max="5889" width="13.42578125" style="1174" customWidth="1"/>
    <col min="5890" max="5890" width="17" style="1174" customWidth="1"/>
    <col min="5891" max="5892" width="18" style="1174" customWidth="1"/>
    <col min="5893" max="5894" width="20.28515625" style="1174" customWidth="1"/>
    <col min="5895" max="5896" width="15.7109375" style="1174" customWidth="1"/>
    <col min="5897" max="5897" width="18" style="1174" customWidth="1"/>
    <col min="5898" max="5898" width="2.42578125" style="1174" customWidth="1"/>
    <col min="5899" max="5899" width="7.5703125" style="1174" customWidth="1"/>
    <col min="5900" max="5900" width="2.42578125" style="1174" customWidth="1"/>
    <col min="5901" max="5901" width="14.42578125" style="1174" customWidth="1"/>
    <col min="5902" max="5903" width="12" style="1174" customWidth="1"/>
    <col min="5904" max="5904" width="20.28515625" style="1174" customWidth="1"/>
    <col min="5905" max="6123" width="12" style="1174" customWidth="1"/>
    <col min="6124" max="6144" width="0" style="1174" hidden="1"/>
    <col min="6145" max="6145" width="13.42578125" style="1174" customWidth="1"/>
    <col min="6146" max="6146" width="17" style="1174" customWidth="1"/>
    <col min="6147" max="6148" width="18" style="1174" customWidth="1"/>
    <col min="6149" max="6150" width="20.28515625" style="1174" customWidth="1"/>
    <col min="6151" max="6152" width="15.7109375" style="1174" customWidth="1"/>
    <col min="6153" max="6153" width="18" style="1174" customWidth="1"/>
    <col min="6154" max="6154" width="2.42578125" style="1174" customWidth="1"/>
    <col min="6155" max="6155" width="7.5703125" style="1174" customWidth="1"/>
    <col min="6156" max="6156" width="2.42578125" style="1174" customWidth="1"/>
    <col min="6157" max="6157" width="14.42578125" style="1174" customWidth="1"/>
    <col min="6158" max="6159" width="12" style="1174" customWidth="1"/>
    <col min="6160" max="6160" width="20.28515625" style="1174" customWidth="1"/>
    <col min="6161" max="6379" width="12" style="1174" customWidth="1"/>
    <col min="6380" max="6400" width="0" style="1174" hidden="1"/>
    <col min="6401" max="6401" width="13.42578125" style="1174" customWidth="1"/>
    <col min="6402" max="6402" width="17" style="1174" customWidth="1"/>
    <col min="6403" max="6404" width="18" style="1174" customWidth="1"/>
    <col min="6405" max="6406" width="20.28515625" style="1174" customWidth="1"/>
    <col min="6407" max="6408" width="15.7109375" style="1174" customWidth="1"/>
    <col min="6409" max="6409" width="18" style="1174" customWidth="1"/>
    <col min="6410" max="6410" width="2.42578125" style="1174" customWidth="1"/>
    <col min="6411" max="6411" width="7.5703125" style="1174" customWidth="1"/>
    <col min="6412" max="6412" width="2.42578125" style="1174" customWidth="1"/>
    <col min="6413" max="6413" width="14.42578125" style="1174" customWidth="1"/>
    <col min="6414" max="6415" width="12" style="1174" customWidth="1"/>
    <col min="6416" max="6416" width="20.28515625" style="1174" customWidth="1"/>
    <col min="6417" max="6635" width="12" style="1174" customWidth="1"/>
    <col min="6636" max="6656" width="0" style="1174" hidden="1"/>
    <col min="6657" max="6657" width="13.42578125" style="1174" customWidth="1"/>
    <col min="6658" max="6658" width="17" style="1174" customWidth="1"/>
    <col min="6659" max="6660" width="18" style="1174" customWidth="1"/>
    <col min="6661" max="6662" width="20.28515625" style="1174" customWidth="1"/>
    <col min="6663" max="6664" width="15.7109375" style="1174" customWidth="1"/>
    <col min="6665" max="6665" width="18" style="1174" customWidth="1"/>
    <col min="6666" max="6666" width="2.42578125" style="1174" customWidth="1"/>
    <col min="6667" max="6667" width="7.5703125" style="1174" customWidth="1"/>
    <col min="6668" max="6668" width="2.42578125" style="1174" customWidth="1"/>
    <col min="6669" max="6669" width="14.42578125" style="1174" customWidth="1"/>
    <col min="6670" max="6671" width="12" style="1174" customWidth="1"/>
    <col min="6672" max="6672" width="20.28515625" style="1174" customWidth="1"/>
    <col min="6673" max="6891" width="12" style="1174" customWidth="1"/>
    <col min="6892" max="6912" width="0" style="1174" hidden="1"/>
    <col min="6913" max="6913" width="13.42578125" style="1174" customWidth="1"/>
    <col min="6914" max="6914" width="17" style="1174" customWidth="1"/>
    <col min="6915" max="6916" width="18" style="1174" customWidth="1"/>
    <col min="6917" max="6918" width="20.28515625" style="1174" customWidth="1"/>
    <col min="6919" max="6920" width="15.7109375" style="1174" customWidth="1"/>
    <col min="6921" max="6921" width="18" style="1174" customWidth="1"/>
    <col min="6922" max="6922" width="2.42578125" style="1174" customWidth="1"/>
    <col min="6923" max="6923" width="7.5703125" style="1174" customWidth="1"/>
    <col min="6924" max="6924" width="2.42578125" style="1174" customWidth="1"/>
    <col min="6925" max="6925" width="14.42578125" style="1174" customWidth="1"/>
    <col min="6926" max="6927" width="12" style="1174" customWidth="1"/>
    <col min="6928" max="6928" width="20.28515625" style="1174" customWidth="1"/>
    <col min="6929" max="7147" width="12" style="1174" customWidth="1"/>
    <col min="7148" max="7168" width="0" style="1174" hidden="1"/>
    <col min="7169" max="7169" width="13.42578125" style="1174" customWidth="1"/>
    <col min="7170" max="7170" width="17" style="1174" customWidth="1"/>
    <col min="7171" max="7172" width="18" style="1174" customWidth="1"/>
    <col min="7173" max="7174" width="20.28515625" style="1174" customWidth="1"/>
    <col min="7175" max="7176" width="15.7109375" style="1174" customWidth="1"/>
    <col min="7177" max="7177" width="18" style="1174" customWidth="1"/>
    <col min="7178" max="7178" width="2.42578125" style="1174" customWidth="1"/>
    <col min="7179" max="7179" width="7.5703125" style="1174" customWidth="1"/>
    <col min="7180" max="7180" width="2.42578125" style="1174" customWidth="1"/>
    <col min="7181" max="7181" width="14.42578125" style="1174" customWidth="1"/>
    <col min="7182" max="7183" width="12" style="1174" customWidth="1"/>
    <col min="7184" max="7184" width="20.28515625" style="1174" customWidth="1"/>
    <col min="7185" max="7403" width="12" style="1174" customWidth="1"/>
    <col min="7404" max="7424" width="0" style="1174" hidden="1"/>
    <col min="7425" max="7425" width="13.42578125" style="1174" customWidth="1"/>
    <col min="7426" max="7426" width="17" style="1174" customWidth="1"/>
    <col min="7427" max="7428" width="18" style="1174" customWidth="1"/>
    <col min="7429" max="7430" width="20.28515625" style="1174" customWidth="1"/>
    <col min="7431" max="7432" width="15.7109375" style="1174" customWidth="1"/>
    <col min="7433" max="7433" width="18" style="1174" customWidth="1"/>
    <col min="7434" max="7434" width="2.42578125" style="1174" customWidth="1"/>
    <col min="7435" max="7435" width="7.5703125" style="1174" customWidth="1"/>
    <col min="7436" max="7436" width="2.42578125" style="1174" customWidth="1"/>
    <col min="7437" max="7437" width="14.42578125" style="1174" customWidth="1"/>
    <col min="7438" max="7439" width="12" style="1174" customWidth="1"/>
    <col min="7440" max="7440" width="20.28515625" style="1174" customWidth="1"/>
    <col min="7441" max="7659" width="12" style="1174" customWidth="1"/>
    <col min="7660" max="7680" width="0" style="1174" hidden="1"/>
    <col min="7681" max="7681" width="13.42578125" style="1174" customWidth="1"/>
    <col min="7682" max="7682" width="17" style="1174" customWidth="1"/>
    <col min="7683" max="7684" width="18" style="1174" customWidth="1"/>
    <col min="7685" max="7686" width="20.28515625" style="1174" customWidth="1"/>
    <col min="7687" max="7688" width="15.7109375" style="1174" customWidth="1"/>
    <col min="7689" max="7689" width="18" style="1174" customWidth="1"/>
    <col min="7690" max="7690" width="2.42578125" style="1174" customWidth="1"/>
    <col min="7691" max="7691" width="7.5703125" style="1174" customWidth="1"/>
    <col min="7692" max="7692" width="2.42578125" style="1174" customWidth="1"/>
    <col min="7693" max="7693" width="14.42578125" style="1174" customWidth="1"/>
    <col min="7694" max="7695" width="12" style="1174" customWidth="1"/>
    <col min="7696" max="7696" width="20.28515625" style="1174" customWidth="1"/>
    <col min="7697" max="7915" width="12" style="1174" customWidth="1"/>
    <col min="7916" max="7936" width="0" style="1174" hidden="1"/>
    <col min="7937" max="7937" width="13.42578125" style="1174" customWidth="1"/>
    <col min="7938" max="7938" width="17" style="1174" customWidth="1"/>
    <col min="7939" max="7940" width="18" style="1174" customWidth="1"/>
    <col min="7941" max="7942" width="20.28515625" style="1174" customWidth="1"/>
    <col min="7943" max="7944" width="15.7109375" style="1174" customWidth="1"/>
    <col min="7945" max="7945" width="18" style="1174" customWidth="1"/>
    <col min="7946" max="7946" width="2.42578125" style="1174" customWidth="1"/>
    <col min="7947" max="7947" width="7.5703125" style="1174" customWidth="1"/>
    <col min="7948" max="7948" width="2.42578125" style="1174" customWidth="1"/>
    <col min="7949" max="7949" width="14.42578125" style="1174" customWidth="1"/>
    <col min="7950" max="7951" width="12" style="1174" customWidth="1"/>
    <col min="7952" max="7952" width="20.28515625" style="1174" customWidth="1"/>
    <col min="7953" max="8171" width="12" style="1174" customWidth="1"/>
    <col min="8172" max="8192" width="0" style="1174" hidden="1"/>
    <col min="8193" max="8193" width="13.42578125" style="1174" customWidth="1"/>
    <col min="8194" max="8194" width="17" style="1174" customWidth="1"/>
    <col min="8195" max="8196" width="18" style="1174" customWidth="1"/>
    <col min="8197" max="8198" width="20.28515625" style="1174" customWidth="1"/>
    <col min="8199" max="8200" width="15.7109375" style="1174" customWidth="1"/>
    <col min="8201" max="8201" width="18" style="1174" customWidth="1"/>
    <col min="8202" max="8202" width="2.42578125" style="1174" customWidth="1"/>
    <col min="8203" max="8203" width="7.5703125" style="1174" customWidth="1"/>
    <col min="8204" max="8204" width="2.42578125" style="1174" customWidth="1"/>
    <col min="8205" max="8205" width="14.42578125" style="1174" customWidth="1"/>
    <col min="8206" max="8207" width="12" style="1174" customWidth="1"/>
    <col min="8208" max="8208" width="20.28515625" style="1174" customWidth="1"/>
    <col min="8209" max="8427" width="12" style="1174" customWidth="1"/>
    <col min="8428" max="8448" width="0" style="1174" hidden="1"/>
    <col min="8449" max="8449" width="13.42578125" style="1174" customWidth="1"/>
    <col min="8450" max="8450" width="17" style="1174" customWidth="1"/>
    <col min="8451" max="8452" width="18" style="1174" customWidth="1"/>
    <col min="8453" max="8454" width="20.28515625" style="1174" customWidth="1"/>
    <col min="8455" max="8456" width="15.7109375" style="1174" customWidth="1"/>
    <col min="8457" max="8457" width="18" style="1174" customWidth="1"/>
    <col min="8458" max="8458" width="2.42578125" style="1174" customWidth="1"/>
    <col min="8459" max="8459" width="7.5703125" style="1174" customWidth="1"/>
    <col min="8460" max="8460" width="2.42578125" style="1174" customWidth="1"/>
    <col min="8461" max="8461" width="14.42578125" style="1174" customWidth="1"/>
    <col min="8462" max="8463" width="12" style="1174" customWidth="1"/>
    <col min="8464" max="8464" width="20.28515625" style="1174" customWidth="1"/>
    <col min="8465" max="8683" width="12" style="1174" customWidth="1"/>
    <col min="8684" max="8704" width="0" style="1174" hidden="1"/>
    <col min="8705" max="8705" width="13.42578125" style="1174" customWidth="1"/>
    <col min="8706" max="8706" width="17" style="1174" customWidth="1"/>
    <col min="8707" max="8708" width="18" style="1174" customWidth="1"/>
    <col min="8709" max="8710" width="20.28515625" style="1174" customWidth="1"/>
    <col min="8711" max="8712" width="15.7109375" style="1174" customWidth="1"/>
    <col min="8713" max="8713" width="18" style="1174" customWidth="1"/>
    <col min="8714" max="8714" width="2.42578125" style="1174" customWidth="1"/>
    <col min="8715" max="8715" width="7.5703125" style="1174" customWidth="1"/>
    <col min="8716" max="8716" width="2.42578125" style="1174" customWidth="1"/>
    <col min="8717" max="8717" width="14.42578125" style="1174" customWidth="1"/>
    <col min="8718" max="8719" width="12" style="1174" customWidth="1"/>
    <col min="8720" max="8720" width="20.28515625" style="1174" customWidth="1"/>
    <col min="8721" max="8939" width="12" style="1174" customWidth="1"/>
    <col min="8940" max="8960" width="0" style="1174" hidden="1"/>
    <col min="8961" max="8961" width="13.42578125" style="1174" customWidth="1"/>
    <col min="8962" max="8962" width="17" style="1174" customWidth="1"/>
    <col min="8963" max="8964" width="18" style="1174" customWidth="1"/>
    <col min="8965" max="8966" width="20.28515625" style="1174" customWidth="1"/>
    <col min="8967" max="8968" width="15.7109375" style="1174" customWidth="1"/>
    <col min="8969" max="8969" width="18" style="1174" customWidth="1"/>
    <col min="8970" max="8970" width="2.42578125" style="1174" customWidth="1"/>
    <col min="8971" max="8971" width="7.5703125" style="1174" customWidth="1"/>
    <col min="8972" max="8972" width="2.42578125" style="1174" customWidth="1"/>
    <col min="8973" max="8973" width="14.42578125" style="1174" customWidth="1"/>
    <col min="8974" max="8975" width="12" style="1174" customWidth="1"/>
    <col min="8976" max="8976" width="20.28515625" style="1174" customWidth="1"/>
    <col min="8977" max="9195" width="12" style="1174" customWidth="1"/>
    <col min="9196" max="9216" width="0" style="1174" hidden="1"/>
    <col min="9217" max="9217" width="13.42578125" style="1174" customWidth="1"/>
    <col min="9218" max="9218" width="17" style="1174" customWidth="1"/>
    <col min="9219" max="9220" width="18" style="1174" customWidth="1"/>
    <col min="9221" max="9222" width="20.28515625" style="1174" customWidth="1"/>
    <col min="9223" max="9224" width="15.7109375" style="1174" customWidth="1"/>
    <col min="9225" max="9225" width="18" style="1174" customWidth="1"/>
    <col min="9226" max="9226" width="2.42578125" style="1174" customWidth="1"/>
    <col min="9227" max="9227" width="7.5703125" style="1174" customWidth="1"/>
    <col min="9228" max="9228" width="2.42578125" style="1174" customWidth="1"/>
    <col min="9229" max="9229" width="14.42578125" style="1174" customWidth="1"/>
    <col min="9230" max="9231" width="12" style="1174" customWidth="1"/>
    <col min="9232" max="9232" width="20.28515625" style="1174" customWidth="1"/>
    <col min="9233" max="9451" width="12" style="1174" customWidth="1"/>
    <col min="9452" max="9472" width="0" style="1174" hidden="1"/>
    <col min="9473" max="9473" width="13.42578125" style="1174" customWidth="1"/>
    <col min="9474" max="9474" width="17" style="1174" customWidth="1"/>
    <col min="9475" max="9476" width="18" style="1174" customWidth="1"/>
    <col min="9477" max="9478" width="20.28515625" style="1174" customWidth="1"/>
    <col min="9479" max="9480" width="15.7109375" style="1174" customWidth="1"/>
    <col min="9481" max="9481" width="18" style="1174" customWidth="1"/>
    <col min="9482" max="9482" width="2.42578125" style="1174" customWidth="1"/>
    <col min="9483" max="9483" width="7.5703125" style="1174" customWidth="1"/>
    <col min="9484" max="9484" width="2.42578125" style="1174" customWidth="1"/>
    <col min="9485" max="9485" width="14.42578125" style="1174" customWidth="1"/>
    <col min="9486" max="9487" width="12" style="1174" customWidth="1"/>
    <col min="9488" max="9488" width="20.28515625" style="1174" customWidth="1"/>
    <col min="9489" max="9707" width="12" style="1174" customWidth="1"/>
    <col min="9708" max="9728" width="0" style="1174" hidden="1"/>
    <col min="9729" max="9729" width="13.42578125" style="1174" customWidth="1"/>
    <col min="9730" max="9730" width="17" style="1174" customWidth="1"/>
    <col min="9731" max="9732" width="18" style="1174" customWidth="1"/>
    <col min="9733" max="9734" width="20.28515625" style="1174" customWidth="1"/>
    <col min="9735" max="9736" width="15.7109375" style="1174" customWidth="1"/>
    <col min="9737" max="9737" width="18" style="1174" customWidth="1"/>
    <col min="9738" max="9738" width="2.42578125" style="1174" customWidth="1"/>
    <col min="9739" max="9739" width="7.5703125" style="1174" customWidth="1"/>
    <col min="9740" max="9740" width="2.42578125" style="1174" customWidth="1"/>
    <col min="9741" max="9741" width="14.42578125" style="1174" customWidth="1"/>
    <col min="9742" max="9743" width="12" style="1174" customWidth="1"/>
    <col min="9744" max="9744" width="20.28515625" style="1174" customWidth="1"/>
    <col min="9745" max="9963" width="12" style="1174" customWidth="1"/>
    <col min="9964" max="9984" width="0" style="1174" hidden="1"/>
    <col min="9985" max="9985" width="13.42578125" style="1174" customWidth="1"/>
    <col min="9986" max="9986" width="17" style="1174" customWidth="1"/>
    <col min="9987" max="9988" width="18" style="1174" customWidth="1"/>
    <col min="9989" max="9990" width="20.28515625" style="1174" customWidth="1"/>
    <col min="9991" max="9992" width="15.7109375" style="1174" customWidth="1"/>
    <col min="9993" max="9993" width="18" style="1174" customWidth="1"/>
    <col min="9994" max="9994" width="2.42578125" style="1174" customWidth="1"/>
    <col min="9995" max="9995" width="7.5703125" style="1174" customWidth="1"/>
    <col min="9996" max="9996" width="2.42578125" style="1174" customWidth="1"/>
    <col min="9997" max="9997" width="14.42578125" style="1174" customWidth="1"/>
    <col min="9998" max="9999" width="12" style="1174" customWidth="1"/>
    <col min="10000" max="10000" width="20.28515625" style="1174" customWidth="1"/>
    <col min="10001" max="10219" width="12" style="1174" customWidth="1"/>
    <col min="10220" max="10240" width="0" style="1174" hidden="1"/>
    <col min="10241" max="10241" width="13.42578125" style="1174" customWidth="1"/>
    <col min="10242" max="10242" width="17" style="1174" customWidth="1"/>
    <col min="10243" max="10244" width="18" style="1174" customWidth="1"/>
    <col min="10245" max="10246" width="20.28515625" style="1174" customWidth="1"/>
    <col min="10247" max="10248" width="15.7109375" style="1174" customWidth="1"/>
    <col min="10249" max="10249" width="18" style="1174" customWidth="1"/>
    <col min="10250" max="10250" width="2.42578125" style="1174" customWidth="1"/>
    <col min="10251" max="10251" width="7.5703125" style="1174" customWidth="1"/>
    <col min="10252" max="10252" width="2.42578125" style="1174" customWidth="1"/>
    <col min="10253" max="10253" width="14.42578125" style="1174" customWidth="1"/>
    <col min="10254" max="10255" width="12" style="1174" customWidth="1"/>
    <col min="10256" max="10256" width="20.28515625" style="1174" customWidth="1"/>
    <col min="10257" max="10475" width="12" style="1174" customWidth="1"/>
    <col min="10476" max="10496" width="0" style="1174" hidden="1"/>
    <col min="10497" max="10497" width="13.42578125" style="1174" customWidth="1"/>
    <col min="10498" max="10498" width="17" style="1174" customWidth="1"/>
    <col min="10499" max="10500" width="18" style="1174" customWidth="1"/>
    <col min="10501" max="10502" width="20.28515625" style="1174" customWidth="1"/>
    <col min="10503" max="10504" width="15.7109375" style="1174" customWidth="1"/>
    <col min="10505" max="10505" width="18" style="1174" customWidth="1"/>
    <col min="10506" max="10506" width="2.42578125" style="1174" customWidth="1"/>
    <col min="10507" max="10507" width="7.5703125" style="1174" customWidth="1"/>
    <col min="10508" max="10508" width="2.42578125" style="1174" customWidth="1"/>
    <col min="10509" max="10509" width="14.42578125" style="1174" customWidth="1"/>
    <col min="10510" max="10511" width="12" style="1174" customWidth="1"/>
    <col min="10512" max="10512" width="20.28515625" style="1174" customWidth="1"/>
    <col min="10513" max="10731" width="12" style="1174" customWidth="1"/>
    <col min="10732" max="10752" width="0" style="1174" hidden="1"/>
    <col min="10753" max="10753" width="13.42578125" style="1174" customWidth="1"/>
    <col min="10754" max="10754" width="17" style="1174" customWidth="1"/>
    <col min="10755" max="10756" width="18" style="1174" customWidth="1"/>
    <col min="10757" max="10758" width="20.28515625" style="1174" customWidth="1"/>
    <col min="10759" max="10760" width="15.7109375" style="1174" customWidth="1"/>
    <col min="10761" max="10761" width="18" style="1174" customWidth="1"/>
    <col min="10762" max="10762" width="2.42578125" style="1174" customWidth="1"/>
    <col min="10763" max="10763" width="7.5703125" style="1174" customWidth="1"/>
    <col min="10764" max="10764" width="2.42578125" style="1174" customWidth="1"/>
    <col min="10765" max="10765" width="14.42578125" style="1174" customWidth="1"/>
    <col min="10766" max="10767" width="12" style="1174" customWidth="1"/>
    <col min="10768" max="10768" width="20.28515625" style="1174" customWidth="1"/>
    <col min="10769" max="10987" width="12" style="1174" customWidth="1"/>
    <col min="10988" max="11008" width="0" style="1174" hidden="1"/>
    <col min="11009" max="11009" width="13.42578125" style="1174" customWidth="1"/>
    <col min="11010" max="11010" width="17" style="1174" customWidth="1"/>
    <col min="11011" max="11012" width="18" style="1174" customWidth="1"/>
    <col min="11013" max="11014" width="20.28515625" style="1174" customWidth="1"/>
    <col min="11015" max="11016" width="15.7109375" style="1174" customWidth="1"/>
    <col min="11017" max="11017" width="18" style="1174" customWidth="1"/>
    <col min="11018" max="11018" width="2.42578125" style="1174" customWidth="1"/>
    <col min="11019" max="11019" width="7.5703125" style="1174" customWidth="1"/>
    <col min="11020" max="11020" width="2.42578125" style="1174" customWidth="1"/>
    <col min="11021" max="11021" width="14.42578125" style="1174" customWidth="1"/>
    <col min="11022" max="11023" width="12" style="1174" customWidth="1"/>
    <col min="11024" max="11024" width="20.28515625" style="1174" customWidth="1"/>
    <col min="11025" max="11243" width="12" style="1174" customWidth="1"/>
    <col min="11244" max="11264" width="0" style="1174" hidden="1"/>
    <col min="11265" max="11265" width="13.42578125" style="1174" customWidth="1"/>
    <col min="11266" max="11266" width="17" style="1174" customWidth="1"/>
    <col min="11267" max="11268" width="18" style="1174" customWidth="1"/>
    <col min="11269" max="11270" width="20.28515625" style="1174" customWidth="1"/>
    <col min="11271" max="11272" width="15.7109375" style="1174" customWidth="1"/>
    <col min="11273" max="11273" width="18" style="1174" customWidth="1"/>
    <col min="11274" max="11274" width="2.42578125" style="1174" customWidth="1"/>
    <col min="11275" max="11275" width="7.5703125" style="1174" customWidth="1"/>
    <col min="11276" max="11276" width="2.42578125" style="1174" customWidth="1"/>
    <col min="11277" max="11277" width="14.42578125" style="1174" customWidth="1"/>
    <col min="11278" max="11279" width="12" style="1174" customWidth="1"/>
    <col min="11280" max="11280" width="20.28515625" style="1174" customWidth="1"/>
    <col min="11281" max="11499" width="12" style="1174" customWidth="1"/>
    <col min="11500" max="11520" width="0" style="1174" hidden="1"/>
    <col min="11521" max="11521" width="13.42578125" style="1174" customWidth="1"/>
    <col min="11522" max="11522" width="17" style="1174" customWidth="1"/>
    <col min="11523" max="11524" width="18" style="1174" customWidth="1"/>
    <col min="11525" max="11526" width="20.28515625" style="1174" customWidth="1"/>
    <col min="11527" max="11528" width="15.7109375" style="1174" customWidth="1"/>
    <col min="11529" max="11529" width="18" style="1174" customWidth="1"/>
    <col min="11530" max="11530" width="2.42578125" style="1174" customWidth="1"/>
    <col min="11531" max="11531" width="7.5703125" style="1174" customWidth="1"/>
    <col min="11532" max="11532" width="2.42578125" style="1174" customWidth="1"/>
    <col min="11533" max="11533" width="14.42578125" style="1174" customWidth="1"/>
    <col min="11534" max="11535" width="12" style="1174" customWidth="1"/>
    <col min="11536" max="11536" width="20.28515625" style="1174" customWidth="1"/>
    <col min="11537" max="11755" width="12" style="1174" customWidth="1"/>
    <col min="11756" max="11776" width="0" style="1174" hidden="1"/>
    <col min="11777" max="11777" width="13.42578125" style="1174" customWidth="1"/>
    <col min="11778" max="11778" width="17" style="1174" customWidth="1"/>
    <col min="11779" max="11780" width="18" style="1174" customWidth="1"/>
    <col min="11781" max="11782" width="20.28515625" style="1174" customWidth="1"/>
    <col min="11783" max="11784" width="15.7109375" style="1174" customWidth="1"/>
    <col min="11785" max="11785" width="18" style="1174" customWidth="1"/>
    <col min="11786" max="11786" width="2.42578125" style="1174" customWidth="1"/>
    <col min="11787" max="11787" width="7.5703125" style="1174" customWidth="1"/>
    <col min="11788" max="11788" width="2.42578125" style="1174" customWidth="1"/>
    <col min="11789" max="11789" width="14.42578125" style="1174" customWidth="1"/>
    <col min="11790" max="11791" width="12" style="1174" customWidth="1"/>
    <col min="11792" max="11792" width="20.28515625" style="1174" customWidth="1"/>
    <col min="11793" max="12011" width="12" style="1174" customWidth="1"/>
    <col min="12012" max="12032" width="0" style="1174" hidden="1"/>
    <col min="12033" max="12033" width="13.42578125" style="1174" customWidth="1"/>
    <col min="12034" max="12034" width="17" style="1174" customWidth="1"/>
    <col min="12035" max="12036" width="18" style="1174" customWidth="1"/>
    <col min="12037" max="12038" width="20.28515625" style="1174" customWidth="1"/>
    <col min="12039" max="12040" width="15.7109375" style="1174" customWidth="1"/>
    <col min="12041" max="12041" width="18" style="1174" customWidth="1"/>
    <col min="12042" max="12042" width="2.42578125" style="1174" customWidth="1"/>
    <col min="12043" max="12043" width="7.5703125" style="1174" customWidth="1"/>
    <col min="12044" max="12044" width="2.42578125" style="1174" customWidth="1"/>
    <col min="12045" max="12045" width="14.42578125" style="1174" customWidth="1"/>
    <col min="12046" max="12047" width="12" style="1174" customWidth="1"/>
    <col min="12048" max="12048" width="20.28515625" style="1174" customWidth="1"/>
    <col min="12049" max="12267" width="12" style="1174" customWidth="1"/>
    <col min="12268" max="12288" width="0" style="1174" hidden="1"/>
    <col min="12289" max="12289" width="13.42578125" style="1174" customWidth="1"/>
    <col min="12290" max="12290" width="17" style="1174" customWidth="1"/>
    <col min="12291" max="12292" width="18" style="1174" customWidth="1"/>
    <col min="12293" max="12294" width="20.28515625" style="1174" customWidth="1"/>
    <col min="12295" max="12296" width="15.7109375" style="1174" customWidth="1"/>
    <col min="12297" max="12297" width="18" style="1174" customWidth="1"/>
    <col min="12298" max="12298" width="2.42578125" style="1174" customWidth="1"/>
    <col min="12299" max="12299" width="7.5703125" style="1174" customWidth="1"/>
    <col min="12300" max="12300" width="2.42578125" style="1174" customWidth="1"/>
    <col min="12301" max="12301" width="14.42578125" style="1174" customWidth="1"/>
    <col min="12302" max="12303" width="12" style="1174" customWidth="1"/>
    <col min="12304" max="12304" width="20.28515625" style="1174" customWidth="1"/>
    <col min="12305" max="12523" width="12" style="1174" customWidth="1"/>
    <col min="12524" max="12544" width="0" style="1174" hidden="1"/>
    <col min="12545" max="12545" width="13.42578125" style="1174" customWidth="1"/>
    <col min="12546" max="12546" width="17" style="1174" customWidth="1"/>
    <col min="12547" max="12548" width="18" style="1174" customWidth="1"/>
    <col min="12549" max="12550" width="20.28515625" style="1174" customWidth="1"/>
    <col min="12551" max="12552" width="15.7109375" style="1174" customWidth="1"/>
    <col min="12553" max="12553" width="18" style="1174" customWidth="1"/>
    <col min="12554" max="12554" width="2.42578125" style="1174" customWidth="1"/>
    <col min="12555" max="12555" width="7.5703125" style="1174" customWidth="1"/>
    <col min="12556" max="12556" width="2.42578125" style="1174" customWidth="1"/>
    <col min="12557" max="12557" width="14.42578125" style="1174" customWidth="1"/>
    <col min="12558" max="12559" width="12" style="1174" customWidth="1"/>
    <col min="12560" max="12560" width="20.28515625" style="1174" customWidth="1"/>
    <col min="12561" max="12779" width="12" style="1174" customWidth="1"/>
    <col min="12780" max="12800" width="0" style="1174" hidden="1"/>
    <col min="12801" max="12801" width="13.42578125" style="1174" customWidth="1"/>
    <col min="12802" max="12802" width="17" style="1174" customWidth="1"/>
    <col min="12803" max="12804" width="18" style="1174" customWidth="1"/>
    <col min="12805" max="12806" width="20.28515625" style="1174" customWidth="1"/>
    <col min="12807" max="12808" width="15.7109375" style="1174" customWidth="1"/>
    <col min="12809" max="12809" width="18" style="1174" customWidth="1"/>
    <col min="12810" max="12810" width="2.42578125" style="1174" customWidth="1"/>
    <col min="12811" max="12811" width="7.5703125" style="1174" customWidth="1"/>
    <col min="12812" max="12812" width="2.42578125" style="1174" customWidth="1"/>
    <col min="12813" max="12813" width="14.42578125" style="1174" customWidth="1"/>
    <col min="12814" max="12815" width="12" style="1174" customWidth="1"/>
    <col min="12816" max="12816" width="20.28515625" style="1174" customWidth="1"/>
    <col min="12817" max="13035" width="12" style="1174" customWidth="1"/>
    <col min="13036" max="13056" width="0" style="1174" hidden="1"/>
    <col min="13057" max="13057" width="13.42578125" style="1174" customWidth="1"/>
    <col min="13058" max="13058" width="17" style="1174" customWidth="1"/>
    <col min="13059" max="13060" width="18" style="1174" customWidth="1"/>
    <col min="13061" max="13062" width="20.28515625" style="1174" customWidth="1"/>
    <col min="13063" max="13064" width="15.7109375" style="1174" customWidth="1"/>
    <col min="13065" max="13065" width="18" style="1174" customWidth="1"/>
    <col min="13066" max="13066" width="2.42578125" style="1174" customWidth="1"/>
    <col min="13067" max="13067" width="7.5703125" style="1174" customWidth="1"/>
    <col min="13068" max="13068" width="2.42578125" style="1174" customWidth="1"/>
    <col min="13069" max="13069" width="14.42578125" style="1174" customWidth="1"/>
    <col min="13070" max="13071" width="12" style="1174" customWidth="1"/>
    <col min="13072" max="13072" width="20.28515625" style="1174" customWidth="1"/>
    <col min="13073" max="13291" width="12" style="1174" customWidth="1"/>
    <col min="13292" max="13312" width="0" style="1174" hidden="1"/>
    <col min="13313" max="13313" width="13.42578125" style="1174" customWidth="1"/>
    <col min="13314" max="13314" width="17" style="1174" customWidth="1"/>
    <col min="13315" max="13316" width="18" style="1174" customWidth="1"/>
    <col min="13317" max="13318" width="20.28515625" style="1174" customWidth="1"/>
    <col min="13319" max="13320" width="15.7109375" style="1174" customWidth="1"/>
    <col min="13321" max="13321" width="18" style="1174" customWidth="1"/>
    <col min="13322" max="13322" width="2.42578125" style="1174" customWidth="1"/>
    <col min="13323" max="13323" width="7.5703125" style="1174" customWidth="1"/>
    <col min="13324" max="13324" width="2.42578125" style="1174" customWidth="1"/>
    <col min="13325" max="13325" width="14.42578125" style="1174" customWidth="1"/>
    <col min="13326" max="13327" width="12" style="1174" customWidth="1"/>
    <col min="13328" max="13328" width="20.28515625" style="1174" customWidth="1"/>
    <col min="13329" max="13547" width="12" style="1174" customWidth="1"/>
    <col min="13548" max="13568" width="0" style="1174" hidden="1"/>
    <col min="13569" max="13569" width="13.42578125" style="1174" customWidth="1"/>
    <col min="13570" max="13570" width="17" style="1174" customWidth="1"/>
    <col min="13571" max="13572" width="18" style="1174" customWidth="1"/>
    <col min="13573" max="13574" width="20.28515625" style="1174" customWidth="1"/>
    <col min="13575" max="13576" width="15.7109375" style="1174" customWidth="1"/>
    <col min="13577" max="13577" width="18" style="1174" customWidth="1"/>
    <col min="13578" max="13578" width="2.42578125" style="1174" customWidth="1"/>
    <col min="13579" max="13579" width="7.5703125" style="1174" customWidth="1"/>
    <col min="13580" max="13580" width="2.42578125" style="1174" customWidth="1"/>
    <col min="13581" max="13581" width="14.42578125" style="1174" customWidth="1"/>
    <col min="13582" max="13583" width="12" style="1174" customWidth="1"/>
    <col min="13584" max="13584" width="20.28515625" style="1174" customWidth="1"/>
    <col min="13585" max="13803" width="12" style="1174" customWidth="1"/>
    <col min="13804" max="13824" width="0" style="1174" hidden="1"/>
    <col min="13825" max="13825" width="13.42578125" style="1174" customWidth="1"/>
    <col min="13826" max="13826" width="17" style="1174" customWidth="1"/>
    <col min="13827" max="13828" width="18" style="1174" customWidth="1"/>
    <col min="13829" max="13830" width="20.28515625" style="1174" customWidth="1"/>
    <col min="13831" max="13832" width="15.7109375" style="1174" customWidth="1"/>
    <col min="13833" max="13833" width="18" style="1174" customWidth="1"/>
    <col min="13834" max="13834" width="2.42578125" style="1174" customWidth="1"/>
    <col min="13835" max="13835" width="7.5703125" style="1174" customWidth="1"/>
    <col min="13836" max="13836" width="2.42578125" style="1174" customWidth="1"/>
    <col min="13837" max="13837" width="14.42578125" style="1174" customWidth="1"/>
    <col min="13838" max="13839" width="12" style="1174" customWidth="1"/>
    <col min="13840" max="13840" width="20.28515625" style="1174" customWidth="1"/>
    <col min="13841" max="14059" width="12" style="1174" customWidth="1"/>
    <col min="14060" max="14080" width="0" style="1174" hidden="1"/>
    <col min="14081" max="14081" width="13.42578125" style="1174" customWidth="1"/>
    <col min="14082" max="14082" width="17" style="1174" customWidth="1"/>
    <col min="14083" max="14084" width="18" style="1174" customWidth="1"/>
    <col min="14085" max="14086" width="20.28515625" style="1174" customWidth="1"/>
    <col min="14087" max="14088" width="15.7109375" style="1174" customWidth="1"/>
    <col min="14089" max="14089" width="18" style="1174" customWidth="1"/>
    <col min="14090" max="14090" width="2.42578125" style="1174" customWidth="1"/>
    <col min="14091" max="14091" width="7.5703125" style="1174" customWidth="1"/>
    <col min="14092" max="14092" width="2.42578125" style="1174" customWidth="1"/>
    <col min="14093" max="14093" width="14.42578125" style="1174" customWidth="1"/>
    <col min="14094" max="14095" width="12" style="1174" customWidth="1"/>
    <col min="14096" max="14096" width="20.28515625" style="1174" customWidth="1"/>
    <col min="14097" max="14315" width="12" style="1174" customWidth="1"/>
    <col min="14316" max="14336" width="0" style="1174" hidden="1"/>
    <col min="14337" max="14337" width="13.42578125" style="1174" customWidth="1"/>
    <col min="14338" max="14338" width="17" style="1174" customWidth="1"/>
    <col min="14339" max="14340" width="18" style="1174" customWidth="1"/>
    <col min="14341" max="14342" width="20.28515625" style="1174" customWidth="1"/>
    <col min="14343" max="14344" width="15.7109375" style="1174" customWidth="1"/>
    <col min="14345" max="14345" width="18" style="1174" customWidth="1"/>
    <col min="14346" max="14346" width="2.42578125" style="1174" customWidth="1"/>
    <col min="14347" max="14347" width="7.5703125" style="1174" customWidth="1"/>
    <col min="14348" max="14348" width="2.42578125" style="1174" customWidth="1"/>
    <col min="14349" max="14349" width="14.42578125" style="1174" customWidth="1"/>
    <col min="14350" max="14351" width="12" style="1174" customWidth="1"/>
    <col min="14352" max="14352" width="20.28515625" style="1174" customWidth="1"/>
    <col min="14353" max="14571" width="12" style="1174" customWidth="1"/>
    <col min="14572" max="14592" width="0" style="1174" hidden="1"/>
    <col min="14593" max="14593" width="13.42578125" style="1174" customWidth="1"/>
    <col min="14594" max="14594" width="17" style="1174" customWidth="1"/>
    <col min="14595" max="14596" width="18" style="1174" customWidth="1"/>
    <col min="14597" max="14598" width="20.28515625" style="1174" customWidth="1"/>
    <col min="14599" max="14600" width="15.7109375" style="1174" customWidth="1"/>
    <col min="14601" max="14601" width="18" style="1174" customWidth="1"/>
    <col min="14602" max="14602" width="2.42578125" style="1174" customWidth="1"/>
    <col min="14603" max="14603" width="7.5703125" style="1174" customWidth="1"/>
    <col min="14604" max="14604" width="2.42578125" style="1174" customWidth="1"/>
    <col min="14605" max="14605" width="14.42578125" style="1174" customWidth="1"/>
    <col min="14606" max="14607" width="12" style="1174" customWidth="1"/>
    <col min="14608" max="14608" width="20.28515625" style="1174" customWidth="1"/>
    <col min="14609" max="14827" width="12" style="1174" customWidth="1"/>
    <col min="14828" max="14848" width="0" style="1174" hidden="1"/>
    <col min="14849" max="14849" width="13.42578125" style="1174" customWidth="1"/>
    <col min="14850" max="14850" width="17" style="1174" customWidth="1"/>
    <col min="14851" max="14852" width="18" style="1174" customWidth="1"/>
    <col min="14853" max="14854" width="20.28515625" style="1174" customWidth="1"/>
    <col min="14855" max="14856" width="15.7109375" style="1174" customWidth="1"/>
    <col min="14857" max="14857" width="18" style="1174" customWidth="1"/>
    <col min="14858" max="14858" width="2.42578125" style="1174" customWidth="1"/>
    <col min="14859" max="14859" width="7.5703125" style="1174" customWidth="1"/>
    <col min="14860" max="14860" width="2.42578125" style="1174" customWidth="1"/>
    <col min="14861" max="14861" width="14.42578125" style="1174" customWidth="1"/>
    <col min="14862" max="14863" width="12" style="1174" customWidth="1"/>
    <col min="14864" max="14864" width="20.28515625" style="1174" customWidth="1"/>
    <col min="14865" max="15083" width="12" style="1174" customWidth="1"/>
    <col min="15084" max="15104" width="0" style="1174" hidden="1"/>
    <col min="15105" max="15105" width="13.42578125" style="1174" customWidth="1"/>
    <col min="15106" max="15106" width="17" style="1174" customWidth="1"/>
    <col min="15107" max="15108" width="18" style="1174" customWidth="1"/>
    <col min="15109" max="15110" width="20.28515625" style="1174" customWidth="1"/>
    <col min="15111" max="15112" width="15.7109375" style="1174" customWidth="1"/>
    <col min="15113" max="15113" width="18" style="1174" customWidth="1"/>
    <col min="15114" max="15114" width="2.42578125" style="1174" customWidth="1"/>
    <col min="15115" max="15115" width="7.5703125" style="1174" customWidth="1"/>
    <col min="15116" max="15116" width="2.42578125" style="1174" customWidth="1"/>
    <col min="15117" max="15117" width="14.42578125" style="1174" customWidth="1"/>
    <col min="15118" max="15119" width="12" style="1174" customWidth="1"/>
    <col min="15120" max="15120" width="20.28515625" style="1174" customWidth="1"/>
    <col min="15121" max="15339" width="12" style="1174" customWidth="1"/>
    <col min="15340" max="15360" width="0" style="1174" hidden="1"/>
    <col min="15361" max="15361" width="13.42578125" style="1174" customWidth="1"/>
    <col min="15362" max="15362" width="17" style="1174" customWidth="1"/>
    <col min="15363" max="15364" width="18" style="1174" customWidth="1"/>
    <col min="15365" max="15366" width="20.28515625" style="1174" customWidth="1"/>
    <col min="15367" max="15368" width="15.7109375" style="1174" customWidth="1"/>
    <col min="15369" max="15369" width="18" style="1174" customWidth="1"/>
    <col min="15370" max="15370" width="2.42578125" style="1174" customWidth="1"/>
    <col min="15371" max="15371" width="7.5703125" style="1174" customWidth="1"/>
    <col min="15372" max="15372" width="2.42578125" style="1174" customWidth="1"/>
    <col min="15373" max="15373" width="14.42578125" style="1174" customWidth="1"/>
    <col min="15374" max="15375" width="12" style="1174" customWidth="1"/>
    <col min="15376" max="15376" width="20.28515625" style="1174" customWidth="1"/>
    <col min="15377" max="15595" width="12" style="1174" customWidth="1"/>
    <col min="15596" max="15616" width="0" style="1174" hidden="1"/>
    <col min="15617" max="15617" width="13.42578125" style="1174" customWidth="1"/>
    <col min="15618" max="15618" width="17" style="1174" customWidth="1"/>
    <col min="15619" max="15620" width="18" style="1174" customWidth="1"/>
    <col min="15621" max="15622" width="20.28515625" style="1174" customWidth="1"/>
    <col min="15623" max="15624" width="15.7109375" style="1174" customWidth="1"/>
    <col min="15625" max="15625" width="18" style="1174" customWidth="1"/>
    <col min="15626" max="15626" width="2.42578125" style="1174" customWidth="1"/>
    <col min="15627" max="15627" width="7.5703125" style="1174" customWidth="1"/>
    <col min="15628" max="15628" width="2.42578125" style="1174" customWidth="1"/>
    <col min="15629" max="15629" width="14.42578125" style="1174" customWidth="1"/>
    <col min="15630" max="15631" width="12" style="1174" customWidth="1"/>
    <col min="15632" max="15632" width="20.28515625" style="1174" customWidth="1"/>
    <col min="15633" max="15851" width="12" style="1174" customWidth="1"/>
    <col min="15852" max="15872" width="0" style="1174" hidden="1"/>
    <col min="15873" max="15873" width="13.42578125" style="1174" customWidth="1"/>
    <col min="15874" max="15874" width="17" style="1174" customWidth="1"/>
    <col min="15875" max="15876" width="18" style="1174" customWidth="1"/>
    <col min="15877" max="15878" width="20.28515625" style="1174" customWidth="1"/>
    <col min="15879" max="15880" width="15.7109375" style="1174" customWidth="1"/>
    <col min="15881" max="15881" width="18" style="1174" customWidth="1"/>
    <col min="15882" max="15882" width="2.42578125" style="1174" customWidth="1"/>
    <col min="15883" max="15883" width="7.5703125" style="1174" customWidth="1"/>
    <col min="15884" max="15884" width="2.42578125" style="1174" customWidth="1"/>
    <col min="15885" max="15885" width="14.42578125" style="1174" customWidth="1"/>
    <col min="15886" max="15887" width="12" style="1174" customWidth="1"/>
    <col min="15888" max="15888" width="20.28515625" style="1174" customWidth="1"/>
    <col min="15889" max="16107" width="12" style="1174" customWidth="1"/>
    <col min="16108" max="16128" width="0" style="1174" hidden="1"/>
    <col min="16129" max="16129" width="13.42578125" style="1174" customWidth="1"/>
    <col min="16130" max="16130" width="17" style="1174" customWidth="1"/>
    <col min="16131" max="16132" width="18" style="1174" customWidth="1"/>
    <col min="16133" max="16134" width="20.28515625" style="1174" customWidth="1"/>
    <col min="16135" max="16136" width="15.7109375" style="1174" customWidth="1"/>
    <col min="16137" max="16137" width="18" style="1174" customWidth="1"/>
    <col min="16138" max="16138" width="2.42578125" style="1174" customWidth="1"/>
    <col min="16139" max="16139" width="7.5703125" style="1174" customWidth="1"/>
    <col min="16140" max="16140" width="2.42578125" style="1174" customWidth="1"/>
    <col min="16141" max="16141" width="14.42578125" style="1174" customWidth="1"/>
    <col min="16142" max="16143" width="12" style="1174" customWidth="1"/>
    <col min="16144" max="16144" width="20.28515625" style="1174" customWidth="1"/>
    <col min="16145" max="16363" width="12" style="1174" customWidth="1"/>
    <col min="16364" max="16384" width="0" style="1174" hidden="1"/>
  </cols>
  <sheetData>
    <row r="1" spans="1:21" ht="28.35" customHeight="1">
      <c r="A1" s="1801"/>
      <c r="B1" s="1801"/>
      <c r="C1" s="1801"/>
      <c r="D1" s="1801"/>
      <c r="G1" s="3174"/>
      <c r="H1" s="3174"/>
      <c r="O1" s="2867"/>
      <c r="Q1" s="3175"/>
      <c r="R1" s="2867"/>
      <c r="S1" s="2867"/>
      <c r="T1" s="2867"/>
      <c r="U1" s="2867"/>
    </row>
    <row r="2" spans="1:21" ht="28.35" customHeight="1">
      <c r="A2" s="1801"/>
      <c r="B2" s="1809"/>
      <c r="C2" s="1809"/>
      <c r="E2" s="1956"/>
      <c r="F2" s="3174"/>
      <c r="G2" s="3174"/>
      <c r="H2" s="2868"/>
      <c r="O2" s="2350"/>
      <c r="Q2" s="2867"/>
      <c r="R2" s="2867"/>
      <c r="S2" s="2867"/>
      <c r="T2" s="2867"/>
    </row>
    <row r="3" spans="1:21" s="1845" customFormat="1" ht="28.35" customHeight="1">
      <c r="A3" s="1846"/>
      <c r="B3" s="3176"/>
      <c r="C3" s="4932" t="s">
        <v>1304</v>
      </c>
      <c r="D3" s="4932"/>
      <c r="E3" s="4932"/>
      <c r="F3" s="4932"/>
      <c r="G3" s="4932"/>
      <c r="H3" s="4932"/>
      <c r="I3" s="4932"/>
      <c r="J3" s="4932"/>
      <c r="K3" s="4932"/>
      <c r="L3" s="4932"/>
      <c r="P3" s="3177"/>
    </row>
    <row r="4" spans="1:21" s="2498" customFormat="1" ht="28.35" customHeight="1">
      <c r="A4" s="3178"/>
      <c r="B4" s="3179"/>
      <c r="C4" s="4931" t="s">
        <v>1305</v>
      </c>
      <c r="D4" s="4931"/>
      <c r="E4" s="4931"/>
      <c r="F4" s="4931"/>
      <c r="G4" s="4931"/>
      <c r="H4" s="4931"/>
      <c r="I4" s="4931"/>
      <c r="J4" s="4931"/>
      <c r="K4" s="4931"/>
      <c r="L4" s="4931"/>
      <c r="P4" s="3180"/>
    </row>
    <row r="5" spans="1:21" s="1849" customFormat="1" ht="17.100000000000001" customHeight="1">
      <c r="A5" s="1857"/>
      <c r="B5" s="3181"/>
      <c r="C5" s="3182" t="s">
        <v>1306</v>
      </c>
      <c r="D5" s="3183"/>
      <c r="E5" s="1185"/>
      <c r="F5" s="1185"/>
      <c r="G5" s="1185"/>
      <c r="H5" s="1185"/>
      <c r="I5" s="1185"/>
      <c r="J5" s="1185"/>
      <c r="K5" s="1185"/>
      <c r="L5" s="2377" t="s">
        <v>1307</v>
      </c>
    </row>
    <row r="6" spans="1:21" ht="4.3499999999999996" customHeight="1">
      <c r="A6" s="1801"/>
      <c r="B6" s="1809"/>
      <c r="C6" s="3184"/>
      <c r="D6" s="3182"/>
      <c r="E6" s="2378"/>
      <c r="F6" s="2378"/>
      <c r="G6" s="2378"/>
      <c r="H6" s="2378"/>
      <c r="I6" s="2378"/>
      <c r="J6" s="2378"/>
      <c r="K6" s="2378"/>
      <c r="L6" s="3185"/>
    </row>
    <row r="7" spans="1:21" ht="6" customHeight="1">
      <c r="A7" s="1801"/>
      <c r="B7" s="1809"/>
      <c r="C7" s="3186"/>
      <c r="D7" s="3187"/>
      <c r="E7" s="1994"/>
      <c r="F7" s="2182"/>
      <c r="G7" s="1994"/>
      <c r="H7" s="2182"/>
      <c r="I7" s="3188"/>
      <c r="J7" s="3189"/>
      <c r="K7" s="3188"/>
      <c r="L7" s="3190"/>
      <c r="M7" s="1801"/>
      <c r="P7" s="1801"/>
    </row>
    <row r="8" spans="1:21" s="1801" customFormat="1" ht="24" customHeight="1">
      <c r="B8" s="1809"/>
      <c r="C8" s="3191"/>
      <c r="D8" s="1249"/>
      <c r="E8" s="4682" t="s">
        <v>1308</v>
      </c>
      <c r="F8" s="4682"/>
      <c r="G8" s="4682" t="s">
        <v>1309</v>
      </c>
      <c r="H8" s="4682"/>
      <c r="I8" s="2523"/>
      <c r="J8" s="3192"/>
      <c r="K8" s="2523"/>
      <c r="L8" s="2729"/>
    </row>
    <row r="9" spans="1:21" s="1801" customFormat="1">
      <c r="B9" s="1809"/>
      <c r="C9" s="2367" t="s">
        <v>1310</v>
      </c>
      <c r="D9" s="1249"/>
      <c r="E9" s="4682" t="s">
        <v>1311</v>
      </c>
      <c r="F9" s="4682"/>
      <c r="G9" s="4682" t="s">
        <v>1312</v>
      </c>
      <c r="H9" s="4682"/>
      <c r="I9" s="2523"/>
      <c r="J9" s="3192"/>
      <c r="K9" s="2523"/>
      <c r="L9" s="2729"/>
    </row>
    <row r="10" spans="1:21" s="1801" customFormat="1" ht="2.25" customHeight="1">
      <c r="B10" s="1809"/>
      <c r="C10" s="2199"/>
      <c r="D10" s="3193"/>
      <c r="E10" s="2147"/>
      <c r="F10" s="3125"/>
      <c r="G10" s="2147"/>
      <c r="H10" s="3125"/>
      <c r="I10" s="2523"/>
      <c r="J10" s="3192"/>
      <c r="K10" s="2523"/>
      <c r="L10" s="2729"/>
    </row>
    <row r="11" spans="1:21" s="1801" customFormat="1" ht="27" customHeight="1">
      <c r="B11" s="1809"/>
      <c r="C11" s="2367" t="s">
        <v>1313</v>
      </c>
      <c r="D11" s="1235"/>
      <c r="E11" s="2548"/>
      <c r="F11" s="1384"/>
      <c r="G11" s="2060" t="s">
        <v>1314</v>
      </c>
      <c r="H11" s="2060" t="s">
        <v>1314</v>
      </c>
      <c r="I11" s="2523"/>
      <c r="J11" s="2293"/>
      <c r="K11" s="1283"/>
      <c r="L11" s="1294"/>
    </row>
    <row r="12" spans="1:21" s="1801" customFormat="1">
      <c r="B12" s="1809"/>
      <c r="C12" s="2367" t="s">
        <v>1315</v>
      </c>
      <c r="D12" s="1731" t="s">
        <v>1316</v>
      </c>
      <c r="E12" s="2271"/>
      <c r="F12" s="1731" t="s">
        <v>1317</v>
      </c>
      <c r="G12" s="1731" t="s">
        <v>1318</v>
      </c>
      <c r="H12" s="1731" t="s">
        <v>1318</v>
      </c>
      <c r="I12" s="2343" t="s">
        <v>170</v>
      </c>
      <c r="J12" s="4749"/>
      <c r="K12" s="4750"/>
      <c r="L12" s="4751"/>
      <c r="P12" s="1804"/>
    </row>
    <row r="13" spans="1:21" s="1801" customFormat="1">
      <c r="B13" s="1809"/>
      <c r="C13" s="2367" t="s">
        <v>1319</v>
      </c>
      <c r="D13" s="1731" t="s">
        <v>1320</v>
      </c>
      <c r="E13" s="1731" t="s">
        <v>330</v>
      </c>
      <c r="F13" s="1731" t="s">
        <v>1321</v>
      </c>
      <c r="G13" s="1731" t="s">
        <v>1322</v>
      </c>
      <c r="H13" s="1731" t="s">
        <v>1323</v>
      </c>
      <c r="I13" s="3194" t="s">
        <v>395</v>
      </c>
      <c r="J13" s="2293"/>
      <c r="K13" s="1283"/>
      <c r="L13" s="2273"/>
      <c r="P13" s="3195"/>
    </row>
    <row r="14" spans="1:21" s="1801" customFormat="1">
      <c r="B14" s="1809"/>
      <c r="C14" s="2199" t="s">
        <v>1324</v>
      </c>
      <c r="D14" s="1387"/>
      <c r="E14" s="2271"/>
      <c r="F14" s="2271"/>
      <c r="G14" s="1731" t="s">
        <v>1325</v>
      </c>
      <c r="H14" s="1731" t="s">
        <v>876</v>
      </c>
      <c r="I14" s="2523"/>
      <c r="J14" s="4749"/>
      <c r="K14" s="4750"/>
      <c r="L14" s="4751"/>
    </row>
    <row r="15" spans="1:21" s="1801" customFormat="1" ht="21" customHeight="1">
      <c r="B15" s="1809"/>
      <c r="C15" s="2367" t="s">
        <v>1326</v>
      </c>
      <c r="D15" s="1731" t="s">
        <v>58</v>
      </c>
      <c r="E15" s="2271"/>
      <c r="F15" s="1731" t="s">
        <v>705</v>
      </c>
      <c r="G15" s="1731" t="s">
        <v>1327</v>
      </c>
      <c r="H15" s="1731" t="s">
        <v>1327</v>
      </c>
      <c r="I15" s="2343" t="s">
        <v>634</v>
      </c>
      <c r="J15" s="1284"/>
      <c r="K15" s="1240"/>
      <c r="L15" s="2273"/>
    </row>
    <row r="16" spans="1:21" s="1801" customFormat="1" ht="21" customHeight="1">
      <c r="B16" s="1809"/>
      <c r="C16" s="2597" t="s">
        <v>1328</v>
      </c>
      <c r="D16" s="1732" t="s">
        <v>1329</v>
      </c>
      <c r="E16" s="1732" t="s">
        <v>119</v>
      </c>
      <c r="F16" s="1732" t="s">
        <v>1330</v>
      </c>
      <c r="G16" s="1732" t="s">
        <v>1329</v>
      </c>
      <c r="H16" s="1732" t="s">
        <v>1329</v>
      </c>
      <c r="I16" s="3196" t="s">
        <v>187</v>
      </c>
      <c r="J16" s="2147"/>
      <c r="K16" s="1375"/>
      <c r="L16" s="2123"/>
      <c r="P16" s="1804"/>
    </row>
    <row r="17" spans="2:23" ht="18.75" customHeight="1">
      <c r="B17" s="2350"/>
      <c r="C17" s="1496">
        <v>52</v>
      </c>
      <c r="D17" s="1497">
        <v>145</v>
      </c>
      <c r="E17" s="1497">
        <v>2756</v>
      </c>
      <c r="F17" s="1497">
        <v>0</v>
      </c>
      <c r="G17" s="1497">
        <v>114</v>
      </c>
      <c r="H17" s="1497">
        <v>3945</v>
      </c>
      <c r="I17" s="1498">
        <f t="shared" ref="I17:I59" si="0">H17+G17+E17+F17+D17+C17</f>
        <v>7012</v>
      </c>
      <c r="J17" s="1499"/>
      <c r="K17" s="1756">
        <v>1964</v>
      </c>
      <c r="L17" s="1500"/>
      <c r="M17" s="1964"/>
      <c r="N17" s="1963"/>
      <c r="O17" s="1963"/>
      <c r="P17" s="3197"/>
      <c r="Q17" s="1963"/>
      <c r="R17" s="1963"/>
      <c r="S17" s="1963"/>
      <c r="T17" s="1963"/>
      <c r="U17" s="1963"/>
      <c r="V17" s="1963"/>
      <c r="W17" s="1963"/>
    </row>
    <row r="18" spans="2:23" ht="18.75" customHeight="1">
      <c r="C18" s="1492">
        <v>47</v>
      </c>
      <c r="D18" s="1260">
        <v>126</v>
      </c>
      <c r="E18" s="1260">
        <v>2807</v>
      </c>
      <c r="F18" s="1260">
        <v>106</v>
      </c>
      <c r="G18" s="1260">
        <v>126</v>
      </c>
      <c r="H18" s="1260">
        <v>4541</v>
      </c>
      <c r="I18" s="1493">
        <f t="shared" si="0"/>
        <v>7753</v>
      </c>
      <c r="J18" s="1494"/>
      <c r="K18" s="1757">
        <v>1965</v>
      </c>
      <c r="L18" s="1495"/>
      <c r="M18" s="1964"/>
      <c r="N18" s="1963"/>
      <c r="O18" s="1963"/>
      <c r="P18" s="3197"/>
      <c r="Q18" s="1963"/>
      <c r="R18" s="1963"/>
      <c r="S18" s="1963"/>
      <c r="T18" s="1963"/>
      <c r="U18" s="1963"/>
      <c r="V18" s="1963"/>
      <c r="W18" s="1963"/>
    </row>
    <row r="19" spans="2:23" ht="18.75" customHeight="1">
      <c r="C19" s="1496">
        <v>51</v>
      </c>
      <c r="D19" s="1497">
        <v>226</v>
      </c>
      <c r="E19" s="1497">
        <v>3634</v>
      </c>
      <c r="F19" s="1497">
        <v>115</v>
      </c>
      <c r="G19" s="1497">
        <v>110</v>
      </c>
      <c r="H19" s="1497">
        <v>4623</v>
      </c>
      <c r="I19" s="1498">
        <f t="shared" si="0"/>
        <v>8759</v>
      </c>
      <c r="J19" s="1499"/>
      <c r="K19" s="1756">
        <v>1966</v>
      </c>
      <c r="L19" s="1500"/>
      <c r="M19" s="1964"/>
      <c r="N19" s="1963"/>
      <c r="O19" s="1963"/>
      <c r="P19" s="3197"/>
      <c r="Q19" s="1963"/>
      <c r="R19" s="1963"/>
      <c r="S19" s="1963"/>
      <c r="T19" s="1963"/>
      <c r="U19" s="1963"/>
      <c r="V19" s="1963"/>
      <c r="W19" s="1963"/>
    </row>
    <row r="20" spans="2:23" ht="18.75" customHeight="1">
      <c r="C20" s="1492">
        <v>43</v>
      </c>
      <c r="D20" s="1260">
        <v>167</v>
      </c>
      <c r="E20" s="1260">
        <v>3806</v>
      </c>
      <c r="F20" s="1260">
        <v>91</v>
      </c>
      <c r="G20" s="1260">
        <v>81</v>
      </c>
      <c r="H20" s="1260">
        <v>5796</v>
      </c>
      <c r="I20" s="1493">
        <f t="shared" si="0"/>
        <v>9984</v>
      </c>
      <c r="J20" s="1494"/>
      <c r="K20" s="1757">
        <v>1967</v>
      </c>
      <c r="L20" s="1495"/>
      <c r="M20" s="1964"/>
      <c r="N20" s="1963"/>
      <c r="O20" s="1963"/>
      <c r="P20" s="3197"/>
      <c r="Q20" s="1963"/>
      <c r="R20" s="1963"/>
      <c r="S20" s="1963"/>
      <c r="T20" s="1963"/>
      <c r="U20" s="1963"/>
      <c r="V20" s="1963"/>
      <c r="W20" s="1963"/>
    </row>
    <row r="21" spans="2:23" ht="18.75" customHeight="1">
      <c r="C21" s="1496">
        <v>42</v>
      </c>
      <c r="D21" s="1497">
        <v>177</v>
      </c>
      <c r="E21" s="1497">
        <v>4588</v>
      </c>
      <c r="F21" s="1497">
        <v>451</v>
      </c>
      <c r="G21" s="1497">
        <v>91</v>
      </c>
      <c r="H21" s="1497">
        <v>6823</v>
      </c>
      <c r="I21" s="1498">
        <f t="shared" si="0"/>
        <v>12172</v>
      </c>
      <c r="J21" s="1499"/>
      <c r="K21" s="1756">
        <v>1968</v>
      </c>
      <c r="L21" s="1500"/>
      <c r="M21" s="1964"/>
      <c r="N21" s="1963"/>
      <c r="O21" s="1963"/>
      <c r="P21" s="3197"/>
      <c r="Q21" s="1963"/>
      <c r="R21" s="1963"/>
      <c r="S21" s="1963"/>
      <c r="T21" s="1963"/>
      <c r="U21" s="1963"/>
      <c r="V21" s="1963"/>
      <c r="W21" s="1963"/>
    </row>
    <row r="22" spans="2:23" ht="18.75" customHeight="1">
      <c r="C22" s="1492">
        <v>43</v>
      </c>
      <c r="D22" s="1260">
        <v>206</v>
      </c>
      <c r="E22" s="1260">
        <v>4057</v>
      </c>
      <c r="F22" s="1260">
        <v>525</v>
      </c>
      <c r="G22" s="1260">
        <v>92</v>
      </c>
      <c r="H22" s="1260">
        <v>6993</v>
      </c>
      <c r="I22" s="1493">
        <f t="shared" si="0"/>
        <v>11916</v>
      </c>
      <c r="J22" s="1494"/>
      <c r="K22" s="1757">
        <v>1969</v>
      </c>
      <c r="L22" s="1495"/>
      <c r="M22" s="1964"/>
      <c r="N22" s="1963"/>
      <c r="O22" s="1963"/>
      <c r="P22" s="3197"/>
      <c r="Q22" s="1963"/>
      <c r="R22" s="1963"/>
      <c r="S22" s="1963"/>
      <c r="T22" s="1963"/>
      <c r="U22" s="1963"/>
      <c r="V22" s="1963"/>
      <c r="W22" s="1963"/>
    </row>
    <row r="23" spans="2:23" ht="18.75" customHeight="1">
      <c r="C23" s="1496">
        <v>2</v>
      </c>
      <c r="D23" s="1497">
        <v>309</v>
      </c>
      <c r="E23" s="1497">
        <v>2586</v>
      </c>
      <c r="F23" s="1497">
        <v>363</v>
      </c>
      <c r="G23" s="1497">
        <v>64</v>
      </c>
      <c r="H23" s="1497">
        <v>5996</v>
      </c>
      <c r="I23" s="1498">
        <f t="shared" si="0"/>
        <v>9320</v>
      </c>
      <c r="J23" s="1499"/>
      <c r="K23" s="1756">
        <v>1970</v>
      </c>
      <c r="L23" s="1500"/>
      <c r="M23" s="1964"/>
      <c r="N23" s="1963"/>
      <c r="O23" s="1963"/>
      <c r="P23" s="3197"/>
      <c r="Q23" s="1963"/>
      <c r="R23" s="1963"/>
      <c r="S23" s="1963"/>
      <c r="T23" s="1963"/>
      <c r="U23" s="1963"/>
      <c r="V23" s="1963"/>
      <c r="W23" s="1963"/>
    </row>
    <row r="24" spans="2:23" ht="18.75" customHeight="1">
      <c r="C24" s="1492">
        <v>37</v>
      </c>
      <c r="D24" s="1260">
        <v>375</v>
      </c>
      <c r="E24" s="1260">
        <v>2457</v>
      </c>
      <c r="F24" s="1260">
        <v>498</v>
      </c>
      <c r="G24" s="1260">
        <v>71</v>
      </c>
      <c r="H24" s="1260">
        <v>5379</v>
      </c>
      <c r="I24" s="1493">
        <f t="shared" si="0"/>
        <v>8817</v>
      </c>
      <c r="J24" s="1494"/>
      <c r="K24" s="1757">
        <v>1971</v>
      </c>
      <c r="L24" s="1495"/>
      <c r="M24" s="1964"/>
      <c r="N24" s="1963"/>
      <c r="O24" s="1963"/>
      <c r="P24" s="3197"/>
      <c r="Q24" s="1963"/>
      <c r="R24" s="1963"/>
      <c r="S24" s="1963"/>
      <c r="T24" s="1963"/>
      <c r="U24" s="1963"/>
      <c r="V24" s="1963"/>
      <c r="W24" s="1963"/>
    </row>
    <row r="25" spans="2:23" ht="18.75" customHeight="1">
      <c r="C25" s="1496">
        <v>0</v>
      </c>
      <c r="D25" s="1497">
        <v>496</v>
      </c>
      <c r="E25" s="1497">
        <v>3947</v>
      </c>
      <c r="F25" s="1497">
        <v>1967</v>
      </c>
      <c r="G25" s="1497">
        <v>67</v>
      </c>
      <c r="H25" s="1497">
        <v>6129</v>
      </c>
      <c r="I25" s="1498">
        <f t="shared" si="0"/>
        <v>12606</v>
      </c>
      <c r="J25" s="1499"/>
      <c r="K25" s="1756">
        <v>1972</v>
      </c>
      <c r="L25" s="1500"/>
      <c r="M25" s="1964"/>
      <c r="N25" s="1963"/>
      <c r="O25" s="1963"/>
      <c r="P25" s="3197"/>
      <c r="Q25" s="1963"/>
      <c r="R25" s="1963"/>
      <c r="S25" s="1963"/>
      <c r="T25" s="1963"/>
      <c r="U25" s="1963"/>
      <c r="V25" s="1963"/>
      <c r="W25" s="1963"/>
    </row>
    <row r="26" spans="2:23" ht="18.75" customHeight="1">
      <c r="C26" s="1492">
        <v>41</v>
      </c>
      <c r="D26" s="1260">
        <v>474</v>
      </c>
      <c r="E26" s="1260">
        <v>5327</v>
      </c>
      <c r="F26" s="1260">
        <v>1342</v>
      </c>
      <c r="G26" s="1260">
        <v>110</v>
      </c>
      <c r="H26" s="1260">
        <v>6716</v>
      </c>
      <c r="I26" s="1493">
        <f t="shared" si="0"/>
        <v>14010</v>
      </c>
      <c r="J26" s="1494"/>
      <c r="K26" s="1757">
        <v>1973</v>
      </c>
      <c r="L26" s="1495"/>
      <c r="M26" s="1964"/>
      <c r="N26" s="1963"/>
      <c r="O26" s="1963"/>
      <c r="P26" s="3197"/>
      <c r="Q26" s="1963"/>
      <c r="R26" s="1963"/>
      <c r="S26" s="1963"/>
      <c r="T26" s="1963"/>
      <c r="U26" s="1963"/>
      <c r="V26" s="1963"/>
      <c r="W26" s="1963"/>
    </row>
    <row r="27" spans="2:23" ht="18.75" customHeight="1">
      <c r="C27" s="1496">
        <v>8</v>
      </c>
      <c r="D27" s="1497">
        <v>634</v>
      </c>
      <c r="E27" s="1497">
        <v>20796</v>
      </c>
      <c r="F27" s="1497">
        <v>4135</v>
      </c>
      <c r="G27" s="1497">
        <v>237</v>
      </c>
      <c r="H27" s="1497">
        <v>13628</v>
      </c>
      <c r="I27" s="1498">
        <f t="shared" si="0"/>
        <v>39438</v>
      </c>
      <c r="J27" s="1499"/>
      <c r="K27" s="1756">
        <v>1974</v>
      </c>
      <c r="L27" s="1500"/>
      <c r="M27" s="1964"/>
      <c r="N27" s="1963"/>
      <c r="O27" s="1963"/>
      <c r="P27" s="3197"/>
      <c r="Q27" s="1963"/>
      <c r="R27" s="1963"/>
      <c r="S27" s="1963"/>
      <c r="T27" s="1963"/>
      <c r="U27" s="1963"/>
      <c r="V27" s="1963"/>
      <c r="W27" s="1963"/>
    </row>
    <row r="28" spans="2:23" ht="18.75" customHeight="1">
      <c r="C28" s="1492">
        <v>68</v>
      </c>
      <c r="D28" s="1260">
        <v>603</v>
      </c>
      <c r="E28" s="1260">
        <v>21544</v>
      </c>
      <c r="F28" s="1260">
        <v>1925</v>
      </c>
      <c r="G28" s="1260">
        <v>925</v>
      </c>
      <c r="H28" s="1260">
        <v>15074</v>
      </c>
      <c r="I28" s="1493">
        <f t="shared" si="0"/>
        <v>40139</v>
      </c>
      <c r="J28" s="1494"/>
      <c r="K28" s="1757">
        <v>1975</v>
      </c>
      <c r="L28" s="1495"/>
      <c r="M28" s="1964"/>
      <c r="N28" s="1963"/>
      <c r="O28" s="1963"/>
      <c r="P28" s="3197"/>
      <c r="Q28" s="1963"/>
      <c r="R28" s="1963"/>
      <c r="S28" s="1963"/>
      <c r="T28" s="1963"/>
      <c r="U28" s="1963"/>
      <c r="V28" s="1963"/>
      <c r="W28" s="1963"/>
    </row>
    <row r="29" spans="2:23" ht="18.75" customHeight="1">
      <c r="C29" s="1496">
        <v>4</v>
      </c>
      <c r="D29" s="1497">
        <v>862</v>
      </c>
      <c r="E29" s="1497">
        <v>22055</v>
      </c>
      <c r="F29" s="1497">
        <v>1222</v>
      </c>
      <c r="G29" s="1497">
        <v>1804</v>
      </c>
      <c r="H29" s="1497">
        <v>23605</v>
      </c>
      <c r="I29" s="1498">
        <f t="shared" si="0"/>
        <v>49552</v>
      </c>
      <c r="J29" s="1499"/>
      <c r="K29" s="1756">
        <v>1976</v>
      </c>
      <c r="L29" s="1500"/>
      <c r="M29" s="1964"/>
      <c r="N29" s="1963"/>
      <c r="O29" s="1963"/>
      <c r="P29" s="3197"/>
      <c r="Q29" s="1963"/>
      <c r="R29" s="1963"/>
      <c r="S29" s="1963"/>
      <c r="T29" s="1963"/>
      <c r="U29" s="1963"/>
      <c r="V29" s="1963"/>
      <c r="W29" s="1963"/>
    </row>
    <row r="30" spans="2:23" ht="18.75" customHeight="1">
      <c r="C30" s="1492">
        <f>39+36</f>
        <v>75</v>
      </c>
      <c r="D30" s="1260">
        <v>1128</v>
      </c>
      <c r="E30" s="1260">
        <v>20559</v>
      </c>
      <c r="F30" s="1260">
        <v>6396</v>
      </c>
      <c r="G30" s="1260">
        <v>2473</v>
      </c>
      <c r="H30" s="1260">
        <v>29694</v>
      </c>
      <c r="I30" s="1493">
        <f t="shared" si="0"/>
        <v>60325</v>
      </c>
      <c r="J30" s="1494"/>
      <c r="K30" s="1757">
        <v>1977</v>
      </c>
      <c r="L30" s="1495"/>
      <c r="M30" s="1964"/>
      <c r="N30" s="1963"/>
      <c r="O30" s="1963"/>
      <c r="P30" s="3197"/>
      <c r="Q30" s="1963"/>
      <c r="R30" s="1963"/>
      <c r="S30" s="1963"/>
      <c r="T30" s="1963"/>
      <c r="U30" s="1963"/>
      <c r="V30" s="1963"/>
      <c r="W30" s="1963"/>
    </row>
    <row r="31" spans="2:23" ht="18.75" customHeight="1">
      <c r="C31" s="1496">
        <v>2</v>
      </c>
      <c r="D31" s="1497">
        <v>828</v>
      </c>
      <c r="E31" s="1497">
        <v>23319</v>
      </c>
      <c r="F31" s="1497">
        <v>7351</v>
      </c>
      <c r="G31" s="1497">
        <v>4740</v>
      </c>
      <c r="H31" s="1497">
        <v>27890</v>
      </c>
      <c r="I31" s="1498">
        <f t="shared" si="0"/>
        <v>64130</v>
      </c>
      <c r="J31" s="1499"/>
      <c r="K31" s="1756">
        <v>1978</v>
      </c>
      <c r="L31" s="1500"/>
      <c r="M31" s="1964"/>
      <c r="N31" s="1963"/>
      <c r="O31" s="1963"/>
      <c r="P31" s="3197"/>
      <c r="Q31" s="1963"/>
      <c r="R31" s="1963"/>
      <c r="S31" s="1963"/>
      <c r="T31" s="1963"/>
      <c r="U31" s="1963"/>
      <c r="V31" s="1963"/>
      <c r="W31" s="1963"/>
    </row>
    <row r="32" spans="2:23" ht="18.75" customHeight="1">
      <c r="C32" s="1492">
        <v>10</v>
      </c>
      <c r="D32" s="1260">
        <v>1111</v>
      </c>
      <c r="E32" s="1260">
        <v>29680</v>
      </c>
      <c r="F32" s="1260">
        <v>9764</v>
      </c>
      <c r="G32" s="1260">
        <v>6250</v>
      </c>
      <c r="H32" s="1260">
        <v>35744</v>
      </c>
      <c r="I32" s="1493">
        <f t="shared" si="0"/>
        <v>82559</v>
      </c>
      <c r="J32" s="1494"/>
      <c r="K32" s="1757">
        <v>1979</v>
      </c>
      <c r="L32" s="1495"/>
      <c r="M32" s="1964"/>
      <c r="N32" s="1963"/>
      <c r="O32" s="1963"/>
      <c r="P32" s="3197"/>
      <c r="Q32" s="1963"/>
      <c r="R32" s="1963"/>
      <c r="S32" s="1963"/>
      <c r="T32" s="1963"/>
      <c r="U32" s="1963"/>
      <c r="V32" s="1963"/>
      <c r="W32" s="1963"/>
    </row>
    <row r="33" spans="3:23" ht="18.75" customHeight="1">
      <c r="C33" s="1496">
        <v>0</v>
      </c>
      <c r="D33" s="1497">
        <v>1658</v>
      </c>
      <c r="E33" s="1497">
        <v>51244</v>
      </c>
      <c r="F33" s="1497">
        <v>12972</v>
      </c>
      <c r="G33" s="1497">
        <v>7388</v>
      </c>
      <c r="H33" s="1497">
        <v>46845</v>
      </c>
      <c r="I33" s="1498">
        <f t="shared" si="0"/>
        <v>120107</v>
      </c>
      <c r="J33" s="1499"/>
      <c r="K33" s="1756">
        <v>1980</v>
      </c>
      <c r="L33" s="1500"/>
      <c r="M33" s="1964"/>
      <c r="N33" s="1963"/>
      <c r="O33" s="1963"/>
      <c r="P33" s="3197"/>
      <c r="Q33" s="1963"/>
      <c r="R33" s="1963"/>
      <c r="S33" s="1963"/>
      <c r="T33" s="1963"/>
      <c r="U33" s="1963"/>
      <c r="V33" s="1963"/>
      <c r="W33" s="1963"/>
    </row>
    <row r="34" spans="3:23" ht="18.75" customHeight="1">
      <c r="C34" s="1492">
        <v>82</v>
      </c>
      <c r="D34" s="1260">
        <v>5508</v>
      </c>
      <c r="E34" s="1260">
        <v>76698</v>
      </c>
      <c r="F34" s="1260">
        <v>10021</v>
      </c>
      <c r="G34" s="1260">
        <v>13786</v>
      </c>
      <c r="H34" s="1260">
        <v>62931</v>
      </c>
      <c r="I34" s="1493">
        <f t="shared" si="0"/>
        <v>169026</v>
      </c>
      <c r="J34" s="1494"/>
      <c r="K34" s="1757">
        <v>1981</v>
      </c>
      <c r="L34" s="1495"/>
      <c r="M34" s="1964"/>
      <c r="N34" s="1963"/>
      <c r="O34" s="1963"/>
      <c r="P34" s="3197"/>
      <c r="Q34" s="1963"/>
      <c r="R34" s="1963"/>
      <c r="S34" s="1963"/>
      <c r="T34" s="1963"/>
      <c r="U34" s="1963"/>
      <c r="V34" s="1963"/>
      <c r="W34" s="1963"/>
    </row>
    <row r="35" spans="3:23" ht="18.75" customHeight="1">
      <c r="C35" s="1496">
        <v>31</v>
      </c>
      <c r="D35" s="1497">
        <v>5100</v>
      </c>
      <c r="E35" s="1497">
        <v>78972</v>
      </c>
      <c r="F35" s="1497">
        <v>13326</v>
      </c>
      <c r="G35" s="1497">
        <v>16490</v>
      </c>
      <c r="H35" s="1497">
        <v>71662</v>
      </c>
      <c r="I35" s="1498">
        <f t="shared" si="0"/>
        <v>185581</v>
      </c>
      <c r="J35" s="1499"/>
      <c r="K35" s="1756">
        <v>1982</v>
      </c>
      <c r="L35" s="1500"/>
      <c r="M35" s="1964"/>
      <c r="N35" s="1963"/>
      <c r="O35" s="1963"/>
      <c r="P35" s="3197"/>
      <c r="Q35" s="1963"/>
      <c r="R35" s="1963"/>
      <c r="S35" s="1963"/>
      <c r="T35" s="1963"/>
      <c r="U35" s="1963"/>
      <c r="V35" s="1963"/>
      <c r="W35" s="1963"/>
    </row>
    <row r="36" spans="3:23" ht="18.75" customHeight="1">
      <c r="C36" s="1492">
        <v>0</v>
      </c>
      <c r="D36" s="1260">
        <v>3404</v>
      </c>
      <c r="E36" s="1260">
        <v>59500</v>
      </c>
      <c r="F36" s="1260">
        <v>2937</v>
      </c>
      <c r="G36" s="1260">
        <v>15086</v>
      </c>
      <c r="H36" s="1260">
        <v>79158</v>
      </c>
      <c r="I36" s="1493">
        <f t="shared" si="0"/>
        <v>160085</v>
      </c>
      <c r="J36" s="1494"/>
      <c r="K36" s="1757">
        <v>1983</v>
      </c>
      <c r="L36" s="1495"/>
      <c r="M36" s="1964"/>
      <c r="N36" s="1963"/>
      <c r="O36" s="1963"/>
      <c r="P36" s="3197"/>
      <c r="Q36" s="1963"/>
      <c r="R36" s="1963"/>
      <c r="S36" s="1963"/>
      <c r="T36" s="1963"/>
      <c r="U36" s="1963"/>
      <c r="V36" s="1963"/>
      <c r="W36" s="1963"/>
    </row>
    <row r="37" spans="3:23" ht="18.75" customHeight="1">
      <c r="C37" s="1496">
        <v>0</v>
      </c>
      <c r="D37" s="1497">
        <v>3614</v>
      </c>
      <c r="E37" s="1497">
        <v>141633</v>
      </c>
      <c r="F37" s="1497">
        <v>7050</v>
      </c>
      <c r="G37" s="1497">
        <v>24007</v>
      </c>
      <c r="H37" s="1497">
        <v>84751</v>
      </c>
      <c r="I37" s="1498">
        <f t="shared" si="0"/>
        <v>261055</v>
      </c>
      <c r="J37" s="1499"/>
      <c r="K37" s="1756">
        <v>1984</v>
      </c>
      <c r="L37" s="1500"/>
      <c r="M37" s="1964"/>
      <c r="N37" s="1963"/>
      <c r="O37" s="1963"/>
      <c r="P37" s="3197"/>
      <c r="Q37" s="1963"/>
      <c r="R37" s="1963"/>
      <c r="S37" s="1963"/>
      <c r="T37" s="1963"/>
      <c r="U37" s="1963"/>
      <c r="V37" s="1963"/>
      <c r="W37" s="1963"/>
    </row>
    <row r="38" spans="3:23" ht="18.75" customHeight="1">
      <c r="C38" s="1492">
        <v>0</v>
      </c>
      <c r="D38" s="1260">
        <v>3074</v>
      </c>
      <c r="E38" s="1260">
        <v>142248</v>
      </c>
      <c r="F38" s="1260">
        <v>11012</v>
      </c>
      <c r="G38" s="1260">
        <v>18194</v>
      </c>
      <c r="H38" s="1260">
        <v>80818</v>
      </c>
      <c r="I38" s="1493">
        <f t="shared" si="0"/>
        <v>255346</v>
      </c>
      <c r="J38" s="1494"/>
      <c r="K38" s="1757">
        <v>1985</v>
      </c>
      <c r="L38" s="1495"/>
      <c r="M38" s="1964"/>
      <c r="N38" s="1963"/>
      <c r="O38" s="1963"/>
      <c r="P38" s="3197"/>
      <c r="Q38" s="1963"/>
      <c r="R38" s="1963"/>
      <c r="S38" s="1963"/>
      <c r="T38" s="1963"/>
      <c r="U38" s="1963"/>
      <c r="V38" s="1963"/>
      <c r="W38" s="1963"/>
    </row>
    <row r="39" spans="3:23" ht="18.75" customHeight="1">
      <c r="C39" s="1496">
        <v>0</v>
      </c>
      <c r="D39" s="1497">
        <v>1956</v>
      </c>
      <c r="E39" s="1497">
        <v>137001</v>
      </c>
      <c r="F39" s="1497">
        <v>8583</v>
      </c>
      <c r="G39" s="1497">
        <v>8043</v>
      </c>
      <c r="H39" s="1497">
        <v>70032</v>
      </c>
      <c r="I39" s="1498">
        <f t="shared" si="0"/>
        <v>225615</v>
      </c>
      <c r="J39" s="1499"/>
      <c r="K39" s="1756">
        <v>1986</v>
      </c>
      <c r="L39" s="1500"/>
      <c r="M39" s="1964"/>
      <c r="N39" s="1963"/>
      <c r="O39" s="1963"/>
      <c r="P39" s="3197"/>
      <c r="Q39" s="1963"/>
      <c r="R39" s="1963"/>
      <c r="S39" s="1963"/>
      <c r="T39" s="1963"/>
      <c r="U39" s="1963"/>
      <c r="V39" s="1963"/>
      <c r="W39" s="1963"/>
    </row>
    <row r="40" spans="3:23" ht="18.75" customHeight="1">
      <c r="C40" s="1492">
        <v>0</v>
      </c>
      <c r="D40" s="1260">
        <v>3854</v>
      </c>
      <c r="E40" s="1260">
        <v>145466</v>
      </c>
      <c r="F40" s="1260">
        <v>15351</v>
      </c>
      <c r="G40" s="1260">
        <v>7750</v>
      </c>
      <c r="H40" s="1260">
        <v>76352</v>
      </c>
      <c r="I40" s="1493">
        <f t="shared" si="0"/>
        <v>248773</v>
      </c>
      <c r="J40" s="1494"/>
      <c r="K40" s="1757">
        <v>1987</v>
      </c>
      <c r="L40" s="1495"/>
      <c r="M40" s="3198"/>
      <c r="N40" s="1963"/>
      <c r="P40" s="3197"/>
    </row>
    <row r="41" spans="3:23" ht="18.75" customHeight="1">
      <c r="C41" s="1496">
        <v>11</v>
      </c>
      <c r="D41" s="1497">
        <v>5631</v>
      </c>
      <c r="E41" s="1497">
        <v>228803</v>
      </c>
      <c r="F41" s="1497">
        <v>10459</v>
      </c>
      <c r="G41" s="1497">
        <v>14064</v>
      </c>
      <c r="H41" s="1497">
        <v>65821</v>
      </c>
      <c r="I41" s="1498">
        <f t="shared" si="0"/>
        <v>324789</v>
      </c>
      <c r="J41" s="1499"/>
      <c r="K41" s="1756">
        <v>1988</v>
      </c>
      <c r="L41" s="1500"/>
      <c r="M41" s="3198"/>
      <c r="N41" s="1963"/>
      <c r="P41" s="3197"/>
    </row>
    <row r="42" spans="3:23" ht="18.75" customHeight="1">
      <c r="C42" s="1492">
        <v>63</v>
      </c>
      <c r="D42" s="1260">
        <v>13586</v>
      </c>
      <c r="E42" s="1260">
        <v>361693</v>
      </c>
      <c r="F42" s="1260">
        <v>26492</v>
      </c>
      <c r="G42" s="1260">
        <v>29659</v>
      </c>
      <c r="H42" s="1260">
        <v>102666</v>
      </c>
      <c r="I42" s="1493">
        <f t="shared" si="0"/>
        <v>534159</v>
      </c>
      <c r="J42" s="1494"/>
      <c r="K42" s="1757">
        <v>1989</v>
      </c>
      <c r="L42" s="1495"/>
      <c r="M42" s="3198"/>
      <c r="N42" s="1963"/>
      <c r="P42" s="3197"/>
    </row>
    <row r="43" spans="3:23" ht="18.75" customHeight="1">
      <c r="C43" s="1496">
        <v>27</v>
      </c>
      <c r="D43" s="1497">
        <f>815+11055</f>
        <v>11870</v>
      </c>
      <c r="E43" s="1497">
        <f>227194+198817</f>
        <v>426011</v>
      </c>
      <c r="F43" s="1497">
        <v>29668</v>
      </c>
      <c r="G43" s="1497">
        <v>14962</v>
      </c>
      <c r="H43" s="1497">
        <v>129715</v>
      </c>
      <c r="I43" s="1498">
        <f t="shared" si="0"/>
        <v>612253</v>
      </c>
      <c r="J43" s="1499"/>
      <c r="K43" s="1756" t="s">
        <v>1331</v>
      </c>
      <c r="L43" s="1500"/>
      <c r="M43" s="3198"/>
      <c r="N43" s="1963"/>
      <c r="P43" s="3197"/>
    </row>
    <row r="44" spans="3:23" ht="18.75" customHeight="1">
      <c r="C44" s="1492">
        <v>21</v>
      </c>
      <c r="D44" s="1260">
        <f>6845+1121</f>
        <v>7966</v>
      </c>
      <c r="E44" s="1260">
        <f>219857+174128</f>
        <v>393985</v>
      </c>
      <c r="F44" s="1260">
        <v>27760</v>
      </c>
      <c r="G44" s="1260">
        <v>12075</v>
      </c>
      <c r="H44" s="1260">
        <v>156820</v>
      </c>
      <c r="I44" s="1493">
        <f t="shared" si="0"/>
        <v>598627</v>
      </c>
      <c r="J44" s="1494"/>
      <c r="K44" s="1757">
        <v>1991</v>
      </c>
      <c r="L44" s="1495"/>
      <c r="M44" s="1801"/>
      <c r="N44" s="1963"/>
      <c r="P44" s="3197"/>
    </row>
    <row r="45" spans="3:23" ht="18.75" customHeight="1">
      <c r="C45" s="1496">
        <v>27</v>
      </c>
      <c r="D45" s="1497">
        <f>2076+19387</f>
        <v>21463</v>
      </c>
      <c r="E45" s="1497">
        <f>208694+163224</f>
        <v>371918</v>
      </c>
      <c r="F45" s="1497">
        <v>25650</v>
      </c>
      <c r="G45" s="1497">
        <v>14966</v>
      </c>
      <c r="H45" s="1497">
        <v>199731</v>
      </c>
      <c r="I45" s="1498">
        <f t="shared" si="0"/>
        <v>633755</v>
      </c>
      <c r="J45" s="1499"/>
      <c r="K45" s="1756">
        <v>1992</v>
      </c>
      <c r="L45" s="1500"/>
      <c r="M45" s="1801"/>
      <c r="N45" s="1963"/>
      <c r="P45" s="3197"/>
    </row>
    <row r="46" spans="3:23" ht="18.75" customHeight="1">
      <c r="C46" s="1492">
        <v>64</v>
      </c>
      <c r="D46" s="1260">
        <f>2499+35925</f>
        <v>38424</v>
      </c>
      <c r="E46" s="1260">
        <f>145769+183907</f>
        <v>329676</v>
      </c>
      <c r="F46" s="1260">
        <v>21798</v>
      </c>
      <c r="G46" s="1260">
        <v>12629</v>
      </c>
      <c r="H46" s="1260">
        <v>288691</v>
      </c>
      <c r="I46" s="1493">
        <f t="shared" si="0"/>
        <v>691282</v>
      </c>
      <c r="J46" s="1494"/>
      <c r="K46" s="1757">
        <v>1993</v>
      </c>
      <c r="L46" s="1495"/>
      <c r="M46" s="1801"/>
      <c r="N46" s="1963"/>
      <c r="P46" s="3197"/>
    </row>
    <row r="47" spans="3:23" ht="18.75" customHeight="1">
      <c r="C47" s="1496">
        <v>0</v>
      </c>
      <c r="D47" s="1497">
        <f>45022+6522</f>
        <v>51544</v>
      </c>
      <c r="E47" s="1497">
        <f>192962+209230</f>
        <v>402192</v>
      </c>
      <c r="F47" s="1497">
        <v>32395</v>
      </c>
      <c r="G47" s="1497">
        <v>14478</v>
      </c>
      <c r="H47" s="1497">
        <v>293310</v>
      </c>
      <c r="I47" s="1498">
        <f t="shared" si="0"/>
        <v>793919</v>
      </c>
      <c r="J47" s="1499"/>
      <c r="K47" s="1756">
        <v>1994</v>
      </c>
      <c r="L47" s="1500"/>
      <c r="M47" s="1801"/>
      <c r="N47" s="1963"/>
      <c r="P47" s="3197"/>
    </row>
    <row r="48" spans="3:23" ht="18.75" customHeight="1">
      <c r="C48" s="1492">
        <v>0</v>
      </c>
      <c r="D48" s="1260">
        <f>8370+33172</f>
        <v>41542</v>
      </c>
      <c r="E48" s="1260">
        <f>227121+283629</f>
        <v>510750</v>
      </c>
      <c r="F48" s="1260">
        <v>40147</v>
      </c>
      <c r="G48" s="1260">
        <v>24746</v>
      </c>
      <c r="H48" s="1260">
        <v>387349</v>
      </c>
      <c r="I48" s="1493">
        <f t="shared" si="0"/>
        <v>1004534</v>
      </c>
      <c r="J48" s="1494"/>
      <c r="K48" s="1757">
        <v>1995</v>
      </c>
      <c r="L48" s="1495"/>
      <c r="M48" s="1801"/>
      <c r="N48" s="1963"/>
      <c r="P48" s="3197"/>
    </row>
    <row r="49" spans="2:29" ht="18.75" customHeight="1">
      <c r="C49" s="1496">
        <v>222</v>
      </c>
      <c r="D49" s="1497">
        <v>23477</v>
      </c>
      <c r="E49" s="1497">
        <v>555857</v>
      </c>
      <c r="F49" s="1497">
        <v>52650</v>
      </c>
      <c r="G49" s="1497">
        <v>20874</v>
      </c>
      <c r="H49" s="1497">
        <v>386721</v>
      </c>
      <c r="I49" s="1498">
        <f t="shared" si="0"/>
        <v>1039801</v>
      </c>
      <c r="J49" s="1499"/>
      <c r="K49" s="1756">
        <v>1996</v>
      </c>
      <c r="L49" s="1500"/>
      <c r="M49" s="1801"/>
      <c r="N49" s="1963"/>
      <c r="P49" s="3197"/>
    </row>
    <row r="50" spans="2:29" ht="18.75" customHeight="1">
      <c r="C50" s="1492">
        <v>50</v>
      </c>
      <c r="D50" s="1260">
        <v>30733</v>
      </c>
      <c r="E50" s="1260">
        <f>233143+250452</f>
        <v>483595</v>
      </c>
      <c r="F50" s="1260">
        <v>45758</v>
      </c>
      <c r="G50" s="1260">
        <v>22780</v>
      </c>
      <c r="H50" s="1260">
        <v>484248</v>
      </c>
      <c r="I50" s="1493">
        <f t="shared" si="0"/>
        <v>1067164</v>
      </c>
      <c r="J50" s="1494"/>
      <c r="K50" s="1757">
        <v>1997</v>
      </c>
      <c r="L50" s="1495"/>
      <c r="M50" s="1801"/>
      <c r="N50" s="1963"/>
      <c r="P50" s="3197"/>
    </row>
    <row r="51" spans="2:29" ht="18.75" customHeight="1">
      <c r="C51" s="1496">
        <v>2</v>
      </c>
      <c r="D51" s="1497">
        <v>30752</v>
      </c>
      <c r="E51" s="1497">
        <v>527675</v>
      </c>
      <c r="F51" s="1497">
        <v>30431</v>
      </c>
      <c r="G51" s="1497">
        <v>39436</v>
      </c>
      <c r="H51" s="1497">
        <v>418086</v>
      </c>
      <c r="I51" s="1498">
        <f t="shared" si="0"/>
        <v>1046382</v>
      </c>
      <c r="J51" s="1499"/>
      <c r="K51" s="1756">
        <v>1998</v>
      </c>
      <c r="L51" s="1500"/>
      <c r="M51" s="1801"/>
      <c r="N51" s="1963"/>
      <c r="P51" s="3197"/>
    </row>
    <row r="52" spans="2:29" ht="18.75" customHeight="1">
      <c r="C52" s="1492">
        <v>87</v>
      </c>
      <c r="D52" s="1260">
        <v>41793</v>
      </c>
      <c r="E52" s="1260">
        <v>558999</v>
      </c>
      <c r="F52" s="1260">
        <v>32852</v>
      </c>
      <c r="G52" s="1260">
        <v>37728</v>
      </c>
      <c r="H52" s="1260">
        <v>379894</v>
      </c>
      <c r="I52" s="1493">
        <f t="shared" si="0"/>
        <v>1051353</v>
      </c>
      <c r="J52" s="1494"/>
      <c r="K52" s="1757">
        <v>1999</v>
      </c>
      <c r="L52" s="1495"/>
      <c r="M52" s="1801"/>
      <c r="N52" s="1963"/>
      <c r="P52" s="3197"/>
    </row>
    <row r="53" spans="2:29" ht="18.75" customHeight="1">
      <c r="B53" s="3199"/>
      <c r="C53" s="1496">
        <v>134</v>
      </c>
      <c r="D53" s="1497">
        <v>52240</v>
      </c>
      <c r="E53" s="1497">
        <v>548952</v>
      </c>
      <c r="F53" s="1497">
        <v>29043</v>
      </c>
      <c r="G53" s="1497">
        <v>39817</v>
      </c>
      <c r="H53" s="1497">
        <v>410631</v>
      </c>
      <c r="I53" s="1498">
        <f t="shared" si="0"/>
        <v>1080817</v>
      </c>
      <c r="J53" s="1499"/>
      <c r="K53" s="1756">
        <v>2000</v>
      </c>
      <c r="L53" s="1500"/>
      <c r="M53" s="1801"/>
      <c r="N53" s="1963"/>
      <c r="P53" s="3197"/>
    </row>
    <row r="54" spans="2:29" ht="18.75" customHeight="1">
      <c r="B54" s="3199"/>
      <c r="C54" s="1492">
        <v>1</v>
      </c>
      <c r="D54" s="1260">
        <v>84664</v>
      </c>
      <c r="E54" s="1260">
        <v>597600</v>
      </c>
      <c r="F54" s="1260">
        <v>44439</v>
      </c>
      <c r="G54" s="1260">
        <v>56523</v>
      </c>
      <c r="H54" s="1260">
        <v>569144</v>
      </c>
      <c r="I54" s="1493">
        <f t="shared" si="0"/>
        <v>1352371</v>
      </c>
      <c r="J54" s="1494"/>
      <c r="K54" s="1757">
        <v>2001</v>
      </c>
      <c r="L54" s="1495"/>
      <c r="M54" s="1801"/>
      <c r="N54" s="1963"/>
      <c r="P54" s="3197"/>
    </row>
    <row r="55" spans="2:29" ht="18.75" customHeight="1">
      <c r="B55" s="3199"/>
      <c r="C55" s="1496">
        <v>34</v>
      </c>
      <c r="D55" s="1497">
        <v>71433</v>
      </c>
      <c r="E55" s="1497">
        <v>593684</v>
      </c>
      <c r="F55" s="1497">
        <v>60946</v>
      </c>
      <c r="G55" s="1497">
        <v>61294</v>
      </c>
      <c r="H55" s="1497">
        <v>769357</v>
      </c>
      <c r="I55" s="1498">
        <f t="shared" si="0"/>
        <v>1556748</v>
      </c>
      <c r="J55" s="1499"/>
      <c r="K55" s="1756">
        <v>2002</v>
      </c>
      <c r="L55" s="1500"/>
      <c r="M55" s="1801"/>
      <c r="N55" s="1963"/>
      <c r="P55" s="3197"/>
    </row>
    <row r="56" spans="2:29" ht="18.75" customHeight="1">
      <c r="B56" s="3199"/>
      <c r="C56" s="1492">
        <v>0</v>
      </c>
      <c r="D56" s="1260">
        <v>45819</v>
      </c>
      <c r="E56" s="1260">
        <v>594943</v>
      </c>
      <c r="F56" s="1260">
        <v>48508</v>
      </c>
      <c r="G56" s="1260">
        <v>100873</v>
      </c>
      <c r="H56" s="1260">
        <v>884932</v>
      </c>
      <c r="I56" s="1493">
        <f>H56+G56+E56+F56+D56+C56</f>
        <v>1675075</v>
      </c>
      <c r="J56" s="1494"/>
      <c r="K56" s="1757">
        <v>2003</v>
      </c>
      <c r="L56" s="1495"/>
      <c r="M56" s="1801"/>
      <c r="N56" s="1963"/>
      <c r="P56" s="3197"/>
    </row>
    <row r="57" spans="2:29" ht="18.75" customHeight="1">
      <c r="B57" s="3199"/>
      <c r="C57" s="1496">
        <v>0</v>
      </c>
      <c r="D57" s="1497">
        <v>57676</v>
      </c>
      <c r="E57" s="1497">
        <v>797722</v>
      </c>
      <c r="F57" s="1497">
        <v>44674</v>
      </c>
      <c r="G57" s="1497">
        <v>146032</v>
      </c>
      <c r="H57" s="1497">
        <v>1260522</v>
      </c>
      <c r="I57" s="1498">
        <f t="shared" si="0"/>
        <v>2306626</v>
      </c>
      <c r="J57" s="1499"/>
      <c r="K57" s="1756">
        <v>2004</v>
      </c>
      <c r="L57" s="1500"/>
      <c r="M57" s="1801"/>
      <c r="N57" s="1963"/>
      <c r="P57" s="3197"/>
    </row>
    <row r="58" spans="2:29" ht="18.75" customHeight="1">
      <c r="C58" s="1492">
        <v>36</v>
      </c>
      <c r="D58" s="1260">
        <v>65798</v>
      </c>
      <c r="E58" s="1260">
        <f>319289+567963</f>
        <v>887252</v>
      </c>
      <c r="F58" s="1260">
        <v>33003</v>
      </c>
      <c r="G58" s="1260">
        <v>199305</v>
      </c>
      <c r="H58" s="1260">
        <v>1384828</v>
      </c>
      <c r="I58" s="1493">
        <f t="shared" si="0"/>
        <v>2570222</v>
      </c>
      <c r="J58" s="1494"/>
      <c r="K58" s="1757">
        <v>2005</v>
      </c>
      <c r="L58" s="1495"/>
      <c r="M58" s="3200"/>
      <c r="N58" s="1801"/>
      <c r="O58" s="1801"/>
      <c r="P58" s="1801"/>
      <c r="Q58" s="1801"/>
      <c r="R58" s="1801"/>
      <c r="S58" s="1801"/>
      <c r="T58" s="1801"/>
      <c r="U58" s="1801"/>
      <c r="V58" s="1801"/>
      <c r="W58" s="1801"/>
      <c r="X58" s="1801"/>
      <c r="Y58" s="1801"/>
      <c r="Z58" s="1801"/>
      <c r="AA58" s="1801"/>
      <c r="AB58" s="1801"/>
      <c r="AC58" s="1801"/>
    </row>
    <row r="59" spans="2:29" ht="18.75" customHeight="1">
      <c r="C59" s="1496">
        <v>450</v>
      </c>
      <c r="D59" s="1497">
        <v>88393</v>
      </c>
      <c r="E59" s="1497">
        <f>322545+693776</f>
        <v>1016321</v>
      </c>
      <c r="F59" s="1497">
        <v>26483</v>
      </c>
      <c r="G59" s="1497">
        <v>199182</v>
      </c>
      <c r="H59" s="1497">
        <v>1598481</v>
      </c>
      <c r="I59" s="1498">
        <f t="shared" si="0"/>
        <v>2929310</v>
      </c>
      <c r="J59" s="1499"/>
      <c r="K59" s="1756">
        <v>2006</v>
      </c>
      <c r="L59" s="1500"/>
      <c r="M59" s="1801"/>
      <c r="N59" s="1801"/>
      <c r="O59" s="1801"/>
      <c r="P59" s="1801"/>
      <c r="Q59" s="1801"/>
      <c r="R59" s="1801"/>
      <c r="S59" s="1801"/>
      <c r="T59" s="1801"/>
      <c r="U59" s="1801"/>
      <c r="V59" s="1801"/>
      <c r="W59" s="1801"/>
      <c r="X59" s="1801"/>
      <c r="Y59" s="1801"/>
      <c r="Z59" s="1801"/>
      <c r="AA59" s="1801"/>
      <c r="AB59" s="1801"/>
      <c r="AC59" s="1801"/>
    </row>
    <row r="60" spans="2:29" ht="18.75" customHeight="1">
      <c r="C60" s="1492">
        <v>220</v>
      </c>
      <c r="D60" s="1260">
        <v>72673</v>
      </c>
      <c r="E60" s="1260">
        <f>388796+843723</f>
        <v>1232519</v>
      </c>
      <c r="F60" s="1260">
        <v>32037</v>
      </c>
      <c r="G60" s="1260">
        <v>164567</v>
      </c>
      <c r="H60" s="1260">
        <v>1681692</v>
      </c>
      <c r="I60" s="1493">
        <v>3183707</v>
      </c>
      <c r="J60" s="1494"/>
      <c r="K60" s="1757">
        <v>2007</v>
      </c>
      <c r="L60" s="1495"/>
      <c r="M60" s="1801"/>
      <c r="N60" s="1801"/>
      <c r="O60" s="1801"/>
      <c r="P60" s="1801"/>
      <c r="Q60" s="1801"/>
      <c r="R60" s="1801"/>
      <c r="S60" s="1801"/>
      <c r="T60" s="1801"/>
      <c r="U60" s="1801"/>
      <c r="V60" s="1801"/>
      <c r="W60" s="1801"/>
      <c r="X60" s="1801"/>
      <c r="Y60" s="1801"/>
      <c r="Z60" s="1801"/>
      <c r="AA60" s="1801"/>
      <c r="AB60" s="1801"/>
      <c r="AC60" s="1801"/>
    </row>
    <row r="61" spans="2:29" ht="18.75" customHeight="1">
      <c r="C61" s="1496">
        <v>2174</v>
      </c>
      <c r="D61" s="1497">
        <v>137892</v>
      </c>
      <c r="E61" s="1497">
        <f>2401576-F61</f>
        <v>2347005</v>
      </c>
      <c r="F61" s="1497">
        <v>54571</v>
      </c>
      <c r="G61" s="1497">
        <v>157325</v>
      </c>
      <c r="H61" s="1497">
        <v>1732146</v>
      </c>
      <c r="I61" s="1498">
        <f>H61+G61+F61+E61+D61+C61</f>
        <v>4431113</v>
      </c>
      <c r="J61" s="1499"/>
      <c r="K61" s="1756">
        <v>2008</v>
      </c>
      <c r="L61" s="1500"/>
      <c r="M61" s="1801"/>
      <c r="N61" s="1801"/>
      <c r="O61" s="1801"/>
      <c r="P61" s="1801"/>
      <c r="Q61" s="1801"/>
      <c r="R61" s="1801"/>
      <c r="S61" s="1801"/>
      <c r="T61" s="1801"/>
      <c r="U61" s="1801"/>
      <c r="V61" s="1801"/>
      <c r="W61" s="1801"/>
      <c r="X61" s="1801"/>
      <c r="Y61" s="1801"/>
      <c r="Z61" s="1801"/>
      <c r="AA61" s="1801"/>
      <c r="AB61" s="1801"/>
      <c r="AC61" s="1801"/>
    </row>
    <row r="62" spans="2:29" s="1801" customFormat="1" ht="18.75" customHeight="1">
      <c r="C62" s="1492">
        <v>63</v>
      </c>
      <c r="D62" s="1260">
        <v>126834</v>
      </c>
      <c r="E62" s="1260">
        <f>1085295+588457</f>
        <v>1673752</v>
      </c>
      <c r="F62" s="1260">
        <v>40841</v>
      </c>
      <c r="G62" s="1260">
        <v>138300</v>
      </c>
      <c r="H62" s="1260">
        <v>1599376</v>
      </c>
      <c r="I62" s="1493">
        <f>H62+G62+F62+E62+D62+C62</f>
        <v>3579166</v>
      </c>
      <c r="J62" s="1494"/>
      <c r="K62" s="1757">
        <v>2009</v>
      </c>
      <c r="L62" s="1495"/>
    </row>
    <row r="63" spans="2:29" s="1801" customFormat="1" ht="18.75" customHeight="1">
      <c r="C63" s="1496">
        <v>314</v>
      </c>
      <c r="D63" s="1497">
        <v>124431</v>
      </c>
      <c r="E63" s="1497">
        <f>1316809+751619</f>
        <v>2068428</v>
      </c>
      <c r="F63" s="1497">
        <v>48488</v>
      </c>
      <c r="G63" s="1497">
        <v>138640</v>
      </c>
      <c r="H63" s="1497">
        <v>1836648</v>
      </c>
      <c r="I63" s="1498">
        <f>H63+G63+F63+E63+D63+C63</f>
        <v>4216949</v>
      </c>
      <c r="J63" s="1499"/>
      <c r="K63" s="1756">
        <v>2010</v>
      </c>
      <c r="L63" s="1500"/>
      <c r="M63" s="405"/>
      <c r="N63" s="405"/>
    </row>
    <row r="64" spans="2:29" s="1801" customFormat="1" ht="18.75" customHeight="1">
      <c r="C64" s="1492">
        <v>1522</v>
      </c>
      <c r="D64" s="1260">
        <v>127721</v>
      </c>
      <c r="E64" s="1260">
        <v>2522669</v>
      </c>
      <c r="F64" s="1260">
        <v>55186</v>
      </c>
      <c r="G64" s="1260">
        <v>132080</v>
      </c>
      <c r="H64" s="1260">
        <v>1966695</v>
      </c>
      <c r="I64" s="1493">
        <f>H64+G64+F64+E64+D64+C64</f>
        <v>4805873</v>
      </c>
      <c r="J64" s="1494"/>
      <c r="K64" s="1757">
        <v>2011</v>
      </c>
      <c r="L64" s="1495"/>
      <c r="M64" s="405"/>
      <c r="N64" s="405"/>
    </row>
    <row r="65" spans="3:15" s="1801" customFormat="1" ht="18.75" customHeight="1">
      <c r="C65" s="1496">
        <v>4368</v>
      </c>
      <c r="D65" s="1497">
        <v>137204</v>
      </c>
      <c r="E65" s="1497">
        <v>2281483</v>
      </c>
      <c r="F65" s="1497">
        <v>76459</v>
      </c>
      <c r="G65" s="1497">
        <v>137523</v>
      </c>
      <c r="H65" s="1497">
        <v>2112533</v>
      </c>
      <c r="I65" s="1498">
        <f>H65+G65+F65+E65+D65+C65</f>
        <v>4749570</v>
      </c>
      <c r="J65" s="1499"/>
      <c r="K65" s="1756">
        <v>2012</v>
      </c>
      <c r="L65" s="1500"/>
      <c r="M65" s="405"/>
      <c r="N65" s="405"/>
    </row>
    <row r="66" spans="3:15" s="1801" customFormat="1" ht="18.75" customHeight="1">
      <c r="C66" s="1492">
        <v>504</v>
      </c>
      <c r="D66" s="1157">
        <v>165813</v>
      </c>
      <c r="E66" s="1157">
        <v>2039544</v>
      </c>
      <c r="F66" s="1157">
        <v>72980</v>
      </c>
      <c r="G66" s="1157">
        <v>141010</v>
      </c>
      <c r="H66" s="1157">
        <v>2385383</v>
      </c>
      <c r="I66" s="1158">
        <v>4805234</v>
      </c>
      <c r="J66" s="1494"/>
      <c r="K66" s="1757">
        <v>2013</v>
      </c>
      <c r="L66" s="1495"/>
      <c r="M66" s="405"/>
      <c r="N66" s="405"/>
    </row>
    <row r="67" spans="3:15" s="1801" customFormat="1" ht="24.75" customHeight="1">
      <c r="C67" s="1496">
        <v>426</v>
      </c>
      <c r="D67" s="1254">
        <v>138809</v>
      </c>
      <c r="E67" s="1254">
        <v>2216482</v>
      </c>
      <c r="F67" s="1254">
        <v>94586</v>
      </c>
      <c r="G67" s="1254">
        <v>167795</v>
      </c>
      <c r="H67" s="1254">
        <v>2544931</v>
      </c>
      <c r="I67" s="1255">
        <f t="shared" ref="I67:I68" si="1">H67+G67+F67+E67+D67+C67</f>
        <v>5163029</v>
      </c>
      <c r="J67" s="1499"/>
      <c r="K67" s="1501">
        <v>2014</v>
      </c>
      <c r="L67" s="1500"/>
      <c r="M67" s="405"/>
      <c r="N67" s="405"/>
    </row>
    <row r="68" spans="3:15" s="1801" customFormat="1" ht="18.75" customHeight="1">
      <c r="C68" s="1492">
        <v>238</v>
      </c>
      <c r="D68" s="1157">
        <v>125851</v>
      </c>
      <c r="E68" s="1157">
        <v>1887060</v>
      </c>
      <c r="F68" s="1157">
        <v>98972</v>
      </c>
      <c r="G68" s="1157">
        <v>176283</v>
      </c>
      <c r="H68" s="1157">
        <v>2509179</v>
      </c>
      <c r="I68" s="1158">
        <f t="shared" si="1"/>
        <v>4797583</v>
      </c>
      <c r="J68" s="1494"/>
      <c r="K68" s="1757">
        <v>2015</v>
      </c>
      <c r="L68" s="1495"/>
      <c r="M68" s="405"/>
      <c r="N68" s="405"/>
    </row>
    <row r="69" spans="3:15" s="1801" customFormat="1" ht="18.75" customHeight="1">
      <c r="C69" s="1496">
        <v>934</v>
      </c>
      <c r="D69" s="1254">
        <v>90947</v>
      </c>
      <c r="E69" s="1254">
        <v>1634893</v>
      </c>
      <c r="F69" s="1254">
        <v>107047</v>
      </c>
      <c r="G69" s="1254">
        <v>184685</v>
      </c>
      <c r="H69" s="1254">
        <v>2378008</v>
      </c>
      <c r="I69" s="1255">
        <v>4396514</v>
      </c>
      <c r="J69" s="1499"/>
      <c r="K69" s="1501" t="s">
        <v>2619</v>
      </c>
      <c r="L69" s="1500"/>
      <c r="M69" s="405"/>
      <c r="N69" s="405"/>
    </row>
    <row r="70" spans="3:15" s="1801" customFormat="1" ht="18.75" customHeight="1">
      <c r="C70" s="1492">
        <v>8852</v>
      </c>
      <c r="D70" s="1157">
        <v>95047</v>
      </c>
      <c r="E70" s="1157">
        <v>1703504</v>
      </c>
      <c r="F70" s="1157">
        <v>114517</v>
      </c>
      <c r="G70" s="1157">
        <v>148522</v>
      </c>
      <c r="H70" s="1157">
        <v>2433782</v>
      </c>
      <c r="I70" s="1158">
        <v>4504224</v>
      </c>
      <c r="J70" s="1494"/>
      <c r="K70" s="3201" t="s">
        <v>2749</v>
      </c>
      <c r="L70" s="1495"/>
      <c r="M70" s="405"/>
      <c r="N70" s="405"/>
    </row>
    <row r="71" spans="3:15" s="1801" customFormat="1" ht="18.75" customHeight="1">
      <c r="C71" s="1496">
        <v>2824</v>
      </c>
      <c r="D71" s="1254">
        <v>97448</v>
      </c>
      <c r="E71" s="1254">
        <v>1880675</v>
      </c>
      <c r="F71" s="1254">
        <v>94933</v>
      </c>
      <c r="G71" s="1254">
        <v>116296</v>
      </c>
      <c r="H71" s="1254">
        <v>2482530</v>
      </c>
      <c r="I71" s="1255">
        <v>4674706</v>
      </c>
      <c r="J71" s="1499"/>
      <c r="K71" s="1501" t="s">
        <v>2926</v>
      </c>
      <c r="L71" s="1500"/>
      <c r="M71" s="405"/>
      <c r="N71" s="405"/>
    </row>
    <row r="72" spans="3:15" s="1801" customFormat="1" ht="18.75" customHeight="1">
      <c r="C72" s="1492">
        <v>1131.4627200000396</v>
      </c>
      <c r="D72" s="1157">
        <v>107265.43700000001</v>
      </c>
      <c r="E72" s="1157">
        <v>2063841.674857999</v>
      </c>
      <c r="F72" s="1157">
        <v>94399.608999999982</v>
      </c>
      <c r="G72" s="1157">
        <v>74587.443999999989</v>
      </c>
      <c r="H72" s="1157">
        <v>2654458.9681000006</v>
      </c>
      <c r="I72" s="1158">
        <v>4995684.5956779998</v>
      </c>
      <c r="J72" s="1494"/>
      <c r="K72" s="3201" t="s">
        <v>3026</v>
      </c>
      <c r="L72" s="1495"/>
      <c r="M72" s="405"/>
      <c r="N72" s="405"/>
    </row>
    <row r="73" spans="3:15" s="1801" customFormat="1" ht="18.75" customHeight="1">
      <c r="C73" s="1496">
        <v>2247</v>
      </c>
      <c r="D73" s="1254">
        <v>91739</v>
      </c>
      <c r="E73" s="1254">
        <v>2358695</v>
      </c>
      <c r="F73" s="1254">
        <v>69067</v>
      </c>
      <c r="G73" s="1254">
        <v>75766</v>
      </c>
      <c r="H73" s="1254">
        <v>2446594</v>
      </c>
      <c r="I73" s="1255">
        <v>5044108</v>
      </c>
      <c r="J73" s="1499"/>
      <c r="K73" s="1501" t="s">
        <v>3099</v>
      </c>
      <c r="L73" s="1500"/>
      <c r="M73" s="405"/>
      <c r="N73" s="405"/>
    </row>
    <row r="74" spans="3:15" s="1191" customFormat="1" ht="24">
      <c r="C74" s="1492">
        <v>1007</v>
      </c>
      <c r="D74" s="1157">
        <v>97109.7</v>
      </c>
      <c r="E74" s="1157">
        <v>3072526</v>
      </c>
      <c r="F74" s="1157">
        <v>74940</v>
      </c>
      <c r="G74" s="1157">
        <v>173946</v>
      </c>
      <c r="H74" s="1157">
        <v>2619294</v>
      </c>
      <c r="I74" s="1158">
        <v>6038824</v>
      </c>
      <c r="J74" s="1494"/>
      <c r="K74" s="3201" t="s">
        <v>3104</v>
      </c>
      <c r="L74" s="1495"/>
      <c r="O74" s="3203"/>
    </row>
    <row r="75" spans="3:15" s="3203" customFormat="1" ht="24">
      <c r="C75" s="4537">
        <v>1227.7</v>
      </c>
      <c r="D75" s="4534">
        <v>125238.5</v>
      </c>
      <c r="E75" s="4534">
        <v>4651404.5999999996</v>
      </c>
      <c r="F75" s="4534">
        <v>98964.5</v>
      </c>
      <c r="G75" s="4534">
        <v>516106.6</v>
      </c>
      <c r="H75" s="4534">
        <v>2972588.5</v>
      </c>
      <c r="I75" s="4535">
        <v>8365530.3999999994</v>
      </c>
      <c r="J75" s="4331"/>
      <c r="K75" s="4536" t="s">
        <v>3114</v>
      </c>
      <c r="L75" s="4538"/>
    </row>
    <row r="76" spans="3:15" s="1191" customFormat="1" ht="18">
      <c r="C76" s="406" t="s">
        <v>1333</v>
      </c>
      <c r="D76" s="407"/>
      <c r="E76" s="1185"/>
      <c r="F76" s="1185"/>
      <c r="G76" s="1185"/>
      <c r="H76" s="1185"/>
      <c r="I76" s="1185"/>
      <c r="J76" s="1185"/>
      <c r="K76" s="1185"/>
      <c r="L76" s="3202" t="s">
        <v>1334</v>
      </c>
      <c r="M76" s="409"/>
      <c r="N76" s="409"/>
    </row>
    <row r="77" spans="3:15" s="1191" customFormat="1" ht="18">
      <c r="C77" s="408" t="s">
        <v>1335</v>
      </c>
      <c r="D77" s="407"/>
      <c r="E77" s="1185"/>
      <c r="F77" s="1185"/>
      <c r="G77" s="1185"/>
      <c r="H77" s="1185"/>
      <c r="I77" s="1185"/>
      <c r="J77" s="1185"/>
      <c r="K77" s="1185"/>
      <c r="L77" s="3204" t="s">
        <v>1336</v>
      </c>
    </row>
    <row r="78" spans="3:15" s="1191" customFormat="1" ht="18">
      <c r="C78" s="2083" t="s">
        <v>1337</v>
      </c>
      <c r="D78" s="406"/>
      <c r="E78" s="1185"/>
      <c r="F78" s="1185"/>
      <c r="G78" s="1185"/>
      <c r="H78" s="1185"/>
      <c r="I78" s="1185"/>
      <c r="J78" s="1185"/>
      <c r="K78" s="1185"/>
      <c r="L78" s="3114" t="s">
        <v>1338</v>
      </c>
      <c r="M78" s="3205"/>
    </row>
    <row r="79" spans="3:15" s="1191" customFormat="1" ht="18">
      <c r="C79" s="408" t="s">
        <v>1339</v>
      </c>
      <c r="D79" s="407"/>
      <c r="E79" s="1185"/>
      <c r="F79" s="1185"/>
      <c r="G79" s="1185"/>
      <c r="H79" s="1185"/>
      <c r="I79" s="1185"/>
      <c r="J79" s="1185"/>
      <c r="K79" s="1185"/>
      <c r="L79" s="3204" t="s">
        <v>1340</v>
      </c>
    </row>
    <row r="80" spans="3:15">
      <c r="C80" s="1174"/>
      <c r="F80" s="1191"/>
      <c r="G80" s="1191"/>
      <c r="J80" s="3206"/>
      <c r="K80" s="3206"/>
      <c r="L80" s="3206"/>
    </row>
    <row r="81" spans="3:12">
      <c r="C81" s="1174"/>
      <c r="F81" s="1191"/>
      <c r="G81" s="1191"/>
      <c r="H81" s="1191"/>
      <c r="I81" s="1191"/>
      <c r="J81" s="3207"/>
      <c r="K81" s="3207"/>
      <c r="L81" s="3207"/>
    </row>
    <row r="82" spans="3:12">
      <c r="C82" s="1174"/>
      <c r="D82" s="1191"/>
      <c r="F82" s="1191"/>
      <c r="G82" s="1191"/>
      <c r="H82" s="1191"/>
      <c r="I82" s="1191"/>
      <c r="J82" s="3207"/>
      <c r="K82" s="3207"/>
      <c r="L82" s="3206"/>
    </row>
    <row r="83" spans="3:12">
      <c r="C83" s="1174"/>
      <c r="J83" s="3206"/>
      <c r="K83" s="3206"/>
      <c r="L83" s="3206"/>
    </row>
    <row r="84" spans="3:12">
      <c r="C84" s="1174"/>
      <c r="J84" s="3206"/>
      <c r="K84" s="3206"/>
      <c r="L84" s="3206"/>
    </row>
    <row r="85" spans="3:12">
      <c r="C85" s="1174"/>
      <c r="J85" s="3206"/>
      <c r="K85" s="3206"/>
      <c r="L85" s="3206"/>
    </row>
    <row r="86" spans="3:12">
      <c r="C86" s="1174"/>
      <c r="J86" s="3206"/>
      <c r="K86" s="3206"/>
      <c r="L86" s="3206"/>
    </row>
    <row r="87" spans="3:12">
      <c r="C87" s="1174"/>
      <c r="J87" s="3206"/>
      <c r="K87" s="3206"/>
      <c r="L87" s="3206"/>
    </row>
    <row r="88" spans="3:12">
      <c r="C88" s="1174"/>
      <c r="J88" s="3206"/>
      <c r="K88" s="3206"/>
      <c r="L88" s="3206"/>
    </row>
    <row r="89" spans="3:12">
      <c r="C89" s="1174"/>
      <c r="J89" s="3206"/>
      <c r="K89" s="3206"/>
      <c r="L89" s="3206"/>
    </row>
    <row r="90" spans="3:12">
      <c r="C90" s="1174"/>
      <c r="J90" s="3206"/>
      <c r="K90" s="3206"/>
      <c r="L90" s="3206"/>
    </row>
    <row r="91" spans="3:12">
      <c r="C91" s="1174"/>
      <c r="J91" s="3206"/>
      <c r="K91" s="3206"/>
      <c r="L91" s="3206"/>
    </row>
    <row r="92" spans="3:12">
      <c r="C92" s="1174"/>
      <c r="J92" s="3206"/>
      <c r="K92" s="3206"/>
      <c r="L92" s="3206"/>
    </row>
    <row r="93" spans="3:12">
      <c r="C93" s="1174"/>
      <c r="J93" s="3206"/>
      <c r="K93" s="3206"/>
      <c r="L93" s="3206"/>
    </row>
    <row r="94" spans="3:12">
      <c r="C94" s="1174"/>
      <c r="J94" s="3206"/>
      <c r="K94" s="3206"/>
      <c r="L94" s="3206"/>
    </row>
    <row r="95" spans="3:12">
      <c r="C95" s="1174"/>
      <c r="J95" s="3206"/>
      <c r="K95" s="3206"/>
      <c r="L95" s="3206"/>
    </row>
    <row r="96" spans="3:12">
      <c r="C96" s="1174"/>
      <c r="J96" s="3206"/>
      <c r="K96" s="3206"/>
      <c r="L96" s="3206"/>
    </row>
    <row r="97" spans="3:12">
      <c r="C97" s="1174"/>
      <c r="J97" s="3206"/>
      <c r="K97" s="3206"/>
      <c r="L97" s="3206"/>
    </row>
    <row r="98" spans="3:12">
      <c r="C98" s="1174"/>
      <c r="J98" s="3206"/>
      <c r="K98" s="3206"/>
      <c r="L98" s="3206"/>
    </row>
    <row r="99" spans="3:12">
      <c r="C99" s="1174"/>
      <c r="J99" s="3206"/>
      <c r="K99" s="3206"/>
      <c r="L99" s="3206"/>
    </row>
    <row r="100" spans="3:12">
      <c r="C100" s="1174"/>
      <c r="J100" s="3206"/>
      <c r="K100" s="3206"/>
      <c r="L100" s="3206"/>
    </row>
    <row r="101" spans="3:12">
      <c r="C101" s="1174"/>
      <c r="J101" s="3206"/>
      <c r="K101" s="3206"/>
      <c r="L101" s="3206"/>
    </row>
    <row r="102" spans="3:12">
      <c r="C102" s="1174"/>
      <c r="J102" s="3206"/>
      <c r="K102" s="3206"/>
      <c r="L102" s="3206"/>
    </row>
    <row r="103" spans="3:12">
      <c r="C103" s="1174"/>
      <c r="J103" s="3206"/>
      <c r="K103" s="3206"/>
      <c r="L103" s="3206"/>
    </row>
    <row r="104" spans="3:12">
      <c r="C104" s="1174"/>
    </row>
    <row r="105" spans="3:12">
      <c r="C105" s="1174"/>
    </row>
    <row r="106" spans="3:12">
      <c r="C106" s="1174"/>
    </row>
    <row r="107" spans="3:12">
      <c r="C107" s="1174"/>
    </row>
    <row r="108" spans="3:12">
      <c r="C108" s="1174"/>
    </row>
    <row r="109" spans="3:12">
      <c r="C109" s="1174"/>
    </row>
    <row r="110" spans="3:12">
      <c r="C110" s="1174"/>
    </row>
    <row r="111" spans="3:12">
      <c r="C111" s="1174"/>
    </row>
    <row r="112" spans="3:12">
      <c r="C112" s="1174"/>
    </row>
    <row r="113" spans="3:3">
      <c r="C113" s="1174"/>
    </row>
    <row r="114" spans="3:3">
      <c r="C114" s="1174"/>
    </row>
    <row r="115" spans="3:3">
      <c r="C115" s="1174"/>
    </row>
    <row r="116" spans="3:3">
      <c r="C116" s="1174"/>
    </row>
    <row r="117" spans="3:3">
      <c r="C117" s="1174"/>
    </row>
    <row r="118" spans="3:3">
      <c r="C118" s="1174"/>
    </row>
    <row r="119" spans="3:3">
      <c r="C119" s="1174"/>
    </row>
    <row r="120" spans="3:3">
      <c r="C120" s="1174"/>
    </row>
    <row r="121" spans="3:3">
      <c r="C121" s="1174"/>
    </row>
    <row r="122" spans="3:3">
      <c r="C122" s="1174"/>
    </row>
    <row r="123" spans="3:3">
      <c r="C123" s="1174"/>
    </row>
    <row r="124" spans="3:3">
      <c r="C124" s="1174"/>
    </row>
    <row r="125" spans="3:3">
      <c r="C125" s="1174"/>
    </row>
    <row r="126" spans="3:3">
      <c r="C126" s="1174"/>
    </row>
  </sheetData>
  <mergeCells count="8">
    <mergeCell ref="J12:L12"/>
    <mergeCell ref="J14:L14"/>
    <mergeCell ref="C3:L3"/>
    <mergeCell ref="C4:L4"/>
    <mergeCell ref="E8:F8"/>
    <mergeCell ref="G8:H8"/>
    <mergeCell ref="E9:F9"/>
    <mergeCell ref="G9:H9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5" orientation="portrait" r:id="rId1"/>
  <headerFooter alignWithMargins="0">
    <oddFooter>&amp;C&amp;"+,Regular"&amp;22-47-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05"/>
  <sheetViews>
    <sheetView zoomScale="75" zoomScaleNormal="75" workbookViewId="0">
      <selection activeCell="C1" sqref="C1"/>
    </sheetView>
  </sheetViews>
  <sheetFormatPr defaultColWidth="0" defaultRowHeight="20.25"/>
  <cols>
    <col min="1" max="1" width="13.42578125" style="1174" customWidth="1"/>
    <col min="2" max="2" width="16.42578125" style="1174" customWidth="1"/>
    <col min="3" max="3" width="19" style="1793" customWidth="1"/>
    <col min="4" max="4" width="11.42578125" style="1192" customWidth="1"/>
    <col min="5" max="5" width="18.28515625" style="1192" bestFit="1" customWidth="1"/>
    <col min="6" max="6" width="18.5703125" style="1192" bestFit="1" customWidth="1"/>
    <col min="7" max="8" width="18.7109375" style="1192" customWidth="1"/>
    <col min="9" max="9" width="14.5703125" style="1192" customWidth="1"/>
    <col min="10" max="10" width="14.7109375" style="1192" customWidth="1"/>
    <col min="11" max="11" width="17.42578125" style="1192" bestFit="1" customWidth="1"/>
    <col min="12" max="12" width="1.42578125" style="1192" customWidth="1"/>
    <col min="13" max="13" width="9.42578125" style="1192" customWidth="1"/>
    <col min="14" max="14" width="1.42578125" style="1192" customWidth="1"/>
    <col min="15" max="15" width="13.7109375" style="1174" customWidth="1"/>
    <col min="16" max="16" width="14.42578125" style="1174" customWidth="1"/>
    <col min="17" max="17" width="12.42578125" style="1174" customWidth="1"/>
    <col min="18" max="256" width="0" style="1174" hidden="1"/>
    <col min="257" max="257" width="13.42578125" style="1174" customWidth="1"/>
    <col min="258" max="258" width="16.42578125" style="1174" customWidth="1"/>
    <col min="259" max="259" width="16" style="1174" customWidth="1"/>
    <col min="260" max="260" width="11.42578125" style="1174" customWidth="1"/>
    <col min="261" max="261" width="15" style="1174" customWidth="1"/>
    <col min="262" max="262" width="15.28515625" style="1174" customWidth="1"/>
    <col min="263" max="264" width="18.7109375" style="1174" customWidth="1"/>
    <col min="265" max="265" width="12.85546875" style="1174" customWidth="1"/>
    <col min="266" max="266" width="14.7109375" style="1174" customWidth="1"/>
    <col min="267" max="267" width="17.42578125" style="1174" bestFit="1" customWidth="1"/>
    <col min="268" max="268" width="1.42578125" style="1174" customWidth="1"/>
    <col min="269" max="269" width="7.7109375" style="1174" customWidth="1"/>
    <col min="270" max="270" width="1.42578125" style="1174" customWidth="1"/>
    <col min="271" max="271" width="13.7109375" style="1174" customWidth="1"/>
    <col min="272" max="272" width="14.42578125" style="1174" customWidth="1"/>
    <col min="273" max="273" width="12.42578125" style="1174" customWidth="1"/>
    <col min="274" max="512" width="0" style="1174" hidden="1"/>
    <col min="513" max="513" width="13.42578125" style="1174" customWidth="1"/>
    <col min="514" max="514" width="16.42578125" style="1174" customWidth="1"/>
    <col min="515" max="515" width="16" style="1174" customWidth="1"/>
    <col min="516" max="516" width="11.42578125" style="1174" customWidth="1"/>
    <col min="517" max="517" width="15" style="1174" customWidth="1"/>
    <col min="518" max="518" width="15.28515625" style="1174" customWidth="1"/>
    <col min="519" max="520" width="18.7109375" style="1174" customWidth="1"/>
    <col min="521" max="521" width="12.85546875" style="1174" customWidth="1"/>
    <col min="522" max="522" width="14.7109375" style="1174" customWidth="1"/>
    <col min="523" max="523" width="17.42578125" style="1174" bestFit="1" customWidth="1"/>
    <col min="524" max="524" width="1.42578125" style="1174" customWidth="1"/>
    <col min="525" max="525" width="7.7109375" style="1174" customWidth="1"/>
    <col min="526" max="526" width="1.42578125" style="1174" customWidth="1"/>
    <col min="527" max="527" width="13.7109375" style="1174" customWidth="1"/>
    <col min="528" max="528" width="14.42578125" style="1174" customWidth="1"/>
    <col min="529" max="529" width="12.42578125" style="1174" customWidth="1"/>
    <col min="530" max="768" width="0" style="1174" hidden="1"/>
    <col min="769" max="769" width="13.42578125" style="1174" customWidth="1"/>
    <col min="770" max="770" width="16.42578125" style="1174" customWidth="1"/>
    <col min="771" max="771" width="16" style="1174" customWidth="1"/>
    <col min="772" max="772" width="11.42578125" style="1174" customWidth="1"/>
    <col min="773" max="773" width="15" style="1174" customWidth="1"/>
    <col min="774" max="774" width="15.28515625" style="1174" customWidth="1"/>
    <col min="775" max="776" width="18.7109375" style="1174" customWidth="1"/>
    <col min="777" max="777" width="12.85546875" style="1174" customWidth="1"/>
    <col min="778" max="778" width="14.7109375" style="1174" customWidth="1"/>
    <col min="779" max="779" width="17.42578125" style="1174" bestFit="1" customWidth="1"/>
    <col min="780" max="780" width="1.42578125" style="1174" customWidth="1"/>
    <col min="781" max="781" width="7.7109375" style="1174" customWidth="1"/>
    <col min="782" max="782" width="1.42578125" style="1174" customWidth="1"/>
    <col min="783" max="783" width="13.7109375" style="1174" customWidth="1"/>
    <col min="784" max="784" width="14.42578125" style="1174" customWidth="1"/>
    <col min="785" max="785" width="12.42578125" style="1174" customWidth="1"/>
    <col min="786" max="1024" width="0" style="1174" hidden="1"/>
    <col min="1025" max="1025" width="13.42578125" style="1174" customWidth="1"/>
    <col min="1026" max="1026" width="16.42578125" style="1174" customWidth="1"/>
    <col min="1027" max="1027" width="16" style="1174" customWidth="1"/>
    <col min="1028" max="1028" width="11.42578125" style="1174" customWidth="1"/>
    <col min="1029" max="1029" width="15" style="1174" customWidth="1"/>
    <col min="1030" max="1030" width="15.28515625" style="1174" customWidth="1"/>
    <col min="1031" max="1032" width="18.7109375" style="1174" customWidth="1"/>
    <col min="1033" max="1033" width="12.85546875" style="1174" customWidth="1"/>
    <col min="1034" max="1034" width="14.7109375" style="1174" customWidth="1"/>
    <col min="1035" max="1035" width="17.42578125" style="1174" bestFit="1" customWidth="1"/>
    <col min="1036" max="1036" width="1.42578125" style="1174" customWidth="1"/>
    <col min="1037" max="1037" width="7.7109375" style="1174" customWidth="1"/>
    <col min="1038" max="1038" width="1.42578125" style="1174" customWidth="1"/>
    <col min="1039" max="1039" width="13.7109375" style="1174" customWidth="1"/>
    <col min="1040" max="1040" width="14.42578125" style="1174" customWidth="1"/>
    <col min="1041" max="1041" width="12.42578125" style="1174" customWidth="1"/>
    <col min="1042" max="1280" width="0" style="1174" hidden="1"/>
    <col min="1281" max="1281" width="13.42578125" style="1174" customWidth="1"/>
    <col min="1282" max="1282" width="16.42578125" style="1174" customWidth="1"/>
    <col min="1283" max="1283" width="16" style="1174" customWidth="1"/>
    <col min="1284" max="1284" width="11.42578125" style="1174" customWidth="1"/>
    <col min="1285" max="1285" width="15" style="1174" customWidth="1"/>
    <col min="1286" max="1286" width="15.28515625" style="1174" customWidth="1"/>
    <col min="1287" max="1288" width="18.7109375" style="1174" customWidth="1"/>
    <col min="1289" max="1289" width="12.85546875" style="1174" customWidth="1"/>
    <col min="1290" max="1290" width="14.7109375" style="1174" customWidth="1"/>
    <col min="1291" max="1291" width="17.42578125" style="1174" bestFit="1" customWidth="1"/>
    <col min="1292" max="1292" width="1.42578125" style="1174" customWidth="1"/>
    <col min="1293" max="1293" width="7.7109375" style="1174" customWidth="1"/>
    <col min="1294" max="1294" width="1.42578125" style="1174" customWidth="1"/>
    <col min="1295" max="1295" width="13.7109375" style="1174" customWidth="1"/>
    <col min="1296" max="1296" width="14.42578125" style="1174" customWidth="1"/>
    <col min="1297" max="1297" width="12.42578125" style="1174" customWidth="1"/>
    <col min="1298" max="1536" width="0" style="1174" hidden="1"/>
    <col min="1537" max="1537" width="13.42578125" style="1174" customWidth="1"/>
    <col min="1538" max="1538" width="16.42578125" style="1174" customWidth="1"/>
    <col min="1539" max="1539" width="16" style="1174" customWidth="1"/>
    <col min="1540" max="1540" width="11.42578125" style="1174" customWidth="1"/>
    <col min="1541" max="1541" width="15" style="1174" customWidth="1"/>
    <col min="1542" max="1542" width="15.28515625" style="1174" customWidth="1"/>
    <col min="1543" max="1544" width="18.7109375" style="1174" customWidth="1"/>
    <col min="1545" max="1545" width="12.85546875" style="1174" customWidth="1"/>
    <col min="1546" max="1546" width="14.7109375" style="1174" customWidth="1"/>
    <col min="1547" max="1547" width="17.42578125" style="1174" bestFit="1" customWidth="1"/>
    <col min="1548" max="1548" width="1.42578125" style="1174" customWidth="1"/>
    <col min="1549" max="1549" width="7.7109375" style="1174" customWidth="1"/>
    <col min="1550" max="1550" width="1.42578125" style="1174" customWidth="1"/>
    <col min="1551" max="1551" width="13.7109375" style="1174" customWidth="1"/>
    <col min="1552" max="1552" width="14.42578125" style="1174" customWidth="1"/>
    <col min="1553" max="1553" width="12.42578125" style="1174" customWidth="1"/>
    <col min="1554" max="1792" width="0" style="1174" hidden="1"/>
    <col min="1793" max="1793" width="13.42578125" style="1174" customWidth="1"/>
    <col min="1794" max="1794" width="16.42578125" style="1174" customWidth="1"/>
    <col min="1795" max="1795" width="16" style="1174" customWidth="1"/>
    <col min="1796" max="1796" width="11.42578125" style="1174" customWidth="1"/>
    <col min="1797" max="1797" width="15" style="1174" customWidth="1"/>
    <col min="1798" max="1798" width="15.28515625" style="1174" customWidth="1"/>
    <col min="1799" max="1800" width="18.7109375" style="1174" customWidth="1"/>
    <col min="1801" max="1801" width="12.85546875" style="1174" customWidth="1"/>
    <col min="1802" max="1802" width="14.7109375" style="1174" customWidth="1"/>
    <col min="1803" max="1803" width="17.42578125" style="1174" bestFit="1" customWidth="1"/>
    <col min="1804" max="1804" width="1.42578125" style="1174" customWidth="1"/>
    <col min="1805" max="1805" width="7.7109375" style="1174" customWidth="1"/>
    <col min="1806" max="1806" width="1.42578125" style="1174" customWidth="1"/>
    <col min="1807" max="1807" width="13.7109375" style="1174" customWidth="1"/>
    <col min="1808" max="1808" width="14.42578125" style="1174" customWidth="1"/>
    <col min="1809" max="1809" width="12.42578125" style="1174" customWidth="1"/>
    <col min="1810" max="2048" width="0" style="1174" hidden="1"/>
    <col min="2049" max="2049" width="13.42578125" style="1174" customWidth="1"/>
    <col min="2050" max="2050" width="16.42578125" style="1174" customWidth="1"/>
    <col min="2051" max="2051" width="16" style="1174" customWidth="1"/>
    <col min="2052" max="2052" width="11.42578125" style="1174" customWidth="1"/>
    <col min="2053" max="2053" width="15" style="1174" customWidth="1"/>
    <col min="2054" max="2054" width="15.28515625" style="1174" customWidth="1"/>
    <col min="2055" max="2056" width="18.7109375" style="1174" customWidth="1"/>
    <col min="2057" max="2057" width="12.85546875" style="1174" customWidth="1"/>
    <col min="2058" max="2058" width="14.7109375" style="1174" customWidth="1"/>
    <col min="2059" max="2059" width="17.42578125" style="1174" bestFit="1" customWidth="1"/>
    <col min="2060" max="2060" width="1.42578125" style="1174" customWidth="1"/>
    <col min="2061" max="2061" width="7.7109375" style="1174" customWidth="1"/>
    <col min="2062" max="2062" width="1.42578125" style="1174" customWidth="1"/>
    <col min="2063" max="2063" width="13.7109375" style="1174" customWidth="1"/>
    <col min="2064" max="2064" width="14.42578125" style="1174" customWidth="1"/>
    <col min="2065" max="2065" width="12.42578125" style="1174" customWidth="1"/>
    <col min="2066" max="2304" width="0" style="1174" hidden="1"/>
    <col min="2305" max="2305" width="13.42578125" style="1174" customWidth="1"/>
    <col min="2306" max="2306" width="16.42578125" style="1174" customWidth="1"/>
    <col min="2307" max="2307" width="16" style="1174" customWidth="1"/>
    <col min="2308" max="2308" width="11.42578125" style="1174" customWidth="1"/>
    <col min="2309" max="2309" width="15" style="1174" customWidth="1"/>
    <col min="2310" max="2310" width="15.28515625" style="1174" customWidth="1"/>
    <col min="2311" max="2312" width="18.7109375" style="1174" customWidth="1"/>
    <col min="2313" max="2313" width="12.85546875" style="1174" customWidth="1"/>
    <col min="2314" max="2314" width="14.7109375" style="1174" customWidth="1"/>
    <col min="2315" max="2315" width="17.42578125" style="1174" bestFit="1" customWidth="1"/>
    <col min="2316" max="2316" width="1.42578125" style="1174" customWidth="1"/>
    <col min="2317" max="2317" width="7.7109375" style="1174" customWidth="1"/>
    <col min="2318" max="2318" width="1.42578125" style="1174" customWidth="1"/>
    <col min="2319" max="2319" width="13.7109375" style="1174" customWidth="1"/>
    <col min="2320" max="2320" width="14.42578125" style="1174" customWidth="1"/>
    <col min="2321" max="2321" width="12.42578125" style="1174" customWidth="1"/>
    <col min="2322" max="2560" width="0" style="1174" hidden="1"/>
    <col min="2561" max="2561" width="13.42578125" style="1174" customWidth="1"/>
    <col min="2562" max="2562" width="16.42578125" style="1174" customWidth="1"/>
    <col min="2563" max="2563" width="16" style="1174" customWidth="1"/>
    <col min="2564" max="2564" width="11.42578125" style="1174" customWidth="1"/>
    <col min="2565" max="2565" width="15" style="1174" customWidth="1"/>
    <col min="2566" max="2566" width="15.28515625" style="1174" customWidth="1"/>
    <col min="2567" max="2568" width="18.7109375" style="1174" customWidth="1"/>
    <col min="2569" max="2569" width="12.85546875" style="1174" customWidth="1"/>
    <col min="2570" max="2570" width="14.7109375" style="1174" customWidth="1"/>
    <col min="2571" max="2571" width="17.42578125" style="1174" bestFit="1" customWidth="1"/>
    <col min="2572" max="2572" width="1.42578125" style="1174" customWidth="1"/>
    <col min="2573" max="2573" width="7.7109375" style="1174" customWidth="1"/>
    <col min="2574" max="2574" width="1.42578125" style="1174" customWidth="1"/>
    <col min="2575" max="2575" width="13.7109375" style="1174" customWidth="1"/>
    <col min="2576" max="2576" width="14.42578125" style="1174" customWidth="1"/>
    <col min="2577" max="2577" width="12.42578125" style="1174" customWidth="1"/>
    <col min="2578" max="2816" width="0" style="1174" hidden="1"/>
    <col min="2817" max="2817" width="13.42578125" style="1174" customWidth="1"/>
    <col min="2818" max="2818" width="16.42578125" style="1174" customWidth="1"/>
    <col min="2819" max="2819" width="16" style="1174" customWidth="1"/>
    <col min="2820" max="2820" width="11.42578125" style="1174" customWidth="1"/>
    <col min="2821" max="2821" width="15" style="1174" customWidth="1"/>
    <col min="2822" max="2822" width="15.28515625" style="1174" customWidth="1"/>
    <col min="2823" max="2824" width="18.7109375" style="1174" customWidth="1"/>
    <col min="2825" max="2825" width="12.85546875" style="1174" customWidth="1"/>
    <col min="2826" max="2826" width="14.7109375" style="1174" customWidth="1"/>
    <col min="2827" max="2827" width="17.42578125" style="1174" bestFit="1" customWidth="1"/>
    <col min="2828" max="2828" width="1.42578125" style="1174" customWidth="1"/>
    <col min="2829" max="2829" width="7.7109375" style="1174" customWidth="1"/>
    <col min="2830" max="2830" width="1.42578125" style="1174" customWidth="1"/>
    <col min="2831" max="2831" width="13.7109375" style="1174" customWidth="1"/>
    <col min="2832" max="2832" width="14.42578125" style="1174" customWidth="1"/>
    <col min="2833" max="2833" width="12.42578125" style="1174" customWidth="1"/>
    <col min="2834" max="3072" width="0" style="1174" hidden="1"/>
    <col min="3073" max="3073" width="13.42578125" style="1174" customWidth="1"/>
    <col min="3074" max="3074" width="16.42578125" style="1174" customWidth="1"/>
    <col min="3075" max="3075" width="16" style="1174" customWidth="1"/>
    <col min="3076" max="3076" width="11.42578125" style="1174" customWidth="1"/>
    <col min="3077" max="3077" width="15" style="1174" customWidth="1"/>
    <col min="3078" max="3078" width="15.28515625" style="1174" customWidth="1"/>
    <col min="3079" max="3080" width="18.7109375" style="1174" customWidth="1"/>
    <col min="3081" max="3081" width="12.85546875" style="1174" customWidth="1"/>
    <col min="3082" max="3082" width="14.7109375" style="1174" customWidth="1"/>
    <col min="3083" max="3083" width="17.42578125" style="1174" bestFit="1" customWidth="1"/>
    <col min="3084" max="3084" width="1.42578125" style="1174" customWidth="1"/>
    <col min="3085" max="3085" width="7.7109375" style="1174" customWidth="1"/>
    <col min="3086" max="3086" width="1.42578125" style="1174" customWidth="1"/>
    <col min="3087" max="3087" width="13.7109375" style="1174" customWidth="1"/>
    <col min="3088" max="3088" width="14.42578125" style="1174" customWidth="1"/>
    <col min="3089" max="3089" width="12.42578125" style="1174" customWidth="1"/>
    <col min="3090" max="3328" width="0" style="1174" hidden="1"/>
    <col min="3329" max="3329" width="13.42578125" style="1174" customWidth="1"/>
    <col min="3330" max="3330" width="16.42578125" style="1174" customWidth="1"/>
    <col min="3331" max="3331" width="16" style="1174" customWidth="1"/>
    <col min="3332" max="3332" width="11.42578125" style="1174" customWidth="1"/>
    <col min="3333" max="3333" width="15" style="1174" customWidth="1"/>
    <col min="3334" max="3334" width="15.28515625" style="1174" customWidth="1"/>
    <col min="3335" max="3336" width="18.7109375" style="1174" customWidth="1"/>
    <col min="3337" max="3337" width="12.85546875" style="1174" customWidth="1"/>
    <col min="3338" max="3338" width="14.7109375" style="1174" customWidth="1"/>
    <col min="3339" max="3339" width="17.42578125" style="1174" bestFit="1" customWidth="1"/>
    <col min="3340" max="3340" width="1.42578125" style="1174" customWidth="1"/>
    <col min="3341" max="3341" width="7.7109375" style="1174" customWidth="1"/>
    <col min="3342" max="3342" width="1.42578125" style="1174" customWidth="1"/>
    <col min="3343" max="3343" width="13.7109375" style="1174" customWidth="1"/>
    <col min="3344" max="3344" width="14.42578125" style="1174" customWidth="1"/>
    <col min="3345" max="3345" width="12.42578125" style="1174" customWidth="1"/>
    <col min="3346" max="3584" width="0" style="1174" hidden="1"/>
    <col min="3585" max="3585" width="13.42578125" style="1174" customWidth="1"/>
    <col min="3586" max="3586" width="16.42578125" style="1174" customWidth="1"/>
    <col min="3587" max="3587" width="16" style="1174" customWidth="1"/>
    <col min="3588" max="3588" width="11.42578125" style="1174" customWidth="1"/>
    <col min="3589" max="3589" width="15" style="1174" customWidth="1"/>
    <col min="3590" max="3590" width="15.28515625" style="1174" customWidth="1"/>
    <col min="3591" max="3592" width="18.7109375" style="1174" customWidth="1"/>
    <col min="3593" max="3593" width="12.85546875" style="1174" customWidth="1"/>
    <col min="3594" max="3594" width="14.7109375" style="1174" customWidth="1"/>
    <col min="3595" max="3595" width="17.42578125" style="1174" bestFit="1" customWidth="1"/>
    <col min="3596" max="3596" width="1.42578125" style="1174" customWidth="1"/>
    <col min="3597" max="3597" width="7.7109375" style="1174" customWidth="1"/>
    <col min="3598" max="3598" width="1.42578125" style="1174" customWidth="1"/>
    <col min="3599" max="3599" width="13.7109375" style="1174" customWidth="1"/>
    <col min="3600" max="3600" width="14.42578125" style="1174" customWidth="1"/>
    <col min="3601" max="3601" width="12.42578125" style="1174" customWidth="1"/>
    <col min="3602" max="3840" width="0" style="1174" hidden="1"/>
    <col min="3841" max="3841" width="13.42578125" style="1174" customWidth="1"/>
    <col min="3842" max="3842" width="16.42578125" style="1174" customWidth="1"/>
    <col min="3843" max="3843" width="16" style="1174" customWidth="1"/>
    <col min="3844" max="3844" width="11.42578125" style="1174" customWidth="1"/>
    <col min="3845" max="3845" width="15" style="1174" customWidth="1"/>
    <col min="3846" max="3846" width="15.28515625" style="1174" customWidth="1"/>
    <col min="3847" max="3848" width="18.7109375" style="1174" customWidth="1"/>
    <col min="3849" max="3849" width="12.85546875" style="1174" customWidth="1"/>
    <col min="3850" max="3850" width="14.7109375" style="1174" customWidth="1"/>
    <col min="3851" max="3851" width="17.42578125" style="1174" bestFit="1" customWidth="1"/>
    <col min="3852" max="3852" width="1.42578125" style="1174" customWidth="1"/>
    <col min="3853" max="3853" width="7.7109375" style="1174" customWidth="1"/>
    <col min="3854" max="3854" width="1.42578125" style="1174" customWidth="1"/>
    <col min="3855" max="3855" width="13.7109375" style="1174" customWidth="1"/>
    <col min="3856" max="3856" width="14.42578125" style="1174" customWidth="1"/>
    <col min="3857" max="3857" width="12.42578125" style="1174" customWidth="1"/>
    <col min="3858" max="4096" width="0" style="1174" hidden="1"/>
    <col min="4097" max="4097" width="13.42578125" style="1174" customWidth="1"/>
    <col min="4098" max="4098" width="16.42578125" style="1174" customWidth="1"/>
    <col min="4099" max="4099" width="16" style="1174" customWidth="1"/>
    <col min="4100" max="4100" width="11.42578125" style="1174" customWidth="1"/>
    <col min="4101" max="4101" width="15" style="1174" customWidth="1"/>
    <col min="4102" max="4102" width="15.28515625" style="1174" customWidth="1"/>
    <col min="4103" max="4104" width="18.7109375" style="1174" customWidth="1"/>
    <col min="4105" max="4105" width="12.85546875" style="1174" customWidth="1"/>
    <col min="4106" max="4106" width="14.7109375" style="1174" customWidth="1"/>
    <col min="4107" max="4107" width="17.42578125" style="1174" bestFit="1" customWidth="1"/>
    <col min="4108" max="4108" width="1.42578125" style="1174" customWidth="1"/>
    <col min="4109" max="4109" width="7.7109375" style="1174" customWidth="1"/>
    <col min="4110" max="4110" width="1.42578125" style="1174" customWidth="1"/>
    <col min="4111" max="4111" width="13.7109375" style="1174" customWidth="1"/>
    <col min="4112" max="4112" width="14.42578125" style="1174" customWidth="1"/>
    <col min="4113" max="4113" width="12.42578125" style="1174" customWidth="1"/>
    <col min="4114" max="4352" width="0" style="1174" hidden="1"/>
    <col min="4353" max="4353" width="13.42578125" style="1174" customWidth="1"/>
    <col min="4354" max="4354" width="16.42578125" style="1174" customWidth="1"/>
    <col min="4355" max="4355" width="16" style="1174" customWidth="1"/>
    <col min="4356" max="4356" width="11.42578125" style="1174" customWidth="1"/>
    <col min="4357" max="4357" width="15" style="1174" customWidth="1"/>
    <col min="4358" max="4358" width="15.28515625" style="1174" customWidth="1"/>
    <col min="4359" max="4360" width="18.7109375" style="1174" customWidth="1"/>
    <col min="4361" max="4361" width="12.85546875" style="1174" customWidth="1"/>
    <col min="4362" max="4362" width="14.7109375" style="1174" customWidth="1"/>
    <col min="4363" max="4363" width="17.42578125" style="1174" bestFit="1" customWidth="1"/>
    <col min="4364" max="4364" width="1.42578125" style="1174" customWidth="1"/>
    <col min="4365" max="4365" width="7.7109375" style="1174" customWidth="1"/>
    <col min="4366" max="4366" width="1.42578125" style="1174" customWidth="1"/>
    <col min="4367" max="4367" width="13.7109375" style="1174" customWidth="1"/>
    <col min="4368" max="4368" width="14.42578125" style="1174" customWidth="1"/>
    <col min="4369" max="4369" width="12.42578125" style="1174" customWidth="1"/>
    <col min="4370" max="4608" width="0" style="1174" hidden="1"/>
    <col min="4609" max="4609" width="13.42578125" style="1174" customWidth="1"/>
    <col min="4610" max="4610" width="16.42578125" style="1174" customWidth="1"/>
    <col min="4611" max="4611" width="16" style="1174" customWidth="1"/>
    <col min="4612" max="4612" width="11.42578125" style="1174" customWidth="1"/>
    <col min="4613" max="4613" width="15" style="1174" customWidth="1"/>
    <col min="4614" max="4614" width="15.28515625" style="1174" customWidth="1"/>
    <col min="4615" max="4616" width="18.7109375" style="1174" customWidth="1"/>
    <col min="4617" max="4617" width="12.85546875" style="1174" customWidth="1"/>
    <col min="4618" max="4618" width="14.7109375" style="1174" customWidth="1"/>
    <col min="4619" max="4619" width="17.42578125" style="1174" bestFit="1" customWidth="1"/>
    <col min="4620" max="4620" width="1.42578125" style="1174" customWidth="1"/>
    <col min="4621" max="4621" width="7.7109375" style="1174" customWidth="1"/>
    <col min="4622" max="4622" width="1.42578125" style="1174" customWidth="1"/>
    <col min="4623" max="4623" width="13.7109375" style="1174" customWidth="1"/>
    <col min="4624" max="4624" width="14.42578125" style="1174" customWidth="1"/>
    <col min="4625" max="4625" width="12.42578125" style="1174" customWidth="1"/>
    <col min="4626" max="4864" width="0" style="1174" hidden="1"/>
    <col min="4865" max="4865" width="13.42578125" style="1174" customWidth="1"/>
    <col min="4866" max="4866" width="16.42578125" style="1174" customWidth="1"/>
    <col min="4867" max="4867" width="16" style="1174" customWidth="1"/>
    <col min="4868" max="4868" width="11.42578125" style="1174" customWidth="1"/>
    <col min="4869" max="4869" width="15" style="1174" customWidth="1"/>
    <col min="4870" max="4870" width="15.28515625" style="1174" customWidth="1"/>
    <col min="4871" max="4872" width="18.7109375" style="1174" customWidth="1"/>
    <col min="4873" max="4873" width="12.85546875" style="1174" customWidth="1"/>
    <col min="4874" max="4874" width="14.7109375" style="1174" customWidth="1"/>
    <col min="4875" max="4875" width="17.42578125" style="1174" bestFit="1" customWidth="1"/>
    <col min="4876" max="4876" width="1.42578125" style="1174" customWidth="1"/>
    <col min="4877" max="4877" width="7.7109375" style="1174" customWidth="1"/>
    <col min="4878" max="4878" width="1.42578125" style="1174" customWidth="1"/>
    <col min="4879" max="4879" width="13.7109375" style="1174" customWidth="1"/>
    <col min="4880" max="4880" width="14.42578125" style="1174" customWidth="1"/>
    <col min="4881" max="4881" width="12.42578125" style="1174" customWidth="1"/>
    <col min="4882" max="5120" width="0" style="1174" hidden="1"/>
    <col min="5121" max="5121" width="13.42578125" style="1174" customWidth="1"/>
    <col min="5122" max="5122" width="16.42578125" style="1174" customWidth="1"/>
    <col min="5123" max="5123" width="16" style="1174" customWidth="1"/>
    <col min="5124" max="5124" width="11.42578125" style="1174" customWidth="1"/>
    <col min="5125" max="5125" width="15" style="1174" customWidth="1"/>
    <col min="5126" max="5126" width="15.28515625" style="1174" customWidth="1"/>
    <col min="5127" max="5128" width="18.7109375" style="1174" customWidth="1"/>
    <col min="5129" max="5129" width="12.85546875" style="1174" customWidth="1"/>
    <col min="5130" max="5130" width="14.7109375" style="1174" customWidth="1"/>
    <col min="5131" max="5131" width="17.42578125" style="1174" bestFit="1" customWidth="1"/>
    <col min="5132" max="5132" width="1.42578125" style="1174" customWidth="1"/>
    <col min="5133" max="5133" width="7.7109375" style="1174" customWidth="1"/>
    <col min="5134" max="5134" width="1.42578125" style="1174" customWidth="1"/>
    <col min="5135" max="5135" width="13.7109375" style="1174" customWidth="1"/>
    <col min="5136" max="5136" width="14.42578125" style="1174" customWidth="1"/>
    <col min="5137" max="5137" width="12.42578125" style="1174" customWidth="1"/>
    <col min="5138" max="5376" width="0" style="1174" hidden="1"/>
    <col min="5377" max="5377" width="13.42578125" style="1174" customWidth="1"/>
    <col min="5378" max="5378" width="16.42578125" style="1174" customWidth="1"/>
    <col min="5379" max="5379" width="16" style="1174" customWidth="1"/>
    <col min="5380" max="5380" width="11.42578125" style="1174" customWidth="1"/>
    <col min="5381" max="5381" width="15" style="1174" customWidth="1"/>
    <col min="5382" max="5382" width="15.28515625" style="1174" customWidth="1"/>
    <col min="5383" max="5384" width="18.7109375" style="1174" customWidth="1"/>
    <col min="5385" max="5385" width="12.85546875" style="1174" customWidth="1"/>
    <col min="5386" max="5386" width="14.7109375" style="1174" customWidth="1"/>
    <col min="5387" max="5387" width="17.42578125" style="1174" bestFit="1" customWidth="1"/>
    <col min="5388" max="5388" width="1.42578125" style="1174" customWidth="1"/>
    <col min="5389" max="5389" width="7.7109375" style="1174" customWidth="1"/>
    <col min="5390" max="5390" width="1.42578125" style="1174" customWidth="1"/>
    <col min="5391" max="5391" width="13.7109375" style="1174" customWidth="1"/>
    <col min="5392" max="5392" width="14.42578125" style="1174" customWidth="1"/>
    <col min="5393" max="5393" width="12.42578125" style="1174" customWidth="1"/>
    <col min="5394" max="5632" width="0" style="1174" hidden="1"/>
    <col min="5633" max="5633" width="13.42578125" style="1174" customWidth="1"/>
    <col min="5634" max="5634" width="16.42578125" style="1174" customWidth="1"/>
    <col min="5635" max="5635" width="16" style="1174" customWidth="1"/>
    <col min="5636" max="5636" width="11.42578125" style="1174" customWidth="1"/>
    <col min="5637" max="5637" width="15" style="1174" customWidth="1"/>
    <col min="5638" max="5638" width="15.28515625" style="1174" customWidth="1"/>
    <col min="5639" max="5640" width="18.7109375" style="1174" customWidth="1"/>
    <col min="5641" max="5641" width="12.85546875" style="1174" customWidth="1"/>
    <col min="5642" max="5642" width="14.7109375" style="1174" customWidth="1"/>
    <col min="5643" max="5643" width="17.42578125" style="1174" bestFit="1" customWidth="1"/>
    <col min="5644" max="5644" width="1.42578125" style="1174" customWidth="1"/>
    <col min="5645" max="5645" width="7.7109375" style="1174" customWidth="1"/>
    <col min="5646" max="5646" width="1.42578125" style="1174" customWidth="1"/>
    <col min="5647" max="5647" width="13.7109375" style="1174" customWidth="1"/>
    <col min="5648" max="5648" width="14.42578125" style="1174" customWidth="1"/>
    <col min="5649" max="5649" width="12.42578125" style="1174" customWidth="1"/>
    <col min="5650" max="5888" width="0" style="1174" hidden="1"/>
    <col min="5889" max="5889" width="13.42578125" style="1174" customWidth="1"/>
    <col min="5890" max="5890" width="16.42578125" style="1174" customWidth="1"/>
    <col min="5891" max="5891" width="16" style="1174" customWidth="1"/>
    <col min="5892" max="5892" width="11.42578125" style="1174" customWidth="1"/>
    <col min="5893" max="5893" width="15" style="1174" customWidth="1"/>
    <col min="5894" max="5894" width="15.28515625" style="1174" customWidth="1"/>
    <col min="5895" max="5896" width="18.7109375" style="1174" customWidth="1"/>
    <col min="5897" max="5897" width="12.85546875" style="1174" customWidth="1"/>
    <col min="5898" max="5898" width="14.7109375" style="1174" customWidth="1"/>
    <col min="5899" max="5899" width="17.42578125" style="1174" bestFit="1" customWidth="1"/>
    <col min="5900" max="5900" width="1.42578125" style="1174" customWidth="1"/>
    <col min="5901" max="5901" width="7.7109375" style="1174" customWidth="1"/>
    <col min="5902" max="5902" width="1.42578125" style="1174" customWidth="1"/>
    <col min="5903" max="5903" width="13.7109375" style="1174" customWidth="1"/>
    <col min="5904" max="5904" width="14.42578125" style="1174" customWidth="1"/>
    <col min="5905" max="5905" width="12.42578125" style="1174" customWidth="1"/>
    <col min="5906" max="6144" width="0" style="1174" hidden="1"/>
    <col min="6145" max="6145" width="13.42578125" style="1174" customWidth="1"/>
    <col min="6146" max="6146" width="16.42578125" style="1174" customWidth="1"/>
    <col min="6147" max="6147" width="16" style="1174" customWidth="1"/>
    <col min="6148" max="6148" width="11.42578125" style="1174" customWidth="1"/>
    <col min="6149" max="6149" width="15" style="1174" customWidth="1"/>
    <col min="6150" max="6150" width="15.28515625" style="1174" customWidth="1"/>
    <col min="6151" max="6152" width="18.7109375" style="1174" customWidth="1"/>
    <col min="6153" max="6153" width="12.85546875" style="1174" customWidth="1"/>
    <col min="6154" max="6154" width="14.7109375" style="1174" customWidth="1"/>
    <col min="6155" max="6155" width="17.42578125" style="1174" bestFit="1" customWidth="1"/>
    <col min="6156" max="6156" width="1.42578125" style="1174" customWidth="1"/>
    <col min="6157" max="6157" width="7.7109375" style="1174" customWidth="1"/>
    <col min="6158" max="6158" width="1.42578125" style="1174" customWidth="1"/>
    <col min="6159" max="6159" width="13.7109375" style="1174" customWidth="1"/>
    <col min="6160" max="6160" width="14.42578125" style="1174" customWidth="1"/>
    <col min="6161" max="6161" width="12.42578125" style="1174" customWidth="1"/>
    <col min="6162" max="6400" width="0" style="1174" hidden="1"/>
    <col min="6401" max="6401" width="13.42578125" style="1174" customWidth="1"/>
    <col min="6402" max="6402" width="16.42578125" style="1174" customWidth="1"/>
    <col min="6403" max="6403" width="16" style="1174" customWidth="1"/>
    <col min="6404" max="6404" width="11.42578125" style="1174" customWidth="1"/>
    <col min="6405" max="6405" width="15" style="1174" customWidth="1"/>
    <col min="6406" max="6406" width="15.28515625" style="1174" customWidth="1"/>
    <col min="6407" max="6408" width="18.7109375" style="1174" customWidth="1"/>
    <col min="6409" max="6409" width="12.85546875" style="1174" customWidth="1"/>
    <col min="6410" max="6410" width="14.7109375" style="1174" customWidth="1"/>
    <col min="6411" max="6411" width="17.42578125" style="1174" bestFit="1" customWidth="1"/>
    <col min="6412" max="6412" width="1.42578125" style="1174" customWidth="1"/>
    <col min="6413" max="6413" width="7.7109375" style="1174" customWidth="1"/>
    <col min="6414" max="6414" width="1.42578125" style="1174" customWidth="1"/>
    <col min="6415" max="6415" width="13.7109375" style="1174" customWidth="1"/>
    <col min="6416" max="6416" width="14.42578125" style="1174" customWidth="1"/>
    <col min="6417" max="6417" width="12.42578125" style="1174" customWidth="1"/>
    <col min="6418" max="6656" width="0" style="1174" hidden="1"/>
    <col min="6657" max="6657" width="13.42578125" style="1174" customWidth="1"/>
    <col min="6658" max="6658" width="16.42578125" style="1174" customWidth="1"/>
    <col min="6659" max="6659" width="16" style="1174" customWidth="1"/>
    <col min="6660" max="6660" width="11.42578125" style="1174" customWidth="1"/>
    <col min="6661" max="6661" width="15" style="1174" customWidth="1"/>
    <col min="6662" max="6662" width="15.28515625" style="1174" customWidth="1"/>
    <col min="6663" max="6664" width="18.7109375" style="1174" customWidth="1"/>
    <col min="6665" max="6665" width="12.85546875" style="1174" customWidth="1"/>
    <col min="6666" max="6666" width="14.7109375" style="1174" customWidth="1"/>
    <col min="6667" max="6667" width="17.42578125" style="1174" bestFit="1" customWidth="1"/>
    <col min="6668" max="6668" width="1.42578125" style="1174" customWidth="1"/>
    <col min="6669" max="6669" width="7.7109375" style="1174" customWidth="1"/>
    <col min="6670" max="6670" width="1.42578125" style="1174" customWidth="1"/>
    <col min="6671" max="6671" width="13.7109375" style="1174" customWidth="1"/>
    <col min="6672" max="6672" width="14.42578125" style="1174" customWidth="1"/>
    <col min="6673" max="6673" width="12.42578125" style="1174" customWidth="1"/>
    <col min="6674" max="6912" width="0" style="1174" hidden="1"/>
    <col min="6913" max="6913" width="13.42578125" style="1174" customWidth="1"/>
    <col min="6914" max="6914" width="16.42578125" style="1174" customWidth="1"/>
    <col min="6915" max="6915" width="16" style="1174" customWidth="1"/>
    <col min="6916" max="6916" width="11.42578125" style="1174" customWidth="1"/>
    <col min="6917" max="6917" width="15" style="1174" customWidth="1"/>
    <col min="6918" max="6918" width="15.28515625" style="1174" customWidth="1"/>
    <col min="6919" max="6920" width="18.7109375" style="1174" customWidth="1"/>
    <col min="6921" max="6921" width="12.85546875" style="1174" customWidth="1"/>
    <col min="6922" max="6922" width="14.7109375" style="1174" customWidth="1"/>
    <col min="6923" max="6923" width="17.42578125" style="1174" bestFit="1" customWidth="1"/>
    <col min="6924" max="6924" width="1.42578125" style="1174" customWidth="1"/>
    <col min="6925" max="6925" width="7.7109375" style="1174" customWidth="1"/>
    <col min="6926" max="6926" width="1.42578125" style="1174" customWidth="1"/>
    <col min="6927" max="6927" width="13.7109375" style="1174" customWidth="1"/>
    <col min="6928" max="6928" width="14.42578125" style="1174" customWidth="1"/>
    <col min="6929" max="6929" width="12.42578125" style="1174" customWidth="1"/>
    <col min="6930" max="7168" width="0" style="1174" hidden="1"/>
    <col min="7169" max="7169" width="13.42578125" style="1174" customWidth="1"/>
    <col min="7170" max="7170" width="16.42578125" style="1174" customWidth="1"/>
    <col min="7171" max="7171" width="16" style="1174" customWidth="1"/>
    <col min="7172" max="7172" width="11.42578125" style="1174" customWidth="1"/>
    <col min="7173" max="7173" width="15" style="1174" customWidth="1"/>
    <col min="7174" max="7174" width="15.28515625" style="1174" customWidth="1"/>
    <col min="7175" max="7176" width="18.7109375" style="1174" customWidth="1"/>
    <col min="7177" max="7177" width="12.85546875" style="1174" customWidth="1"/>
    <col min="7178" max="7178" width="14.7109375" style="1174" customWidth="1"/>
    <col min="7179" max="7179" width="17.42578125" style="1174" bestFit="1" customWidth="1"/>
    <col min="7180" max="7180" width="1.42578125" style="1174" customWidth="1"/>
    <col min="7181" max="7181" width="7.7109375" style="1174" customWidth="1"/>
    <col min="7182" max="7182" width="1.42578125" style="1174" customWidth="1"/>
    <col min="7183" max="7183" width="13.7109375" style="1174" customWidth="1"/>
    <col min="7184" max="7184" width="14.42578125" style="1174" customWidth="1"/>
    <col min="7185" max="7185" width="12.42578125" style="1174" customWidth="1"/>
    <col min="7186" max="7424" width="0" style="1174" hidden="1"/>
    <col min="7425" max="7425" width="13.42578125" style="1174" customWidth="1"/>
    <col min="7426" max="7426" width="16.42578125" style="1174" customWidth="1"/>
    <col min="7427" max="7427" width="16" style="1174" customWidth="1"/>
    <col min="7428" max="7428" width="11.42578125" style="1174" customWidth="1"/>
    <col min="7429" max="7429" width="15" style="1174" customWidth="1"/>
    <col min="7430" max="7430" width="15.28515625" style="1174" customWidth="1"/>
    <col min="7431" max="7432" width="18.7109375" style="1174" customWidth="1"/>
    <col min="7433" max="7433" width="12.85546875" style="1174" customWidth="1"/>
    <col min="7434" max="7434" width="14.7109375" style="1174" customWidth="1"/>
    <col min="7435" max="7435" width="17.42578125" style="1174" bestFit="1" customWidth="1"/>
    <col min="7436" max="7436" width="1.42578125" style="1174" customWidth="1"/>
    <col min="7437" max="7437" width="7.7109375" style="1174" customWidth="1"/>
    <col min="7438" max="7438" width="1.42578125" style="1174" customWidth="1"/>
    <col min="7439" max="7439" width="13.7109375" style="1174" customWidth="1"/>
    <col min="7440" max="7440" width="14.42578125" style="1174" customWidth="1"/>
    <col min="7441" max="7441" width="12.42578125" style="1174" customWidth="1"/>
    <col min="7442" max="7680" width="0" style="1174" hidden="1"/>
    <col min="7681" max="7681" width="13.42578125" style="1174" customWidth="1"/>
    <col min="7682" max="7682" width="16.42578125" style="1174" customWidth="1"/>
    <col min="7683" max="7683" width="16" style="1174" customWidth="1"/>
    <col min="7684" max="7684" width="11.42578125" style="1174" customWidth="1"/>
    <col min="7685" max="7685" width="15" style="1174" customWidth="1"/>
    <col min="7686" max="7686" width="15.28515625" style="1174" customWidth="1"/>
    <col min="7687" max="7688" width="18.7109375" style="1174" customWidth="1"/>
    <col min="7689" max="7689" width="12.85546875" style="1174" customWidth="1"/>
    <col min="7690" max="7690" width="14.7109375" style="1174" customWidth="1"/>
    <col min="7691" max="7691" width="17.42578125" style="1174" bestFit="1" customWidth="1"/>
    <col min="7692" max="7692" width="1.42578125" style="1174" customWidth="1"/>
    <col min="7693" max="7693" width="7.7109375" style="1174" customWidth="1"/>
    <col min="7694" max="7694" width="1.42578125" style="1174" customWidth="1"/>
    <col min="7695" max="7695" width="13.7109375" style="1174" customWidth="1"/>
    <col min="7696" max="7696" width="14.42578125" style="1174" customWidth="1"/>
    <col min="7697" max="7697" width="12.42578125" style="1174" customWidth="1"/>
    <col min="7698" max="7936" width="0" style="1174" hidden="1"/>
    <col min="7937" max="7937" width="13.42578125" style="1174" customWidth="1"/>
    <col min="7938" max="7938" width="16.42578125" style="1174" customWidth="1"/>
    <col min="7939" max="7939" width="16" style="1174" customWidth="1"/>
    <col min="7940" max="7940" width="11.42578125" style="1174" customWidth="1"/>
    <col min="7941" max="7941" width="15" style="1174" customWidth="1"/>
    <col min="7942" max="7942" width="15.28515625" style="1174" customWidth="1"/>
    <col min="7943" max="7944" width="18.7109375" style="1174" customWidth="1"/>
    <col min="7945" max="7945" width="12.85546875" style="1174" customWidth="1"/>
    <col min="7946" max="7946" width="14.7109375" style="1174" customWidth="1"/>
    <col min="7947" max="7947" width="17.42578125" style="1174" bestFit="1" customWidth="1"/>
    <col min="7948" max="7948" width="1.42578125" style="1174" customWidth="1"/>
    <col min="7949" max="7949" width="7.7109375" style="1174" customWidth="1"/>
    <col min="7950" max="7950" width="1.42578125" style="1174" customWidth="1"/>
    <col min="7951" max="7951" width="13.7109375" style="1174" customWidth="1"/>
    <col min="7952" max="7952" width="14.42578125" style="1174" customWidth="1"/>
    <col min="7953" max="7953" width="12.42578125" style="1174" customWidth="1"/>
    <col min="7954" max="8192" width="0" style="1174" hidden="1"/>
    <col min="8193" max="8193" width="13.42578125" style="1174" customWidth="1"/>
    <col min="8194" max="8194" width="16.42578125" style="1174" customWidth="1"/>
    <col min="8195" max="8195" width="16" style="1174" customWidth="1"/>
    <col min="8196" max="8196" width="11.42578125" style="1174" customWidth="1"/>
    <col min="8197" max="8197" width="15" style="1174" customWidth="1"/>
    <col min="8198" max="8198" width="15.28515625" style="1174" customWidth="1"/>
    <col min="8199" max="8200" width="18.7109375" style="1174" customWidth="1"/>
    <col min="8201" max="8201" width="12.85546875" style="1174" customWidth="1"/>
    <col min="8202" max="8202" width="14.7109375" style="1174" customWidth="1"/>
    <col min="8203" max="8203" width="17.42578125" style="1174" bestFit="1" customWidth="1"/>
    <col min="8204" max="8204" width="1.42578125" style="1174" customWidth="1"/>
    <col min="8205" max="8205" width="7.7109375" style="1174" customWidth="1"/>
    <col min="8206" max="8206" width="1.42578125" style="1174" customWidth="1"/>
    <col min="8207" max="8207" width="13.7109375" style="1174" customWidth="1"/>
    <col min="8208" max="8208" width="14.42578125" style="1174" customWidth="1"/>
    <col min="8209" max="8209" width="12.42578125" style="1174" customWidth="1"/>
    <col min="8210" max="8448" width="0" style="1174" hidden="1"/>
    <col min="8449" max="8449" width="13.42578125" style="1174" customWidth="1"/>
    <col min="8450" max="8450" width="16.42578125" style="1174" customWidth="1"/>
    <col min="8451" max="8451" width="16" style="1174" customWidth="1"/>
    <col min="8452" max="8452" width="11.42578125" style="1174" customWidth="1"/>
    <col min="8453" max="8453" width="15" style="1174" customWidth="1"/>
    <col min="8454" max="8454" width="15.28515625" style="1174" customWidth="1"/>
    <col min="8455" max="8456" width="18.7109375" style="1174" customWidth="1"/>
    <col min="8457" max="8457" width="12.85546875" style="1174" customWidth="1"/>
    <col min="8458" max="8458" width="14.7109375" style="1174" customWidth="1"/>
    <col min="8459" max="8459" width="17.42578125" style="1174" bestFit="1" customWidth="1"/>
    <col min="8460" max="8460" width="1.42578125" style="1174" customWidth="1"/>
    <col min="8461" max="8461" width="7.7109375" style="1174" customWidth="1"/>
    <col min="8462" max="8462" width="1.42578125" style="1174" customWidth="1"/>
    <col min="8463" max="8463" width="13.7109375" style="1174" customWidth="1"/>
    <col min="8464" max="8464" width="14.42578125" style="1174" customWidth="1"/>
    <col min="8465" max="8465" width="12.42578125" style="1174" customWidth="1"/>
    <col min="8466" max="8704" width="0" style="1174" hidden="1"/>
    <col min="8705" max="8705" width="13.42578125" style="1174" customWidth="1"/>
    <col min="8706" max="8706" width="16.42578125" style="1174" customWidth="1"/>
    <col min="8707" max="8707" width="16" style="1174" customWidth="1"/>
    <col min="8708" max="8708" width="11.42578125" style="1174" customWidth="1"/>
    <col min="8709" max="8709" width="15" style="1174" customWidth="1"/>
    <col min="8710" max="8710" width="15.28515625" style="1174" customWidth="1"/>
    <col min="8711" max="8712" width="18.7109375" style="1174" customWidth="1"/>
    <col min="8713" max="8713" width="12.85546875" style="1174" customWidth="1"/>
    <col min="8714" max="8714" width="14.7109375" style="1174" customWidth="1"/>
    <col min="8715" max="8715" width="17.42578125" style="1174" bestFit="1" customWidth="1"/>
    <col min="8716" max="8716" width="1.42578125" style="1174" customWidth="1"/>
    <col min="8717" max="8717" width="7.7109375" style="1174" customWidth="1"/>
    <col min="8718" max="8718" width="1.42578125" style="1174" customWidth="1"/>
    <col min="8719" max="8719" width="13.7109375" style="1174" customWidth="1"/>
    <col min="8720" max="8720" width="14.42578125" style="1174" customWidth="1"/>
    <col min="8721" max="8721" width="12.42578125" style="1174" customWidth="1"/>
    <col min="8722" max="8960" width="0" style="1174" hidden="1"/>
    <col min="8961" max="8961" width="13.42578125" style="1174" customWidth="1"/>
    <col min="8962" max="8962" width="16.42578125" style="1174" customWidth="1"/>
    <col min="8963" max="8963" width="16" style="1174" customWidth="1"/>
    <col min="8964" max="8964" width="11.42578125" style="1174" customWidth="1"/>
    <col min="8965" max="8965" width="15" style="1174" customWidth="1"/>
    <col min="8966" max="8966" width="15.28515625" style="1174" customWidth="1"/>
    <col min="8967" max="8968" width="18.7109375" style="1174" customWidth="1"/>
    <col min="8969" max="8969" width="12.85546875" style="1174" customWidth="1"/>
    <col min="8970" max="8970" width="14.7109375" style="1174" customWidth="1"/>
    <col min="8971" max="8971" width="17.42578125" style="1174" bestFit="1" customWidth="1"/>
    <col min="8972" max="8972" width="1.42578125" style="1174" customWidth="1"/>
    <col min="8973" max="8973" width="7.7109375" style="1174" customWidth="1"/>
    <col min="8974" max="8974" width="1.42578125" style="1174" customWidth="1"/>
    <col min="8975" max="8975" width="13.7109375" style="1174" customWidth="1"/>
    <col min="8976" max="8976" width="14.42578125" style="1174" customWidth="1"/>
    <col min="8977" max="8977" width="12.42578125" style="1174" customWidth="1"/>
    <col min="8978" max="9216" width="0" style="1174" hidden="1"/>
    <col min="9217" max="9217" width="13.42578125" style="1174" customWidth="1"/>
    <col min="9218" max="9218" width="16.42578125" style="1174" customWidth="1"/>
    <col min="9219" max="9219" width="16" style="1174" customWidth="1"/>
    <col min="9220" max="9220" width="11.42578125" style="1174" customWidth="1"/>
    <col min="9221" max="9221" width="15" style="1174" customWidth="1"/>
    <col min="9222" max="9222" width="15.28515625" style="1174" customWidth="1"/>
    <col min="9223" max="9224" width="18.7109375" style="1174" customWidth="1"/>
    <col min="9225" max="9225" width="12.85546875" style="1174" customWidth="1"/>
    <col min="9226" max="9226" width="14.7109375" style="1174" customWidth="1"/>
    <col min="9227" max="9227" width="17.42578125" style="1174" bestFit="1" customWidth="1"/>
    <col min="9228" max="9228" width="1.42578125" style="1174" customWidth="1"/>
    <col min="9229" max="9229" width="7.7109375" style="1174" customWidth="1"/>
    <col min="9230" max="9230" width="1.42578125" style="1174" customWidth="1"/>
    <col min="9231" max="9231" width="13.7109375" style="1174" customWidth="1"/>
    <col min="9232" max="9232" width="14.42578125" style="1174" customWidth="1"/>
    <col min="9233" max="9233" width="12.42578125" style="1174" customWidth="1"/>
    <col min="9234" max="9472" width="0" style="1174" hidden="1"/>
    <col min="9473" max="9473" width="13.42578125" style="1174" customWidth="1"/>
    <col min="9474" max="9474" width="16.42578125" style="1174" customWidth="1"/>
    <col min="9475" max="9475" width="16" style="1174" customWidth="1"/>
    <col min="9476" max="9476" width="11.42578125" style="1174" customWidth="1"/>
    <col min="9477" max="9477" width="15" style="1174" customWidth="1"/>
    <col min="9478" max="9478" width="15.28515625" style="1174" customWidth="1"/>
    <col min="9479" max="9480" width="18.7109375" style="1174" customWidth="1"/>
    <col min="9481" max="9481" width="12.85546875" style="1174" customWidth="1"/>
    <col min="9482" max="9482" width="14.7109375" style="1174" customWidth="1"/>
    <col min="9483" max="9483" width="17.42578125" style="1174" bestFit="1" customWidth="1"/>
    <col min="9484" max="9484" width="1.42578125" style="1174" customWidth="1"/>
    <col min="9485" max="9485" width="7.7109375" style="1174" customWidth="1"/>
    <col min="9486" max="9486" width="1.42578125" style="1174" customWidth="1"/>
    <col min="9487" max="9487" width="13.7109375" style="1174" customWidth="1"/>
    <col min="9488" max="9488" width="14.42578125" style="1174" customWidth="1"/>
    <col min="9489" max="9489" width="12.42578125" style="1174" customWidth="1"/>
    <col min="9490" max="9728" width="0" style="1174" hidden="1"/>
    <col min="9729" max="9729" width="13.42578125" style="1174" customWidth="1"/>
    <col min="9730" max="9730" width="16.42578125" style="1174" customWidth="1"/>
    <col min="9731" max="9731" width="16" style="1174" customWidth="1"/>
    <col min="9732" max="9732" width="11.42578125" style="1174" customWidth="1"/>
    <col min="9733" max="9733" width="15" style="1174" customWidth="1"/>
    <col min="9734" max="9734" width="15.28515625" style="1174" customWidth="1"/>
    <col min="9735" max="9736" width="18.7109375" style="1174" customWidth="1"/>
    <col min="9737" max="9737" width="12.85546875" style="1174" customWidth="1"/>
    <col min="9738" max="9738" width="14.7109375" style="1174" customWidth="1"/>
    <col min="9739" max="9739" width="17.42578125" style="1174" bestFit="1" customWidth="1"/>
    <col min="9740" max="9740" width="1.42578125" style="1174" customWidth="1"/>
    <col min="9741" max="9741" width="7.7109375" style="1174" customWidth="1"/>
    <col min="9742" max="9742" width="1.42578125" style="1174" customWidth="1"/>
    <col min="9743" max="9743" width="13.7109375" style="1174" customWidth="1"/>
    <col min="9744" max="9744" width="14.42578125" style="1174" customWidth="1"/>
    <col min="9745" max="9745" width="12.42578125" style="1174" customWidth="1"/>
    <col min="9746" max="9984" width="0" style="1174" hidden="1"/>
    <col min="9985" max="9985" width="13.42578125" style="1174" customWidth="1"/>
    <col min="9986" max="9986" width="16.42578125" style="1174" customWidth="1"/>
    <col min="9987" max="9987" width="16" style="1174" customWidth="1"/>
    <col min="9988" max="9988" width="11.42578125" style="1174" customWidth="1"/>
    <col min="9989" max="9989" width="15" style="1174" customWidth="1"/>
    <col min="9990" max="9990" width="15.28515625" style="1174" customWidth="1"/>
    <col min="9991" max="9992" width="18.7109375" style="1174" customWidth="1"/>
    <col min="9993" max="9993" width="12.85546875" style="1174" customWidth="1"/>
    <col min="9994" max="9994" width="14.7109375" style="1174" customWidth="1"/>
    <col min="9995" max="9995" width="17.42578125" style="1174" bestFit="1" customWidth="1"/>
    <col min="9996" max="9996" width="1.42578125" style="1174" customWidth="1"/>
    <col min="9997" max="9997" width="7.7109375" style="1174" customWidth="1"/>
    <col min="9998" max="9998" width="1.42578125" style="1174" customWidth="1"/>
    <col min="9999" max="9999" width="13.7109375" style="1174" customWidth="1"/>
    <col min="10000" max="10000" width="14.42578125" style="1174" customWidth="1"/>
    <col min="10001" max="10001" width="12.42578125" style="1174" customWidth="1"/>
    <col min="10002" max="10240" width="0" style="1174" hidden="1"/>
    <col min="10241" max="10241" width="13.42578125" style="1174" customWidth="1"/>
    <col min="10242" max="10242" width="16.42578125" style="1174" customWidth="1"/>
    <col min="10243" max="10243" width="16" style="1174" customWidth="1"/>
    <col min="10244" max="10244" width="11.42578125" style="1174" customWidth="1"/>
    <col min="10245" max="10245" width="15" style="1174" customWidth="1"/>
    <col min="10246" max="10246" width="15.28515625" style="1174" customWidth="1"/>
    <col min="10247" max="10248" width="18.7109375" style="1174" customWidth="1"/>
    <col min="10249" max="10249" width="12.85546875" style="1174" customWidth="1"/>
    <col min="10250" max="10250" width="14.7109375" style="1174" customWidth="1"/>
    <col min="10251" max="10251" width="17.42578125" style="1174" bestFit="1" customWidth="1"/>
    <col min="10252" max="10252" width="1.42578125" style="1174" customWidth="1"/>
    <col min="10253" max="10253" width="7.7109375" style="1174" customWidth="1"/>
    <col min="10254" max="10254" width="1.42578125" style="1174" customWidth="1"/>
    <col min="10255" max="10255" width="13.7109375" style="1174" customWidth="1"/>
    <col min="10256" max="10256" width="14.42578125" style="1174" customWidth="1"/>
    <col min="10257" max="10257" width="12.42578125" style="1174" customWidth="1"/>
    <col min="10258" max="10496" width="0" style="1174" hidden="1"/>
    <col min="10497" max="10497" width="13.42578125" style="1174" customWidth="1"/>
    <col min="10498" max="10498" width="16.42578125" style="1174" customWidth="1"/>
    <col min="10499" max="10499" width="16" style="1174" customWidth="1"/>
    <col min="10500" max="10500" width="11.42578125" style="1174" customWidth="1"/>
    <col min="10501" max="10501" width="15" style="1174" customWidth="1"/>
    <col min="10502" max="10502" width="15.28515625" style="1174" customWidth="1"/>
    <col min="10503" max="10504" width="18.7109375" style="1174" customWidth="1"/>
    <col min="10505" max="10505" width="12.85546875" style="1174" customWidth="1"/>
    <col min="10506" max="10506" width="14.7109375" style="1174" customWidth="1"/>
    <col min="10507" max="10507" width="17.42578125" style="1174" bestFit="1" customWidth="1"/>
    <col min="10508" max="10508" width="1.42578125" style="1174" customWidth="1"/>
    <col min="10509" max="10509" width="7.7109375" style="1174" customWidth="1"/>
    <col min="10510" max="10510" width="1.42578125" style="1174" customWidth="1"/>
    <col min="10511" max="10511" width="13.7109375" style="1174" customWidth="1"/>
    <col min="10512" max="10512" width="14.42578125" style="1174" customWidth="1"/>
    <col min="10513" max="10513" width="12.42578125" style="1174" customWidth="1"/>
    <col min="10514" max="10752" width="0" style="1174" hidden="1"/>
    <col min="10753" max="10753" width="13.42578125" style="1174" customWidth="1"/>
    <col min="10754" max="10754" width="16.42578125" style="1174" customWidth="1"/>
    <col min="10755" max="10755" width="16" style="1174" customWidth="1"/>
    <col min="10756" max="10756" width="11.42578125" style="1174" customWidth="1"/>
    <col min="10757" max="10757" width="15" style="1174" customWidth="1"/>
    <col min="10758" max="10758" width="15.28515625" style="1174" customWidth="1"/>
    <col min="10759" max="10760" width="18.7109375" style="1174" customWidth="1"/>
    <col min="10761" max="10761" width="12.85546875" style="1174" customWidth="1"/>
    <col min="10762" max="10762" width="14.7109375" style="1174" customWidth="1"/>
    <col min="10763" max="10763" width="17.42578125" style="1174" bestFit="1" customWidth="1"/>
    <col min="10764" max="10764" width="1.42578125" style="1174" customWidth="1"/>
    <col min="10765" max="10765" width="7.7109375" style="1174" customWidth="1"/>
    <col min="10766" max="10766" width="1.42578125" style="1174" customWidth="1"/>
    <col min="10767" max="10767" width="13.7109375" style="1174" customWidth="1"/>
    <col min="10768" max="10768" width="14.42578125" style="1174" customWidth="1"/>
    <col min="10769" max="10769" width="12.42578125" style="1174" customWidth="1"/>
    <col min="10770" max="11008" width="0" style="1174" hidden="1"/>
    <col min="11009" max="11009" width="13.42578125" style="1174" customWidth="1"/>
    <col min="11010" max="11010" width="16.42578125" style="1174" customWidth="1"/>
    <col min="11011" max="11011" width="16" style="1174" customWidth="1"/>
    <col min="11012" max="11012" width="11.42578125" style="1174" customWidth="1"/>
    <col min="11013" max="11013" width="15" style="1174" customWidth="1"/>
    <col min="11014" max="11014" width="15.28515625" style="1174" customWidth="1"/>
    <col min="11015" max="11016" width="18.7109375" style="1174" customWidth="1"/>
    <col min="11017" max="11017" width="12.85546875" style="1174" customWidth="1"/>
    <col min="11018" max="11018" width="14.7109375" style="1174" customWidth="1"/>
    <col min="11019" max="11019" width="17.42578125" style="1174" bestFit="1" customWidth="1"/>
    <col min="11020" max="11020" width="1.42578125" style="1174" customWidth="1"/>
    <col min="11021" max="11021" width="7.7109375" style="1174" customWidth="1"/>
    <col min="11022" max="11022" width="1.42578125" style="1174" customWidth="1"/>
    <col min="11023" max="11023" width="13.7109375" style="1174" customWidth="1"/>
    <col min="11024" max="11024" width="14.42578125" style="1174" customWidth="1"/>
    <col min="11025" max="11025" width="12.42578125" style="1174" customWidth="1"/>
    <col min="11026" max="11264" width="0" style="1174" hidden="1"/>
    <col min="11265" max="11265" width="13.42578125" style="1174" customWidth="1"/>
    <col min="11266" max="11266" width="16.42578125" style="1174" customWidth="1"/>
    <col min="11267" max="11267" width="16" style="1174" customWidth="1"/>
    <col min="11268" max="11268" width="11.42578125" style="1174" customWidth="1"/>
    <col min="11269" max="11269" width="15" style="1174" customWidth="1"/>
    <col min="11270" max="11270" width="15.28515625" style="1174" customWidth="1"/>
    <col min="11271" max="11272" width="18.7109375" style="1174" customWidth="1"/>
    <col min="11273" max="11273" width="12.85546875" style="1174" customWidth="1"/>
    <col min="11274" max="11274" width="14.7109375" style="1174" customWidth="1"/>
    <col min="11275" max="11275" width="17.42578125" style="1174" bestFit="1" customWidth="1"/>
    <col min="11276" max="11276" width="1.42578125" style="1174" customWidth="1"/>
    <col min="11277" max="11277" width="7.7109375" style="1174" customWidth="1"/>
    <col min="11278" max="11278" width="1.42578125" style="1174" customWidth="1"/>
    <col min="11279" max="11279" width="13.7109375" style="1174" customWidth="1"/>
    <col min="11280" max="11280" width="14.42578125" style="1174" customWidth="1"/>
    <col min="11281" max="11281" width="12.42578125" style="1174" customWidth="1"/>
    <col min="11282" max="11520" width="0" style="1174" hidden="1"/>
    <col min="11521" max="11521" width="13.42578125" style="1174" customWidth="1"/>
    <col min="11522" max="11522" width="16.42578125" style="1174" customWidth="1"/>
    <col min="11523" max="11523" width="16" style="1174" customWidth="1"/>
    <col min="11524" max="11524" width="11.42578125" style="1174" customWidth="1"/>
    <col min="11525" max="11525" width="15" style="1174" customWidth="1"/>
    <col min="11526" max="11526" width="15.28515625" style="1174" customWidth="1"/>
    <col min="11527" max="11528" width="18.7109375" style="1174" customWidth="1"/>
    <col min="11529" max="11529" width="12.85546875" style="1174" customWidth="1"/>
    <col min="11530" max="11530" width="14.7109375" style="1174" customWidth="1"/>
    <col min="11531" max="11531" width="17.42578125" style="1174" bestFit="1" customWidth="1"/>
    <col min="11532" max="11532" width="1.42578125" style="1174" customWidth="1"/>
    <col min="11533" max="11533" width="7.7109375" style="1174" customWidth="1"/>
    <col min="11534" max="11534" width="1.42578125" style="1174" customWidth="1"/>
    <col min="11535" max="11535" width="13.7109375" style="1174" customWidth="1"/>
    <col min="11536" max="11536" width="14.42578125" style="1174" customWidth="1"/>
    <col min="11537" max="11537" width="12.42578125" style="1174" customWidth="1"/>
    <col min="11538" max="11776" width="0" style="1174" hidden="1"/>
    <col min="11777" max="11777" width="13.42578125" style="1174" customWidth="1"/>
    <col min="11778" max="11778" width="16.42578125" style="1174" customWidth="1"/>
    <col min="11779" max="11779" width="16" style="1174" customWidth="1"/>
    <col min="11780" max="11780" width="11.42578125" style="1174" customWidth="1"/>
    <col min="11781" max="11781" width="15" style="1174" customWidth="1"/>
    <col min="11782" max="11782" width="15.28515625" style="1174" customWidth="1"/>
    <col min="11783" max="11784" width="18.7109375" style="1174" customWidth="1"/>
    <col min="11785" max="11785" width="12.85546875" style="1174" customWidth="1"/>
    <col min="11786" max="11786" width="14.7109375" style="1174" customWidth="1"/>
    <col min="11787" max="11787" width="17.42578125" style="1174" bestFit="1" customWidth="1"/>
    <col min="11788" max="11788" width="1.42578125" style="1174" customWidth="1"/>
    <col min="11789" max="11789" width="7.7109375" style="1174" customWidth="1"/>
    <col min="11790" max="11790" width="1.42578125" style="1174" customWidth="1"/>
    <col min="11791" max="11791" width="13.7109375" style="1174" customWidth="1"/>
    <col min="11792" max="11792" width="14.42578125" style="1174" customWidth="1"/>
    <col min="11793" max="11793" width="12.42578125" style="1174" customWidth="1"/>
    <col min="11794" max="12032" width="0" style="1174" hidden="1"/>
    <col min="12033" max="12033" width="13.42578125" style="1174" customWidth="1"/>
    <col min="12034" max="12034" width="16.42578125" style="1174" customWidth="1"/>
    <col min="12035" max="12035" width="16" style="1174" customWidth="1"/>
    <col min="12036" max="12036" width="11.42578125" style="1174" customWidth="1"/>
    <col min="12037" max="12037" width="15" style="1174" customWidth="1"/>
    <col min="12038" max="12038" width="15.28515625" style="1174" customWidth="1"/>
    <col min="12039" max="12040" width="18.7109375" style="1174" customWidth="1"/>
    <col min="12041" max="12041" width="12.85546875" style="1174" customWidth="1"/>
    <col min="12042" max="12042" width="14.7109375" style="1174" customWidth="1"/>
    <col min="12043" max="12043" width="17.42578125" style="1174" bestFit="1" customWidth="1"/>
    <col min="12044" max="12044" width="1.42578125" style="1174" customWidth="1"/>
    <col min="12045" max="12045" width="7.7109375" style="1174" customWidth="1"/>
    <col min="12046" max="12046" width="1.42578125" style="1174" customWidth="1"/>
    <col min="12047" max="12047" width="13.7109375" style="1174" customWidth="1"/>
    <col min="12048" max="12048" width="14.42578125" style="1174" customWidth="1"/>
    <col min="12049" max="12049" width="12.42578125" style="1174" customWidth="1"/>
    <col min="12050" max="12288" width="0" style="1174" hidden="1"/>
    <col min="12289" max="12289" width="13.42578125" style="1174" customWidth="1"/>
    <col min="12290" max="12290" width="16.42578125" style="1174" customWidth="1"/>
    <col min="12291" max="12291" width="16" style="1174" customWidth="1"/>
    <col min="12292" max="12292" width="11.42578125" style="1174" customWidth="1"/>
    <col min="12293" max="12293" width="15" style="1174" customWidth="1"/>
    <col min="12294" max="12294" width="15.28515625" style="1174" customWidth="1"/>
    <col min="12295" max="12296" width="18.7109375" style="1174" customWidth="1"/>
    <col min="12297" max="12297" width="12.85546875" style="1174" customWidth="1"/>
    <col min="12298" max="12298" width="14.7109375" style="1174" customWidth="1"/>
    <col min="12299" max="12299" width="17.42578125" style="1174" bestFit="1" customWidth="1"/>
    <col min="12300" max="12300" width="1.42578125" style="1174" customWidth="1"/>
    <col min="12301" max="12301" width="7.7109375" style="1174" customWidth="1"/>
    <col min="12302" max="12302" width="1.42578125" style="1174" customWidth="1"/>
    <col min="12303" max="12303" width="13.7109375" style="1174" customWidth="1"/>
    <col min="12304" max="12304" width="14.42578125" style="1174" customWidth="1"/>
    <col min="12305" max="12305" width="12.42578125" style="1174" customWidth="1"/>
    <col min="12306" max="12544" width="0" style="1174" hidden="1"/>
    <col min="12545" max="12545" width="13.42578125" style="1174" customWidth="1"/>
    <col min="12546" max="12546" width="16.42578125" style="1174" customWidth="1"/>
    <col min="12547" max="12547" width="16" style="1174" customWidth="1"/>
    <col min="12548" max="12548" width="11.42578125" style="1174" customWidth="1"/>
    <col min="12549" max="12549" width="15" style="1174" customWidth="1"/>
    <col min="12550" max="12550" width="15.28515625" style="1174" customWidth="1"/>
    <col min="12551" max="12552" width="18.7109375" style="1174" customWidth="1"/>
    <col min="12553" max="12553" width="12.85546875" style="1174" customWidth="1"/>
    <col min="12554" max="12554" width="14.7109375" style="1174" customWidth="1"/>
    <col min="12555" max="12555" width="17.42578125" style="1174" bestFit="1" customWidth="1"/>
    <col min="12556" max="12556" width="1.42578125" style="1174" customWidth="1"/>
    <col min="12557" max="12557" width="7.7109375" style="1174" customWidth="1"/>
    <col min="12558" max="12558" width="1.42578125" style="1174" customWidth="1"/>
    <col min="12559" max="12559" width="13.7109375" style="1174" customWidth="1"/>
    <col min="12560" max="12560" width="14.42578125" style="1174" customWidth="1"/>
    <col min="12561" max="12561" width="12.42578125" style="1174" customWidth="1"/>
    <col min="12562" max="12800" width="0" style="1174" hidden="1"/>
    <col min="12801" max="12801" width="13.42578125" style="1174" customWidth="1"/>
    <col min="12802" max="12802" width="16.42578125" style="1174" customWidth="1"/>
    <col min="12803" max="12803" width="16" style="1174" customWidth="1"/>
    <col min="12804" max="12804" width="11.42578125" style="1174" customWidth="1"/>
    <col min="12805" max="12805" width="15" style="1174" customWidth="1"/>
    <col min="12806" max="12806" width="15.28515625" style="1174" customWidth="1"/>
    <col min="12807" max="12808" width="18.7109375" style="1174" customWidth="1"/>
    <col min="12809" max="12809" width="12.85546875" style="1174" customWidth="1"/>
    <col min="12810" max="12810" width="14.7109375" style="1174" customWidth="1"/>
    <col min="12811" max="12811" width="17.42578125" style="1174" bestFit="1" customWidth="1"/>
    <col min="12812" max="12812" width="1.42578125" style="1174" customWidth="1"/>
    <col min="12813" max="12813" width="7.7109375" style="1174" customWidth="1"/>
    <col min="12814" max="12814" width="1.42578125" style="1174" customWidth="1"/>
    <col min="12815" max="12815" width="13.7109375" style="1174" customWidth="1"/>
    <col min="12816" max="12816" width="14.42578125" style="1174" customWidth="1"/>
    <col min="12817" max="12817" width="12.42578125" style="1174" customWidth="1"/>
    <col min="12818" max="13056" width="0" style="1174" hidden="1"/>
    <col min="13057" max="13057" width="13.42578125" style="1174" customWidth="1"/>
    <col min="13058" max="13058" width="16.42578125" style="1174" customWidth="1"/>
    <col min="13059" max="13059" width="16" style="1174" customWidth="1"/>
    <col min="13060" max="13060" width="11.42578125" style="1174" customWidth="1"/>
    <col min="13061" max="13061" width="15" style="1174" customWidth="1"/>
    <col min="13062" max="13062" width="15.28515625" style="1174" customWidth="1"/>
    <col min="13063" max="13064" width="18.7109375" style="1174" customWidth="1"/>
    <col min="13065" max="13065" width="12.85546875" style="1174" customWidth="1"/>
    <col min="13066" max="13066" width="14.7109375" style="1174" customWidth="1"/>
    <col min="13067" max="13067" width="17.42578125" style="1174" bestFit="1" customWidth="1"/>
    <col min="13068" max="13068" width="1.42578125" style="1174" customWidth="1"/>
    <col min="13069" max="13069" width="7.7109375" style="1174" customWidth="1"/>
    <col min="13070" max="13070" width="1.42578125" style="1174" customWidth="1"/>
    <col min="13071" max="13071" width="13.7109375" style="1174" customWidth="1"/>
    <col min="13072" max="13072" width="14.42578125" style="1174" customWidth="1"/>
    <col min="13073" max="13073" width="12.42578125" style="1174" customWidth="1"/>
    <col min="13074" max="13312" width="0" style="1174" hidden="1"/>
    <col min="13313" max="13313" width="13.42578125" style="1174" customWidth="1"/>
    <col min="13314" max="13314" width="16.42578125" style="1174" customWidth="1"/>
    <col min="13315" max="13315" width="16" style="1174" customWidth="1"/>
    <col min="13316" max="13316" width="11.42578125" style="1174" customWidth="1"/>
    <col min="13317" max="13317" width="15" style="1174" customWidth="1"/>
    <col min="13318" max="13318" width="15.28515625" style="1174" customWidth="1"/>
    <col min="13319" max="13320" width="18.7109375" style="1174" customWidth="1"/>
    <col min="13321" max="13321" width="12.85546875" style="1174" customWidth="1"/>
    <col min="13322" max="13322" width="14.7109375" style="1174" customWidth="1"/>
    <col min="13323" max="13323" width="17.42578125" style="1174" bestFit="1" customWidth="1"/>
    <col min="13324" max="13324" width="1.42578125" style="1174" customWidth="1"/>
    <col min="13325" max="13325" width="7.7109375" style="1174" customWidth="1"/>
    <col min="13326" max="13326" width="1.42578125" style="1174" customWidth="1"/>
    <col min="13327" max="13327" width="13.7109375" style="1174" customWidth="1"/>
    <col min="13328" max="13328" width="14.42578125" style="1174" customWidth="1"/>
    <col min="13329" max="13329" width="12.42578125" style="1174" customWidth="1"/>
    <col min="13330" max="13568" width="0" style="1174" hidden="1"/>
    <col min="13569" max="13569" width="13.42578125" style="1174" customWidth="1"/>
    <col min="13570" max="13570" width="16.42578125" style="1174" customWidth="1"/>
    <col min="13571" max="13571" width="16" style="1174" customWidth="1"/>
    <col min="13572" max="13572" width="11.42578125" style="1174" customWidth="1"/>
    <col min="13573" max="13573" width="15" style="1174" customWidth="1"/>
    <col min="13574" max="13574" width="15.28515625" style="1174" customWidth="1"/>
    <col min="13575" max="13576" width="18.7109375" style="1174" customWidth="1"/>
    <col min="13577" max="13577" width="12.85546875" style="1174" customWidth="1"/>
    <col min="13578" max="13578" width="14.7109375" style="1174" customWidth="1"/>
    <col min="13579" max="13579" width="17.42578125" style="1174" bestFit="1" customWidth="1"/>
    <col min="13580" max="13580" width="1.42578125" style="1174" customWidth="1"/>
    <col min="13581" max="13581" width="7.7109375" style="1174" customWidth="1"/>
    <col min="13582" max="13582" width="1.42578125" style="1174" customWidth="1"/>
    <col min="13583" max="13583" width="13.7109375" style="1174" customWidth="1"/>
    <col min="13584" max="13584" width="14.42578125" style="1174" customWidth="1"/>
    <col min="13585" max="13585" width="12.42578125" style="1174" customWidth="1"/>
    <col min="13586" max="13824" width="0" style="1174" hidden="1"/>
    <col min="13825" max="13825" width="13.42578125" style="1174" customWidth="1"/>
    <col min="13826" max="13826" width="16.42578125" style="1174" customWidth="1"/>
    <col min="13827" max="13827" width="16" style="1174" customWidth="1"/>
    <col min="13828" max="13828" width="11.42578125" style="1174" customWidth="1"/>
    <col min="13829" max="13829" width="15" style="1174" customWidth="1"/>
    <col min="13830" max="13830" width="15.28515625" style="1174" customWidth="1"/>
    <col min="13831" max="13832" width="18.7109375" style="1174" customWidth="1"/>
    <col min="13833" max="13833" width="12.85546875" style="1174" customWidth="1"/>
    <col min="13834" max="13834" width="14.7109375" style="1174" customWidth="1"/>
    <col min="13835" max="13835" width="17.42578125" style="1174" bestFit="1" customWidth="1"/>
    <col min="13836" max="13836" width="1.42578125" style="1174" customWidth="1"/>
    <col min="13837" max="13837" width="7.7109375" style="1174" customWidth="1"/>
    <col min="13838" max="13838" width="1.42578125" style="1174" customWidth="1"/>
    <col min="13839" max="13839" width="13.7109375" style="1174" customWidth="1"/>
    <col min="13840" max="13840" width="14.42578125" style="1174" customWidth="1"/>
    <col min="13841" max="13841" width="12.42578125" style="1174" customWidth="1"/>
    <col min="13842" max="14080" width="0" style="1174" hidden="1"/>
    <col min="14081" max="14081" width="13.42578125" style="1174" customWidth="1"/>
    <col min="14082" max="14082" width="16.42578125" style="1174" customWidth="1"/>
    <col min="14083" max="14083" width="16" style="1174" customWidth="1"/>
    <col min="14084" max="14084" width="11.42578125" style="1174" customWidth="1"/>
    <col min="14085" max="14085" width="15" style="1174" customWidth="1"/>
    <col min="14086" max="14086" width="15.28515625" style="1174" customWidth="1"/>
    <col min="14087" max="14088" width="18.7109375" style="1174" customWidth="1"/>
    <col min="14089" max="14089" width="12.85546875" style="1174" customWidth="1"/>
    <col min="14090" max="14090" width="14.7109375" style="1174" customWidth="1"/>
    <col min="14091" max="14091" width="17.42578125" style="1174" bestFit="1" customWidth="1"/>
    <col min="14092" max="14092" width="1.42578125" style="1174" customWidth="1"/>
    <col min="14093" max="14093" width="7.7109375" style="1174" customWidth="1"/>
    <col min="14094" max="14094" width="1.42578125" style="1174" customWidth="1"/>
    <col min="14095" max="14095" width="13.7109375" style="1174" customWidth="1"/>
    <col min="14096" max="14096" width="14.42578125" style="1174" customWidth="1"/>
    <col min="14097" max="14097" width="12.42578125" style="1174" customWidth="1"/>
    <col min="14098" max="14336" width="0" style="1174" hidden="1"/>
    <col min="14337" max="14337" width="13.42578125" style="1174" customWidth="1"/>
    <col min="14338" max="14338" width="16.42578125" style="1174" customWidth="1"/>
    <col min="14339" max="14339" width="16" style="1174" customWidth="1"/>
    <col min="14340" max="14340" width="11.42578125" style="1174" customWidth="1"/>
    <col min="14341" max="14341" width="15" style="1174" customWidth="1"/>
    <col min="14342" max="14342" width="15.28515625" style="1174" customWidth="1"/>
    <col min="14343" max="14344" width="18.7109375" style="1174" customWidth="1"/>
    <col min="14345" max="14345" width="12.85546875" style="1174" customWidth="1"/>
    <col min="14346" max="14346" width="14.7109375" style="1174" customWidth="1"/>
    <col min="14347" max="14347" width="17.42578125" style="1174" bestFit="1" customWidth="1"/>
    <col min="14348" max="14348" width="1.42578125" style="1174" customWidth="1"/>
    <col min="14349" max="14349" width="7.7109375" style="1174" customWidth="1"/>
    <col min="14350" max="14350" width="1.42578125" style="1174" customWidth="1"/>
    <col min="14351" max="14351" width="13.7109375" style="1174" customWidth="1"/>
    <col min="14352" max="14352" width="14.42578125" style="1174" customWidth="1"/>
    <col min="14353" max="14353" width="12.42578125" style="1174" customWidth="1"/>
    <col min="14354" max="14592" width="0" style="1174" hidden="1"/>
    <col min="14593" max="14593" width="13.42578125" style="1174" customWidth="1"/>
    <col min="14594" max="14594" width="16.42578125" style="1174" customWidth="1"/>
    <col min="14595" max="14595" width="16" style="1174" customWidth="1"/>
    <col min="14596" max="14596" width="11.42578125" style="1174" customWidth="1"/>
    <col min="14597" max="14597" width="15" style="1174" customWidth="1"/>
    <col min="14598" max="14598" width="15.28515625" style="1174" customWidth="1"/>
    <col min="14599" max="14600" width="18.7109375" style="1174" customWidth="1"/>
    <col min="14601" max="14601" width="12.85546875" style="1174" customWidth="1"/>
    <col min="14602" max="14602" width="14.7109375" style="1174" customWidth="1"/>
    <col min="14603" max="14603" width="17.42578125" style="1174" bestFit="1" customWidth="1"/>
    <col min="14604" max="14604" width="1.42578125" style="1174" customWidth="1"/>
    <col min="14605" max="14605" width="7.7109375" style="1174" customWidth="1"/>
    <col min="14606" max="14606" width="1.42578125" style="1174" customWidth="1"/>
    <col min="14607" max="14607" width="13.7109375" style="1174" customWidth="1"/>
    <col min="14608" max="14608" width="14.42578125" style="1174" customWidth="1"/>
    <col min="14609" max="14609" width="12.42578125" style="1174" customWidth="1"/>
    <col min="14610" max="14848" width="0" style="1174" hidden="1"/>
    <col min="14849" max="14849" width="13.42578125" style="1174" customWidth="1"/>
    <col min="14850" max="14850" width="16.42578125" style="1174" customWidth="1"/>
    <col min="14851" max="14851" width="16" style="1174" customWidth="1"/>
    <col min="14852" max="14852" width="11.42578125" style="1174" customWidth="1"/>
    <col min="14853" max="14853" width="15" style="1174" customWidth="1"/>
    <col min="14854" max="14854" width="15.28515625" style="1174" customWidth="1"/>
    <col min="14855" max="14856" width="18.7109375" style="1174" customWidth="1"/>
    <col min="14857" max="14857" width="12.85546875" style="1174" customWidth="1"/>
    <col min="14858" max="14858" width="14.7109375" style="1174" customWidth="1"/>
    <col min="14859" max="14859" width="17.42578125" style="1174" bestFit="1" customWidth="1"/>
    <col min="14860" max="14860" width="1.42578125" style="1174" customWidth="1"/>
    <col min="14861" max="14861" width="7.7109375" style="1174" customWidth="1"/>
    <col min="14862" max="14862" width="1.42578125" style="1174" customWidth="1"/>
    <col min="14863" max="14863" width="13.7109375" style="1174" customWidth="1"/>
    <col min="14864" max="14864" width="14.42578125" style="1174" customWidth="1"/>
    <col min="14865" max="14865" width="12.42578125" style="1174" customWidth="1"/>
    <col min="14866" max="15104" width="0" style="1174" hidden="1"/>
    <col min="15105" max="15105" width="13.42578125" style="1174" customWidth="1"/>
    <col min="15106" max="15106" width="16.42578125" style="1174" customWidth="1"/>
    <col min="15107" max="15107" width="16" style="1174" customWidth="1"/>
    <col min="15108" max="15108" width="11.42578125" style="1174" customWidth="1"/>
    <col min="15109" max="15109" width="15" style="1174" customWidth="1"/>
    <col min="15110" max="15110" width="15.28515625" style="1174" customWidth="1"/>
    <col min="15111" max="15112" width="18.7109375" style="1174" customWidth="1"/>
    <col min="15113" max="15113" width="12.85546875" style="1174" customWidth="1"/>
    <col min="15114" max="15114" width="14.7109375" style="1174" customWidth="1"/>
    <col min="15115" max="15115" width="17.42578125" style="1174" bestFit="1" customWidth="1"/>
    <col min="15116" max="15116" width="1.42578125" style="1174" customWidth="1"/>
    <col min="15117" max="15117" width="7.7109375" style="1174" customWidth="1"/>
    <col min="15118" max="15118" width="1.42578125" style="1174" customWidth="1"/>
    <col min="15119" max="15119" width="13.7109375" style="1174" customWidth="1"/>
    <col min="15120" max="15120" width="14.42578125" style="1174" customWidth="1"/>
    <col min="15121" max="15121" width="12.42578125" style="1174" customWidth="1"/>
    <col min="15122" max="15360" width="0" style="1174" hidden="1"/>
    <col min="15361" max="15361" width="13.42578125" style="1174" customWidth="1"/>
    <col min="15362" max="15362" width="16.42578125" style="1174" customWidth="1"/>
    <col min="15363" max="15363" width="16" style="1174" customWidth="1"/>
    <col min="15364" max="15364" width="11.42578125" style="1174" customWidth="1"/>
    <col min="15365" max="15365" width="15" style="1174" customWidth="1"/>
    <col min="15366" max="15366" width="15.28515625" style="1174" customWidth="1"/>
    <col min="15367" max="15368" width="18.7109375" style="1174" customWidth="1"/>
    <col min="15369" max="15369" width="12.85546875" style="1174" customWidth="1"/>
    <col min="15370" max="15370" width="14.7109375" style="1174" customWidth="1"/>
    <col min="15371" max="15371" width="17.42578125" style="1174" bestFit="1" customWidth="1"/>
    <col min="15372" max="15372" width="1.42578125" style="1174" customWidth="1"/>
    <col min="15373" max="15373" width="7.7109375" style="1174" customWidth="1"/>
    <col min="15374" max="15374" width="1.42578125" style="1174" customWidth="1"/>
    <col min="15375" max="15375" width="13.7109375" style="1174" customWidth="1"/>
    <col min="15376" max="15376" width="14.42578125" style="1174" customWidth="1"/>
    <col min="15377" max="15377" width="12.42578125" style="1174" customWidth="1"/>
    <col min="15378" max="15616" width="0" style="1174" hidden="1"/>
    <col min="15617" max="15617" width="13.42578125" style="1174" customWidth="1"/>
    <col min="15618" max="15618" width="16.42578125" style="1174" customWidth="1"/>
    <col min="15619" max="15619" width="16" style="1174" customWidth="1"/>
    <col min="15620" max="15620" width="11.42578125" style="1174" customWidth="1"/>
    <col min="15621" max="15621" width="15" style="1174" customWidth="1"/>
    <col min="15622" max="15622" width="15.28515625" style="1174" customWidth="1"/>
    <col min="15623" max="15624" width="18.7109375" style="1174" customWidth="1"/>
    <col min="15625" max="15625" width="12.85546875" style="1174" customWidth="1"/>
    <col min="15626" max="15626" width="14.7109375" style="1174" customWidth="1"/>
    <col min="15627" max="15627" width="17.42578125" style="1174" bestFit="1" customWidth="1"/>
    <col min="15628" max="15628" width="1.42578125" style="1174" customWidth="1"/>
    <col min="15629" max="15629" width="7.7109375" style="1174" customWidth="1"/>
    <col min="15630" max="15630" width="1.42578125" style="1174" customWidth="1"/>
    <col min="15631" max="15631" width="13.7109375" style="1174" customWidth="1"/>
    <col min="15632" max="15632" width="14.42578125" style="1174" customWidth="1"/>
    <col min="15633" max="15633" width="12.42578125" style="1174" customWidth="1"/>
    <col min="15634" max="15872" width="0" style="1174" hidden="1"/>
    <col min="15873" max="15873" width="13.42578125" style="1174" customWidth="1"/>
    <col min="15874" max="15874" width="16.42578125" style="1174" customWidth="1"/>
    <col min="15875" max="15875" width="16" style="1174" customWidth="1"/>
    <col min="15876" max="15876" width="11.42578125" style="1174" customWidth="1"/>
    <col min="15877" max="15877" width="15" style="1174" customWidth="1"/>
    <col min="15878" max="15878" width="15.28515625" style="1174" customWidth="1"/>
    <col min="15879" max="15880" width="18.7109375" style="1174" customWidth="1"/>
    <col min="15881" max="15881" width="12.85546875" style="1174" customWidth="1"/>
    <col min="15882" max="15882" width="14.7109375" style="1174" customWidth="1"/>
    <col min="15883" max="15883" width="17.42578125" style="1174" bestFit="1" customWidth="1"/>
    <col min="15884" max="15884" width="1.42578125" style="1174" customWidth="1"/>
    <col min="15885" max="15885" width="7.7109375" style="1174" customWidth="1"/>
    <col min="15886" max="15886" width="1.42578125" style="1174" customWidth="1"/>
    <col min="15887" max="15887" width="13.7109375" style="1174" customWidth="1"/>
    <col min="15888" max="15888" width="14.42578125" style="1174" customWidth="1"/>
    <col min="15889" max="15889" width="12.42578125" style="1174" customWidth="1"/>
    <col min="15890" max="16128" width="0" style="1174" hidden="1"/>
    <col min="16129" max="16129" width="13.42578125" style="1174" customWidth="1"/>
    <col min="16130" max="16130" width="16.42578125" style="1174" customWidth="1"/>
    <col min="16131" max="16131" width="16" style="1174" customWidth="1"/>
    <col min="16132" max="16132" width="11.42578125" style="1174" customWidth="1"/>
    <col min="16133" max="16133" width="15" style="1174" customWidth="1"/>
    <col min="16134" max="16134" width="15.28515625" style="1174" customWidth="1"/>
    <col min="16135" max="16136" width="18.7109375" style="1174" customWidth="1"/>
    <col min="16137" max="16137" width="12.85546875" style="1174" customWidth="1"/>
    <col min="16138" max="16138" width="14.7109375" style="1174" customWidth="1"/>
    <col min="16139" max="16139" width="17.42578125" style="1174" bestFit="1" customWidth="1"/>
    <col min="16140" max="16140" width="1.42578125" style="1174" customWidth="1"/>
    <col min="16141" max="16141" width="7.7109375" style="1174" customWidth="1"/>
    <col min="16142" max="16142" width="1.42578125" style="1174" customWidth="1"/>
    <col min="16143" max="16143" width="13.7109375" style="1174" customWidth="1"/>
    <col min="16144" max="16144" width="14.42578125" style="1174" customWidth="1"/>
    <col min="16145" max="16145" width="12.42578125" style="1174" customWidth="1"/>
    <col min="16146" max="16384" width="0" style="1174" hidden="1"/>
  </cols>
  <sheetData>
    <row r="1" spans="1:40" ht="28.35" customHeight="1">
      <c r="B1" s="1801"/>
      <c r="D1" s="1793"/>
      <c r="E1" s="1793" t="s">
        <v>8</v>
      </c>
      <c r="I1" s="2724"/>
      <c r="J1" s="2724"/>
      <c r="R1" s="2867"/>
      <c r="S1" s="3208"/>
      <c r="T1" s="3175"/>
      <c r="U1" s="2867"/>
      <c r="V1" s="2867"/>
      <c r="W1" s="2867"/>
      <c r="X1" s="2867"/>
    </row>
    <row r="2" spans="1:40" ht="28.35" customHeight="1">
      <c r="B2" s="1809"/>
      <c r="C2" s="3209"/>
      <c r="D2" s="3209"/>
      <c r="F2" s="3210"/>
      <c r="G2" s="2724"/>
      <c r="I2" s="2724"/>
      <c r="J2" s="3172"/>
      <c r="R2" s="2350"/>
      <c r="S2" s="3174"/>
      <c r="T2" s="2867"/>
      <c r="U2" s="2867"/>
      <c r="V2" s="2867"/>
      <c r="W2" s="2867"/>
    </row>
    <row r="3" spans="1:40" s="1845" customFormat="1" ht="28.35" customHeight="1">
      <c r="B3" s="3176"/>
      <c r="C3" s="4856" t="s">
        <v>1341</v>
      </c>
      <c r="D3" s="4856"/>
      <c r="E3" s="4856"/>
      <c r="F3" s="4856"/>
      <c r="G3" s="4856"/>
      <c r="H3" s="4856"/>
      <c r="I3" s="4856"/>
      <c r="J3" s="4856"/>
      <c r="K3" s="4856"/>
      <c r="L3" s="4856"/>
      <c r="M3" s="4856"/>
      <c r="N3" s="4856"/>
      <c r="Q3" s="3177"/>
    </row>
    <row r="4" spans="1:40" s="2498" customFormat="1" ht="28.35" customHeight="1">
      <c r="B4" s="3179"/>
      <c r="C4" s="4713" t="s">
        <v>1342</v>
      </c>
      <c r="D4" s="4713"/>
      <c r="E4" s="4713"/>
      <c r="F4" s="4713"/>
      <c r="G4" s="4713"/>
      <c r="H4" s="4713"/>
      <c r="I4" s="4713"/>
      <c r="J4" s="4713"/>
      <c r="K4" s="4713"/>
      <c r="L4" s="4713"/>
      <c r="M4" s="4713"/>
      <c r="N4" s="2213"/>
      <c r="P4" s="3178"/>
      <c r="Q4" s="3211"/>
      <c r="R4" s="3178"/>
      <c r="S4" s="3178"/>
      <c r="T4" s="3178"/>
      <c r="U4" s="3178"/>
      <c r="V4" s="3178"/>
      <c r="W4" s="3178"/>
      <c r="X4" s="3178"/>
      <c r="Y4" s="3178"/>
      <c r="Z4" s="3178"/>
      <c r="AA4" s="3178"/>
      <c r="AB4" s="3178"/>
      <c r="AC4" s="3178"/>
      <c r="AD4" s="3178"/>
      <c r="AE4" s="3178"/>
      <c r="AF4" s="3178"/>
      <c r="AG4" s="3178"/>
      <c r="AH4" s="3178"/>
      <c r="AI4" s="3178"/>
      <c r="AJ4" s="3178"/>
      <c r="AK4" s="3178"/>
      <c r="AL4" s="3178"/>
      <c r="AM4" s="3178"/>
      <c r="AN4" s="3178"/>
    </row>
    <row r="5" spans="1:40" s="1849" customFormat="1" ht="17.100000000000001" customHeight="1">
      <c r="B5" s="3212"/>
      <c r="C5" s="3213" t="s">
        <v>1306</v>
      </c>
      <c r="D5" s="2159"/>
      <c r="E5" s="2159"/>
      <c r="F5" s="1318"/>
      <c r="G5" s="1318"/>
      <c r="H5" s="1318"/>
      <c r="I5" s="1318"/>
      <c r="J5" s="1318"/>
      <c r="K5" s="1318"/>
      <c r="L5" s="1318"/>
      <c r="M5" s="1318"/>
      <c r="N5" s="2279" t="s">
        <v>1343</v>
      </c>
      <c r="P5" s="1857"/>
      <c r="Q5" s="1857"/>
      <c r="R5" s="1857"/>
      <c r="S5" s="1857"/>
      <c r="T5" s="1857"/>
      <c r="U5" s="1857"/>
      <c r="V5" s="1857"/>
      <c r="W5" s="1857"/>
      <c r="X5" s="1857"/>
      <c r="Y5" s="1857"/>
      <c r="Z5" s="1857"/>
      <c r="AA5" s="1857"/>
      <c r="AB5" s="1857"/>
      <c r="AC5" s="1857"/>
      <c r="AD5" s="1857"/>
      <c r="AE5" s="1857"/>
      <c r="AF5" s="1857"/>
      <c r="AG5" s="1857"/>
      <c r="AH5" s="1857"/>
      <c r="AI5" s="1857"/>
      <c r="AJ5" s="1857"/>
      <c r="AK5" s="1857"/>
      <c r="AL5" s="1857"/>
      <c r="AM5" s="1857"/>
      <c r="AN5" s="1857"/>
    </row>
    <row r="6" spans="1:40" ht="4.3499999999999996" customHeight="1">
      <c r="B6" s="1809"/>
      <c r="C6" s="3214"/>
      <c r="D6" s="3213"/>
      <c r="E6" s="3213"/>
      <c r="F6" s="1323"/>
      <c r="G6" s="1323"/>
      <c r="H6" s="1323"/>
      <c r="I6" s="1323"/>
      <c r="J6" s="1323"/>
      <c r="K6" s="1323"/>
      <c r="L6" s="1323"/>
      <c r="M6" s="1323"/>
      <c r="N6" s="2773"/>
      <c r="P6" s="1801"/>
      <c r="Q6" s="1801"/>
      <c r="R6" s="1801"/>
      <c r="S6" s="1801"/>
      <c r="T6" s="1801"/>
      <c r="U6" s="1801"/>
      <c r="V6" s="1801"/>
      <c r="W6" s="1801"/>
      <c r="X6" s="1801"/>
      <c r="Y6" s="1801"/>
      <c r="Z6" s="1801"/>
      <c r="AA6" s="1801"/>
      <c r="AB6" s="1801"/>
      <c r="AC6" s="1801"/>
      <c r="AD6" s="1801"/>
      <c r="AE6" s="1801"/>
      <c r="AF6" s="1801"/>
      <c r="AG6" s="1801"/>
      <c r="AH6" s="1801"/>
      <c r="AI6" s="1801"/>
      <c r="AJ6" s="1801"/>
      <c r="AK6" s="1801"/>
      <c r="AL6" s="1801"/>
      <c r="AM6" s="1801"/>
      <c r="AN6" s="1801"/>
    </row>
    <row r="7" spans="1:40" s="3217" customFormat="1" ht="5.25" customHeight="1">
      <c r="A7" s="1801"/>
      <c r="B7" s="1809"/>
      <c r="C7" s="3215"/>
      <c r="D7" s="2283"/>
      <c r="E7" s="2284"/>
      <c r="F7" s="3216"/>
      <c r="G7" s="2284"/>
      <c r="H7" s="2132"/>
      <c r="I7" s="2283"/>
      <c r="J7" s="3216"/>
      <c r="K7" s="1992"/>
      <c r="L7" s="2182"/>
      <c r="M7" s="1992"/>
      <c r="N7" s="2133"/>
      <c r="O7" s="1801"/>
      <c r="P7" s="1801"/>
      <c r="Q7" s="1801"/>
      <c r="R7" s="1801"/>
      <c r="S7" s="1801"/>
      <c r="T7" s="1801"/>
      <c r="U7" s="1801"/>
      <c r="V7" s="1801"/>
      <c r="W7" s="1801"/>
      <c r="X7" s="1801"/>
      <c r="Y7" s="1801"/>
      <c r="Z7" s="1801"/>
      <c r="AA7" s="1801"/>
      <c r="AB7" s="1801"/>
      <c r="AC7" s="1801"/>
      <c r="AD7" s="1801"/>
      <c r="AE7" s="1801"/>
      <c r="AF7" s="1801"/>
      <c r="AG7" s="1801"/>
      <c r="AH7" s="1801"/>
      <c r="AI7" s="1801"/>
      <c r="AJ7" s="1801"/>
      <c r="AK7" s="1801"/>
      <c r="AL7" s="1801"/>
      <c r="AM7" s="1801"/>
      <c r="AN7" s="1801"/>
    </row>
    <row r="8" spans="1:40" s="1801" customFormat="1" ht="24.95" customHeight="1">
      <c r="B8" s="1809"/>
      <c r="C8" s="3191"/>
      <c r="D8" s="4683" t="s">
        <v>1344</v>
      </c>
      <c r="E8" s="4672"/>
      <c r="F8" s="4685"/>
      <c r="G8" s="4683" t="s">
        <v>1308</v>
      </c>
      <c r="H8" s="4685"/>
      <c r="I8" s="4683" t="s">
        <v>1309</v>
      </c>
      <c r="J8" s="4685"/>
      <c r="K8" s="1283"/>
      <c r="L8" s="3123"/>
      <c r="M8" s="1283"/>
      <c r="N8" s="1294"/>
    </row>
    <row r="9" spans="1:40" s="1801" customFormat="1" ht="24.95" customHeight="1">
      <c r="B9" s="1809"/>
      <c r="C9" s="3191"/>
      <c r="D9" s="4683" t="s">
        <v>1345</v>
      </c>
      <c r="E9" s="4672"/>
      <c r="F9" s="4685"/>
      <c r="G9" s="4933" t="s">
        <v>1311</v>
      </c>
      <c r="H9" s="4934"/>
      <c r="I9" s="4683" t="s">
        <v>1346</v>
      </c>
      <c r="J9" s="4685"/>
      <c r="K9" s="1283"/>
      <c r="L9" s="3123"/>
      <c r="M9" s="1283"/>
      <c r="N9" s="1294"/>
    </row>
    <row r="10" spans="1:40" s="1801" customFormat="1" ht="4.5" customHeight="1">
      <c r="B10" s="1809"/>
      <c r="C10" s="2513"/>
      <c r="D10" s="3218"/>
      <c r="E10" s="3219"/>
      <c r="F10" s="3125"/>
      <c r="G10" s="1283"/>
      <c r="H10" s="2290"/>
      <c r="I10" s="2293"/>
      <c r="J10" s="3123"/>
      <c r="K10" s="1283"/>
      <c r="L10" s="3123"/>
      <c r="M10" s="1283"/>
      <c r="N10" s="1294"/>
    </row>
    <row r="11" spans="1:40" s="1801" customFormat="1" ht="6" customHeight="1">
      <c r="B11" s="1809"/>
      <c r="C11" s="2199"/>
      <c r="D11" s="3220"/>
      <c r="E11" s="3220"/>
      <c r="F11" s="2548"/>
      <c r="G11" s="1384"/>
      <c r="H11" s="2548"/>
      <c r="I11" s="1384"/>
      <c r="J11" s="1384"/>
      <c r="K11" s="1283"/>
      <c r="L11" s="3123"/>
      <c r="M11" s="1283"/>
      <c r="N11" s="1294"/>
    </row>
    <row r="12" spans="1:40" s="1801" customFormat="1">
      <c r="B12" s="1809"/>
      <c r="C12" s="2367" t="s">
        <v>1310</v>
      </c>
      <c r="D12" s="2271"/>
      <c r="E12" s="1731" t="s">
        <v>1347</v>
      </c>
      <c r="F12" s="2271" t="s">
        <v>1348</v>
      </c>
      <c r="G12" s="2271"/>
      <c r="H12" s="1235"/>
      <c r="I12" s="1731" t="s">
        <v>1314</v>
      </c>
      <c r="J12" s="2271" t="s">
        <v>1314</v>
      </c>
      <c r="K12" s="1283"/>
      <c r="L12" s="3123"/>
      <c r="M12" s="1283"/>
      <c r="N12" s="1294"/>
    </row>
    <row r="13" spans="1:40" s="1801" customFormat="1">
      <c r="B13" s="1809"/>
      <c r="C13" s="2367" t="s">
        <v>1313</v>
      </c>
      <c r="D13" s="2271"/>
      <c r="E13" s="1731" t="s">
        <v>1349</v>
      </c>
      <c r="F13" s="2271" t="s">
        <v>1350</v>
      </c>
      <c r="G13" s="2271"/>
      <c r="H13" s="1731" t="s">
        <v>1351</v>
      </c>
      <c r="I13" s="1731" t="s">
        <v>1318</v>
      </c>
      <c r="J13" s="2271" t="s">
        <v>1318</v>
      </c>
      <c r="K13" s="2343" t="s">
        <v>170</v>
      </c>
      <c r="L13" s="3123"/>
      <c r="M13" s="1283"/>
      <c r="N13" s="2303"/>
      <c r="Q13" s="1804"/>
    </row>
    <row r="14" spans="1:40" s="1801" customFormat="1" ht="21.95" customHeight="1">
      <c r="B14" s="1809"/>
      <c r="C14" s="2367" t="s">
        <v>1315</v>
      </c>
      <c r="D14" s="1731" t="s">
        <v>330</v>
      </c>
      <c r="E14" s="1731" t="s">
        <v>330</v>
      </c>
      <c r="F14" s="2271" t="s">
        <v>668</v>
      </c>
      <c r="G14" s="1731" t="s">
        <v>330</v>
      </c>
      <c r="H14" s="1731" t="s">
        <v>1352</v>
      </c>
      <c r="I14" s="2271" t="s">
        <v>1322</v>
      </c>
      <c r="J14" s="2271" t="s">
        <v>1323</v>
      </c>
      <c r="K14" s="1251" t="s">
        <v>1353</v>
      </c>
      <c r="L14" s="3123"/>
      <c r="M14" s="4683"/>
      <c r="N14" s="4752"/>
      <c r="Q14" s="1803"/>
    </row>
    <row r="15" spans="1:40" s="1801" customFormat="1">
      <c r="B15" s="1809"/>
      <c r="C15" s="2367" t="s">
        <v>1319</v>
      </c>
      <c r="D15" s="1731"/>
      <c r="E15" s="2271"/>
      <c r="F15" s="1731"/>
      <c r="G15" s="1731"/>
      <c r="H15" s="2271"/>
      <c r="I15" s="2271"/>
      <c r="J15" s="1235"/>
      <c r="K15" s="1283"/>
      <c r="L15" s="3123"/>
      <c r="M15" s="1283"/>
      <c r="N15" s="1294"/>
    </row>
    <row r="16" spans="1:40" s="3221" customFormat="1">
      <c r="B16" s="3222"/>
      <c r="C16" s="2199" t="s">
        <v>1324</v>
      </c>
      <c r="D16" s="1235"/>
      <c r="E16" s="1731" t="s">
        <v>119</v>
      </c>
      <c r="F16" s="1731" t="s">
        <v>1354</v>
      </c>
      <c r="G16" s="1235"/>
      <c r="H16" s="1731" t="s">
        <v>1355</v>
      </c>
      <c r="I16" s="1731" t="s">
        <v>1325</v>
      </c>
      <c r="J16" s="1731" t="s">
        <v>876</v>
      </c>
      <c r="K16" s="1283"/>
      <c r="L16" s="3123"/>
      <c r="M16" s="1283"/>
      <c r="N16" s="1294"/>
    </row>
    <row r="17" spans="2:40" s="3221" customFormat="1">
      <c r="B17" s="3222"/>
      <c r="C17" s="2367" t="s">
        <v>1326</v>
      </c>
      <c r="D17" s="1387"/>
      <c r="E17" s="1731" t="s">
        <v>1356</v>
      </c>
      <c r="F17" s="1731" t="s">
        <v>1357</v>
      </c>
      <c r="G17" s="2271"/>
      <c r="H17" s="1731" t="s">
        <v>127</v>
      </c>
      <c r="I17" s="1731" t="s">
        <v>1327</v>
      </c>
      <c r="J17" s="1731" t="s">
        <v>1327</v>
      </c>
      <c r="K17" s="2343" t="s">
        <v>634</v>
      </c>
      <c r="L17" s="3123"/>
      <c r="M17" s="4683"/>
      <c r="N17" s="4752"/>
      <c r="Q17" s="3223"/>
    </row>
    <row r="18" spans="2:40" s="3221" customFormat="1" ht="21.95" customHeight="1">
      <c r="B18" s="3224"/>
      <c r="C18" s="2597" t="s">
        <v>1328</v>
      </c>
      <c r="D18" s="1732" t="s">
        <v>119</v>
      </c>
      <c r="E18" s="1732" t="s">
        <v>1358</v>
      </c>
      <c r="F18" s="1732" t="s">
        <v>1359</v>
      </c>
      <c r="G18" s="1732" t="s">
        <v>119</v>
      </c>
      <c r="H18" s="1732" t="s">
        <v>1360</v>
      </c>
      <c r="I18" s="1732" t="s">
        <v>1329</v>
      </c>
      <c r="J18" s="1732" t="s">
        <v>1329</v>
      </c>
      <c r="K18" s="3196" t="s">
        <v>187</v>
      </c>
      <c r="L18" s="2093"/>
      <c r="M18" s="1772"/>
      <c r="N18" s="2321"/>
      <c r="Q18" s="3223"/>
    </row>
    <row r="19" spans="2:40" ht="6" customHeight="1">
      <c r="B19" s="1801"/>
      <c r="C19" s="3225"/>
      <c r="D19" s="2583"/>
      <c r="E19" s="2583"/>
      <c r="F19" s="3226"/>
      <c r="G19" s="3226"/>
      <c r="H19" s="3226"/>
      <c r="I19" s="2772"/>
      <c r="J19" s="3226"/>
      <c r="K19" s="3227"/>
      <c r="L19" s="3228"/>
      <c r="M19" s="2583"/>
      <c r="N19" s="1423"/>
      <c r="P19" s="1801"/>
      <c r="Q19" s="1807"/>
      <c r="R19" s="1801"/>
      <c r="S19" s="1801"/>
      <c r="T19" s="1801"/>
      <c r="U19" s="1801"/>
      <c r="V19" s="1801"/>
      <c r="W19" s="1801"/>
      <c r="X19" s="1801"/>
      <c r="Y19" s="1801"/>
      <c r="Z19" s="1801"/>
      <c r="AA19" s="1801"/>
      <c r="AB19" s="1801"/>
      <c r="AC19" s="1801"/>
      <c r="AD19" s="1801"/>
      <c r="AE19" s="1801"/>
      <c r="AF19" s="1801"/>
      <c r="AG19" s="1801"/>
      <c r="AH19" s="1801"/>
      <c r="AI19" s="1801"/>
      <c r="AJ19" s="1801"/>
      <c r="AK19" s="1801"/>
      <c r="AL19" s="1801"/>
      <c r="AM19" s="1801"/>
      <c r="AN19" s="1801"/>
    </row>
    <row r="20" spans="2:40" ht="21" customHeight="1">
      <c r="B20" s="2350"/>
      <c r="C20" s="1496">
        <v>6118</v>
      </c>
      <c r="D20" s="1497">
        <v>1038</v>
      </c>
      <c r="E20" s="1497">
        <v>5081</v>
      </c>
      <c r="F20" s="1497">
        <v>6486</v>
      </c>
      <c r="G20" s="1497">
        <v>6829</v>
      </c>
      <c r="H20" s="1497">
        <v>2753</v>
      </c>
      <c r="I20" s="1497">
        <v>1914</v>
      </c>
      <c r="J20" s="1497">
        <v>23339</v>
      </c>
      <c r="K20" s="1255">
        <f t="shared" ref="K20:K69" si="0">J20+I20+H20+G20+F20+E20+D20+C20</f>
        <v>53558</v>
      </c>
      <c r="L20" s="1507"/>
      <c r="M20" s="1508">
        <v>1964</v>
      </c>
      <c r="N20" s="1509"/>
      <c r="O20" s="1963"/>
      <c r="P20" s="1964"/>
      <c r="Q20" s="3229"/>
      <c r="R20" s="1964"/>
      <c r="S20" s="1964"/>
      <c r="T20" s="1964"/>
      <c r="U20" s="1964"/>
      <c r="V20" s="1964"/>
      <c r="W20" s="1964"/>
      <c r="X20" s="1964"/>
      <c r="Y20" s="1964"/>
      <c r="Z20" s="1964"/>
      <c r="AA20" s="1801"/>
      <c r="AB20" s="1801"/>
      <c r="AC20" s="1801"/>
      <c r="AD20" s="1801"/>
      <c r="AE20" s="1801"/>
      <c r="AF20" s="1801"/>
      <c r="AG20" s="1801"/>
      <c r="AH20" s="1801"/>
      <c r="AI20" s="1801"/>
      <c r="AJ20" s="1801"/>
      <c r="AK20" s="1801"/>
      <c r="AL20" s="1801"/>
      <c r="AM20" s="1801"/>
      <c r="AN20" s="1801"/>
    </row>
    <row r="21" spans="2:40" ht="21" customHeight="1">
      <c r="C21" s="1492">
        <v>4527</v>
      </c>
      <c r="D21" s="1260">
        <v>1485</v>
      </c>
      <c r="E21" s="1260">
        <v>7094</v>
      </c>
      <c r="F21" s="1260">
        <v>3990</v>
      </c>
      <c r="G21" s="1260">
        <v>8507</v>
      </c>
      <c r="H21" s="1260">
        <v>3243</v>
      </c>
      <c r="I21" s="1260">
        <v>2024</v>
      </c>
      <c r="J21" s="1260">
        <v>25182</v>
      </c>
      <c r="K21" s="1158">
        <f t="shared" si="0"/>
        <v>56052</v>
      </c>
      <c r="L21" s="1504"/>
      <c r="M21" s="1505">
        <v>1965</v>
      </c>
      <c r="N21" s="1506"/>
      <c r="O21" s="1963"/>
      <c r="P21" s="1964"/>
      <c r="Q21" s="3229"/>
      <c r="R21" s="1964"/>
      <c r="S21" s="1964"/>
      <c r="T21" s="1964"/>
      <c r="U21" s="1964"/>
      <c r="V21" s="1964"/>
      <c r="W21" s="1964"/>
      <c r="X21" s="1964"/>
      <c r="Y21" s="1964"/>
      <c r="Z21" s="1964"/>
      <c r="AA21" s="1801"/>
      <c r="AB21" s="1801"/>
      <c r="AC21" s="1801"/>
      <c r="AD21" s="1801"/>
      <c r="AE21" s="1801"/>
      <c r="AF21" s="1801"/>
      <c r="AG21" s="1801"/>
      <c r="AH21" s="1801"/>
      <c r="AI21" s="1801"/>
      <c r="AJ21" s="1801"/>
      <c r="AK21" s="1801"/>
      <c r="AL21" s="1801"/>
      <c r="AM21" s="1801"/>
      <c r="AN21" s="1801"/>
    </row>
    <row r="22" spans="2:40" ht="21" customHeight="1">
      <c r="C22" s="1496">
        <v>7082</v>
      </c>
      <c r="D22" s="1497">
        <v>1839</v>
      </c>
      <c r="E22" s="1497">
        <v>7215</v>
      </c>
      <c r="F22" s="1497">
        <v>6046</v>
      </c>
      <c r="G22" s="1497">
        <v>11271</v>
      </c>
      <c r="H22" s="1497">
        <v>3425</v>
      </c>
      <c r="I22" s="1497">
        <v>2346</v>
      </c>
      <c r="J22" s="1497">
        <v>28987</v>
      </c>
      <c r="K22" s="1255">
        <f t="shared" si="0"/>
        <v>68211</v>
      </c>
      <c r="L22" s="1507"/>
      <c r="M22" s="1508">
        <v>1966</v>
      </c>
      <c r="N22" s="1509"/>
      <c r="O22" s="1963"/>
      <c r="P22" s="1963"/>
      <c r="Q22" s="3197"/>
      <c r="R22" s="1963"/>
      <c r="S22" s="1963"/>
      <c r="T22" s="1963"/>
      <c r="U22" s="1963"/>
      <c r="V22" s="1963"/>
      <c r="W22" s="1963"/>
      <c r="X22" s="1963"/>
      <c r="Y22" s="1963"/>
      <c r="Z22" s="1963"/>
    </row>
    <row r="23" spans="2:40" ht="21" customHeight="1">
      <c r="C23" s="1492">
        <v>2682</v>
      </c>
      <c r="D23" s="1260">
        <v>2119</v>
      </c>
      <c r="E23" s="1260">
        <v>6925</v>
      </c>
      <c r="F23" s="1260">
        <v>5730</v>
      </c>
      <c r="G23" s="1260">
        <v>10735</v>
      </c>
      <c r="H23" s="1260">
        <v>2987</v>
      </c>
      <c r="I23" s="1260">
        <v>1884</v>
      </c>
      <c r="J23" s="1260">
        <v>21986</v>
      </c>
      <c r="K23" s="1158">
        <f t="shared" si="0"/>
        <v>55048</v>
      </c>
      <c r="L23" s="1504"/>
      <c r="M23" s="1505">
        <v>1967</v>
      </c>
      <c r="N23" s="1506"/>
      <c r="O23" s="1963"/>
      <c r="P23" s="1963"/>
      <c r="Q23" s="3197"/>
      <c r="R23" s="1963"/>
      <c r="S23" s="1963"/>
      <c r="T23" s="1963"/>
      <c r="U23" s="1963"/>
      <c r="V23" s="1963"/>
      <c r="W23" s="1963"/>
      <c r="X23" s="1963"/>
      <c r="Y23" s="1963"/>
      <c r="Z23" s="1963"/>
    </row>
    <row r="24" spans="2:40" ht="21" customHeight="1">
      <c r="C24" s="1496">
        <v>3751</v>
      </c>
      <c r="D24" s="1497">
        <v>1368</v>
      </c>
      <c r="E24" s="1497">
        <v>7840</v>
      </c>
      <c r="F24" s="1497">
        <v>4714</v>
      </c>
      <c r="G24" s="1497">
        <v>8996</v>
      </c>
      <c r="H24" s="1497">
        <v>3217</v>
      </c>
      <c r="I24" s="1497">
        <v>2104</v>
      </c>
      <c r="J24" s="1497">
        <v>25502</v>
      </c>
      <c r="K24" s="1255">
        <f t="shared" si="0"/>
        <v>57492</v>
      </c>
      <c r="L24" s="1507"/>
      <c r="M24" s="1508">
        <v>1968</v>
      </c>
      <c r="N24" s="1509"/>
      <c r="O24" s="1963"/>
      <c r="P24" s="1963"/>
      <c r="Q24" s="3197"/>
      <c r="R24" s="1963"/>
      <c r="S24" s="1963"/>
      <c r="T24" s="1963"/>
      <c r="U24" s="1963"/>
      <c r="V24" s="1963"/>
      <c r="W24" s="1963"/>
      <c r="X24" s="1963"/>
      <c r="Y24" s="1963"/>
      <c r="Z24" s="1963"/>
    </row>
    <row r="25" spans="2:40" ht="21" customHeight="1">
      <c r="C25" s="1492">
        <v>4033</v>
      </c>
      <c r="D25" s="1260">
        <v>1641</v>
      </c>
      <c r="E25" s="1260">
        <v>8712</v>
      </c>
      <c r="F25" s="1260">
        <v>4886</v>
      </c>
      <c r="G25" s="1260">
        <v>10779</v>
      </c>
      <c r="H25" s="1260">
        <v>3814</v>
      </c>
      <c r="I25" s="1260">
        <v>3497</v>
      </c>
      <c r="J25" s="1260">
        <v>30390</v>
      </c>
      <c r="K25" s="1158">
        <f t="shared" si="0"/>
        <v>67752</v>
      </c>
      <c r="L25" s="1504"/>
      <c r="M25" s="1505">
        <v>1969</v>
      </c>
      <c r="N25" s="1506"/>
      <c r="O25" s="1963"/>
      <c r="P25" s="1963"/>
      <c r="Q25" s="3197"/>
      <c r="R25" s="1963"/>
      <c r="S25" s="1963"/>
      <c r="T25" s="1963"/>
      <c r="U25" s="1963"/>
      <c r="V25" s="1963"/>
      <c r="W25" s="1963"/>
      <c r="X25" s="1963"/>
      <c r="Y25" s="1963"/>
      <c r="Z25" s="1963"/>
    </row>
    <row r="26" spans="2:40" ht="21" customHeight="1">
      <c r="C26" s="1496">
        <v>4338</v>
      </c>
      <c r="D26" s="1497">
        <v>2022</v>
      </c>
      <c r="E26" s="1497">
        <v>5787</v>
      </c>
      <c r="F26" s="1497">
        <v>5566</v>
      </c>
      <c r="G26" s="1497">
        <v>11396</v>
      </c>
      <c r="H26" s="1497">
        <v>3748</v>
      </c>
      <c r="I26" s="1497">
        <v>4352</v>
      </c>
      <c r="J26" s="1497">
        <v>28673</v>
      </c>
      <c r="K26" s="1255">
        <f t="shared" si="0"/>
        <v>65882</v>
      </c>
      <c r="L26" s="1507"/>
      <c r="M26" s="1508">
        <v>1970</v>
      </c>
      <c r="N26" s="1509"/>
      <c r="O26" s="1963"/>
      <c r="P26" s="1963"/>
      <c r="Q26" s="3197"/>
      <c r="R26" s="1963"/>
      <c r="S26" s="1963"/>
      <c r="T26" s="1963"/>
      <c r="U26" s="1963"/>
      <c r="V26" s="1963"/>
      <c r="W26" s="1963"/>
      <c r="X26" s="1963"/>
      <c r="Y26" s="1963"/>
      <c r="Z26" s="1963"/>
    </row>
    <row r="27" spans="2:40" ht="21" customHeight="1">
      <c r="C27" s="1492">
        <v>11960</v>
      </c>
      <c r="D27" s="1260">
        <v>1496</v>
      </c>
      <c r="E27" s="1260">
        <v>4873</v>
      </c>
      <c r="F27" s="1260">
        <v>11245</v>
      </c>
      <c r="G27" s="1260">
        <v>9167</v>
      </c>
      <c r="H27" s="1260">
        <v>4445</v>
      </c>
      <c r="I27" s="1260">
        <v>4688</v>
      </c>
      <c r="J27" s="1260">
        <v>28753</v>
      </c>
      <c r="K27" s="1158">
        <f t="shared" si="0"/>
        <v>76627</v>
      </c>
      <c r="L27" s="1504"/>
      <c r="M27" s="1505">
        <v>1971</v>
      </c>
      <c r="N27" s="1506"/>
      <c r="O27" s="1963"/>
      <c r="P27" s="1963"/>
      <c r="Q27" s="3197"/>
      <c r="R27" s="1963"/>
      <c r="S27" s="1963"/>
      <c r="T27" s="1963"/>
      <c r="U27" s="1963"/>
      <c r="V27" s="1963"/>
      <c r="W27" s="1963"/>
      <c r="X27" s="1963"/>
      <c r="Y27" s="1963"/>
      <c r="Z27" s="1963"/>
    </row>
    <row r="28" spans="2:40" ht="21" customHeight="1">
      <c r="C28" s="1496">
        <v>11625</v>
      </c>
      <c r="D28" s="1497">
        <v>2015</v>
      </c>
      <c r="E28" s="1497">
        <v>8841</v>
      </c>
      <c r="F28" s="1497">
        <v>7770</v>
      </c>
      <c r="G28" s="1497">
        <v>14187</v>
      </c>
      <c r="H28" s="1497">
        <v>4585</v>
      </c>
      <c r="I28" s="1497">
        <v>5876</v>
      </c>
      <c r="J28" s="1497">
        <v>40411</v>
      </c>
      <c r="K28" s="1255">
        <f t="shared" si="0"/>
        <v>95310</v>
      </c>
      <c r="L28" s="1507"/>
      <c r="M28" s="1508">
        <v>1972</v>
      </c>
      <c r="N28" s="1509"/>
      <c r="O28" s="1963"/>
      <c r="P28" s="1963"/>
      <c r="Q28" s="3197"/>
      <c r="R28" s="1963"/>
      <c r="S28" s="1963"/>
      <c r="T28" s="1963"/>
      <c r="U28" s="1963"/>
      <c r="V28" s="1963"/>
      <c r="W28" s="1963"/>
      <c r="X28" s="1963"/>
      <c r="Y28" s="1963"/>
      <c r="Z28" s="1963"/>
    </row>
    <row r="29" spans="2:40" ht="21" customHeight="1">
      <c r="C29" s="1492">
        <v>15205</v>
      </c>
      <c r="D29" s="1260">
        <v>2572</v>
      </c>
      <c r="E29" s="1260">
        <v>9298</v>
      </c>
      <c r="F29" s="1260">
        <v>8369</v>
      </c>
      <c r="G29" s="1260">
        <v>18051</v>
      </c>
      <c r="H29" s="1260">
        <v>4155</v>
      </c>
      <c r="I29" s="1260">
        <v>6395</v>
      </c>
      <c r="J29" s="1260">
        <v>44202</v>
      </c>
      <c r="K29" s="1158">
        <f t="shared" si="0"/>
        <v>108247</v>
      </c>
      <c r="L29" s="1504"/>
      <c r="M29" s="1505">
        <v>1973</v>
      </c>
      <c r="N29" s="1506"/>
      <c r="O29" s="1963"/>
      <c r="P29" s="1963"/>
      <c r="Q29" s="3197"/>
      <c r="R29" s="1963"/>
      <c r="S29" s="1963"/>
      <c r="T29" s="1963"/>
      <c r="U29" s="1963"/>
      <c r="V29" s="1963"/>
      <c r="W29" s="1963"/>
      <c r="X29" s="1963"/>
      <c r="Y29" s="1963"/>
      <c r="Z29" s="1963"/>
    </row>
    <row r="30" spans="2:40" ht="21" customHeight="1">
      <c r="C30" s="1496">
        <v>16069</v>
      </c>
      <c r="D30" s="1497">
        <v>4403</v>
      </c>
      <c r="E30" s="1497">
        <v>15201</v>
      </c>
      <c r="F30" s="1497">
        <v>21309</v>
      </c>
      <c r="G30" s="1497">
        <v>24798</v>
      </c>
      <c r="H30" s="1497">
        <v>5200</v>
      </c>
      <c r="I30" s="1497">
        <v>9223</v>
      </c>
      <c r="J30" s="1497">
        <v>60404</v>
      </c>
      <c r="K30" s="1255">
        <f t="shared" si="0"/>
        <v>156607</v>
      </c>
      <c r="L30" s="1507"/>
      <c r="M30" s="1508">
        <v>1974</v>
      </c>
      <c r="N30" s="1509"/>
      <c r="O30" s="1963"/>
      <c r="P30" s="1963"/>
      <c r="Q30" s="3197"/>
      <c r="R30" s="1963"/>
      <c r="S30" s="1963"/>
      <c r="T30" s="1963"/>
      <c r="U30" s="1963"/>
      <c r="V30" s="1963"/>
      <c r="W30" s="1963"/>
      <c r="X30" s="1963"/>
      <c r="Y30" s="1963"/>
      <c r="Z30" s="1963"/>
    </row>
    <row r="31" spans="2:40" ht="21" customHeight="1">
      <c r="C31" s="1492">
        <v>3401</v>
      </c>
      <c r="D31" s="1260">
        <v>7604</v>
      </c>
      <c r="E31" s="1260">
        <v>33827</v>
      </c>
      <c r="F31" s="1260">
        <v>41446</v>
      </c>
      <c r="G31" s="1260">
        <v>32383</v>
      </c>
      <c r="H31" s="1260">
        <v>24839</v>
      </c>
      <c r="I31" s="1260">
        <v>14318</v>
      </c>
      <c r="J31" s="1260">
        <v>76195</v>
      </c>
      <c r="K31" s="1158">
        <f t="shared" si="0"/>
        <v>234013</v>
      </c>
      <c r="L31" s="1504"/>
      <c r="M31" s="1505">
        <v>1975</v>
      </c>
      <c r="N31" s="1506"/>
      <c r="O31" s="1963"/>
      <c r="P31" s="1963"/>
      <c r="Q31" s="3197"/>
      <c r="R31" s="1963"/>
      <c r="S31" s="1963"/>
      <c r="T31" s="1963"/>
      <c r="U31" s="1963"/>
      <c r="V31" s="1963"/>
      <c r="W31" s="1963"/>
      <c r="X31" s="1963"/>
      <c r="Y31" s="1963"/>
      <c r="Z31" s="1963"/>
    </row>
    <row r="32" spans="2:40" ht="21" customHeight="1">
      <c r="C32" s="1496">
        <f>1529+44</f>
        <v>1573</v>
      </c>
      <c r="D32" s="1497">
        <v>13187</v>
      </c>
      <c r="E32" s="1497">
        <v>48029</v>
      </c>
      <c r="F32" s="1497">
        <v>53412</v>
      </c>
      <c r="G32" s="1497">
        <v>52866</v>
      </c>
      <c r="H32" s="1497">
        <v>37137</v>
      </c>
      <c r="I32" s="1497">
        <v>23001</v>
      </c>
      <c r="J32" s="1497">
        <v>110334</v>
      </c>
      <c r="K32" s="1255">
        <f t="shared" si="0"/>
        <v>339539</v>
      </c>
      <c r="L32" s="1507"/>
      <c r="M32" s="1508">
        <v>1976</v>
      </c>
      <c r="N32" s="1509"/>
      <c r="O32" s="1963"/>
      <c r="P32" s="1963"/>
      <c r="Q32" s="3197"/>
      <c r="R32" s="1963"/>
      <c r="S32" s="1963"/>
      <c r="T32" s="1963"/>
      <c r="U32" s="1963"/>
      <c r="V32" s="1963"/>
      <c r="W32" s="1963"/>
      <c r="X32" s="1963"/>
      <c r="Y32" s="1963"/>
      <c r="Z32" s="1963"/>
    </row>
    <row r="33" spans="3:26" ht="21" customHeight="1">
      <c r="C33" s="1492">
        <v>2047</v>
      </c>
      <c r="D33" s="1260">
        <v>26026</v>
      </c>
      <c r="E33" s="1260">
        <v>62021</v>
      </c>
      <c r="F33" s="1260">
        <v>96052</v>
      </c>
      <c r="G33" s="1260">
        <v>78143</v>
      </c>
      <c r="H33" s="1260">
        <v>43044</v>
      </c>
      <c r="I33" s="1260">
        <v>32444</v>
      </c>
      <c r="J33" s="1260">
        <v>114741</v>
      </c>
      <c r="K33" s="1158">
        <f t="shared" si="0"/>
        <v>454518</v>
      </c>
      <c r="L33" s="1504"/>
      <c r="M33" s="1505">
        <v>1977</v>
      </c>
      <c r="N33" s="1506"/>
      <c r="O33" s="1963"/>
      <c r="P33" s="1963"/>
      <c r="Q33" s="3197"/>
      <c r="R33" s="1963"/>
      <c r="S33" s="1963"/>
      <c r="T33" s="1963"/>
      <c r="U33" s="1963"/>
      <c r="V33" s="1963"/>
      <c r="W33" s="1963"/>
      <c r="X33" s="1963"/>
      <c r="Y33" s="1963"/>
      <c r="Z33" s="1963"/>
    </row>
    <row r="34" spans="3:26" ht="21" customHeight="1">
      <c r="C34" s="1496">
        <f>4790-117</f>
        <v>4673</v>
      </c>
      <c r="D34" s="1497">
        <v>29310</v>
      </c>
      <c r="E34" s="1497">
        <v>72866</v>
      </c>
      <c r="F34" s="1497">
        <v>59056</v>
      </c>
      <c r="G34" s="1497">
        <v>70473</v>
      </c>
      <c r="H34" s="1497">
        <v>46779</v>
      </c>
      <c r="I34" s="1497">
        <v>43069</v>
      </c>
      <c r="J34" s="1497">
        <v>132600</v>
      </c>
      <c r="K34" s="1255">
        <f t="shared" si="0"/>
        <v>458826</v>
      </c>
      <c r="L34" s="1507"/>
      <c r="M34" s="1508">
        <v>1978</v>
      </c>
      <c r="N34" s="1509"/>
      <c r="O34" s="1963"/>
      <c r="P34" s="1963"/>
      <c r="Q34" s="3197"/>
      <c r="R34" s="1963"/>
      <c r="S34" s="1963"/>
      <c r="T34" s="1963"/>
      <c r="U34" s="1963"/>
      <c r="V34" s="1963"/>
      <c r="W34" s="1963"/>
      <c r="X34" s="1963"/>
      <c r="Y34" s="1963"/>
      <c r="Z34" s="1963"/>
    </row>
    <row r="35" spans="3:26" ht="21" customHeight="1">
      <c r="C35" s="1492">
        <f>1275+3857</f>
        <v>5132</v>
      </c>
      <c r="D35" s="1260">
        <v>41590</v>
      </c>
      <c r="E35" s="1260">
        <v>73045</v>
      </c>
      <c r="F35" s="1260">
        <v>78940</v>
      </c>
      <c r="G35" s="1260">
        <v>101611</v>
      </c>
      <c r="H35" s="1260">
        <v>73994</v>
      </c>
      <c r="I35" s="1260">
        <v>51889</v>
      </c>
      <c r="J35" s="1260">
        <v>163322</v>
      </c>
      <c r="K35" s="1158">
        <f t="shared" si="0"/>
        <v>589523</v>
      </c>
      <c r="L35" s="1504"/>
      <c r="M35" s="1505">
        <v>1979</v>
      </c>
      <c r="N35" s="1506"/>
      <c r="O35" s="1963"/>
      <c r="P35" s="1963"/>
      <c r="Q35" s="3197"/>
      <c r="R35" s="1963"/>
      <c r="S35" s="1963"/>
      <c r="T35" s="1963"/>
      <c r="U35" s="1963"/>
      <c r="V35" s="1963"/>
      <c r="W35" s="1963"/>
      <c r="X35" s="1963"/>
      <c r="Y35" s="1963"/>
      <c r="Z35" s="1963"/>
    </row>
    <row r="36" spans="3:26" ht="21" customHeight="1">
      <c r="C36" s="1496">
        <v>1993</v>
      </c>
      <c r="D36" s="1497">
        <v>43855</v>
      </c>
      <c r="E36" s="1497">
        <v>112341</v>
      </c>
      <c r="F36" s="1497">
        <v>90547</v>
      </c>
      <c r="G36" s="1497">
        <v>104933</v>
      </c>
      <c r="H36" s="1497">
        <v>122154</v>
      </c>
      <c r="I36" s="1497">
        <v>58043</v>
      </c>
      <c r="J36" s="1497">
        <v>182111</v>
      </c>
      <c r="K36" s="1255">
        <f t="shared" si="0"/>
        <v>715977</v>
      </c>
      <c r="L36" s="1507"/>
      <c r="M36" s="1508">
        <v>1980</v>
      </c>
      <c r="N36" s="1509"/>
      <c r="O36" s="1963"/>
      <c r="P36" s="1963"/>
      <c r="Q36" s="3197"/>
      <c r="R36" s="1963"/>
      <c r="S36" s="1963"/>
      <c r="T36" s="1963"/>
      <c r="U36" s="1963"/>
      <c r="V36" s="1963"/>
      <c r="W36" s="1963"/>
      <c r="X36" s="1963"/>
      <c r="Y36" s="1963"/>
      <c r="Z36" s="1963"/>
    </row>
    <row r="37" spans="3:26" ht="21" customHeight="1">
      <c r="C37" s="1492">
        <v>1812</v>
      </c>
      <c r="D37" s="1260">
        <v>78337</v>
      </c>
      <c r="E37" s="1260">
        <v>155774</v>
      </c>
      <c r="F37" s="1260">
        <v>180851</v>
      </c>
      <c r="G37" s="1260">
        <v>129387</v>
      </c>
      <c r="H37" s="1260">
        <v>176131</v>
      </c>
      <c r="I37" s="1260">
        <v>77060</v>
      </c>
      <c r="J37" s="1260">
        <v>248153</v>
      </c>
      <c r="K37" s="1158">
        <f t="shared" si="0"/>
        <v>1047505</v>
      </c>
      <c r="L37" s="1504"/>
      <c r="M37" s="1505">
        <v>1981</v>
      </c>
      <c r="N37" s="1506"/>
      <c r="O37" s="1963"/>
      <c r="P37" s="1963"/>
      <c r="Q37" s="3197"/>
      <c r="R37" s="1963"/>
      <c r="S37" s="1963"/>
      <c r="T37" s="1963"/>
      <c r="U37" s="1963"/>
      <c r="V37" s="1963"/>
      <c r="W37" s="1963"/>
      <c r="X37" s="1963"/>
      <c r="Y37" s="1963"/>
      <c r="Z37" s="1963"/>
    </row>
    <row r="38" spans="3:26" ht="21" customHeight="1">
      <c r="C38" s="1496">
        <v>2514</v>
      </c>
      <c r="D38" s="1497">
        <v>75283</v>
      </c>
      <c r="E38" s="1497">
        <v>145810</v>
      </c>
      <c r="F38" s="1497">
        <v>170303</v>
      </c>
      <c r="G38" s="1497">
        <v>148352</v>
      </c>
      <c r="H38" s="1497">
        <v>231928</v>
      </c>
      <c r="I38" s="1497">
        <v>73704</v>
      </c>
      <c r="J38" s="1497">
        <v>294599</v>
      </c>
      <c r="K38" s="1255">
        <f t="shared" si="0"/>
        <v>1142493</v>
      </c>
      <c r="L38" s="1507"/>
      <c r="M38" s="1508">
        <v>1982</v>
      </c>
      <c r="N38" s="1509"/>
      <c r="O38" s="1963"/>
      <c r="P38" s="1963"/>
      <c r="Q38" s="3197"/>
      <c r="R38" s="1963"/>
      <c r="S38" s="1963"/>
      <c r="T38" s="1963"/>
      <c r="U38" s="1963"/>
      <c r="V38" s="1963"/>
      <c r="W38" s="1963"/>
      <c r="X38" s="1963"/>
      <c r="Y38" s="1963"/>
      <c r="Z38" s="1963"/>
    </row>
    <row r="39" spans="3:26" ht="21" customHeight="1">
      <c r="C39" s="1492">
        <v>49913</v>
      </c>
      <c r="D39" s="1260">
        <v>59598</v>
      </c>
      <c r="E39" s="1260">
        <v>152298</v>
      </c>
      <c r="F39" s="1260">
        <v>98656</v>
      </c>
      <c r="G39" s="1260">
        <v>170388</v>
      </c>
      <c r="H39" s="1260">
        <v>207399</v>
      </c>
      <c r="I39" s="1260">
        <v>90336</v>
      </c>
      <c r="J39" s="1260">
        <v>274722</v>
      </c>
      <c r="K39" s="1158">
        <f t="shared" si="0"/>
        <v>1103310</v>
      </c>
      <c r="L39" s="1504"/>
      <c r="M39" s="1505">
        <v>1983</v>
      </c>
      <c r="N39" s="1506"/>
      <c r="O39" s="1963"/>
      <c r="P39" s="1963"/>
      <c r="Q39" s="3197"/>
      <c r="R39" s="1963"/>
      <c r="S39" s="1963"/>
      <c r="T39" s="1963"/>
      <c r="U39" s="1963"/>
      <c r="V39" s="1963"/>
      <c r="W39" s="1963"/>
      <c r="X39" s="1963"/>
      <c r="Y39" s="1963"/>
      <c r="Z39" s="1963"/>
    </row>
    <row r="40" spans="3:26" ht="21" customHeight="1">
      <c r="C40" s="1496">
        <v>29937</v>
      </c>
      <c r="D40" s="1497">
        <v>105398</v>
      </c>
      <c r="E40" s="1497">
        <v>3229</v>
      </c>
      <c r="F40" s="1497">
        <v>61906</v>
      </c>
      <c r="G40" s="1497">
        <v>248617</v>
      </c>
      <c r="H40" s="1497">
        <v>205129</v>
      </c>
      <c r="I40" s="1497">
        <v>128366</v>
      </c>
      <c r="J40" s="1497">
        <v>288758</v>
      </c>
      <c r="K40" s="1255">
        <f t="shared" si="0"/>
        <v>1071340</v>
      </c>
      <c r="L40" s="1507"/>
      <c r="M40" s="1508">
        <v>1984</v>
      </c>
      <c r="N40" s="1509"/>
      <c r="O40" s="1963"/>
      <c r="P40" s="1963"/>
      <c r="Q40" s="3197"/>
      <c r="R40" s="1963"/>
      <c r="S40" s="1963"/>
      <c r="T40" s="1963"/>
      <c r="U40" s="1963"/>
      <c r="V40" s="1963"/>
      <c r="W40" s="1963"/>
      <c r="X40" s="1963"/>
      <c r="Y40" s="1963"/>
      <c r="Z40" s="1963"/>
    </row>
    <row r="41" spans="3:26" ht="21" customHeight="1">
      <c r="C41" s="1492">
        <v>23657</v>
      </c>
      <c r="D41" s="1260">
        <v>116724</v>
      </c>
      <c r="E41" s="1260">
        <v>3438</v>
      </c>
      <c r="F41" s="1260">
        <v>81169</v>
      </c>
      <c r="G41" s="1260">
        <v>271056</v>
      </c>
      <c r="H41" s="1260">
        <v>193639</v>
      </c>
      <c r="I41" s="1260">
        <v>93866</v>
      </c>
      <c r="J41" s="1260">
        <v>290896</v>
      </c>
      <c r="K41" s="1158">
        <f t="shared" si="0"/>
        <v>1074445</v>
      </c>
      <c r="L41" s="1504"/>
      <c r="M41" s="1505">
        <v>1985</v>
      </c>
      <c r="N41" s="1506"/>
      <c r="O41" s="1963"/>
      <c r="P41" s="1963"/>
      <c r="Q41" s="3197"/>
      <c r="R41" s="1963"/>
      <c r="S41" s="1963"/>
      <c r="T41" s="1963"/>
      <c r="U41" s="1963"/>
      <c r="V41" s="1963"/>
      <c r="W41" s="1963"/>
      <c r="X41" s="1963"/>
      <c r="Y41" s="1963"/>
      <c r="Z41" s="1963"/>
    </row>
    <row r="42" spans="3:26" ht="21" customHeight="1">
      <c r="C42" s="1496">
        <v>40945</v>
      </c>
      <c r="D42" s="1497">
        <v>93164</v>
      </c>
      <c r="E42" s="1497">
        <v>3229</v>
      </c>
      <c r="F42" s="1497">
        <v>45090</v>
      </c>
      <c r="G42" s="1497">
        <v>198464</v>
      </c>
      <c r="H42" s="1497">
        <v>111077</v>
      </c>
      <c r="I42" s="1497">
        <v>108794</v>
      </c>
      <c r="J42" s="1497">
        <v>249436</v>
      </c>
      <c r="K42" s="1255">
        <f t="shared" si="0"/>
        <v>850199</v>
      </c>
      <c r="L42" s="1507"/>
      <c r="M42" s="1508">
        <v>1986</v>
      </c>
      <c r="N42" s="1509"/>
      <c r="O42" s="1963"/>
      <c r="P42" s="1963"/>
      <c r="Q42" s="3197"/>
      <c r="R42" s="1963"/>
      <c r="S42" s="1963"/>
      <c r="T42" s="1963"/>
      <c r="U42" s="1963"/>
      <c r="V42" s="1963"/>
      <c r="W42" s="1963"/>
      <c r="X42" s="1963"/>
      <c r="Y42" s="1963"/>
      <c r="Z42" s="1963"/>
    </row>
    <row r="43" spans="3:26" ht="21" customHeight="1">
      <c r="C43" s="1492">
        <v>19720</v>
      </c>
      <c r="D43" s="1260">
        <v>103218</v>
      </c>
      <c r="E43" s="1260">
        <v>3762</v>
      </c>
      <c r="F43" s="1260">
        <v>55833</v>
      </c>
      <c r="G43" s="1260">
        <v>221974</v>
      </c>
      <c r="H43" s="1260">
        <v>149037</v>
      </c>
      <c r="I43" s="1260">
        <v>113676</v>
      </c>
      <c r="J43" s="1260">
        <v>248335</v>
      </c>
      <c r="K43" s="1158">
        <f t="shared" si="0"/>
        <v>915555</v>
      </c>
      <c r="L43" s="1504"/>
      <c r="M43" s="1505">
        <v>1987</v>
      </c>
      <c r="N43" s="1506"/>
      <c r="O43" s="1963"/>
      <c r="Q43" s="3197"/>
    </row>
    <row r="44" spans="3:26" ht="21" customHeight="1">
      <c r="C44" s="1496">
        <f>36857+801</f>
        <v>37658</v>
      </c>
      <c r="D44" s="1497">
        <v>128123</v>
      </c>
      <c r="E44" s="1497">
        <v>2112</v>
      </c>
      <c r="F44" s="1497">
        <v>89216</v>
      </c>
      <c r="G44" s="1497">
        <v>262011</v>
      </c>
      <c r="H44" s="1497">
        <v>131733</v>
      </c>
      <c r="I44" s="1497">
        <v>117631</v>
      </c>
      <c r="J44" s="1497">
        <v>253985</v>
      </c>
      <c r="K44" s="1255">
        <f t="shared" si="0"/>
        <v>1022469</v>
      </c>
      <c r="L44" s="1507"/>
      <c r="M44" s="1508">
        <v>1988</v>
      </c>
      <c r="N44" s="1509"/>
      <c r="O44" s="1963"/>
      <c r="P44" s="3199"/>
      <c r="Q44" s="3197"/>
    </row>
    <row r="45" spans="3:26" ht="21" customHeight="1">
      <c r="C45" s="1492">
        <f>29923-132</f>
        <v>29791</v>
      </c>
      <c r="D45" s="1260">
        <v>140660</v>
      </c>
      <c r="E45" s="1260">
        <v>2123</v>
      </c>
      <c r="F45" s="1260">
        <v>119283</v>
      </c>
      <c r="G45" s="1260">
        <v>319886</v>
      </c>
      <c r="H45" s="1260">
        <v>203907</v>
      </c>
      <c r="I45" s="1260">
        <v>111441</v>
      </c>
      <c r="J45" s="1260">
        <v>302919</v>
      </c>
      <c r="K45" s="1158">
        <f t="shared" si="0"/>
        <v>1230010</v>
      </c>
      <c r="L45" s="1504"/>
      <c r="M45" s="1505">
        <v>1989</v>
      </c>
      <c r="N45" s="1506"/>
      <c r="O45" s="1963"/>
      <c r="P45" s="3199"/>
      <c r="Q45" s="3197"/>
    </row>
    <row r="46" spans="3:26" ht="21" customHeight="1">
      <c r="C46" s="1496">
        <v>39374</v>
      </c>
      <c r="D46" s="1497">
        <v>1909</v>
      </c>
      <c r="E46" s="1497">
        <f>14240+99286</f>
        <v>113526</v>
      </c>
      <c r="F46" s="1497">
        <f>24638+119650</f>
        <v>144288</v>
      </c>
      <c r="G46" s="1497">
        <f>15001+672151</f>
        <v>687152</v>
      </c>
      <c r="H46" s="1497">
        <v>305753</v>
      </c>
      <c r="I46" s="1497">
        <v>60553</v>
      </c>
      <c r="J46" s="1497">
        <v>373273</v>
      </c>
      <c r="K46" s="1255">
        <f t="shared" si="0"/>
        <v>1725828</v>
      </c>
      <c r="L46" s="1507"/>
      <c r="M46" s="1508" t="s">
        <v>1331</v>
      </c>
      <c r="N46" s="1509"/>
      <c r="O46" s="1963"/>
      <c r="P46" s="3199"/>
      <c r="Q46" s="3197"/>
    </row>
    <row r="47" spans="3:26" ht="21" customHeight="1">
      <c r="C47" s="1492">
        <v>15013</v>
      </c>
      <c r="D47" s="1260">
        <v>2324</v>
      </c>
      <c r="E47" s="1260">
        <f>11822+106122</f>
        <v>117944</v>
      </c>
      <c r="F47" s="1260">
        <f>101571+29402</f>
        <v>130973</v>
      </c>
      <c r="G47" s="1260">
        <f>17182+714377</f>
        <v>731559</v>
      </c>
      <c r="H47" s="1260">
        <v>241492</v>
      </c>
      <c r="I47" s="1260">
        <v>53347</v>
      </c>
      <c r="J47" s="1260">
        <v>417811</v>
      </c>
      <c r="K47" s="1158">
        <f t="shared" si="0"/>
        <v>1710463</v>
      </c>
      <c r="L47" s="1504"/>
      <c r="M47" s="1505">
        <v>1991</v>
      </c>
      <c r="N47" s="1506"/>
      <c r="O47" s="1963"/>
      <c r="Q47" s="3197"/>
    </row>
    <row r="48" spans="3:26" ht="21" customHeight="1">
      <c r="C48" s="1496">
        <v>36016</v>
      </c>
      <c r="D48" s="1497">
        <v>2147</v>
      </c>
      <c r="E48" s="1497">
        <f>18713+226915</f>
        <v>245628</v>
      </c>
      <c r="F48" s="1497">
        <f>142801+70767</f>
        <v>213568</v>
      </c>
      <c r="G48" s="1497">
        <f>44439+828775</f>
        <v>873214</v>
      </c>
      <c r="H48" s="1497">
        <v>289798</v>
      </c>
      <c r="I48" s="1497">
        <v>85062</v>
      </c>
      <c r="J48" s="1497">
        <v>468569</v>
      </c>
      <c r="K48" s="1255">
        <f t="shared" si="0"/>
        <v>2214002</v>
      </c>
      <c r="L48" s="1507"/>
      <c r="M48" s="1508">
        <v>1992</v>
      </c>
      <c r="N48" s="1509"/>
      <c r="O48" s="1963"/>
      <c r="Q48" s="3197"/>
    </row>
    <row r="49" spans="2:17" ht="21" customHeight="1">
      <c r="C49" s="1492">
        <v>37494</v>
      </c>
      <c r="D49" s="1260">
        <v>1269</v>
      </c>
      <c r="E49" s="1260">
        <f>21809+296428</f>
        <v>318237</v>
      </c>
      <c r="F49" s="1260">
        <f>149894+93295</f>
        <v>243189</v>
      </c>
      <c r="G49" s="1260">
        <f>62953+928532</f>
        <v>991485</v>
      </c>
      <c r="H49" s="1260">
        <v>306156</v>
      </c>
      <c r="I49" s="1260">
        <v>96374</v>
      </c>
      <c r="J49" s="1260">
        <v>459421</v>
      </c>
      <c r="K49" s="1158">
        <f t="shared" si="0"/>
        <v>2453625</v>
      </c>
      <c r="L49" s="1504"/>
      <c r="M49" s="1505">
        <v>1993</v>
      </c>
      <c r="N49" s="1506"/>
      <c r="O49" s="1963"/>
      <c r="Q49" s="3197"/>
    </row>
    <row r="50" spans="2:17" ht="21" customHeight="1">
      <c r="C50" s="1496">
        <v>11913</v>
      </c>
      <c r="D50" s="1497">
        <v>1642</v>
      </c>
      <c r="E50" s="1497">
        <f>34420+299751</f>
        <v>334171</v>
      </c>
      <c r="F50" s="1497">
        <f>116653+77046</f>
        <v>193699</v>
      </c>
      <c r="G50" s="1497">
        <f>33316+946927</f>
        <v>980243</v>
      </c>
      <c r="H50" s="1497">
        <v>289043</v>
      </c>
      <c r="I50" s="1497">
        <v>89798</v>
      </c>
      <c r="J50" s="1497">
        <v>462074</v>
      </c>
      <c r="K50" s="1255">
        <f t="shared" si="0"/>
        <v>2362583</v>
      </c>
      <c r="L50" s="1507"/>
      <c r="M50" s="1508">
        <v>1994</v>
      </c>
      <c r="N50" s="1509"/>
      <c r="O50" s="1963"/>
      <c r="Q50" s="3197"/>
    </row>
    <row r="51" spans="2:17" ht="21" customHeight="1">
      <c r="C51" s="1492">
        <v>13865</v>
      </c>
      <c r="D51" s="1260">
        <v>1828</v>
      </c>
      <c r="E51" s="1260">
        <f>43748+294525</f>
        <v>338273</v>
      </c>
      <c r="F51" s="1260">
        <f>110891+96464</f>
        <v>207355</v>
      </c>
      <c r="G51" s="1260">
        <f>28038+1076354</f>
        <v>1104392</v>
      </c>
      <c r="H51" s="1260">
        <v>324092</v>
      </c>
      <c r="I51" s="1260">
        <v>116635</v>
      </c>
      <c r="J51" s="1260">
        <v>483810</v>
      </c>
      <c r="K51" s="1158">
        <f t="shared" si="0"/>
        <v>2590250</v>
      </c>
      <c r="L51" s="1504"/>
      <c r="M51" s="1505">
        <v>1995</v>
      </c>
      <c r="N51" s="1506"/>
      <c r="O51" s="1963"/>
      <c r="Q51" s="3197"/>
    </row>
    <row r="52" spans="2:17" ht="21" customHeight="1">
      <c r="C52" s="1496">
        <v>584</v>
      </c>
      <c r="D52" s="1497">
        <v>1615</v>
      </c>
      <c r="E52" s="1497">
        <f>61906+357498</f>
        <v>419404</v>
      </c>
      <c r="F52" s="1497">
        <f>128718+115211</f>
        <v>243929</v>
      </c>
      <c r="G52" s="1497">
        <f>30474+1256623</f>
        <v>1287097</v>
      </c>
      <c r="H52" s="1497">
        <v>363791</v>
      </c>
      <c r="I52" s="1497">
        <v>147871</v>
      </c>
      <c r="J52" s="1497">
        <v>579265</v>
      </c>
      <c r="K52" s="1255">
        <f t="shared" si="0"/>
        <v>3043556</v>
      </c>
      <c r="L52" s="1507"/>
      <c r="M52" s="1508">
        <v>1996</v>
      </c>
      <c r="N52" s="1509"/>
      <c r="O52" s="1963"/>
      <c r="Q52" s="3197"/>
    </row>
    <row r="53" spans="2:17" ht="21" customHeight="1">
      <c r="C53" s="1492">
        <v>681</v>
      </c>
      <c r="D53" s="1260">
        <v>1907</v>
      </c>
      <c r="E53" s="1260">
        <f>67079+332983</f>
        <v>400062</v>
      </c>
      <c r="F53" s="1260">
        <f>124663+122639</f>
        <v>247302</v>
      </c>
      <c r="G53" s="1260">
        <f>26229+1151583</f>
        <v>1177812</v>
      </c>
      <c r="H53" s="1260">
        <v>374246</v>
      </c>
      <c r="I53" s="1260">
        <v>148551</v>
      </c>
      <c r="J53" s="1260">
        <v>557524</v>
      </c>
      <c r="K53" s="1158">
        <f t="shared" si="0"/>
        <v>2908085</v>
      </c>
      <c r="L53" s="1504"/>
      <c r="M53" s="1505">
        <v>1997</v>
      </c>
      <c r="N53" s="1506"/>
      <c r="O53" s="1963"/>
      <c r="Q53" s="3197"/>
    </row>
    <row r="54" spans="2:17" ht="21" customHeight="1">
      <c r="C54" s="1496">
        <v>1243</v>
      </c>
      <c r="D54" s="1497">
        <v>2364</v>
      </c>
      <c r="E54" s="1497">
        <v>368152</v>
      </c>
      <c r="F54" s="1497">
        <v>219405</v>
      </c>
      <c r="G54" s="1497">
        <v>1116538</v>
      </c>
      <c r="H54" s="1497">
        <v>244265</v>
      </c>
      <c r="I54" s="1497">
        <v>215925</v>
      </c>
      <c r="J54" s="1497">
        <v>546482</v>
      </c>
      <c r="K54" s="1255">
        <f t="shared" si="0"/>
        <v>2714374</v>
      </c>
      <c r="L54" s="1507"/>
      <c r="M54" s="1508">
        <v>1998</v>
      </c>
      <c r="N54" s="1509"/>
      <c r="O54" s="1963"/>
      <c r="Q54" s="3197"/>
    </row>
    <row r="55" spans="2:17" ht="21" customHeight="1">
      <c r="C55" s="1492">
        <v>11359</v>
      </c>
      <c r="D55" s="1260">
        <v>2293</v>
      </c>
      <c r="E55" s="1260">
        <v>351967</v>
      </c>
      <c r="F55" s="1260">
        <v>179357</v>
      </c>
      <c r="G55" s="1260">
        <v>997438</v>
      </c>
      <c r="H55" s="1260">
        <v>309882</v>
      </c>
      <c r="I55" s="1260">
        <v>243865</v>
      </c>
      <c r="J55" s="1260">
        <v>539046</v>
      </c>
      <c r="K55" s="1158">
        <f t="shared" si="0"/>
        <v>2635207</v>
      </c>
      <c r="L55" s="1504"/>
      <c r="M55" s="1505">
        <v>1999</v>
      </c>
      <c r="N55" s="1506"/>
      <c r="O55" s="1963"/>
      <c r="Q55" s="3197"/>
    </row>
    <row r="56" spans="2:17" ht="21" customHeight="1">
      <c r="B56" s="3199"/>
      <c r="C56" s="1496">
        <v>73199</v>
      </c>
      <c r="D56" s="1497">
        <v>1932</v>
      </c>
      <c r="E56" s="1497">
        <v>389137</v>
      </c>
      <c r="F56" s="1497">
        <v>184567</v>
      </c>
      <c r="G56" s="1497">
        <v>1127102</v>
      </c>
      <c r="H56" s="1497">
        <v>498569</v>
      </c>
      <c r="I56" s="1497">
        <v>392865</v>
      </c>
      <c r="J56" s="1497">
        <v>592033</v>
      </c>
      <c r="K56" s="1255">
        <f t="shared" si="0"/>
        <v>3259404</v>
      </c>
      <c r="L56" s="1507"/>
      <c r="M56" s="1508">
        <v>2000</v>
      </c>
      <c r="N56" s="1509"/>
      <c r="O56" s="1963"/>
      <c r="Q56" s="3197"/>
    </row>
    <row r="57" spans="2:17" ht="21" customHeight="1">
      <c r="B57" s="3199"/>
      <c r="C57" s="1492">
        <v>47087</v>
      </c>
      <c r="D57" s="1260">
        <v>1977</v>
      </c>
      <c r="E57" s="1260">
        <v>477415</v>
      </c>
      <c r="F57" s="1260">
        <v>188907</v>
      </c>
      <c r="G57" s="1260">
        <v>1338054</v>
      </c>
      <c r="H57" s="1260">
        <v>484470</v>
      </c>
      <c r="I57" s="1260">
        <v>299703</v>
      </c>
      <c r="J57" s="1260">
        <v>616116</v>
      </c>
      <c r="K57" s="1158">
        <f t="shared" si="0"/>
        <v>3453729</v>
      </c>
      <c r="L57" s="1504"/>
      <c r="M57" s="1505">
        <v>2001</v>
      </c>
      <c r="N57" s="1506"/>
      <c r="O57" s="1963"/>
      <c r="Q57" s="3197"/>
    </row>
    <row r="58" spans="2:17" ht="21" customHeight="1">
      <c r="B58" s="3199"/>
      <c r="C58" s="1496">
        <v>67821</v>
      </c>
      <c r="D58" s="1497">
        <v>2540</v>
      </c>
      <c r="E58" s="1497">
        <v>442852</v>
      </c>
      <c r="F58" s="1497">
        <v>219152</v>
      </c>
      <c r="G58" s="1497">
        <v>1362480</v>
      </c>
      <c r="H58" s="1497">
        <v>540240</v>
      </c>
      <c r="I58" s="1497">
        <v>288205</v>
      </c>
      <c r="J58" s="1497">
        <v>675870</v>
      </c>
      <c r="K58" s="1255">
        <f t="shared" si="0"/>
        <v>3599160</v>
      </c>
      <c r="L58" s="1507"/>
      <c r="M58" s="1508">
        <v>2002</v>
      </c>
      <c r="N58" s="1509"/>
      <c r="O58" s="1963"/>
      <c r="Q58" s="3197"/>
    </row>
    <row r="59" spans="2:17" ht="21" customHeight="1">
      <c r="B59" s="3199"/>
      <c r="C59" s="1492">
        <v>84141</v>
      </c>
      <c r="D59" s="1260">
        <v>2282</v>
      </c>
      <c r="E59" s="1260">
        <v>490688</v>
      </c>
      <c r="F59" s="1260">
        <v>211506</v>
      </c>
      <c r="G59" s="1260">
        <v>1573625</v>
      </c>
      <c r="H59" s="1260">
        <v>661445</v>
      </c>
      <c r="I59" s="1260">
        <v>272437</v>
      </c>
      <c r="J59" s="1260">
        <v>775884</v>
      </c>
      <c r="K59" s="1158">
        <f>J59+I59+H59+G59+F59+E59+D59+C59</f>
        <v>4072008</v>
      </c>
      <c r="L59" s="1504"/>
      <c r="M59" s="1505">
        <v>2003</v>
      </c>
      <c r="N59" s="1506"/>
      <c r="O59" s="1963"/>
      <c r="Q59" s="3197"/>
    </row>
    <row r="60" spans="2:17" ht="21" customHeight="1">
      <c r="B60" s="3199"/>
      <c r="C60" s="1496">
        <v>101968</v>
      </c>
      <c r="D60" s="1497">
        <v>2695</v>
      </c>
      <c r="E60" s="1497">
        <v>762386</v>
      </c>
      <c r="F60" s="1497">
        <v>250209</v>
      </c>
      <c r="G60" s="1497">
        <v>2212793</v>
      </c>
      <c r="H60" s="1497">
        <v>1067050</v>
      </c>
      <c r="I60" s="1497">
        <v>437068</v>
      </c>
      <c r="J60" s="1497">
        <v>965072</v>
      </c>
      <c r="K60" s="1255">
        <f t="shared" si="0"/>
        <v>5799241</v>
      </c>
      <c r="L60" s="1507"/>
      <c r="M60" s="1508">
        <v>2004</v>
      </c>
      <c r="N60" s="1509"/>
      <c r="O60" s="1963"/>
      <c r="Q60" s="3197"/>
    </row>
    <row r="61" spans="2:17" ht="21.95" customHeight="1">
      <c r="C61" s="1492">
        <v>138191</v>
      </c>
      <c r="D61" s="1157">
        <v>3187</v>
      </c>
      <c r="E61" s="1157">
        <f>207205+903299</f>
        <v>1110504</v>
      </c>
      <c r="F61" s="1157">
        <f>153678+150838</f>
        <v>304516</v>
      </c>
      <c r="G61" s="1157">
        <f>93058+2334033</f>
        <v>2427091</v>
      </c>
      <c r="H61" s="1157">
        <v>1648716</v>
      </c>
      <c r="I61" s="1157">
        <v>658082</v>
      </c>
      <c r="J61" s="1157">
        <v>1152577</v>
      </c>
      <c r="K61" s="1158">
        <f t="shared" si="0"/>
        <v>7442864</v>
      </c>
      <c r="L61" s="1504"/>
      <c r="M61" s="1505">
        <v>2005</v>
      </c>
      <c r="N61" s="1506"/>
    </row>
    <row r="62" spans="2:17" ht="21.95" customHeight="1">
      <c r="C62" s="1496">
        <v>145803</v>
      </c>
      <c r="D62" s="1497">
        <v>3023</v>
      </c>
      <c r="E62" s="1497">
        <f>150917+982300</f>
        <v>1133217</v>
      </c>
      <c r="F62" s="1497">
        <f>140720+168193</f>
        <v>308913</v>
      </c>
      <c r="G62" s="1497">
        <f>114591+2513324</f>
        <v>2627915</v>
      </c>
      <c r="H62" s="1497">
        <v>1868008</v>
      </c>
      <c r="I62" s="1497">
        <v>716501</v>
      </c>
      <c r="J62" s="1497">
        <v>1384345</v>
      </c>
      <c r="K62" s="1255">
        <f t="shared" si="0"/>
        <v>8187725</v>
      </c>
      <c r="L62" s="1507"/>
      <c r="M62" s="1508">
        <v>2006</v>
      </c>
      <c r="N62" s="1509"/>
    </row>
    <row r="63" spans="2:17" ht="21.95" customHeight="1">
      <c r="C63" s="1492">
        <v>130913</v>
      </c>
      <c r="D63" s="1157">
        <v>3352</v>
      </c>
      <c r="E63" s="1157">
        <f>250934+1265349</f>
        <v>1516283</v>
      </c>
      <c r="F63" s="1157">
        <f>155012+221741</f>
        <v>376753</v>
      </c>
      <c r="G63" s="1157">
        <f>128042+3194219</f>
        <v>3322261</v>
      </c>
      <c r="H63" s="1157">
        <v>2017683</v>
      </c>
      <c r="I63" s="1157">
        <v>756731</v>
      </c>
      <c r="J63" s="1157">
        <v>1598218</v>
      </c>
      <c r="K63" s="1158">
        <f t="shared" si="0"/>
        <v>9722194</v>
      </c>
      <c r="L63" s="1504"/>
      <c r="M63" s="1505">
        <v>2007</v>
      </c>
      <c r="N63" s="1506"/>
    </row>
    <row r="64" spans="2:17" ht="21.95" customHeight="1">
      <c r="C64" s="1496">
        <v>149166</v>
      </c>
      <c r="D64" s="1497">
        <v>2958</v>
      </c>
      <c r="E64" s="1497">
        <f>288551+1529047</f>
        <v>1817598</v>
      </c>
      <c r="F64" s="1497">
        <f>169285+134895</f>
        <v>304180</v>
      </c>
      <c r="G64" s="1497">
        <f>6828873-H64</f>
        <v>4284620</v>
      </c>
      <c r="H64" s="1497">
        <v>2544253</v>
      </c>
      <c r="I64" s="1497">
        <v>933167</v>
      </c>
      <c r="J64" s="1497">
        <v>2024953</v>
      </c>
      <c r="K64" s="1255">
        <f t="shared" si="0"/>
        <v>12060895</v>
      </c>
      <c r="L64" s="1507"/>
      <c r="M64" s="1508">
        <v>2008</v>
      </c>
      <c r="N64" s="1509"/>
    </row>
    <row r="65" spans="3:17" s="1191" customFormat="1">
      <c r="C65" s="1492">
        <v>185414</v>
      </c>
      <c r="D65" s="1157">
        <v>3385</v>
      </c>
      <c r="E65" s="1157">
        <f>260925+1129517</f>
        <v>1390442</v>
      </c>
      <c r="F65" s="1157">
        <f>240455+177001</f>
        <v>417456</v>
      </c>
      <c r="G65" s="1157">
        <f>166926+3113675</f>
        <v>3280601</v>
      </c>
      <c r="H65" s="1157">
        <v>1755060</v>
      </c>
      <c r="I65" s="1157">
        <v>992118</v>
      </c>
      <c r="J65" s="1157">
        <v>2083220</v>
      </c>
      <c r="K65" s="1158">
        <f t="shared" si="0"/>
        <v>10107696</v>
      </c>
      <c r="L65" s="1504"/>
      <c r="M65" s="1505">
        <v>2009</v>
      </c>
      <c r="N65" s="1506"/>
      <c r="O65" s="409"/>
      <c r="P65" s="409"/>
      <c r="Q65" s="3230"/>
    </row>
    <row r="66" spans="3:17" s="1191" customFormat="1">
      <c r="C66" s="1496">
        <v>172424</v>
      </c>
      <c r="D66" s="1497">
        <v>2546</v>
      </c>
      <c r="E66" s="1497">
        <f>218231+1264487</f>
        <v>1482718</v>
      </c>
      <c r="F66" s="1497">
        <f>165871+142536</f>
        <v>308407</v>
      </c>
      <c r="G66" s="1497">
        <v>3540134</v>
      </c>
      <c r="H66" s="1497">
        <v>2364464</v>
      </c>
      <c r="I66" s="1497">
        <v>988077</v>
      </c>
      <c r="J66" s="1497">
        <v>2191356</v>
      </c>
      <c r="K66" s="1255">
        <f t="shared" si="0"/>
        <v>11050126</v>
      </c>
      <c r="L66" s="1507"/>
      <c r="M66" s="1508">
        <v>2010</v>
      </c>
      <c r="N66" s="1509"/>
      <c r="O66" s="409"/>
      <c r="P66" s="409"/>
      <c r="Q66" s="3230"/>
    </row>
    <row r="67" spans="3:17" s="1191" customFormat="1">
      <c r="C67" s="1492">
        <v>191263</v>
      </c>
      <c r="D67" s="1157">
        <v>2834</v>
      </c>
      <c r="E67" s="1157">
        <v>1509863</v>
      </c>
      <c r="F67" s="1157">
        <v>286571</v>
      </c>
      <c r="G67" s="1157">
        <v>4294180</v>
      </c>
      <c r="H67" s="1157">
        <v>3702415</v>
      </c>
      <c r="I67" s="1157">
        <v>910428</v>
      </c>
      <c r="J67" s="1157">
        <v>2542661</v>
      </c>
      <c r="K67" s="1158">
        <f t="shared" si="0"/>
        <v>13440215</v>
      </c>
      <c r="L67" s="1504"/>
      <c r="M67" s="1505">
        <v>2011</v>
      </c>
      <c r="N67" s="1506"/>
      <c r="O67" s="409"/>
      <c r="P67" s="409"/>
      <c r="Q67" s="3230"/>
    </row>
    <row r="68" spans="3:17" s="1191" customFormat="1">
      <c r="C68" s="1496">
        <v>221821</v>
      </c>
      <c r="D68" s="1497">
        <v>2436</v>
      </c>
      <c r="E68" s="1497">
        <v>1389426</v>
      </c>
      <c r="F68" s="1497">
        <v>338585</v>
      </c>
      <c r="G68" s="1497">
        <v>4467603</v>
      </c>
      <c r="H68" s="1497">
        <v>4571281</v>
      </c>
      <c r="I68" s="1497">
        <v>950859</v>
      </c>
      <c r="J68" s="1497">
        <v>2791738</v>
      </c>
      <c r="K68" s="1255">
        <f>J68+I68+H68+G68+F68+E68+D68+C68</f>
        <v>14733749</v>
      </c>
      <c r="L68" s="1507"/>
      <c r="M68" s="1508">
        <v>2012</v>
      </c>
      <c r="N68" s="1509"/>
      <c r="O68" s="409"/>
      <c r="P68" s="409"/>
      <c r="Q68" s="3230"/>
    </row>
    <row r="69" spans="3:17" s="1191" customFormat="1">
      <c r="C69" s="1492">
        <f>233176+214</f>
        <v>233390</v>
      </c>
      <c r="D69" s="1157">
        <v>3558</v>
      </c>
      <c r="E69" s="1157">
        <f>257356+1480784</f>
        <v>1738140</v>
      </c>
      <c r="F69" s="1157">
        <f>176464+207689</f>
        <v>384153</v>
      </c>
      <c r="G69" s="1157">
        <f>9183009-4068892</f>
        <v>5114117</v>
      </c>
      <c r="H69" s="1157">
        <v>4068892</v>
      </c>
      <c r="I69" s="1157">
        <v>1097765</v>
      </c>
      <c r="J69" s="1157">
        <v>3027329</v>
      </c>
      <c r="K69" s="1158">
        <f t="shared" si="0"/>
        <v>15667344</v>
      </c>
      <c r="L69" s="1504"/>
      <c r="M69" s="1505">
        <v>2013</v>
      </c>
      <c r="N69" s="1506"/>
      <c r="O69" s="409"/>
      <c r="P69" s="409"/>
      <c r="Q69" s="3230"/>
    </row>
    <row r="70" spans="3:17" s="1191" customFormat="1">
      <c r="C70" s="1496">
        <v>267304</v>
      </c>
      <c r="D70" s="1497">
        <v>3700</v>
      </c>
      <c r="E70" s="1497">
        <v>1600121</v>
      </c>
      <c r="F70" s="1497">
        <v>444934</v>
      </c>
      <c r="G70" s="1497">
        <v>5237785</v>
      </c>
      <c r="H70" s="1497">
        <v>4349404</v>
      </c>
      <c r="I70" s="1497">
        <v>1187816</v>
      </c>
      <c r="J70" s="1497">
        <v>3189125</v>
      </c>
      <c r="K70" s="1255">
        <v>16280189</v>
      </c>
      <c r="L70" s="1507"/>
      <c r="M70" s="1508">
        <v>2014</v>
      </c>
      <c r="N70" s="1509"/>
      <c r="O70" s="409"/>
      <c r="P70" s="409"/>
      <c r="Q70" s="3230"/>
    </row>
    <row r="71" spans="3:17" s="1191" customFormat="1">
      <c r="C71" s="1492">
        <v>274307</v>
      </c>
      <c r="D71" s="1157">
        <v>3094</v>
      </c>
      <c r="E71" s="1157">
        <f>384891+1387491</f>
        <v>1772382</v>
      </c>
      <c r="F71" s="1157">
        <v>510683</v>
      </c>
      <c r="G71" s="1157">
        <v>5009871</v>
      </c>
      <c r="H71" s="1157">
        <v>2443663</v>
      </c>
      <c r="I71" s="1157">
        <v>1270268</v>
      </c>
      <c r="J71" s="1157">
        <v>3252911</v>
      </c>
      <c r="K71" s="1158">
        <v>14537182</v>
      </c>
      <c r="L71" s="1504"/>
      <c r="M71" s="1606">
        <v>2015</v>
      </c>
      <c r="N71" s="1506"/>
      <c r="O71" s="409"/>
      <c r="P71" s="409"/>
      <c r="Q71" s="3230"/>
    </row>
    <row r="72" spans="3:17" s="1191" customFormat="1" ht="24">
      <c r="C72" s="1496">
        <v>221676</v>
      </c>
      <c r="D72" s="1254">
        <v>3396</v>
      </c>
      <c r="E72" s="1254">
        <v>1644949</v>
      </c>
      <c r="F72" s="1254">
        <v>532691</v>
      </c>
      <c r="G72" s="1254">
        <v>4675760</v>
      </c>
      <c r="H72" s="1254">
        <v>1926850</v>
      </c>
      <c r="I72" s="1254">
        <v>1411733</v>
      </c>
      <c r="J72" s="1254">
        <v>3303319</v>
      </c>
      <c r="K72" s="1255">
        <v>13720374</v>
      </c>
      <c r="L72" s="1507"/>
      <c r="M72" s="1653" t="s">
        <v>2620</v>
      </c>
      <c r="N72" s="1509"/>
      <c r="O72" s="409"/>
      <c r="P72" s="409"/>
      <c r="Q72" s="3230"/>
    </row>
    <row r="73" spans="3:17" s="1191" customFormat="1" ht="24">
      <c r="C73" s="1492">
        <v>256095</v>
      </c>
      <c r="D73" s="1157">
        <v>5061</v>
      </c>
      <c r="E73" s="1157">
        <v>2032111</v>
      </c>
      <c r="F73" s="1157">
        <v>512312</v>
      </c>
      <c r="G73" s="1157">
        <v>4590988</v>
      </c>
      <c r="H73" s="1157">
        <v>2401992</v>
      </c>
      <c r="I73" s="1157">
        <v>1561627</v>
      </c>
      <c r="J73" s="1157">
        <v>3193533</v>
      </c>
      <c r="K73" s="1158">
        <v>14553720</v>
      </c>
      <c r="L73" s="1504"/>
      <c r="M73" s="3231" t="s">
        <v>2750</v>
      </c>
      <c r="N73" s="1506"/>
      <c r="O73" s="409"/>
      <c r="P73" s="409"/>
      <c r="Q73" s="3230"/>
    </row>
    <row r="74" spans="3:17" s="1191" customFormat="1" ht="24">
      <c r="C74" s="1496">
        <v>255723</v>
      </c>
      <c r="D74" s="1254">
        <v>4668</v>
      </c>
      <c r="E74" s="1254">
        <v>1764114</v>
      </c>
      <c r="F74" s="1254">
        <v>468072</v>
      </c>
      <c r="G74" s="1254">
        <v>4677128</v>
      </c>
      <c r="H74" s="1254">
        <v>2973905</v>
      </c>
      <c r="I74" s="1254">
        <v>1223512</v>
      </c>
      <c r="J74" s="1254">
        <v>3052906</v>
      </c>
      <c r="K74" s="1255">
        <v>14420027</v>
      </c>
      <c r="L74" s="1507"/>
      <c r="M74" s="1653" t="s">
        <v>2927</v>
      </c>
      <c r="N74" s="1509"/>
      <c r="O74" s="409"/>
      <c r="P74" s="409"/>
      <c r="Q74" s="3230"/>
    </row>
    <row r="75" spans="3:17" s="1191" customFormat="1" ht="24">
      <c r="C75" s="1492">
        <v>269726</v>
      </c>
      <c r="D75" s="1157">
        <v>6870.125</v>
      </c>
      <c r="E75" s="1157">
        <v>1852410.4480000001</v>
      </c>
      <c r="F75" s="1157">
        <v>410800.92000000004</v>
      </c>
      <c r="G75" s="1157">
        <v>4493096.5089999996</v>
      </c>
      <c r="H75" s="1157">
        <v>2531922.2620000001</v>
      </c>
      <c r="I75" s="1157">
        <v>1019065.1578399999</v>
      </c>
      <c r="J75" s="1157">
        <v>3027060.7609999999</v>
      </c>
      <c r="K75" s="1158">
        <v>13610952.182840001</v>
      </c>
      <c r="L75" s="1504"/>
      <c r="M75" s="3231" t="s">
        <v>3027</v>
      </c>
      <c r="N75" s="1506"/>
      <c r="O75" s="409"/>
      <c r="P75" s="409"/>
      <c r="Q75" s="3230"/>
    </row>
    <row r="76" spans="3:17" s="1191" customFormat="1" ht="24">
      <c r="C76" s="1496">
        <v>320863</v>
      </c>
      <c r="D76" s="1254">
        <v>9363</v>
      </c>
      <c r="E76" s="1254">
        <v>1387086</v>
      </c>
      <c r="F76" s="1254">
        <v>430155</v>
      </c>
      <c r="G76" s="1254">
        <v>4250248</v>
      </c>
      <c r="H76" s="1254">
        <v>1651459</v>
      </c>
      <c r="I76" s="1254">
        <v>951133</v>
      </c>
      <c r="J76" s="1254">
        <v>3235115</v>
      </c>
      <c r="K76" s="1255">
        <v>12235422</v>
      </c>
      <c r="L76" s="1507"/>
      <c r="M76" s="1653" t="s">
        <v>3100</v>
      </c>
      <c r="N76" s="1509"/>
      <c r="O76" s="409"/>
      <c r="P76" s="409"/>
      <c r="Q76" s="3230"/>
    </row>
    <row r="77" spans="3:17" s="1191" customFormat="1" ht="24">
      <c r="C77" s="1492">
        <v>302191</v>
      </c>
      <c r="D77" s="1157">
        <v>7234</v>
      </c>
      <c r="E77" s="1157">
        <v>1502072</v>
      </c>
      <c r="F77" s="1157">
        <v>377689</v>
      </c>
      <c r="G77" s="1157">
        <v>5885178</v>
      </c>
      <c r="H77" s="1157">
        <v>2374542</v>
      </c>
      <c r="I77" s="1157">
        <v>1336416</v>
      </c>
      <c r="J77" s="1157">
        <v>3509807</v>
      </c>
      <c r="K77" s="1158">
        <v>15295129</v>
      </c>
      <c r="L77" s="1504"/>
      <c r="M77" s="3231" t="s">
        <v>3105</v>
      </c>
      <c r="N77" s="1506"/>
      <c r="O77" s="3205"/>
      <c r="Q77" s="3230"/>
    </row>
    <row r="78" spans="3:17" s="1191" customFormat="1" ht="24">
      <c r="C78" s="4537">
        <v>344210.7</v>
      </c>
      <c r="D78" s="4534">
        <v>7566.6</v>
      </c>
      <c r="E78" s="4534">
        <v>1666121.2</v>
      </c>
      <c r="F78" s="4534">
        <v>304495.5</v>
      </c>
      <c r="G78" s="4534">
        <v>7920205.7999999998</v>
      </c>
      <c r="H78" s="4534">
        <v>3543617</v>
      </c>
      <c r="I78" s="4534">
        <v>1536297.1</v>
      </c>
      <c r="J78" s="4534">
        <v>4105966.7</v>
      </c>
      <c r="K78" s="4535">
        <v>19428480.600000001</v>
      </c>
      <c r="L78" s="4539"/>
      <c r="M78" s="4540" t="s">
        <v>3115</v>
      </c>
      <c r="N78" s="4541"/>
      <c r="O78" s="409"/>
      <c r="P78" s="409"/>
      <c r="Q78" s="3230"/>
    </row>
    <row r="79" spans="3:17" s="1191" customFormat="1" ht="18">
      <c r="C79" s="406" t="s">
        <v>1361</v>
      </c>
      <c r="D79" s="407"/>
      <c r="E79" s="1185"/>
      <c r="F79" s="1185"/>
      <c r="G79" s="1185"/>
      <c r="H79" s="1185"/>
      <c r="I79" s="1185"/>
      <c r="J79" s="1185"/>
      <c r="K79" s="3114"/>
      <c r="L79" s="1185"/>
      <c r="M79" s="3202" t="s">
        <v>1362</v>
      </c>
      <c r="N79" s="3232"/>
      <c r="Q79" s="3230"/>
    </row>
    <row r="80" spans="3:17" s="1191" customFormat="1" ht="18">
      <c r="C80" s="408" t="s">
        <v>1363</v>
      </c>
      <c r="D80" s="407"/>
      <c r="E80" s="1185"/>
      <c r="F80" s="1185"/>
      <c r="G80" s="1185"/>
      <c r="H80" s="1185"/>
      <c r="I80" s="1185"/>
      <c r="J80" s="1185"/>
      <c r="K80" s="3114"/>
      <c r="L80" s="1185"/>
      <c r="M80" s="3204" t="s">
        <v>1364</v>
      </c>
      <c r="N80" s="3232"/>
      <c r="Q80" s="3230"/>
    </row>
    <row r="81" spans="2:16" s="1191" customFormat="1" ht="18">
      <c r="C81" s="3183" t="s">
        <v>1365</v>
      </c>
      <c r="D81" s="406"/>
      <c r="E81" s="1185"/>
      <c r="F81" s="1185"/>
      <c r="G81" s="1185"/>
      <c r="H81" s="1185"/>
      <c r="I81" s="1185"/>
      <c r="J81" s="1185"/>
      <c r="K81" s="3114"/>
      <c r="L81" s="1185"/>
      <c r="M81" s="3233" t="s">
        <v>1366</v>
      </c>
      <c r="N81" s="3232"/>
    </row>
    <row r="82" spans="2:16">
      <c r="C82" s="408" t="s">
        <v>1367</v>
      </c>
      <c r="D82" s="1185"/>
      <c r="E82" s="1185"/>
      <c r="F82" s="1185"/>
      <c r="G82" s="1185"/>
      <c r="H82" s="1185"/>
      <c r="I82" s="1185"/>
      <c r="J82" s="3234"/>
      <c r="K82" s="3114"/>
      <c r="L82" s="1185"/>
      <c r="M82" s="3204" t="s">
        <v>1368</v>
      </c>
      <c r="N82" s="3232"/>
    </row>
    <row r="83" spans="2:16">
      <c r="C83" s="3198"/>
      <c r="D83" s="1174"/>
      <c r="E83" s="1174"/>
      <c r="F83" s="3236"/>
      <c r="G83" s="3236"/>
      <c r="H83" s="1174"/>
      <c r="I83" s="1174"/>
      <c r="J83" s="1174"/>
      <c r="K83" s="1174"/>
      <c r="L83" s="1174"/>
      <c r="M83" s="1174"/>
      <c r="N83" s="2149"/>
    </row>
    <row r="84" spans="2:16">
      <c r="C84" s="3198"/>
      <c r="D84" s="1174"/>
      <c r="E84" s="1174"/>
      <c r="F84" s="3235"/>
      <c r="G84" s="3236"/>
      <c r="H84" s="1174"/>
      <c r="I84" s="1174"/>
      <c r="J84" s="1174"/>
      <c r="K84" s="1174"/>
      <c r="L84" s="1174"/>
      <c r="M84" s="1174"/>
      <c r="N84" s="1174"/>
    </row>
    <row r="85" spans="2:16" s="1801" customFormat="1">
      <c r="B85" s="1174"/>
      <c r="D85" s="1174"/>
      <c r="E85" s="1174"/>
      <c r="F85" s="405"/>
      <c r="G85" s="3236"/>
      <c r="H85" s="1174"/>
      <c r="I85" s="1174"/>
      <c r="J85" s="1174"/>
      <c r="K85" s="1174"/>
      <c r="L85" s="1174"/>
      <c r="M85" s="1174"/>
      <c r="N85" s="1174"/>
      <c r="O85" s="1174"/>
      <c r="P85" s="1174"/>
    </row>
    <row r="86" spans="2:16" s="1801" customFormat="1">
      <c r="F86" s="405"/>
      <c r="G86" s="405"/>
    </row>
    <row r="87" spans="2:16">
      <c r="F87" s="3235"/>
      <c r="G87" s="3235"/>
    </row>
    <row r="88" spans="2:16">
      <c r="G88" s="3235"/>
    </row>
    <row r="89" spans="2:16">
      <c r="F89" s="3235"/>
      <c r="G89" s="3235"/>
    </row>
    <row r="90" spans="2:16">
      <c r="F90" s="3235"/>
      <c r="G90" s="3235"/>
    </row>
    <row r="91" spans="2:16">
      <c r="F91" s="3235"/>
      <c r="G91" s="3235"/>
    </row>
    <row r="92" spans="2:16">
      <c r="F92" s="3235"/>
      <c r="G92" s="3235"/>
    </row>
    <row r="93" spans="2:16">
      <c r="F93" s="3235"/>
      <c r="G93" s="3235"/>
    </row>
    <row r="94" spans="2:16">
      <c r="F94" s="3235"/>
      <c r="G94" s="3235"/>
      <c r="H94" s="1174"/>
    </row>
    <row r="95" spans="2:16">
      <c r="F95" s="3235"/>
      <c r="G95" s="3235"/>
      <c r="H95" s="1174"/>
    </row>
    <row r="96" spans="2:16">
      <c r="F96" s="3235"/>
      <c r="G96" s="3235"/>
      <c r="H96" s="1174"/>
    </row>
    <row r="97" spans="6:8">
      <c r="F97" s="3235"/>
      <c r="G97" s="3235"/>
      <c r="H97" s="1174"/>
    </row>
    <row r="98" spans="6:8">
      <c r="F98" s="3235"/>
      <c r="G98" s="3235"/>
    </row>
    <row r="99" spans="6:8">
      <c r="F99" s="3235"/>
      <c r="G99" s="3235"/>
    </row>
    <row r="100" spans="6:8">
      <c r="F100" s="3235"/>
      <c r="G100" s="3235"/>
    </row>
    <row r="101" spans="6:8">
      <c r="F101" s="3235"/>
      <c r="G101" s="3235"/>
    </row>
    <row r="102" spans="6:8">
      <c r="F102" s="3235"/>
      <c r="G102" s="3235"/>
    </row>
    <row r="105" spans="6:8">
      <c r="H105" s="1174"/>
    </row>
  </sheetData>
  <mergeCells count="10">
    <mergeCell ref="G9:H9"/>
    <mergeCell ref="I9:J9"/>
    <mergeCell ref="M14:N14"/>
    <mergeCell ref="M17:N17"/>
    <mergeCell ref="C3:N3"/>
    <mergeCell ref="C4:M4"/>
    <mergeCell ref="D8:F8"/>
    <mergeCell ref="G8:H8"/>
    <mergeCell ref="I8:J8"/>
    <mergeCell ref="D9:F9"/>
  </mergeCells>
  <printOptions horizontalCentered="1"/>
  <pageMargins left="0.62992125984252001" right="0.62992125984252001" top="0.78740157480314998" bottom="0.98425196850393704" header="0.511811023622047" footer="0.511811023622047"/>
  <pageSetup paperSize="9" scale="51" orientation="portrait" r:id="rId1"/>
  <headerFooter alignWithMargins="0">
    <oddFooter>&amp;C&amp;"+,Regular"&amp;22-48-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218"/>
  <sheetViews>
    <sheetView zoomScale="75" zoomScaleNormal="75" workbookViewId="0">
      <selection activeCell="J77" sqref="J77"/>
    </sheetView>
  </sheetViews>
  <sheetFormatPr defaultColWidth="9.42578125" defaultRowHeight="20.25"/>
  <cols>
    <col min="1" max="1" width="19.140625" style="1174" customWidth="1"/>
    <col min="2" max="2" width="9.42578125" style="1174" customWidth="1"/>
    <col min="3" max="3" width="13.5703125" style="1793" bestFit="1" customWidth="1"/>
    <col min="4" max="4" width="20.5703125" style="1793" bestFit="1" customWidth="1"/>
    <col min="5" max="5" width="17.42578125" style="1192" bestFit="1" customWidth="1"/>
    <col min="6" max="6" width="16.42578125" style="1192" customWidth="1"/>
    <col min="7" max="7" width="16.5703125" style="1192" customWidth="1"/>
    <col min="8" max="8" width="14.5703125" style="1192" bestFit="1" customWidth="1"/>
    <col min="9" max="9" width="16" style="1192" bestFit="1" customWidth="1"/>
    <col min="10" max="10" width="14.85546875" style="1192" bestFit="1" customWidth="1"/>
    <col min="11" max="11" width="15.5703125" style="1192" bestFit="1" customWidth="1"/>
    <col min="12" max="12" width="12.5703125" style="1192" bestFit="1" customWidth="1"/>
    <col min="13" max="13" width="15.5703125" style="1192" bestFit="1" customWidth="1"/>
    <col min="14" max="14" width="1.42578125" style="1192" hidden="1" customWidth="1"/>
    <col min="15" max="15" width="11.28515625" style="1192" customWidth="1"/>
    <col min="16" max="16" width="1.42578125" style="1192" hidden="1" customWidth="1"/>
    <col min="17" max="17" width="13" style="1174" bestFit="1" customWidth="1"/>
    <col min="18" max="18" width="30.42578125" style="1174" customWidth="1"/>
    <col min="19" max="19" width="13" style="1174" bestFit="1" customWidth="1"/>
    <col min="20" max="241" width="12" style="1174" customWidth="1"/>
    <col min="242" max="256" width="9.42578125" style="1174"/>
    <col min="257" max="257" width="19.140625" style="1174" customWidth="1"/>
    <col min="258" max="258" width="9.42578125" style="1174" customWidth="1"/>
    <col min="259" max="259" width="13.5703125" style="1174" bestFit="1" customWidth="1"/>
    <col min="260" max="260" width="18" style="1174" bestFit="1" customWidth="1"/>
    <col min="261" max="261" width="13.42578125" style="1174" customWidth="1"/>
    <col min="262" max="262" width="16.42578125" style="1174" customWidth="1"/>
    <col min="263" max="263" width="16.5703125" style="1174" customWidth="1"/>
    <col min="264" max="264" width="12.85546875" style="1174" customWidth="1"/>
    <col min="265" max="265" width="13.42578125" style="1174" customWidth="1"/>
    <col min="266" max="266" width="12.7109375" style="1174" customWidth="1"/>
    <col min="267" max="267" width="12.140625" style="1174" customWidth="1"/>
    <col min="268" max="268" width="12.28515625" style="1174" bestFit="1" customWidth="1"/>
    <col min="269" max="269" width="15.5703125" style="1174" bestFit="1" customWidth="1"/>
    <col min="270" max="270" width="0" style="1174" hidden="1" customWidth="1"/>
    <col min="271" max="271" width="11.28515625" style="1174" customWidth="1"/>
    <col min="272" max="272" width="0" style="1174" hidden="1" customWidth="1"/>
    <col min="273" max="273" width="13" style="1174" bestFit="1" customWidth="1"/>
    <col min="274" max="274" width="30.42578125" style="1174" customWidth="1"/>
    <col min="275" max="275" width="13" style="1174" bestFit="1" customWidth="1"/>
    <col min="276" max="497" width="12" style="1174" customWidth="1"/>
    <col min="498" max="512" width="9.42578125" style="1174"/>
    <col min="513" max="513" width="19.140625" style="1174" customWidth="1"/>
    <col min="514" max="514" width="9.42578125" style="1174" customWidth="1"/>
    <col min="515" max="515" width="13.5703125" style="1174" bestFit="1" customWidth="1"/>
    <col min="516" max="516" width="18" style="1174" bestFit="1" customWidth="1"/>
    <col min="517" max="517" width="13.42578125" style="1174" customWidth="1"/>
    <col min="518" max="518" width="16.42578125" style="1174" customWidth="1"/>
    <col min="519" max="519" width="16.5703125" style="1174" customWidth="1"/>
    <col min="520" max="520" width="12.85546875" style="1174" customWidth="1"/>
    <col min="521" max="521" width="13.42578125" style="1174" customWidth="1"/>
    <col min="522" max="522" width="12.7109375" style="1174" customWidth="1"/>
    <col min="523" max="523" width="12.140625" style="1174" customWidth="1"/>
    <col min="524" max="524" width="12.28515625" style="1174" bestFit="1" customWidth="1"/>
    <col min="525" max="525" width="15.5703125" style="1174" bestFit="1" customWidth="1"/>
    <col min="526" max="526" width="0" style="1174" hidden="1" customWidth="1"/>
    <col min="527" max="527" width="11.28515625" style="1174" customWidth="1"/>
    <col min="528" max="528" width="0" style="1174" hidden="1" customWidth="1"/>
    <col min="529" max="529" width="13" style="1174" bestFit="1" customWidth="1"/>
    <col min="530" max="530" width="30.42578125" style="1174" customWidth="1"/>
    <col min="531" max="531" width="13" style="1174" bestFit="1" customWidth="1"/>
    <col min="532" max="753" width="12" style="1174" customWidth="1"/>
    <col min="754" max="768" width="9.42578125" style="1174"/>
    <col min="769" max="769" width="19.140625" style="1174" customWidth="1"/>
    <col min="770" max="770" width="9.42578125" style="1174" customWidth="1"/>
    <col min="771" max="771" width="13.5703125" style="1174" bestFit="1" customWidth="1"/>
    <col min="772" max="772" width="18" style="1174" bestFit="1" customWidth="1"/>
    <col min="773" max="773" width="13.42578125" style="1174" customWidth="1"/>
    <col min="774" max="774" width="16.42578125" style="1174" customWidth="1"/>
    <col min="775" max="775" width="16.5703125" style="1174" customWidth="1"/>
    <col min="776" max="776" width="12.85546875" style="1174" customWidth="1"/>
    <col min="777" max="777" width="13.42578125" style="1174" customWidth="1"/>
    <col min="778" max="778" width="12.7109375" style="1174" customWidth="1"/>
    <col min="779" max="779" width="12.140625" style="1174" customWidth="1"/>
    <col min="780" max="780" width="12.28515625" style="1174" bestFit="1" customWidth="1"/>
    <col min="781" max="781" width="15.5703125" style="1174" bestFit="1" customWidth="1"/>
    <col min="782" max="782" width="0" style="1174" hidden="1" customWidth="1"/>
    <col min="783" max="783" width="11.28515625" style="1174" customWidth="1"/>
    <col min="784" max="784" width="0" style="1174" hidden="1" customWidth="1"/>
    <col min="785" max="785" width="13" style="1174" bestFit="1" customWidth="1"/>
    <col min="786" max="786" width="30.42578125" style="1174" customWidth="1"/>
    <col min="787" max="787" width="13" style="1174" bestFit="1" customWidth="1"/>
    <col min="788" max="1009" width="12" style="1174" customWidth="1"/>
    <col min="1010" max="1024" width="9.42578125" style="1174"/>
    <col min="1025" max="1025" width="19.140625" style="1174" customWidth="1"/>
    <col min="1026" max="1026" width="9.42578125" style="1174" customWidth="1"/>
    <col min="1027" max="1027" width="13.5703125" style="1174" bestFit="1" customWidth="1"/>
    <col min="1028" max="1028" width="18" style="1174" bestFit="1" customWidth="1"/>
    <col min="1029" max="1029" width="13.42578125" style="1174" customWidth="1"/>
    <col min="1030" max="1030" width="16.42578125" style="1174" customWidth="1"/>
    <col min="1031" max="1031" width="16.5703125" style="1174" customWidth="1"/>
    <col min="1032" max="1032" width="12.85546875" style="1174" customWidth="1"/>
    <col min="1033" max="1033" width="13.42578125" style="1174" customWidth="1"/>
    <col min="1034" max="1034" width="12.7109375" style="1174" customWidth="1"/>
    <col min="1035" max="1035" width="12.140625" style="1174" customWidth="1"/>
    <col min="1036" max="1036" width="12.28515625" style="1174" bestFit="1" customWidth="1"/>
    <col min="1037" max="1037" width="15.5703125" style="1174" bestFit="1" customWidth="1"/>
    <col min="1038" max="1038" width="0" style="1174" hidden="1" customWidth="1"/>
    <col min="1039" max="1039" width="11.28515625" style="1174" customWidth="1"/>
    <col min="1040" max="1040" width="0" style="1174" hidden="1" customWidth="1"/>
    <col min="1041" max="1041" width="13" style="1174" bestFit="1" customWidth="1"/>
    <col min="1042" max="1042" width="30.42578125" style="1174" customWidth="1"/>
    <col min="1043" max="1043" width="13" style="1174" bestFit="1" customWidth="1"/>
    <col min="1044" max="1265" width="12" style="1174" customWidth="1"/>
    <col min="1266" max="1280" width="9.42578125" style="1174"/>
    <col min="1281" max="1281" width="19.140625" style="1174" customWidth="1"/>
    <col min="1282" max="1282" width="9.42578125" style="1174" customWidth="1"/>
    <col min="1283" max="1283" width="13.5703125" style="1174" bestFit="1" customWidth="1"/>
    <col min="1284" max="1284" width="18" style="1174" bestFit="1" customWidth="1"/>
    <col min="1285" max="1285" width="13.42578125" style="1174" customWidth="1"/>
    <col min="1286" max="1286" width="16.42578125" style="1174" customWidth="1"/>
    <col min="1287" max="1287" width="16.5703125" style="1174" customWidth="1"/>
    <col min="1288" max="1288" width="12.85546875" style="1174" customWidth="1"/>
    <col min="1289" max="1289" width="13.42578125" style="1174" customWidth="1"/>
    <col min="1290" max="1290" width="12.7109375" style="1174" customWidth="1"/>
    <col min="1291" max="1291" width="12.140625" style="1174" customWidth="1"/>
    <col min="1292" max="1292" width="12.28515625" style="1174" bestFit="1" customWidth="1"/>
    <col min="1293" max="1293" width="15.5703125" style="1174" bestFit="1" customWidth="1"/>
    <col min="1294" max="1294" width="0" style="1174" hidden="1" customWidth="1"/>
    <col min="1295" max="1295" width="11.28515625" style="1174" customWidth="1"/>
    <col min="1296" max="1296" width="0" style="1174" hidden="1" customWidth="1"/>
    <col min="1297" max="1297" width="13" style="1174" bestFit="1" customWidth="1"/>
    <col min="1298" max="1298" width="30.42578125" style="1174" customWidth="1"/>
    <col min="1299" max="1299" width="13" style="1174" bestFit="1" customWidth="1"/>
    <col min="1300" max="1521" width="12" style="1174" customWidth="1"/>
    <col min="1522" max="1536" width="9.42578125" style="1174"/>
    <col min="1537" max="1537" width="19.140625" style="1174" customWidth="1"/>
    <col min="1538" max="1538" width="9.42578125" style="1174" customWidth="1"/>
    <col min="1539" max="1539" width="13.5703125" style="1174" bestFit="1" customWidth="1"/>
    <col min="1540" max="1540" width="18" style="1174" bestFit="1" customWidth="1"/>
    <col min="1541" max="1541" width="13.42578125" style="1174" customWidth="1"/>
    <col min="1542" max="1542" width="16.42578125" style="1174" customWidth="1"/>
    <col min="1543" max="1543" width="16.5703125" style="1174" customWidth="1"/>
    <col min="1544" max="1544" width="12.85546875" style="1174" customWidth="1"/>
    <col min="1545" max="1545" width="13.42578125" style="1174" customWidth="1"/>
    <col min="1546" max="1546" width="12.7109375" style="1174" customWidth="1"/>
    <col min="1547" max="1547" width="12.140625" style="1174" customWidth="1"/>
    <col min="1548" max="1548" width="12.28515625" style="1174" bestFit="1" customWidth="1"/>
    <col min="1549" max="1549" width="15.5703125" style="1174" bestFit="1" customWidth="1"/>
    <col min="1550" max="1550" width="0" style="1174" hidden="1" customWidth="1"/>
    <col min="1551" max="1551" width="11.28515625" style="1174" customWidth="1"/>
    <col min="1552" max="1552" width="0" style="1174" hidden="1" customWidth="1"/>
    <col min="1553" max="1553" width="13" style="1174" bestFit="1" customWidth="1"/>
    <col min="1554" max="1554" width="30.42578125" style="1174" customWidth="1"/>
    <col min="1555" max="1555" width="13" style="1174" bestFit="1" customWidth="1"/>
    <col min="1556" max="1777" width="12" style="1174" customWidth="1"/>
    <col min="1778" max="1792" width="9.42578125" style="1174"/>
    <col min="1793" max="1793" width="19.140625" style="1174" customWidth="1"/>
    <col min="1794" max="1794" width="9.42578125" style="1174" customWidth="1"/>
    <col min="1795" max="1795" width="13.5703125" style="1174" bestFit="1" customWidth="1"/>
    <col min="1796" max="1796" width="18" style="1174" bestFit="1" customWidth="1"/>
    <col min="1797" max="1797" width="13.42578125" style="1174" customWidth="1"/>
    <col min="1798" max="1798" width="16.42578125" style="1174" customWidth="1"/>
    <col min="1799" max="1799" width="16.5703125" style="1174" customWidth="1"/>
    <col min="1800" max="1800" width="12.85546875" style="1174" customWidth="1"/>
    <col min="1801" max="1801" width="13.42578125" style="1174" customWidth="1"/>
    <col min="1802" max="1802" width="12.7109375" style="1174" customWidth="1"/>
    <col min="1803" max="1803" width="12.140625" style="1174" customWidth="1"/>
    <col min="1804" max="1804" width="12.28515625" style="1174" bestFit="1" customWidth="1"/>
    <col min="1805" max="1805" width="15.5703125" style="1174" bestFit="1" customWidth="1"/>
    <col min="1806" max="1806" width="0" style="1174" hidden="1" customWidth="1"/>
    <col min="1807" max="1807" width="11.28515625" style="1174" customWidth="1"/>
    <col min="1808" max="1808" width="0" style="1174" hidden="1" customWidth="1"/>
    <col min="1809" max="1809" width="13" style="1174" bestFit="1" customWidth="1"/>
    <col min="1810" max="1810" width="30.42578125" style="1174" customWidth="1"/>
    <col min="1811" max="1811" width="13" style="1174" bestFit="1" customWidth="1"/>
    <col min="1812" max="2033" width="12" style="1174" customWidth="1"/>
    <col min="2034" max="2048" width="9.42578125" style="1174"/>
    <col min="2049" max="2049" width="19.140625" style="1174" customWidth="1"/>
    <col min="2050" max="2050" width="9.42578125" style="1174" customWidth="1"/>
    <col min="2051" max="2051" width="13.5703125" style="1174" bestFit="1" customWidth="1"/>
    <col min="2052" max="2052" width="18" style="1174" bestFit="1" customWidth="1"/>
    <col min="2053" max="2053" width="13.42578125" style="1174" customWidth="1"/>
    <col min="2054" max="2054" width="16.42578125" style="1174" customWidth="1"/>
    <col min="2055" max="2055" width="16.5703125" style="1174" customWidth="1"/>
    <col min="2056" max="2056" width="12.85546875" style="1174" customWidth="1"/>
    <col min="2057" max="2057" width="13.42578125" style="1174" customWidth="1"/>
    <col min="2058" max="2058" width="12.7109375" style="1174" customWidth="1"/>
    <col min="2059" max="2059" width="12.140625" style="1174" customWidth="1"/>
    <col min="2060" max="2060" width="12.28515625" style="1174" bestFit="1" customWidth="1"/>
    <col min="2061" max="2061" width="15.5703125" style="1174" bestFit="1" customWidth="1"/>
    <col min="2062" max="2062" width="0" style="1174" hidden="1" customWidth="1"/>
    <col min="2063" max="2063" width="11.28515625" style="1174" customWidth="1"/>
    <col min="2064" max="2064" width="0" style="1174" hidden="1" customWidth="1"/>
    <col min="2065" max="2065" width="13" style="1174" bestFit="1" customWidth="1"/>
    <col min="2066" max="2066" width="30.42578125" style="1174" customWidth="1"/>
    <col min="2067" max="2067" width="13" style="1174" bestFit="1" customWidth="1"/>
    <col min="2068" max="2289" width="12" style="1174" customWidth="1"/>
    <col min="2290" max="2304" width="9.42578125" style="1174"/>
    <col min="2305" max="2305" width="19.140625" style="1174" customWidth="1"/>
    <col min="2306" max="2306" width="9.42578125" style="1174" customWidth="1"/>
    <col min="2307" max="2307" width="13.5703125" style="1174" bestFit="1" customWidth="1"/>
    <col min="2308" max="2308" width="18" style="1174" bestFit="1" customWidth="1"/>
    <col min="2309" max="2309" width="13.42578125" style="1174" customWidth="1"/>
    <col min="2310" max="2310" width="16.42578125" style="1174" customWidth="1"/>
    <col min="2311" max="2311" width="16.5703125" style="1174" customWidth="1"/>
    <col min="2312" max="2312" width="12.85546875" style="1174" customWidth="1"/>
    <col min="2313" max="2313" width="13.42578125" style="1174" customWidth="1"/>
    <col min="2314" max="2314" width="12.7109375" style="1174" customWidth="1"/>
    <col min="2315" max="2315" width="12.140625" style="1174" customWidth="1"/>
    <col min="2316" max="2316" width="12.28515625" style="1174" bestFit="1" customWidth="1"/>
    <col min="2317" max="2317" width="15.5703125" style="1174" bestFit="1" customWidth="1"/>
    <col min="2318" max="2318" width="0" style="1174" hidden="1" customWidth="1"/>
    <col min="2319" max="2319" width="11.28515625" style="1174" customWidth="1"/>
    <col min="2320" max="2320" width="0" style="1174" hidden="1" customWidth="1"/>
    <col min="2321" max="2321" width="13" style="1174" bestFit="1" customWidth="1"/>
    <col min="2322" max="2322" width="30.42578125" style="1174" customWidth="1"/>
    <col min="2323" max="2323" width="13" style="1174" bestFit="1" customWidth="1"/>
    <col min="2324" max="2545" width="12" style="1174" customWidth="1"/>
    <col min="2546" max="2560" width="9.42578125" style="1174"/>
    <col min="2561" max="2561" width="19.140625" style="1174" customWidth="1"/>
    <col min="2562" max="2562" width="9.42578125" style="1174" customWidth="1"/>
    <col min="2563" max="2563" width="13.5703125" style="1174" bestFit="1" customWidth="1"/>
    <col min="2564" max="2564" width="18" style="1174" bestFit="1" customWidth="1"/>
    <col min="2565" max="2565" width="13.42578125" style="1174" customWidth="1"/>
    <col min="2566" max="2566" width="16.42578125" style="1174" customWidth="1"/>
    <col min="2567" max="2567" width="16.5703125" style="1174" customWidth="1"/>
    <col min="2568" max="2568" width="12.85546875" style="1174" customWidth="1"/>
    <col min="2569" max="2569" width="13.42578125" style="1174" customWidth="1"/>
    <col min="2570" max="2570" width="12.7109375" style="1174" customWidth="1"/>
    <col min="2571" max="2571" width="12.140625" style="1174" customWidth="1"/>
    <col min="2572" max="2572" width="12.28515625" style="1174" bestFit="1" customWidth="1"/>
    <col min="2573" max="2573" width="15.5703125" style="1174" bestFit="1" customWidth="1"/>
    <col min="2574" max="2574" width="0" style="1174" hidden="1" customWidth="1"/>
    <col min="2575" max="2575" width="11.28515625" style="1174" customWidth="1"/>
    <col min="2576" max="2576" width="0" style="1174" hidden="1" customWidth="1"/>
    <col min="2577" max="2577" width="13" style="1174" bestFit="1" customWidth="1"/>
    <col min="2578" max="2578" width="30.42578125" style="1174" customWidth="1"/>
    <col min="2579" max="2579" width="13" style="1174" bestFit="1" customWidth="1"/>
    <col min="2580" max="2801" width="12" style="1174" customWidth="1"/>
    <col min="2802" max="2816" width="9.42578125" style="1174"/>
    <col min="2817" max="2817" width="19.140625" style="1174" customWidth="1"/>
    <col min="2818" max="2818" width="9.42578125" style="1174" customWidth="1"/>
    <col min="2819" max="2819" width="13.5703125" style="1174" bestFit="1" customWidth="1"/>
    <col min="2820" max="2820" width="18" style="1174" bestFit="1" customWidth="1"/>
    <col min="2821" max="2821" width="13.42578125" style="1174" customWidth="1"/>
    <col min="2822" max="2822" width="16.42578125" style="1174" customWidth="1"/>
    <col min="2823" max="2823" width="16.5703125" style="1174" customWidth="1"/>
    <col min="2824" max="2824" width="12.85546875" style="1174" customWidth="1"/>
    <col min="2825" max="2825" width="13.42578125" style="1174" customWidth="1"/>
    <col min="2826" max="2826" width="12.7109375" style="1174" customWidth="1"/>
    <col min="2827" max="2827" width="12.140625" style="1174" customWidth="1"/>
    <col min="2828" max="2828" width="12.28515625" style="1174" bestFit="1" customWidth="1"/>
    <col min="2829" max="2829" width="15.5703125" style="1174" bestFit="1" customWidth="1"/>
    <col min="2830" max="2830" width="0" style="1174" hidden="1" customWidth="1"/>
    <col min="2831" max="2831" width="11.28515625" style="1174" customWidth="1"/>
    <col min="2832" max="2832" width="0" style="1174" hidden="1" customWidth="1"/>
    <col min="2833" max="2833" width="13" style="1174" bestFit="1" customWidth="1"/>
    <col min="2834" max="2834" width="30.42578125" style="1174" customWidth="1"/>
    <col min="2835" max="2835" width="13" style="1174" bestFit="1" customWidth="1"/>
    <col min="2836" max="3057" width="12" style="1174" customWidth="1"/>
    <col min="3058" max="3072" width="9.42578125" style="1174"/>
    <col min="3073" max="3073" width="19.140625" style="1174" customWidth="1"/>
    <col min="3074" max="3074" width="9.42578125" style="1174" customWidth="1"/>
    <col min="3075" max="3075" width="13.5703125" style="1174" bestFit="1" customWidth="1"/>
    <col min="3076" max="3076" width="18" style="1174" bestFit="1" customWidth="1"/>
    <col min="3077" max="3077" width="13.42578125" style="1174" customWidth="1"/>
    <col min="3078" max="3078" width="16.42578125" style="1174" customWidth="1"/>
    <col min="3079" max="3079" width="16.5703125" style="1174" customWidth="1"/>
    <col min="3080" max="3080" width="12.85546875" style="1174" customWidth="1"/>
    <col min="3081" max="3081" width="13.42578125" style="1174" customWidth="1"/>
    <col min="3082" max="3082" width="12.7109375" style="1174" customWidth="1"/>
    <col min="3083" max="3083" width="12.140625" style="1174" customWidth="1"/>
    <col min="3084" max="3084" width="12.28515625" style="1174" bestFit="1" customWidth="1"/>
    <col min="3085" max="3085" width="15.5703125" style="1174" bestFit="1" customWidth="1"/>
    <col min="3086" max="3086" width="0" style="1174" hidden="1" customWidth="1"/>
    <col min="3087" max="3087" width="11.28515625" style="1174" customWidth="1"/>
    <col min="3088" max="3088" width="0" style="1174" hidden="1" customWidth="1"/>
    <col min="3089" max="3089" width="13" style="1174" bestFit="1" customWidth="1"/>
    <col min="3090" max="3090" width="30.42578125" style="1174" customWidth="1"/>
    <col min="3091" max="3091" width="13" style="1174" bestFit="1" customWidth="1"/>
    <col min="3092" max="3313" width="12" style="1174" customWidth="1"/>
    <col min="3314" max="3328" width="9.42578125" style="1174"/>
    <col min="3329" max="3329" width="19.140625" style="1174" customWidth="1"/>
    <col min="3330" max="3330" width="9.42578125" style="1174" customWidth="1"/>
    <col min="3331" max="3331" width="13.5703125" style="1174" bestFit="1" customWidth="1"/>
    <col min="3332" max="3332" width="18" style="1174" bestFit="1" customWidth="1"/>
    <col min="3333" max="3333" width="13.42578125" style="1174" customWidth="1"/>
    <col min="3334" max="3334" width="16.42578125" style="1174" customWidth="1"/>
    <col min="3335" max="3335" width="16.5703125" style="1174" customWidth="1"/>
    <col min="3336" max="3336" width="12.85546875" style="1174" customWidth="1"/>
    <col min="3337" max="3337" width="13.42578125" style="1174" customWidth="1"/>
    <col min="3338" max="3338" width="12.7109375" style="1174" customWidth="1"/>
    <col min="3339" max="3339" width="12.140625" style="1174" customWidth="1"/>
    <col min="3340" max="3340" width="12.28515625" style="1174" bestFit="1" customWidth="1"/>
    <col min="3341" max="3341" width="15.5703125" style="1174" bestFit="1" customWidth="1"/>
    <col min="3342" max="3342" width="0" style="1174" hidden="1" customWidth="1"/>
    <col min="3343" max="3343" width="11.28515625" style="1174" customWidth="1"/>
    <col min="3344" max="3344" width="0" style="1174" hidden="1" customWidth="1"/>
    <col min="3345" max="3345" width="13" style="1174" bestFit="1" customWidth="1"/>
    <col min="3346" max="3346" width="30.42578125" style="1174" customWidth="1"/>
    <col min="3347" max="3347" width="13" style="1174" bestFit="1" customWidth="1"/>
    <col min="3348" max="3569" width="12" style="1174" customWidth="1"/>
    <col min="3570" max="3584" width="9.42578125" style="1174"/>
    <col min="3585" max="3585" width="19.140625" style="1174" customWidth="1"/>
    <col min="3586" max="3586" width="9.42578125" style="1174" customWidth="1"/>
    <col min="3587" max="3587" width="13.5703125" style="1174" bestFit="1" customWidth="1"/>
    <col min="3588" max="3588" width="18" style="1174" bestFit="1" customWidth="1"/>
    <col min="3589" max="3589" width="13.42578125" style="1174" customWidth="1"/>
    <col min="3590" max="3590" width="16.42578125" style="1174" customWidth="1"/>
    <col min="3591" max="3591" width="16.5703125" style="1174" customWidth="1"/>
    <col min="3592" max="3592" width="12.85546875" style="1174" customWidth="1"/>
    <col min="3593" max="3593" width="13.42578125" style="1174" customWidth="1"/>
    <col min="3594" max="3594" width="12.7109375" style="1174" customWidth="1"/>
    <col min="3595" max="3595" width="12.140625" style="1174" customWidth="1"/>
    <col min="3596" max="3596" width="12.28515625" style="1174" bestFit="1" customWidth="1"/>
    <col min="3597" max="3597" width="15.5703125" style="1174" bestFit="1" customWidth="1"/>
    <col min="3598" max="3598" width="0" style="1174" hidden="1" customWidth="1"/>
    <col min="3599" max="3599" width="11.28515625" style="1174" customWidth="1"/>
    <col min="3600" max="3600" width="0" style="1174" hidden="1" customWidth="1"/>
    <col min="3601" max="3601" width="13" style="1174" bestFit="1" customWidth="1"/>
    <col min="3602" max="3602" width="30.42578125" style="1174" customWidth="1"/>
    <col min="3603" max="3603" width="13" style="1174" bestFit="1" customWidth="1"/>
    <col min="3604" max="3825" width="12" style="1174" customWidth="1"/>
    <col min="3826" max="3840" width="9.42578125" style="1174"/>
    <col min="3841" max="3841" width="19.140625" style="1174" customWidth="1"/>
    <col min="3842" max="3842" width="9.42578125" style="1174" customWidth="1"/>
    <col min="3843" max="3843" width="13.5703125" style="1174" bestFit="1" customWidth="1"/>
    <col min="3844" max="3844" width="18" style="1174" bestFit="1" customWidth="1"/>
    <col min="3845" max="3845" width="13.42578125" style="1174" customWidth="1"/>
    <col min="3846" max="3846" width="16.42578125" style="1174" customWidth="1"/>
    <col min="3847" max="3847" width="16.5703125" style="1174" customWidth="1"/>
    <col min="3848" max="3848" width="12.85546875" style="1174" customWidth="1"/>
    <col min="3849" max="3849" width="13.42578125" style="1174" customWidth="1"/>
    <col min="3850" max="3850" width="12.7109375" style="1174" customWidth="1"/>
    <col min="3851" max="3851" width="12.140625" style="1174" customWidth="1"/>
    <col min="3852" max="3852" width="12.28515625" style="1174" bestFit="1" customWidth="1"/>
    <col min="3853" max="3853" width="15.5703125" style="1174" bestFit="1" customWidth="1"/>
    <col min="3854" max="3854" width="0" style="1174" hidden="1" customWidth="1"/>
    <col min="3855" max="3855" width="11.28515625" style="1174" customWidth="1"/>
    <col min="3856" max="3856" width="0" style="1174" hidden="1" customWidth="1"/>
    <col min="3857" max="3857" width="13" style="1174" bestFit="1" customWidth="1"/>
    <col min="3858" max="3858" width="30.42578125" style="1174" customWidth="1"/>
    <col min="3859" max="3859" width="13" style="1174" bestFit="1" customWidth="1"/>
    <col min="3860" max="4081" width="12" style="1174" customWidth="1"/>
    <col min="4082" max="4096" width="9.42578125" style="1174"/>
    <col min="4097" max="4097" width="19.140625" style="1174" customWidth="1"/>
    <col min="4098" max="4098" width="9.42578125" style="1174" customWidth="1"/>
    <col min="4099" max="4099" width="13.5703125" style="1174" bestFit="1" customWidth="1"/>
    <col min="4100" max="4100" width="18" style="1174" bestFit="1" customWidth="1"/>
    <col min="4101" max="4101" width="13.42578125" style="1174" customWidth="1"/>
    <col min="4102" max="4102" width="16.42578125" style="1174" customWidth="1"/>
    <col min="4103" max="4103" width="16.5703125" style="1174" customWidth="1"/>
    <col min="4104" max="4104" width="12.85546875" style="1174" customWidth="1"/>
    <col min="4105" max="4105" width="13.42578125" style="1174" customWidth="1"/>
    <col min="4106" max="4106" width="12.7109375" style="1174" customWidth="1"/>
    <col min="4107" max="4107" width="12.140625" style="1174" customWidth="1"/>
    <col min="4108" max="4108" width="12.28515625" style="1174" bestFit="1" customWidth="1"/>
    <col min="4109" max="4109" width="15.5703125" style="1174" bestFit="1" customWidth="1"/>
    <col min="4110" max="4110" width="0" style="1174" hidden="1" customWidth="1"/>
    <col min="4111" max="4111" width="11.28515625" style="1174" customWidth="1"/>
    <col min="4112" max="4112" width="0" style="1174" hidden="1" customWidth="1"/>
    <col min="4113" max="4113" width="13" style="1174" bestFit="1" customWidth="1"/>
    <col min="4114" max="4114" width="30.42578125" style="1174" customWidth="1"/>
    <col min="4115" max="4115" width="13" style="1174" bestFit="1" customWidth="1"/>
    <col min="4116" max="4337" width="12" style="1174" customWidth="1"/>
    <col min="4338" max="4352" width="9.42578125" style="1174"/>
    <col min="4353" max="4353" width="19.140625" style="1174" customWidth="1"/>
    <col min="4354" max="4354" width="9.42578125" style="1174" customWidth="1"/>
    <col min="4355" max="4355" width="13.5703125" style="1174" bestFit="1" customWidth="1"/>
    <col min="4356" max="4356" width="18" style="1174" bestFit="1" customWidth="1"/>
    <col min="4357" max="4357" width="13.42578125" style="1174" customWidth="1"/>
    <col min="4358" max="4358" width="16.42578125" style="1174" customWidth="1"/>
    <col min="4359" max="4359" width="16.5703125" style="1174" customWidth="1"/>
    <col min="4360" max="4360" width="12.85546875" style="1174" customWidth="1"/>
    <col min="4361" max="4361" width="13.42578125" style="1174" customWidth="1"/>
    <col min="4362" max="4362" width="12.7109375" style="1174" customWidth="1"/>
    <col min="4363" max="4363" width="12.140625" style="1174" customWidth="1"/>
    <col min="4364" max="4364" width="12.28515625" style="1174" bestFit="1" customWidth="1"/>
    <col min="4365" max="4365" width="15.5703125" style="1174" bestFit="1" customWidth="1"/>
    <col min="4366" max="4366" width="0" style="1174" hidden="1" customWidth="1"/>
    <col min="4367" max="4367" width="11.28515625" style="1174" customWidth="1"/>
    <col min="4368" max="4368" width="0" style="1174" hidden="1" customWidth="1"/>
    <col min="4369" max="4369" width="13" style="1174" bestFit="1" customWidth="1"/>
    <col min="4370" max="4370" width="30.42578125" style="1174" customWidth="1"/>
    <col min="4371" max="4371" width="13" style="1174" bestFit="1" customWidth="1"/>
    <col min="4372" max="4593" width="12" style="1174" customWidth="1"/>
    <col min="4594" max="4608" width="9.42578125" style="1174"/>
    <col min="4609" max="4609" width="19.140625" style="1174" customWidth="1"/>
    <col min="4610" max="4610" width="9.42578125" style="1174" customWidth="1"/>
    <col min="4611" max="4611" width="13.5703125" style="1174" bestFit="1" customWidth="1"/>
    <col min="4612" max="4612" width="18" style="1174" bestFit="1" customWidth="1"/>
    <col min="4613" max="4613" width="13.42578125" style="1174" customWidth="1"/>
    <col min="4614" max="4614" width="16.42578125" style="1174" customWidth="1"/>
    <col min="4615" max="4615" width="16.5703125" style="1174" customWidth="1"/>
    <col min="4616" max="4616" width="12.85546875" style="1174" customWidth="1"/>
    <col min="4617" max="4617" width="13.42578125" style="1174" customWidth="1"/>
    <col min="4618" max="4618" width="12.7109375" style="1174" customWidth="1"/>
    <col min="4619" max="4619" width="12.140625" style="1174" customWidth="1"/>
    <col min="4620" max="4620" width="12.28515625" style="1174" bestFit="1" customWidth="1"/>
    <col min="4621" max="4621" width="15.5703125" style="1174" bestFit="1" customWidth="1"/>
    <col min="4622" max="4622" width="0" style="1174" hidden="1" customWidth="1"/>
    <col min="4623" max="4623" width="11.28515625" style="1174" customWidth="1"/>
    <col min="4624" max="4624" width="0" style="1174" hidden="1" customWidth="1"/>
    <col min="4625" max="4625" width="13" style="1174" bestFit="1" customWidth="1"/>
    <col min="4626" max="4626" width="30.42578125" style="1174" customWidth="1"/>
    <col min="4627" max="4627" width="13" style="1174" bestFit="1" customWidth="1"/>
    <col min="4628" max="4849" width="12" style="1174" customWidth="1"/>
    <col min="4850" max="4864" width="9.42578125" style="1174"/>
    <col min="4865" max="4865" width="19.140625" style="1174" customWidth="1"/>
    <col min="4866" max="4866" width="9.42578125" style="1174" customWidth="1"/>
    <col min="4867" max="4867" width="13.5703125" style="1174" bestFit="1" customWidth="1"/>
    <col min="4868" max="4868" width="18" style="1174" bestFit="1" customWidth="1"/>
    <col min="4869" max="4869" width="13.42578125" style="1174" customWidth="1"/>
    <col min="4870" max="4870" width="16.42578125" style="1174" customWidth="1"/>
    <col min="4871" max="4871" width="16.5703125" style="1174" customWidth="1"/>
    <col min="4872" max="4872" width="12.85546875" style="1174" customWidth="1"/>
    <col min="4873" max="4873" width="13.42578125" style="1174" customWidth="1"/>
    <col min="4874" max="4874" width="12.7109375" style="1174" customWidth="1"/>
    <col min="4875" max="4875" width="12.140625" style="1174" customWidth="1"/>
    <col min="4876" max="4876" width="12.28515625" style="1174" bestFit="1" customWidth="1"/>
    <col min="4877" max="4877" width="15.5703125" style="1174" bestFit="1" customWidth="1"/>
    <col min="4878" max="4878" width="0" style="1174" hidden="1" customWidth="1"/>
    <col min="4879" max="4879" width="11.28515625" style="1174" customWidth="1"/>
    <col min="4880" max="4880" width="0" style="1174" hidden="1" customWidth="1"/>
    <col min="4881" max="4881" width="13" style="1174" bestFit="1" customWidth="1"/>
    <col min="4882" max="4882" width="30.42578125" style="1174" customWidth="1"/>
    <col min="4883" max="4883" width="13" style="1174" bestFit="1" customWidth="1"/>
    <col min="4884" max="5105" width="12" style="1174" customWidth="1"/>
    <col min="5106" max="5120" width="9.42578125" style="1174"/>
    <col min="5121" max="5121" width="19.140625" style="1174" customWidth="1"/>
    <col min="5122" max="5122" width="9.42578125" style="1174" customWidth="1"/>
    <col min="5123" max="5123" width="13.5703125" style="1174" bestFit="1" customWidth="1"/>
    <col min="5124" max="5124" width="18" style="1174" bestFit="1" customWidth="1"/>
    <col min="5125" max="5125" width="13.42578125" style="1174" customWidth="1"/>
    <col min="5126" max="5126" width="16.42578125" style="1174" customWidth="1"/>
    <col min="5127" max="5127" width="16.5703125" style="1174" customWidth="1"/>
    <col min="5128" max="5128" width="12.85546875" style="1174" customWidth="1"/>
    <col min="5129" max="5129" width="13.42578125" style="1174" customWidth="1"/>
    <col min="5130" max="5130" width="12.7109375" style="1174" customWidth="1"/>
    <col min="5131" max="5131" width="12.140625" style="1174" customWidth="1"/>
    <col min="5132" max="5132" width="12.28515625" style="1174" bestFit="1" customWidth="1"/>
    <col min="5133" max="5133" width="15.5703125" style="1174" bestFit="1" customWidth="1"/>
    <col min="5134" max="5134" width="0" style="1174" hidden="1" customWidth="1"/>
    <col min="5135" max="5135" width="11.28515625" style="1174" customWidth="1"/>
    <col min="5136" max="5136" width="0" style="1174" hidden="1" customWidth="1"/>
    <col min="5137" max="5137" width="13" style="1174" bestFit="1" customWidth="1"/>
    <col min="5138" max="5138" width="30.42578125" style="1174" customWidth="1"/>
    <col min="5139" max="5139" width="13" style="1174" bestFit="1" customWidth="1"/>
    <col min="5140" max="5361" width="12" style="1174" customWidth="1"/>
    <col min="5362" max="5376" width="9.42578125" style="1174"/>
    <col min="5377" max="5377" width="19.140625" style="1174" customWidth="1"/>
    <col min="5378" max="5378" width="9.42578125" style="1174" customWidth="1"/>
    <col min="5379" max="5379" width="13.5703125" style="1174" bestFit="1" customWidth="1"/>
    <col min="5380" max="5380" width="18" style="1174" bestFit="1" customWidth="1"/>
    <col min="5381" max="5381" width="13.42578125" style="1174" customWidth="1"/>
    <col min="5382" max="5382" width="16.42578125" style="1174" customWidth="1"/>
    <col min="5383" max="5383" width="16.5703125" style="1174" customWidth="1"/>
    <col min="5384" max="5384" width="12.85546875" style="1174" customWidth="1"/>
    <col min="5385" max="5385" width="13.42578125" style="1174" customWidth="1"/>
    <col min="5386" max="5386" width="12.7109375" style="1174" customWidth="1"/>
    <col min="5387" max="5387" width="12.140625" style="1174" customWidth="1"/>
    <col min="5388" max="5388" width="12.28515625" style="1174" bestFit="1" customWidth="1"/>
    <col min="5389" max="5389" width="15.5703125" style="1174" bestFit="1" customWidth="1"/>
    <col min="5390" max="5390" width="0" style="1174" hidden="1" customWidth="1"/>
    <col min="5391" max="5391" width="11.28515625" style="1174" customWidth="1"/>
    <col min="5392" max="5392" width="0" style="1174" hidden="1" customWidth="1"/>
    <col min="5393" max="5393" width="13" style="1174" bestFit="1" customWidth="1"/>
    <col min="5394" max="5394" width="30.42578125" style="1174" customWidth="1"/>
    <col min="5395" max="5395" width="13" style="1174" bestFit="1" customWidth="1"/>
    <col min="5396" max="5617" width="12" style="1174" customWidth="1"/>
    <col min="5618" max="5632" width="9.42578125" style="1174"/>
    <col min="5633" max="5633" width="19.140625" style="1174" customWidth="1"/>
    <col min="5634" max="5634" width="9.42578125" style="1174" customWidth="1"/>
    <col min="5635" max="5635" width="13.5703125" style="1174" bestFit="1" customWidth="1"/>
    <col min="5636" max="5636" width="18" style="1174" bestFit="1" customWidth="1"/>
    <col min="5637" max="5637" width="13.42578125" style="1174" customWidth="1"/>
    <col min="5638" max="5638" width="16.42578125" style="1174" customWidth="1"/>
    <col min="5639" max="5639" width="16.5703125" style="1174" customWidth="1"/>
    <col min="5640" max="5640" width="12.85546875" style="1174" customWidth="1"/>
    <col min="5641" max="5641" width="13.42578125" style="1174" customWidth="1"/>
    <col min="5642" max="5642" width="12.7109375" style="1174" customWidth="1"/>
    <col min="5643" max="5643" width="12.140625" style="1174" customWidth="1"/>
    <col min="5644" max="5644" width="12.28515625" style="1174" bestFit="1" customWidth="1"/>
    <col min="5645" max="5645" width="15.5703125" style="1174" bestFit="1" customWidth="1"/>
    <col min="5646" max="5646" width="0" style="1174" hidden="1" customWidth="1"/>
    <col min="5647" max="5647" width="11.28515625" style="1174" customWidth="1"/>
    <col min="5648" max="5648" width="0" style="1174" hidden="1" customWidth="1"/>
    <col min="5649" max="5649" width="13" style="1174" bestFit="1" customWidth="1"/>
    <col min="5650" max="5650" width="30.42578125" style="1174" customWidth="1"/>
    <col min="5651" max="5651" width="13" style="1174" bestFit="1" customWidth="1"/>
    <col min="5652" max="5873" width="12" style="1174" customWidth="1"/>
    <col min="5874" max="5888" width="9.42578125" style="1174"/>
    <col min="5889" max="5889" width="19.140625" style="1174" customWidth="1"/>
    <col min="5890" max="5890" width="9.42578125" style="1174" customWidth="1"/>
    <col min="5891" max="5891" width="13.5703125" style="1174" bestFit="1" customWidth="1"/>
    <col min="5892" max="5892" width="18" style="1174" bestFit="1" customWidth="1"/>
    <col min="5893" max="5893" width="13.42578125" style="1174" customWidth="1"/>
    <col min="5894" max="5894" width="16.42578125" style="1174" customWidth="1"/>
    <col min="5895" max="5895" width="16.5703125" style="1174" customWidth="1"/>
    <col min="5896" max="5896" width="12.85546875" style="1174" customWidth="1"/>
    <col min="5897" max="5897" width="13.42578125" style="1174" customWidth="1"/>
    <col min="5898" max="5898" width="12.7109375" style="1174" customWidth="1"/>
    <col min="5899" max="5899" width="12.140625" style="1174" customWidth="1"/>
    <col min="5900" max="5900" width="12.28515625" style="1174" bestFit="1" customWidth="1"/>
    <col min="5901" max="5901" width="15.5703125" style="1174" bestFit="1" customWidth="1"/>
    <col min="5902" max="5902" width="0" style="1174" hidden="1" customWidth="1"/>
    <col min="5903" max="5903" width="11.28515625" style="1174" customWidth="1"/>
    <col min="5904" max="5904" width="0" style="1174" hidden="1" customWidth="1"/>
    <col min="5905" max="5905" width="13" style="1174" bestFit="1" customWidth="1"/>
    <col min="5906" max="5906" width="30.42578125" style="1174" customWidth="1"/>
    <col min="5907" max="5907" width="13" style="1174" bestFit="1" customWidth="1"/>
    <col min="5908" max="6129" width="12" style="1174" customWidth="1"/>
    <col min="6130" max="6144" width="9.42578125" style="1174"/>
    <col min="6145" max="6145" width="19.140625" style="1174" customWidth="1"/>
    <col min="6146" max="6146" width="9.42578125" style="1174" customWidth="1"/>
    <col min="6147" max="6147" width="13.5703125" style="1174" bestFit="1" customWidth="1"/>
    <col min="6148" max="6148" width="18" style="1174" bestFit="1" customWidth="1"/>
    <col min="6149" max="6149" width="13.42578125" style="1174" customWidth="1"/>
    <col min="6150" max="6150" width="16.42578125" style="1174" customWidth="1"/>
    <col min="6151" max="6151" width="16.5703125" style="1174" customWidth="1"/>
    <col min="6152" max="6152" width="12.85546875" style="1174" customWidth="1"/>
    <col min="6153" max="6153" width="13.42578125" style="1174" customWidth="1"/>
    <col min="6154" max="6154" width="12.7109375" style="1174" customWidth="1"/>
    <col min="6155" max="6155" width="12.140625" style="1174" customWidth="1"/>
    <col min="6156" max="6156" width="12.28515625" style="1174" bestFit="1" customWidth="1"/>
    <col min="6157" max="6157" width="15.5703125" style="1174" bestFit="1" customWidth="1"/>
    <col min="6158" max="6158" width="0" style="1174" hidden="1" customWidth="1"/>
    <col min="6159" max="6159" width="11.28515625" style="1174" customWidth="1"/>
    <col min="6160" max="6160" width="0" style="1174" hidden="1" customWidth="1"/>
    <col min="6161" max="6161" width="13" style="1174" bestFit="1" customWidth="1"/>
    <col min="6162" max="6162" width="30.42578125" style="1174" customWidth="1"/>
    <col min="6163" max="6163" width="13" style="1174" bestFit="1" customWidth="1"/>
    <col min="6164" max="6385" width="12" style="1174" customWidth="1"/>
    <col min="6386" max="6400" width="9.42578125" style="1174"/>
    <col min="6401" max="6401" width="19.140625" style="1174" customWidth="1"/>
    <col min="6402" max="6402" width="9.42578125" style="1174" customWidth="1"/>
    <col min="6403" max="6403" width="13.5703125" style="1174" bestFit="1" customWidth="1"/>
    <col min="6404" max="6404" width="18" style="1174" bestFit="1" customWidth="1"/>
    <col min="6405" max="6405" width="13.42578125" style="1174" customWidth="1"/>
    <col min="6406" max="6406" width="16.42578125" style="1174" customWidth="1"/>
    <col min="6407" max="6407" width="16.5703125" style="1174" customWidth="1"/>
    <col min="6408" max="6408" width="12.85546875" style="1174" customWidth="1"/>
    <col min="6409" max="6409" width="13.42578125" style="1174" customWidth="1"/>
    <col min="6410" max="6410" width="12.7109375" style="1174" customWidth="1"/>
    <col min="6411" max="6411" width="12.140625" style="1174" customWidth="1"/>
    <col min="6412" max="6412" width="12.28515625" style="1174" bestFit="1" customWidth="1"/>
    <col min="6413" max="6413" width="15.5703125" style="1174" bestFit="1" customWidth="1"/>
    <col min="6414" max="6414" width="0" style="1174" hidden="1" customWidth="1"/>
    <col min="6415" max="6415" width="11.28515625" style="1174" customWidth="1"/>
    <col min="6416" max="6416" width="0" style="1174" hidden="1" customWidth="1"/>
    <col min="6417" max="6417" width="13" style="1174" bestFit="1" customWidth="1"/>
    <col min="6418" max="6418" width="30.42578125" style="1174" customWidth="1"/>
    <col min="6419" max="6419" width="13" style="1174" bestFit="1" customWidth="1"/>
    <col min="6420" max="6641" width="12" style="1174" customWidth="1"/>
    <col min="6642" max="6656" width="9.42578125" style="1174"/>
    <col min="6657" max="6657" width="19.140625" style="1174" customWidth="1"/>
    <col min="6658" max="6658" width="9.42578125" style="1174" customWidth="1"/>
    <col min="6659" max="6659" width="13.5703125" style="1174" bestFit="1" customWidth="1"/>
    <col min="6660" max="6660" width="18" style="1174" bestFit="1" customWidth="1"/>
    <col min="6661" max="6661" width="13.42578125" style="1174" customWidth="1"/>
    <col min="6662" max="6662" width="16.42578125" style="1174" customWidth="1"/>
    <col min="6663" max="6663" width="16.5703125" style="1174" customWidth="1"/>
    <col min="6664" max="6664" width="12.85546875" style="1174" customWidth="1"/>
    <col min="6665" max="6665" width="13.42578125" style="1174" customWidth="1"/>
    <col min="6666" max="6666" width="12.7109375" style="1174" customWidth="1"/>
    <col min="6667" max="6667" width="12.140625" style="1174" customWidth="1"/>
    <col min="6668" max="6668" width="12.28515625" style="1174" bestFit="1" customWidth="1"/>
    <col min="6669" max="6669" width="15.5703125" style="1174" bestFit="1" customWidth="1"/>
    <col min="6670" max="6670" width="0" style="1174" hidden="1" customWidth="1"/>
    <col min="6671" max="6671" width="11.28515625" style="1174" customWidth="1"/>
    <col min="6672" max="6672" width="0" style="1174" hidden="1" customWidth="1"/>
    <col min="6673" max="6673" width="13" style="1174" bestFit="1" customWidth="1"/>
    <col min="6674" max="6674" width="30.42578125" style="1174" customWidth="1"/>
    <col min="6675" max="6675" width="13" style="1174" bestFit="1" customWidth="1"/>
    <col min="6676" max="6897" width="12" style="1174" customWidth="1"/>
    <col min="6898" max="6912" width="9.42578125" style="1174"/>
    <col min="6913" max="6913" width="19.140625" style="1174" customWidth="1"/>
    <col min="6914" max="6914" width="9.42578125" style="1174" customWidth="1"/>
    <col min="6915" max="6915" width="13.5703125" style="1174" bestFit="1" customWidth="1"/>
    <col min="6916" max="6916" width="18" style="1174" bestFit="1" customWidth="1"/>
    <col min="6917" max="6917" width="13.42578125" style="1174" customWidth="1"/>
    <col min="6918" max="6918" width="16.42578125" style="1174" customWidth="1"/>
    <col min="6919" max="6919" width="16.5703125" style="1174" customWidth="1"/>
    <col min="6920" max="6920" width="12.85546875" style="1174" customWidth="1"/>
    <col min="6921" max="6921" width="13.42578125" style="1174" customWidth="1"/>
    <col min="6922" max="6922" width="12.7109375" style="1174" customWidth="1"/>
    <col min="6923" max="6923" width="12.140625" style="1174" customWidth="1"/>
    <col min="6924" max="6924" width="12.28515625" style="1174" bestFit="1" customWidth="1"/>
    <col min="6925" max="6925" width="15.5703125" style="1174" bestFit="1" customWidth="1"/>
    <col min="6926" max="6926" width="0" style="1174" hidden="1" customWidth="1"/>
    <col min="6927" max="6927" width="11.28515625" style="1174" customWidth="1"/>
    <col min="6928" max="6928" width="0" style="1174" hidden="1" customWidth="1"/>
    <col min="6929" max="6929" width="13" style="1174" bestFit="1" customWidth="1"/>
    <col min="6930" max="6930" width="30.42578125" style="1174" customWidth="1"/>
    <col min="6931" max="6931" width="13" style="1174" bestFit="1" customWidth="1"/>
    <col min="6932" max="7153" width="12" style="1174" customWidth="1"/>
    <col min="7154" max="7168" width="9.42578125" style="1174"/>
    <col min="7169" max="7169" width="19.140625" style="1174" customWidth="1"/>
    <col min="7170" max="7170" width="9.42578125" style="1174" customWidth="1"/>
    <col min="7171" max="7171" width="13.5703125" style="1174" bestFit="1" customWidth="1"/>
    <col min="7172" max="7172" width="18" style="1174" bestFit="1" customWidth="1"/>
    <col min="7173" max="7173" width="13.42578125" style="1174" customWidth="1"/>
    <col min="7174" max="7174" width="16.42578125" style="1174" customWidth="1"/>
    <col min="7175" max="7175" width="16.5703125" style="1174" customWidth="1"/>
    <col min="7176" max="7176" width="12.85546875" style="1174" customWidth="1"/>
    <col min="7177" max="7177" width="13.42578125" style="1174" customWidth="1"/>
    <col min="7178" max="7178" width="12.7109375" style="1174" customWidth="1"/>
    <col min="7179" max="7179" width="12.140625" style="1174" customWidth="1"/>
    <col min="7180" max="7180" width="12.28515625" style="1174" bestFit="1" customWidth="1"/>
    <col min="7181" max="7181" width="15.5703125" style="1174" bestFit="1" customWidth="1"/>
    <col min="7182" max="7182" width="0" style="1174" hidden="1" customWidth="1"/>
    <col min="7183" max="7183" width="11.28515625" style="1174" customWidth="1"/>
    <col min="7184" max="7184" width="0" style="1174" hidden="1" customWidth="1"/>
    <col min="7185" max="7185" width="13" style="1174" bestFit="1" customWidth="1"/>
    <col min="7186" max="7186" width="30.42578125" style="1174" customWidth="1"/>
    <col min="7187" max="7187" width="13" style="1174" bestFit="1" customWidth="1"/>
    <col min="7188" max="7409" width="12" style="1174" customWidth="1"/>
    <col min="7410" max="7424" width="9.42578125" style="1174"/>
    <col min="7425" max="7425" width="19.140625" style="1174" customWidth="1"/>
    <col min="7426" max="7426" width="9.42578125" style="1174" customWidth="1"/>
    <col min="7427" max="7427" width="13.5703125" style="1174" bestFit="1" customWidth="1"/>
    <col min="7428" max="7428" width="18" style="1174" bestFit="1" customWidth="1"/>
    <col min="7429" max="7429" width="13.42578125" style="1174" customWidth="1"/>
    <col min="7430" max="7430" width="16.42578125" style="1174" customWidth="1"/>
    <col min="7431" max="7431" width="16.5703125" style="1174" customWidth="1"/>
    <col min="7432" max="7432" width="12.85546875" style="1174" customWidth="1"/>
    <col min="7433" max="7433" width="13.42578125" style="1174" customWidth="1"/>
    <col min="7434" max="7434" width="12.7109375" style="1174" customWidth="1"/>
    <col min="7435" max="7435" width="12.140625" style="1174" customWidth="1"/>
    <col min="7436" max="7436" width="12.28515625" style="1174" bestFit="1" customWidth="1"/>
    <col min="7437" max="7437" width="15.5703125" style="1174" bestFit="1" customWidth="1"/>
    <col min="7438" max="7438" width="0" style="1174" hidden="1" customWidth="1"/>
    <col min="7439" max="7439" width="11.28515625" style="1174" customWidth="1"/>
    <col min="7440" max="7440" width="0" style="1174" hidden="1" customWidth="1"/>
    <col min="7441" max="7441" width="13" style="1174" bestFit="1" customWidth="1"/>
    <col min="7442" max="7442" width="30.42578125" style="1174" customWidth="1"/>
    <col min="7443" max="7443" width="13" style="1174" bestFit="1" customWidth="1"/>
    <col min="7444" max="7665" width="12" style="1174" customWidth="1"/>
    <col min="7666" max="7680" width="9.42578125" style="1174"/>
    <col min="7681" max="7681" width="19.140625" style="1174" customWidth="1"/>
    <col min="7682" max="7682" width="9.42578125" style="1174" customWidth="1"/>
    <col min="7683" max="7683" width="13.5703125" style="1174" bestFit="1" customWidth="1"/>
    <col min="7684" max="7684" width="18" style="1174" bestFit="1" customWidth="1"/>
    <col min="7685" max="7685" width="13.42578125" style="1174" customWidth="1"/>
    <col min="7686" max="7686" width="16.42578125" style="1174" customWidth="1"/>
    <col min="7687" max="7687" width="16.5703125" style="1174" customWidth="1"/>
    <col min="7688" max="7688" width="12.85546875" style="1174" customWidth="1"/>
    <col min="7689" max="7689" width="13.42578125" style="1174" customWidth="1"/>
    <col min="7690" max="7690" width="12.7109375" style="1174" customWidth="1"/>
    <col min="7691" max="7691" width="12.140625" style="1174" customWidth="1"/>
    <col min="7692" max="7692" width="12.28515625" style="1174" bestFit="1" customWidth="1"/>
    <col min="7693" max="7693" width="15.5703125" style="1174" bestFit="1" customWidth="1"/>
    <col min="7694" max="7694" width="0" style="1174" hidden="1" customWidth="1"/>
    <col min="7695" max="7695" width="11.28515625" style="1174" customWidth="1"/>
    <col min="7696" max="7696" width="0" style="1174" hidden="1" customWidth="1"/>
    <col min="7697" max="7697" width="13" style="1174" bestFit="1" customWidth="1"/>
    <col min="7698" max="7698" width="30.42578125" style="1174" customWidth="1"/>
    <col min="7699" max="7699" width="13" style="1174" bestFit="1" customWidth="1"/>
    <col min="7700" max="7921" width="12" style="1174" customWidth="1"/>
    <col min="7922" max="7936" width="9.42578125" style="1174"/>
    <col min="7937" max="7937" width="19.140625" style="1174" customWidth="1"/>
    <col min="7938" max="7938" width="9.42578125" style="1174" customWidth="1"/>
    <col min="7939" max="7939" width="13.5703125" style="1174" bestFit="1" customWidth="1"/>
    <col min="7940" max="7940" width="18" style="1174" bestFit="1" customWidth="1"/>
    <col min="7941" max="7941" width="13.42578125" style="1174" customWidth="1"/>
    <col min="7942" max="7942" width="16.42578125" style="1174" customWidth="1"/>
    <col min="7943" max="7943" width="16.5703125" style="1174" customWidth="1"/>
    <col min="7944" max="7944" width="12.85546875" style="1174" customWidth="1"/>
    <col min="7945" max="7945" width="13.42578125" style="1174" customWidth="1"/>
    <col min="7946" max="7946" width="12.7109375" style="1174" customWidth="1"/>
    <col min="7947" max="7947" width="12.140625" style="1174" customWidth="1"/>
    <col min="7948" max="7948" width="12.28515625" style="1174" bestFit="1" customWidth="1"/>
    <col min="7949" max="7949" width="15.5703125" style="1174" bestFit="1" customWidth="1"/>
    <col min="7950" max="7950" width="0" style="1174" hidden="1" customWidth="1"/>
    <col min="7951" max="7951" width="11.28515625" style="1174" customWidth="1"/>
    <col min="7952" max="7952" width="0" style="1174" hidden="1" customWidth="1"/>
    <col min="7953" max="7953" width="13" style="1174" bestFit="1" customWidth="1"/>
    <col min="7954" max="7954" width="30.42578125" style="1174" customWidth="1"/>
    <col min="7955" max="7955" width="13" style="1174" bestFit="1" customWidth="1"/>
    <col min="7956" max="8177" width="12" style="1174" customWidth="1"/>
    <col min="8178" max="8192" width="9.42578125" style="1174"/>
    <col min="8193" max="8193" width="19.140625" style="1174" customWidth="1"/>
    <col min="8194" max="8194" width="9.42578125" style="1174" customWidth="1"/>
    <col min="8195" max="8195" width="13.5703125" style="1174" bestFit="1" customWidth="1"/>
    <col min="8196" max="8196" width="18" style="1174" bestFit="1" customWidth="1"/>
    <col min="8197" max="8197" width="13.42578125" style="1174" customWidth="1"/>
    <col min="8198" max="8198" width="16.42578125" style="1174" customWidth="1"/>
    <col min="8199" max="8199" width="16.5703125" style="1174" customWidth="1"/>
    <col min="8200" max="8200" width="12.85546875" style="1174" customWidth="1"/>
    <col min="8201" max="8201" width="13.42578125" style="1174" customWidth="1"/>
    <col min="8202" max="8202" width="12.7109375" style="1174" customWidth="1"/>
    <col min="8203" max="8203" width="12.140625" style="1174" customWidth="1"/>
    <col min="8204" max="8204" width="12.28515625" style="1174" bestFit="1" customWidth="1"/>
    <col min="8205" max="8205" width="15.5703125" style="1174" bestFit="1" customWidth="1"/>
    <col min="8206" max="8206" width="0" style="1174" hidden="1" customWidth="1"/>
    <col min="8207" max="8207" width="11.28515625" style="1174" customWidth="1"/>
    <col min="8208" max="8208" width="0" style="1174" hidden="1" customWidth="1"/>
    <col min="8209" max="8209" width="13" style="1174" bestFit="1" customWidth="1"/>
    <col min="8210" max="8210" width="30.42578125" style="1174" customWidth="1"/>
    <col min="8211" max="8211" width="13" style="1174" bestFit="1" customWidth="1"/>
    <col min="8212" max="8433" width="12" style="1174" customWidth="1"/>
    <col min="8434" max="8448" width="9.42578125" style="1174"/>
    <col min="8449" max="8449" width="19.140625" style="1174" customWidth="1"/>
    <col min="8450" max="8450" width="9.42578125" style="1174" customWidth="1"/>
    <col min="8451" max="8451" width="13.5703125" style="1174" bestFit="1" customWidth="1"/>
    <col min="8452" max="8452" width="18" style="1174" bestFit="1" customWidth="1"/>
    <col min="8453" max="8453" width="13.42578125" style="1174" customWidth="1"/>
    <col min="8454" max="8454" width="16.42578125" style="1174" customWidth="1"/>
    <col min="8455" max="8455" width="16.5703125" style="1174" customWidth="1"/>
    <col min="8456" max="8456" width="12.85546875" style="1174" customWidth="1"/>
    <col min="8457" max="8457" width="13.42578125" style="1174" customWidth="1"/>
    <col min="8458" max="8458" width="12.7109375" style="1174" customWidth="1"/>
    <col min="8459" max="8459" width="12.140625" style="1174" customWidth="1"/>
    <col min="8460" max="8460" width="12.28515625" style="1174" bestFit="1" customWidth="1"/>
    <col min="8461" max="8461" width="15.5703125" style="1174" bestFit="1" customWidth="1"/>
    <col min="8462" max="8462" width="0" style="1174" hidden="1" customWidth="1"/>
    <col min="8463" max="8463" width="11.28515625" style="1174" customWidth="1"/>
    <col min="8464" max="8464" width="0" style="1174" hidden="1" customWidth="1"/>
    <col min="8465" max="8465" width="13" style="1174" bestFit="1" customWidth="1"/>
    <col min="8466" max="8466" width="30.42578125" style="1174" customWidth="1"/>
    <col min="8467" max="8467" width="13" style="1174" bestFit="1" customWidth="1"/>
    <col min="8468" max="8689" width="12" style="1174" customWidth="1"/>
    <col min="8690" max="8704" width="9.42578125" style="1174"/>
    <col min="8705" max="8705" width="19.140625" style="1174" customWidth="1"/>
    <col min="8706" max="8706" width="9.42578125" style="1174" customWidth="1"/>
    <col min="8707" max="8707" width="13.5703125" style="1174" bestFit="1" customWidth="1"/>
    <col min="8708" max="8708" width="18" style="1174" bestFit="1" customWidth="1"/>
    <col min="8709" max="8709" width="13.42578125" style="1174" customWidth="1"/>
    <col min="8710" max="8710" width="16.42578125" style="1174" customWidth="1"/>
    <col min="8711" max="8711" width="16.5703125" style="1174" customWidth="1"/>
    <col min="8712" max="8712" width="12.85546875" style="1174" customWidth="1"/>
    <col min="8713" max="8713" width="13.42578125" style="1174" customWidth="1"/>
    <col min="8714" max="8714" width="12.7109375" style="1174" customWidth="1"/>
    <col min="8715" max="8715" width="12.140625" style="1174" customWidth="1"/>
    <col min="8716" max="8716" width="12.28515625" style="1174" bestFit="1" customWidth="1"/>
    <col min="8717" max="8717" width="15.5703125" style="1174" bestFit="1" customWidth="1"/>
    <col min="8718" max="8718" width="0" style="1174" hidden="1" customWidth="1"/>
    <col min="8719" max="8719" width="11.28515625" style="1174" customWidth="1"/>
    <col min="8720" max="8720" width="0" style="1174" hidden="1" customWidth="1"/>
    <col min="8721" max="8721" width="13" style="1174" bestFit="1" customWidth="1"/>
    <col min="8722" max="8722" width="30.42578125" style="1174" customWidth="1"/>
    <col min="8723" max="8723" width="13" style="1174" bestFit="1" customWidth="1"/>
    <col min="8724" max="8945" width="12" style="1174" customWidth="1"/>
    <col min="8946" max="8960" width="9.42578125" style="1174"/>
    <col min="8961" max="8961" width="19.140625" style="1174" customWidth="1"/>
    <col min="8962" max="8962" width="9.42578125" style="1174" customWidth="1"/>
    <col min="8963" max="8963" width="13.5703125" style="1174" bestFit="1" customWidth="1"/>
    <col min="8964" max="8964" width="18" style="1174" bestFit="1" customWidth="1"/>
    <col min="8965" max="8965" width="13.42578125" style="1174" customWidth="1"/>
    <col min="8966" max="8966" width="16.42578125" style="1174" customWidth="1"/>
    <col min="8967" max="8967" width="16.5703125" style="1174" customWidth="1"/>
    <col min="8968" max="8968" width="12.85546875" style="1174" customWidth="1"/>
    <col min="8969" max="8969" width="13.42578125" style="1174" customWidth="1"/>
    <col min="8970" max="8970" width="12.7109375" style="1174" customWidth="1"/>
    <col min="8971" max="8971" width="12.140625" style="1174" customWidth="1"/>
    <col min="8972" max="8972" width="12.28515625" style="1174" bestFit="1" customWidth="1"/>
    <col min="8973" max="8973" width="15.5703125" style="1174" bestFit="1" customWidth="1"/>
    <col min="8974" max="8974" width="0" style="1174" hidden="1" customWidth="1"/>
    <col min="8975" max="8975" width="11.28515625" style="1174" customWidth="1"/>
    <col min="8976" max="8976" width="0" style="1174" hidden="1" customWidth="1"/>
    <col min="8977" max="8977" width="13" style="1174" bestFit="1" customWidth="1"/>
    <col min="8978" max="8978" width="30.42578125" style="1174" customWidth="1"/>
    <col min="8979" max="8979" width="13" style="1174" bestFit="1" customWidth="1"/>
    <col min="8980" max="9201" width="12" style="1174" customWidth="1"/>
    <col min="9202" max="9216" width="9.42578125" style="1174"/>
    <col min="9217" max="9217" width="19.140625" style="1174" customWidth="1"/>
    <col min="9218" max="9218" width="9.42578125" style="1174" customWidth="1"/>
    <col min="9219" max="9219" width="13.5703125" style="1174" bestFit="1" customWidth="1"/>
    <col min="9220" max="9220" width="18" style="1174" bestFit="1" customWidth="1"/>
    <col min="9221" max="9221" width="13.42578125" style="1174" customWidth="1"/>
    <col min="9222" max="9222" width="16.42578125" style="1174" customWidth="1"/>
    <col min="9223" max="9223" width="16.5703125" style="1174" customWidth="1"/>
    <col min="9224" max="9224" width="12.85546875" style="1174" customWidth="1"/>
    <col min="9225" max="9225" width="13.42578125" style="1174" customWidth="1"/>
    <col min="9226" max="9226" width="12.7109375" style="1174" customWidth="1"/>
    <col min="9227" max="9227" width="12.140625" style="1174" customWidth="1"/>
    <col min="9228" max="9228" width="12.28515625" style="1174" bestFit="1" customWidth="1"/>
    <col min="9229" max="9229" width="15.5703125" style="1174" bestFit="1" customWidth="1"/>
    <col min="9230" max="9230" width="0" style="1174" hidden="1" customWidth="1"/>
    <col min="9231" max="9231" width="11.28515625" style="1174" customWidth="1"/>
    <col min="9232" max="9232" width="0" style="1174" hidden="1" customWidth="1"/>
    <col min="9233" max="9233" width="13" style="1174" bestFit="1" customWidth="1"/>
    <col min="9234" max="9234" width="30.42578125" style="1174" customWidth="1"/>
    <col min="9235" max="9235" width="13" style="1174" bestFit="1" customWidth="1"/>
    <col min="9236" max="9457" width="12" style="1174" customWidth="1"/>
    <col min="9458" max="9472" width="9.42578125" style="1174"/>
    <col min="9473" max="9473" width="19.140625" style="1174" customWidth="1"/>
    <col min="9474" max="9474" width="9.42578125" style="1174" customWidth="1"/>
    <col min="9475" max="9475" width="13.5703125" style="1174" bestFit="1" customWidth="1"/>
    <col min="9476" max="9476" width="18" style="1174" bestFit="1" customWidth="1"/>
    <col min="9477" max="9477" width="13.42578125" style="1174" customWidth="1"/>
    <col min="9478" max="9478" width="16.42578125" style="1174" customWidth="1"/>
    <col min="9479" max="9479" width="16.5703125" style="1174" customWidth="1"/>
    <col min="9480" max="9480" width="12.85546875" style="1174" customWidth="1"/>
    <col min="9481" max="9481" width="13.42578125" style="1174" customWidth="1"/>
    <col min="9482" max="9482" width="12.7109375" style="1174" customWidth="1"/>
    <col min="9483" max="9483" width="12.140625" style="1174" customWidth="1"/>
    <col min="9484" max="9484" width="12.28515625" style="1174" bestFit="1" customWidth="1"/>
    <col min="9485" max="9485" width="15.5703125" style="1174" bestFit="1" customWidth="1"/>
    <col min="9486" max="9486" width="0" style="1174" hidden="1" customWidth="1"/>
    <col min="9487" max="9487" width="11.28515625" style="1174" customWidth="1"/>
    <col min="9488" max="9488" width="0" style="1174" hidden="1" customWidth="1"/>
    <col min="9489" max="9489" width="13" style="1174" bestFit="1" customWidth="1"/>
    <col min="9490" max="9490" width="30.42578125" style="1174" customWidth="1"/>
    <col min="9491" max="9491" width="13" style="1174" bestFit="1" customWidth="1"/>
    <col min="9492" max="9713" width="12" style="1174" customWidth="1"/>
    <col min="9714" max="9728" width="9.42578125" style="1174"/>
    <col min="9729" max="9729" width="19.140625" style="1174" customWidth="1"/>
    <col min="9730" max="9730" width="9.42578125" style="1174" customWidth="1"/>
    <col min="9731" max="9731" width="13.5703125" style="1174" bestFit="1" customWidth="1"/>
    <col min="9732" max="9732" width="18" style="1174" bestFit="1" customWidth="1"/>
    <col min="9733" max="9733" width="13.42578125" style="1174" customWidth="1"/>
    <col min="9734" max="9734" width="16.42578125" style="1174" customWidth="1"/>
    <col min="9735" max="9735" width="16.5703125" style="1174" customWidth="1"/>
    <col min="9736" max="9736" width="12.85546875" style="1174" customWidth="1"/>
    <col min="9737" max="9737" width="13.42578125" style="1174" customWidth="1"/>
    <col min="9738" max="9738" width="12.7109375" style="1174" customWidth="1"/>
    <col min="9739" max="9739" width="12.140625" style="1174" customWidth="1"/>
    <col min="9740" max="9740" width="12.28515625" style="1174" bestFit="1" customWidth="1"/>
    <col min="9741" max="9741" width="15.5703125" style="1174" bestFit="1" customWidth="1"/>
    <col min="9742" max="9742" width="0" style="1174" hidden="1" customWidth="1"/>
    <col min="9743" max="9743" width="11.28515625" style="1174" customWidth="1"/>
    <col min="9744" max="9744" width="0" style="1174" hidden="1" customWidth="1"/>
    <col min="9745" max="9745" width="13" style="1174" bestFit="1" customWidth="1"/>
    <col min="9746" max="9746" width="30.42578125" style="1174" customWidth="1"/>
    <col min="9747" max="9747" width="13" style="1174" bestFit="1" customWidth="1"/>
    <col min="9748" max="9969" width="12" style="1174" customWidth="1"/>
    <col min="9970" max="9984" width="9.42578125" style="1174"/>
    <col min="9985" max="9985" width="19.140625" style="1174" customWidth="1"/>
    <col min="9986" max="9986" width="9.42578125" style="1174" customWidth="1"/>
    <col min="9987" max="9987" width="13.5703125" style="1174" bestFit="1" customWidth="1"/>
    <col min="9988" max="9988" width="18" style="1174" bestFit="1" customWidth="1"/>
    <col min="9989" max="9989" width="13.42578125" style="1174" customWidth="1"/>
    <col min="9990" max="9990" width="16.42578125" style="1174" customWidth="1"/>
    <col min="9991" max="9991" width="16.5703125" style="1174" customWidth="1"/>
    <col min="9992" max="9992" width="12.85546875" style="1174" customWidth="1"/>
    <col min="9993" max="9993" width="13.42578125" style="1174" customWidth="1"/>
    <col min="9994" max="9994" width="12.7109375" style="1174" customWidth="1"/>
    <col min="9995" max="9995" width="12.140625" style="1174" customWidth="1"/>
    <col min="9996" max="9996" width="12.28515625" style="1174" bestFit="1" customWidth="1"/>
    <col min="9997" max="9997" width="15.5703125" style="1174" bestFit="1" customWidth="1"/>
    <col min="9998" max="9998" width="0" style="1174" hidden="1" customWidth="1"/>
    <col min="9999" max="9999" width="11.28515625" style="1174" customWidth="1"/>
    <col min="10000" max="10000" width="0" style="1174" hidden="1" customWidth="1"/>
    <col min="10001" max="10001" width="13" style="1174" bestFit="1" customWidth="1"/>
    <col min="10002" max="10002" width="30.42578125" style="1174" customWidth="1"/>
    <col min="10003" max="10003" width="13" style="1174" bestFit="1" customWidth="1"/>
    <col min="10004" max="10225" width="12" style="1174" customWidth="1"/>
    <col min="10226" max="10240" width="9.42578125" style="1174"/>
    <col min="10241" max="10241" width="19.140625" style="1174" customWidth="1"/>
    <col min="10242" max="10242" width="9.42578125" style="1174" customWidth="1"/>
    <col min="10243" max="10243" width="13.5703125" style="1174" bestFit="1" customWidth="1"/>
    <col min="10244" max="10244" width="18" style="1174" bestFit="1" customWidth="1"/>
    <col min="10245" max="10245" width="13.42578125" style="1174" customWidth="1"/>
    <col min="10246" max="10246" width="16.42578125" style="1174" customWidth="1"/>
    <col min="10247" max="10247" width="16.5703125" style="1174" customWidth="1"/>
    <col min="10248" max="10248" width="12.85546875" style="1174" customWidth="1"/>
    <col min="10249" max="10249" width="13.42578125" style="1174" customWidth="1"/>
    <col min="10250" max="10250" width="12.7109375" style="1174" customWidth="1"/>
    <col min="10251" max="10251" width="12.140625" style="1174" customWidth="1"/>
    <col min="10252" max="10252" width="12.28515625" style="1174" bestFit="1" customWidth="1"/>
    <col min="10253" max="10253" width="15.5703125" style="1174" bestFit="1" customWidth="1"/>
    <col min="10254" max="10254" width="0" style="1174" hidden="1" customWidth="1"/>
    <col min="10255" max="10255" width="11.28515625" style="1174" customWidth="1"/>
    <col min="10256" max="10256" width="0" style="1174" hidden="1" customWidth="1"/>
    <col min="10257" max="10257" width="13" style="1174" bestFit="1" customWidth="1"/>
    <col min="10258" max="10258" width="30.42578125" style="1174" customWidth="1"/>
    <col min="10259" max="10259" width="13" style="1174" bestFit="1" customWidth="1"/>
    <col min="10260" max="10481" width="12" style="1174" customWidth="1"/>
    <col min="10482" max="10496" width="9.42578125" style="1174"/>
    <col min="10497" max="10497" width="19.140625" style="1174" customWidth="1"/>
    <col min="10498" max="10498" width="9.42578125" style="1174" customWidth="1"/>
    <col min="10499" max="10499" width="13.5703125" style="1174" bestFit="1" customWidth="1"/>
    <col min="10500" max="10500" width="18" style="1174" bestFit="1" customWidth="1"/>
    <col min="10501" max="10501" width="13.42578125" style="1174" customWidth="1"/>
    <col min="10502" max="10502" width="16.42578125" style="1174" customWidth="1"/>
    <col min="10503" max="10503" width="16.5703125" style="1174" customWidth="1"/>
    <col min="10504" max="10504" width="12.85546875" style="1174" customWidth="1"/>
    <col min="10505" max="10505" width="13.42578125" style="1174" customWidth="1"/>
    <col min="10506" max="10506" width="12.7109375" style="1174" customWidth="1"/>
    <col min="10507" max="10507" width="12.140625" style="1174" customWidth="1"/>
    <col min="10508" max="10508" width="12.28515625" style="1174" bestFit="1" customWidth="1"/>
    <col min="10509" max="10509" width="15.5703125" style="1174" bestFit="1" customWidth="1"/>
    <col min="10510" max="10510" width="0" style="1174" hidden="1" customWidth="1"/>
    <col min="10511" max="10511" width="11.28515625" style="1174" customWidth="1"/>
    <col min="10512" max="10512" width="0" style="1174" hidden="1" customWidth="1"/>
    <col min="10513" max="10513" width="13" style="1174" bestFit="1" customWidth="1"/>
    <col min="10514" max="10514" width="30.42578125" style="1174" customWidth="1"/>
    <col min="10515" max="10515" width="13" style="1174" bestFit="1" customWidth="1"/>
    <col min="10516" max="10737" width="12" style="1174" customWidth="1"/>
    <col min="10738" max="10752" width="9.42578125" style="1174"/>
    <col min="10753" max="10753" width="19.140625" style="1174" customWidth="1"/>
    <col min="10754" max="10754" width="9.42578125" style="1174" customWidth="1"/>
    <col min="10755" max="10755" width="13.5703125" style="1174" bestFit="1" customWidth="1"/>
    <col min="10756" max="10756" width="18" style="1174" bestFit="1" customWidth="1"/>
    <col min="10757" max="10757" width="13.42578125" style="1174" customWidth="1"/>
    <col min="10758" max="10758" width="16.42578125" style="1174" customWidth="1"/>
    <col min="10759" max="10759" width="16.5703125" style="1174" customWidth="1"/>
    <col min="10760" max="10760" width="12.85546875" style="1174" customWidth="1"/>
    <col min="10761" max="10761" width="13.42578125" style="1174" customWidth="1"/>
    <col min="10762" max="10762" width="12.7109375" style="1174" customWidth="1"/>
    <col min="10763" max="10763" width="12.140625" style="1174" customWidth="1"/>
    <col min="10764" max="10764" width="12.28515625" style="1174" bestFit="1" customWidth="1"/>
    <col min="10765" max="10765" width="15.5703125" style="1174" bestFit="1" customWidth="1"/>
    <col min="10766" max="10766" width="0" style="1174" hidden="1" customWidth="1"/>
    <col min="10767" max="10767" width="11.28515625" style="1174" customWidth="1"/>
    <col min="10768" max="10768" width="0" style="1174" hidden="1" customWidth="1"/>
    <col min="10769" max="10769" width="13" style="1174" bestFit="1" customWidth="1"/>
    <col min="10770" max="10770" width="30.42578125" style="1174" customWidth="1"/>
    <col min="10771" max="10771" width="13" style="1174" bestFit="1" customWidth="1"/>
    <col min="10772" max="10993" width="12" style="1174" customWidth="1"/>
    <col min="10994" max="11008" width="9.42578125" style="1174"/>
    <col min="11009" max="11009" width="19.140625" style="1174" customWidth="1"/>
    <col min="11010" max="11010" width="9.42578125" style="1174" customWidth="1"/>
    <col min="11011" max="11011" width="13.5703125" style="1174" bestFit="1" customWidth="1"/>
    <col min="11012" max="11012" width="18" style="1174" bestFit="1" customWidth="1"/>
    <col min="11013" max="11013" width="13.42578125" style="1174" customWidth="1"/>
    <col min="11014" max="11014" width="16.42578125" style="1174" customWidth="1"/>
    <col min="11015" max="11015" width="16.5703125" style="1174" customWidth="1"/>
    <col min="11016" max="11016" width="12.85546875" style="1174" customWidth="1"/>
    <col min="11017" max="11017" width="13.42578125" style="1174" customWidth="1"/>
    <col min="11018" max="11018" width="12.7109375" style="1174" customWidth="1"/>
    <col min="11019" max="11019" width="12.140625" style="1174" customWidth="1"/>
    <col min="11020" max="11020" width="12.28515625" style="1174" bestFit="1" customWidth="1"/>
    <col min="11021" max="11021" width="15.5703125" style="1174" bestFit="1" customWidth="1"/>
    <col min="11022" max="11022" width="0" style="1174" hidden="1" customWidth="1"/>
    <col min="11023" max="11023" width="11.28515625" style="1174" customWidth="1"/>
    <col min="11024" max="11024" width="0" style="1174" hidden="1" customWidth="1"/>
    <col min="11025" max="11025" width="13" style="1174" bestFit="1" customWidth="1"/>
    <col min="11026" max="11026" width="30.42578125" style="1174" customWidth="1"/>
    <col min="11027" max="11027" width="13" style="1174" bestFit="1" customWidth="1"/>
    <col min="11028" max="11249" width="12" style="1174" customWidth="1"/>
    <col min="11250" max="11264" width="9.42578125" style="1174"/>
    <col min="11265" max="11265" width="19.140625" style="1174" customWidth="1"/>
    <col min="11266" max="11266" width="9.42578125" style="1174" customWidth="1"/>
    <col min="11267" max="11267" width="13.5703125" style="1174" bestFit="1" customWidth="1"/>
    <col min="11268" max="11268" width="18" style="1174" bestFit="1" customWidth="1"/>
    <col min="11269" max="11269" width="13.42578125" style="1174" customWidth="1"/>
    <col min="11270" max="11270" width="16.42578125" style="1174" customWidth="1"/>
    <col min="11271" max="11271" width="16.5703125" style="1174" customWidth="1"/>
    <col min="11272" max="11272" width="12.85546875" style="1174" customWidth="1"/>
    <col min="11273" max="11273" width="13.42578125" style="1174" customWidth="1"/>
    <col min="11274" max="11274" width="12.7109375" style="1174" customWidth="1"/>
    <col min="11275" max="11275" width="12.140625" style="1174" customWidth="1"/>
    <col min="11276" max="11276" width="12.28515625" style="1174" bestFit="1" customWidth="1"/>
    <col min="11277" max="11277" width="15.5703125" style="1174" bestFit="1" customWidth="1"/>
    <col min="11278" max="11278" width="0" style="1174" hidden="1" customWidth="1"/>
    <col min="11279" max="11279" width="11.28515625" style="1174" customWidth="1"/>
    <col min="11280" max="11280" width="0" style="1174" hidden="1" customWidth="1"/>
    <col min="11281" max="11281" width="13" style="1174" bestFit="1" customWidth="1"/>
    <col min="11282" max="11282" width="30.42578125" style="1174" customWidth="1"/>
    <col min="11283" max="11283" width="13" style="1174" bestFit="1" customWidth="1"/>
    <col min="11284" max="11505" width="12" style="1174" customWidth="1"/>
    <col min="11506" max="11520" width="9.42578125" style="1174"/>
    <col min="11521" max="11521" width="19.140625" style="1174" customWidth="1"/>
    <col min="11522" max="11522" width="9.42578125" style="1174" customWidth="1"/>
    <col min="11523" max="11523" width="13.5703125" style="1174" bestFit="1" customWidth="1"/>
    <col min="11524" max="11524" width="18" style="1174" bestFit="1" customWidth="1"/>
    <col min="11525" max="11525" width="13.42578125" style="1174" customWidth="1"/>
    <col min="11526" max="11526" width="16.42578125" style="1174" customWidth="1"/>
    <col min="11527" max="11527" width="16.5703125" style="1174" customWidth="1"/>
    <col min="11528" max="11528" width="12.85546875" style="1174" customWidth="1"/>
    <col min="11529" max="11529" width="13.42578125" style="1174" customWidth="1"/>
    <col min="11530" max="11530" width="12.7109375" style="1174" customWidth="1"/>
    <col min="11531" max="11531" width="12.140625" style="1174" customWidth="1"/>
    <col min="11532" max="11532" width="12.28515625" style="1174" bestFit="1" customWidth="1"/>
    <col min="11533" max="11533" width="15.5703125" style="1174" bestFit="1" customWidth="1"/>
    <col min="11534" max="11534" width="0" style="1174" hidden="1" customWidth="1"/>
    <col min="11535" max="11535" width="11.28515625" style="1174" customWidth="1"/>
    <col min="11536" max="11536" width="0" style="1174" hidden="1" customWidth="1"/>
    <col min="11537" max="11537" width="13" style="1174" bestFit="1" customWidth="1"/>
    <col min="11538" max="11538" width="30.42578125" style="1174" customWidth="1"/>
    <col min="11539" max="11539" width="13" style="1174" bestFit="1" customWidth="1"/>
    <col min="11540" max="11761" width="12" style="1174" customWidth="1"/>
    <col min="11762" max="11776" width="9.42578125" style="1174"/>
    <col min="11777" max="11777" width="19.140625" style="1174" customWidth="1"/>
    <col min="11778" max="11778" width="9.42578125" style="1174" customWidth="1"/>
    <col min="11779" max="11779" width="13.5703125" style="1174" bestFit="1" customWidth="1"/>
    <col min="11780" max="11780" width="18" style="1174" bestFit="1" customWidth="1"/>
    <col min="11781" max="11781" width="13.42578125" style="1174" customWidth="1"/>
    <col min="11782" max="11782" width="16.42578125" style="1174" customWidth="1"/>
    <col min="11783" max="11783" width="16.5703125" style="1174" customWidth="1"/>
    <col min="11784" max="11784" width="12.85546875" style="1174" customWidth="1"/>
    <col min="11785" max="11785" width="13.42578125" style="1174" customWidth="1"/>
    <col min="11786" max="11786" width="12.7109375" style="1174" customWidth="1"/>
    <col min="11787" max="11787" width="12.140625" style="1174" customWidth="1"/>
    <col min="11788" max="11788" width="12.28515625" style="1174" bestFit="1" customWidth="1"/>
    <col min="11789" max="11789" width="15.5703125" style="1174" bestFit="1" customWidth="1"/>
    <col min="11790" max="11790" width="0" style="1174" hidden="1" customWidth="1"/>
    <col min="11791" max="11791" width="11.28515625" style="1174" customWidth="1"/>
    <col min="11792" max="11792" width="0" style="1174" hidden="1" customWidth="1"/>
    <col min="11793" max="11793" width="13" style="1174" bestFit="1" customWidth="1"/>
    <col min="11794" max="11794" width="30.42578125" style="1174" customWidth="1"/>
    <col min="11795" max="11795" width="13" style="1174" bestFit="1" customWidth="1"/>
    <col min="11796" max="12017" width="12" style="1174" customWidth="1"/>
    <col min="12018" max="12032" width="9.42578125" style="1174"/>
    <col min="12033" max="12033" width="19.140625" style="1174" customWidth="1"/>
    <col min="12034" max="12034" width="9.42578125" style="1174" customWidth="1"/>
    <col min="12035" max="12035" width="13.5703125" style="1174" bestFit="1" customWidth="1"/>
    <col min="12036" max="12036" width="18" style="1174" bestFit="1" customWidth="1"/>
    <col min="12037" max="12037" width="13.42578125" style="1174" customWidth="1"/>
    <col min="12038" max="12038" width="16.42578125" style="1174" customWidth="1"/>
    <col min="12039" max="12039" width="16.5703125" style="1174" customWidth="1"/>
    <col min="12040" max="12040" width="12.85546875" style="1174" customWidth="1"/>
    <col min="12041" max="12041" width="13.42578125" style="1174" customWidth="1"/>
    <col min="12042" max="12042" width="12.7109375" style="1174" customWidth="1"/>
    <col min="12043" max="12043" width="12.140625" style="1174" customWidth="1"/>
    <col min="12044" max="12044" width="12.28515625" style="1174" bestFit="1" customWidth="1"/>
    <col min="12045" max="12045" width="15.5703125" style="1174" bestFit="1" customWidth="1"/>
    <col min="12046" max="12046" width="0" style="1174" hidden="1" customWidth="1"/>
    <col min="12047" max="12047" width="11.28515625" style="1174" customWidth="1"/>
    <col min="12048" max="12048" width="0" style="1174" hidden="1" customWidth="1"/>
    <col min="12049" max="12049" width="13" style="1174" bestFit="1" customWidth="1"/>
    <col min="12050" max="12050" width="30.42578125" style="1174" customWidth="1"/>
    <col min="12051" max="12051" width="13" style="1174" bestFit="1" customWidth="1"/>
    <col min="12052" max="12273" width="12" style="1174" customWidth="1"/>
    <col min="12274" max="12288" width="9.42578125" style="1174"/>
    <col min="12289" max="12289" width="19.140625" style="1174" customWidth="1"/>
    <col min="12290" max="12290" width="9.42578125" style="1174" customWidth="1"/>
    <col min="12291" max="12291" width="13.5703125" style="1174" bestFit="1" customWidth="1"/>
    <col min="12292" max="12292" width="18" style="1174" bestFit="1" customWidth="1"/>
    <col min="12293" max="12293" width="13.42578125" style="1174" customWidth="1"/>
    <col min="12294" max="12294" width="16.42578125" style="1174" customWidth="1"/>
    <col min="12295" max="12295" width="16.5703125" style="1174" customWidth="1"/>
    <col min="12296" max="12296" width="12.85546875" style="1174" customWidth="1"/>
    <col min="12297" max="12297" width="13.42578125" style="1174" customWidth="1"/>
    <col min="12298" max="12298" width="12.7109375" style="1174" customWidth="1"/>
    <col min="12299" max="12299" width="12.140625" style="1174" customWidth="1"/>
    <col min="12300" max="12300" width="12.28515625" style="1174" bestFit="1" customWidth="1"/>
    <col min="12301" max="12301" width="15.5703125" style="1174" bestFit="1" customWidth="1"/>
    <col min="12302" max="12302" width="0" style="1174" hidden="1" customWidth="1"/>
    <col min="12303" max="12303" width="11.28515625" style="1174" customWidth="1"/>
    <col min="12304" max="12304" width="0" style="1174" hidden="1" customWidth="1"/>
    <col min="12305" max="12305" width="13" style="1174" bestFit="1" customWidth="1"/>
    <col min="12306" max="12306" width="30.42578125" style="1174" customWidth="1"/>
    <col min="12307" max="12307" width="13" style="1174" bestFit="1" customWidth="1"/>
    <col min="12308" max="12529" width="12" style="1174" customWidth="1"/>
    <col min="12530" max="12544" width="9.42578125" style="1174"/>
    <col min="12545" max="12545" width="19.140625" style="1174" customWidth="1"/>
    <col min="12546" max="12546" width="9.42578125" style="1174" customWidth="1"/>
    <col min="12547" max="12547" width="13.5703125" style="1174" bestFit="1" customWidth="1"/>
    <col min="12548" max="12548" width="18" style="1174" bestFit="1" customWidth="1"/>
    <col min="12549" max="12549" width="13.42578125" style="1174" customWidth="1"/>
    <col min="12550" max="12550" width="16.42578125" style="1174" customWidth="1"/>
    <col min="12551" max="12551" width="16.5703125" style="1174" customWidth="1"/>
    <col min="12552" max="12552" width="12.85546875" style="1174" customWidth="1"/>
    <col min="12553" max="12553" width="13.42578125" style="1174" customWidth="1"/>
    <col min="12554" max="12554" width="12.7109375" style="1174" customWidth="1"/>
    <col min="12555" max="12555" width="12.140625" style="1174" customWidth="1"/>
    <col min="12556" max="12556" width="12.28515625" style="1174" bestFit="1" customWidth="1"/>
    <col min="12557" max="12557" width="15.5703125" style="1174" bestFit="1" customWidth="1"/>
    <col min="12558" max="12558" width="0" style="1174" hidden="1" customWidth="1"/>
    <col min="12559" max="12559" width="11.28515625" style="1174" customWidth="1"/>
    <col min="12560" max="12560" width="0" style="1174" hidden="1" customWidth="1"/>
    <col min="12561" max="12561" width="13" style="1174" bestFit="1" customWidth="1"/>
    <col min="12562" max="12562" width="30.42578125" style="1174" customWidth="1"/>
    <col min="12563" max="12563" width="13" style="1174" bestFit="1" customWidth="1"/>
    <col min="12564" max="12785" width="12" style="1174" customWidth="1"/>
    <col min="12786" max="12800" width="9.42578125" style="1174"/>
    <col min="12801" max="12801" width="19.140625" style="1174" customWidth="1"/>
    <col min="12802" max="12802" width="9.42578125" style="1174" customWidth="1"/>
    <col min="12803" max="12803" width="13.5703125" style="1174" bestFit="1" customWidth="1"/>
    <col min="12804" max="12804" width="18" style="1174" bestFit="1" customWidth="1"/>
    <col min="12805" max="12805" width="13.42578125" style="1174" customWidth="1"/>
    <col min="12806" max="12806" width="16.42578125" style="1174" customWidth="1"/>
    <col min="12807" max="12807" width="16.5703125" style="1174" customWidth="1"/>
    <col min="12808" max="12808" width="12.85546875" style="1174" customWidth="1"/>
    <col min="12809" max="12809" width="13.42578125" style="1174" customWidth="1"/>
    <col min="12810" max="12810" width="12.7109375" style="1174" customWidth="1"/>
    <col min="12811" max="12811" width="12.140625" style="1174" customWidth="1"/>
    <col min="12812" max="12812" width="12.28515625" style="1174" bestFit="1" customWidth="1"/>
    <col min="12813" max="12813" width="15.5703125" style="1174" bestFit="1" customWidth="1"/>
    <col min="12814" max="12814" width="0" style="1174" hidden="1" customWidth="1"/>
    <col min="12815" max="12815" width="11.28515625" style="1174" customWidth="1"/>
    <col min="12816" max="12816" width="0" style="1174" hidden="1" customWidth="1"/>
    <col min="12817" max="12817" width="13" style="1174" bestFit="1" customWidth="1"/>
    <col min="12818" max="12818" width="30.42578125" style="1174" customWidth="1"/>
    <col min="12819" max="12819" width="13" style="1174" bestFit="1" customWidth="1"/>
    <col min="12820" max="13041" width="12" style="1174" customWidth="1"/>
    <col min="13042" max="13056" width="9.42578125" style="1174"/>
    <col min="13057" max="13057" width="19.140625" style="1174" customWidth="1"/>
    <col min="13058" max="13058" width="9.42578125" style="1174" customWidth="1"/>
    <col min="13059" max="13059" width="13.5703125" style="1174" bestFit="1" customWidth="1"/>
    <col min="13060" max="13060" width="18" style="1174" bestFit="1" customWidth="1"/>
    <col min="13061" max="13061" width="13.42578125" style="1174" customWidth="1"/>
    <col min="13062" max="13062" width="16.42578125" style="1174" customWidth="1"/>
    <col min="13063" max="13063" width="16.5703125" style="1174" customWidth="1"/>
    <col min="13064" max="13064" width="12.85546875" style="1174" customWidth="1"/>
    <col min="13065" max="13065" width="13.42578125" style="1174" customWidth="1"/>
    <col min="13066" max="13066" width="12.7109375" style="1174" customWidth="1"/>
    <col min="13067" max="13067" width="12.140625" style="1174" customWidth="1"/>
    <col min="13068" max="13068" width="12.28515625" style="1174" bestFit="1" customWidth="1"/>
    <col min="13069" max="13069" width="15.5703125" style="1174" bestFit="1" customWidth="1"/>
    <col min="13070" max="13070" width="0" style="1174" hidden="1" customWidth="1"/>
    <col min="13071" max="13071" width="11.28515625" style="1174" customWidth="1"/>
    <col min="13072" max="13072" width="0" style="1174" hidden="1" customWidth="1"/>
    <col min="13073" max="13073" width="13" style="1174" bestFit="1" customWidth="1"/>
    <col min="13074" max="13074" width="30.42578125" style="1174" customWidth="1"/>
    <col min="13075" max="13075" width="13" style="1174" bestFit="1" customWidth="1"/>
    <col min="13076" max="13297" width="12" style="1174" customWidth="1"/>
    <col min="13298" max="13312" width="9.42578125" style="1174"/>
    <col min="13313" max="13313" width="19.140625" style="1174" customWidth="1"/>
    <col min="13314" max="13314" width="9.42578125" style="1174" customWidth="1"/>
    <col min="13315" max="13315" width="13.5703125" style="1174" bestFit="1" customWidth="1"/>
    <col min="13316" max="13316" width="18" style="1174" bestFit="1" customWidth="1"/>
    <col min="13317" max="13317" width="13.42578125" style="1174" customWidth="1"/>
    <col min="13318" max="13318" width="16.42578125" style="1174" customWidth="1"/>
    <col min="13319" max="13319" width="16.5703125" style="1174" customWidth="1"/>
    <col min="13320" max="13320" width="12.85546875" style="1174" customWidth="1"/>
    <col min="13321" max="13321" width="13.42578125" style="1174" customWidth="1"/>
    <col min="13322" max="13322" width="12.7109375" style="1174" customWidth="1"/>
    <col min="13323" max="13323" width="12.140625" style="1174" customWidth="1"/>
    <col min="13324" max="13324" width="12.28515625" style="1174" bestFit="1" customWidth="1"/>
    <col min="13325" max="13325" width="15.5703125" style="1174" bestFit="1" customWidth="1"/>
    <col min="13326" max="13326" width="0" style="1174" hidden="1" customWidth="1"/>
    <col min="13327" max="13327" width="11.28515625" style="1174" customWidth="1"/>
    <col min="13328" max="13328" width="0" style="1174" hidden="1" customWidth="1"/>
    <col min="13329" max="13329" width="13" style="1174" bestFit="1" customWidth="1"/>
    <col min="13330" max="13330" width="30.42578125" style="1174" customWidth="1"/>
    <col min="13331" max="13331" width="13" style="1174" bestFit="1" customWidth="1"/>
    <col min="13332" max="13553" width="12" style="1174" customWidth="1"/>
    <col min="13554" max="13568" width="9.42578125" style="1174"/>
    <col min="13569" max="13569" width="19.140625" style="1174" customWidth="1"/>
    <col min="13570" max="13570" width="9.42578125" style="1174" customWidth="1"/>
    <col min="13571" max="13571" width="13.5703125" style="1174" bestFit="1" customWidth="1"/>
    <col min="13572" max="13572" width="18" style="1174" bestFit="1" customWidth="1"/>
    <col min="13573" max="13573" width="13.42578125" style="1174" customWidth="1"/>
    <col min="13574" max="13574" width="16.42578125" style="1174" customWidth="1"/>
    <col min="13575" max="13575" width="16.5703125" style="1174" customWidth="1"/>
    <col min="13576" max="13576" width="12.85546875" style="1174" customWidth="1"/>
    <col min="13577" max="13577" width="13.42578125" style="1174" customWidth="1"/>
    <col min="13578" max="13578" width="12.7109375" style="1174" customWidth="1"/>
    <col min="13579" max="13579" width="12.140625" style="1174" customWidth="1"/>
    <col min="13580" max="13580" width="12.28515625" style="1174" bestFit="1" customWidth="1"/>
    <col min="13581" max="13581" width="15.5703125" style="1174" bestFit="1" customWidth="1"/>
    <col min="13582" max="13582" width="0" style="1174" hidden="1" customWidth="1"/>
    <col min="13583" max="13583" width="11.28515625" style="1174" customWidth="1"/>
    <col min="13584" max="13584" width="0" style="1174" hidden="1" customWidth="1"/>
    <col min="13585" max="13585" width="13" style="1174" bestFit="1" customWidth="1"/>
    <col min="13586" max="13586" width="30.42578125" style="1174" customWidth="1"/>
    <col min="13587" max="13587" width="13" style="1174" bestFit="1" customWidth="1"/>
    <col min="13588" max="13809" width="12" style="1174" customWidth="1"/>
    <col min="13810" max="13824" width="9.42578125" style="1174"/>
    <col min="13825" max="13825" width="19.140625" style="1174" customWidth="1"/>
    <col min="13826" max="13826" width="9.42578125" style="1174" customWidth="1"/>
    <col min="13827" max="13827" width="13.5703125" style="1174" bestFit="1" customWidth="1"/>
    <col min="13828" max="13828" width="18" style="1174" bestFit="1" customWidth="1"/>
    <col min="13829" max="13829" width="13.42578125" style="1174" customWidth="1"/>
    <col min="13830" max="13830" width="16.42578125" style="1174" customWidth="1"/>
    <col min="13831" max="13831" width="16.5703125" style="1174" customWidth="1"/>
    <col min="13832" max="13832" width="12.85546875" style="1174" customWidth="1"/>
    <col min="13833" max="13833" width="13.42578125" style="1174" customWidth="1"/>
    <col min="13834" max="13834" width="12.7109375" style="1174" customWidth="1"/>
    <col min="13835" max="13835" width="12.140625" style="1174" customWidth="1"/>
    <col min="13836" max="13836" width="12.28515625" style="1174" bestFit="1" customWidth="1"/>
    <col min="13837" max="13837" width="15.5703125" style="1174" bestFit="1" customWidth="1"/>
    <col min="13838" max="13838" width="0" style="1174" hidden="1" customWidth="1"/>
    <col min="13839" max="13839" width="11.28515625" style="1174" customWidth="1"/>
    <col min="13840" max="13840" width="0" style="1174" hidden="1" customWidth="1"/>
    <col min="13841" max="13841" width="13" style="1174" bestFit="1" customWidth="1"/>
    <col min="13842" max="13842" width="30.42578125" style="1174" customWidth="1"/>
    <col min="13843" max="13843" width="13" style="1174" bestFit="1" customWidth="1"/>
    <col min="13844" max="14065" width="12" style="1174" customWidth="1"/>
    <col min="14066" max="14080" width="9.42578125" style="1174"/>
    <col min="14081" max="14081" width="19.140625" style="1174" customWidth="1"/>
    <col min="14082" max="14082" width="9.42578125" style="1174" customWidth="1"/>
    <col min="14083" max="14083" width="13.5703125" style="1174" bestFit="1" customWidth="1"/>
    <col min="14084" max="14084" width="18" style="1174" bestFit="1" customWidth="1"/>
    <col min="14085" max="14085" width="13.42578125" style="1174" customWidth="1"/>
    <col min="14086" max="14086" width="16.42578125" style="1174" customWidth="1"/>
    <col min="14087" max="14087" width="16.5703125" style="1174" customWidth="1"/>
    <col min="14088" max="14088" width="12.85546875" style="1174" customWidth="1"/>
    <col min="14089" max="14089" width="13.42578125" style="1174" customWidth="1"/>
    <col min="14090" max="14090" width="12.7109375" style="1174" customWidth="1"/>
    <col min="14091" max="14091" width="12.140625" style="1174" customWidth="1"/>
    <col min="14092" max="14092" width="12.28515625" style="1174" bestFit="1" customWidth="1"/>
    <col min="14093" max="14093" width="15.5703125" style="1174" bestFit="1" customWidth="1"/>
    <col min="14094" max="14094" width="0" style="1174" hidden="1" customWidth="1"/>
    <col min="14095" max="14095" width="11.28515625" style="1174" customWidth="1"/>
    <col min="14096" max="14096" width="0" style="1174" hidden="1" customWidth="1"/>
    <col min="14097" max="14097" width="13" style="1174" bestFit="1" customWidth="1"/>
    <col min="14098" max="14098" width="30.42578125" style="1174" customWidth="1"/>
    <col min="14099" max="14099" width="13" style="1174" bestFit="1" customWidth="1"/>
    <col min="14100" max="14321" width="12" style="1174" customWidth="1"/>
    <col min="14322" max="14336" width="9.42578125" style="1174"/>
    <col min="14337" max="14337" width="19.140625" style="1174" customWidth="1"/>
    <col min="14338" max="14338" width="9.42578125" style="1174" customWidth="1"/>
    <col min="14339" max="14339" width="13.5703125" style="1174" bestFit="1" customWidth="1"/>
    <col min="14340" max="14340" width="18" style="1174" bestFit="1" customWidth="1"/>
    <col min="14341" max="14341" width="13.42578125" style="1174" customWidth="1"/>
    <col min="14342" max="14342" width="16.42578125" style="1174" customWidth="1"/>
    <col min="14343" max="14343" width="16.5703125" style="1174" customWidth="1"/>
    <col min="14344" max="14344" width="12.85546875" style="1174" customWidth="1"/>
    <col min="14345" max="14345" width="13.42578125" style="1174" customWidth="1"/>
    <col min="14346" max="14346" width="12.7109375" style="1174" customWidth="1"/>
    <col min="14347" max="14347" width="12.140625" style="1174" customWidth="1"/>
    <col min="14348" max="14348" width="12.28515625" style="1174" bestFit="1" customWidth="1"/>
    <col min="14349" max="14349" width="15.5703125" style="1174" bestFit="1" customWidth="1"/>
    <col min="14350" max="14350" width="0" style="1174" hidden="1" customWidth="1"/>
    <col min="14351" max="14351" width="11.28515625" style="1174" customWidth="1"/>
    <col min="14352" max="14352" width="0" style="1174" hidden="1" customWidth="1"/>
    <col min="14353" max="14353" width="13" style="1174" bestFit="1" customWidth="1"/>
    <col min="14354" max="14354" width="30.42578125" style="1174" customWidth="1"/>
    <col min="14355" max="14355" width="13" style="1174" bestFit="1" customWidth="1"/>
    <col min="14356" max="14577" width="12" style="1174" customWidth="1"/>
    <col min="14578" max="14592" width="9.42578125" style="1174"/>
    <col min="14593" max="14593" width="19.140625" style="1174" customWidth="1"/>
    <col min="14594" max="14594" width="9.42578125" style="1174" customWidth="1"/>
    <col min="14595" max="14595" width="13.5703125" style="1174" bestFit="1" customWidth="1"/>
    <col min="14596" max="14596" width="18" style="1174" bestFit="1" customWidth="1"/>
    <col min="14597" max="14597" width="13.42578125" style="1174" customWidth="1"/>
    <col min="14598" max="14598" width="16.42578125" style="1174" customWidth="1"/>
    <col min="14599" max="14599" width="16.5703125" style="1174" customWidth="1"/>
    <col min="14600" max="14600" width="12.85546875" style="1174" customWidth="1"/>
    <col min="14601" max="14601" width="13.42578125" style="1174" customWidth="1"/>
    <col min="14602" max="14602" width="12.7109375" style="1174" customWidth="1"/>
    <col min="14603" max="14603" width="12.140625" style="1174" customWidth="1"/>
    <col min="14604" max="14604" width="12.28515625" style="1174" bestFit="1" customWidth="1"/>
    <col min="14605" max="14605" width="15.5703125" style="1174" bestFit="1" customWidth="1"/>
    <col min="14606" max="14606" width="0" style="1174" hidden="1" customWidth="1"/>
    <col min="14607" max="14607" width="11.28515625" style="1174" customWidth="1"/>
    <col min="14608" max="14608" width="0" style="1174" hidden="1" customWidth="1"/>
    <col min="14609" max="14609" width="13" style="1174" bestFit="1" customWidth="1"/>
    <col min="14610" max="14610" width="30.42578125" style="1174" customWidth="1"/>
    <col min="14611" max="14611" width="13" style="1174" bestFit="1" customWidth="1"/>
    <col min="14612" max="14833" width="12" style="1174" customWidth="1"/>
    <col min="14834" max="14848" width="9.42578125" style="1174"/>
    <col min="14849" max="14849" width="19.140625" style="1174" customWidth="1"/>
    <col min="14850" max="14850" width="9.42578125" style="1174" customWidth="1"/>
    <col min="14851" max="14851" width="13.5703125" style="1174" bestFit="1" customWidth="1"/>
    <col min="14852" max="14852" width="18" style="1174" bestFit="1" customWidth="1"/>
    <col min="14853" max="14853" width="13.42578125" style="1174" customWidth="1"/>
    <col min="14854" max="14854" width="16.42578125" style="1174" customWidth="1"/>
    <col min="14855" max="14855" width="16.5703125" style="1174" customWidth="1"/>
    <col min="14856" max="14856" width="12.85546875" style="1174" customWidth="1"/>
    <col min="14857" max="14857" width="13.42578125" style="1174" customWidth="1"/>
    <col min="14858" max="14858" width="12.7109375" style="1174" customWidth="1"/>
    <col min="14859" max="14859" width="12.140625" style="1174" customWidth="1"/>
    <col min="14860" max="14860" width="12.28515625" style="1174" bestFit="1" customWidth="1"/>
    <col min="14861" max="14861" width="15.5703125" style="1174" bestFit="1" customWidth="1"/>
    <col min="14862" max="14862" width="0" style="1174" hidden="1" customWidth="1"/>
    <col min="14863" max="14863" width="11.28515625" style="1174" customWidth="1"/>
    <col min="14864" max="14864" width="0" style="1174" hidden="1" customWidth="1"/>
    <col min="14865" max="14865" width="13" style="1174" bestFit="1" customWidth="1"/>
    <col min="14866" max="14866" width="30.42578125" style="1174" customWidth="1"/>
    <col min="14867" max="14867" width="13" style="1174" bestFit="1" customWidth="1"/>
    <col min="14868" max="15089" width="12" style="1174" customWidth="1"/>
    <col min="15090" max="15104" width="9.42578125" style="1174"/>
    <col min="15105" max="15105" width="19.140625" style="1174" customWidth="1"/>
    <col min="15106" max="15106" width="9.42578125" style="1174" customWidth="1"/>
    <col min="15107" max="15107" width="13.5703125" style="1174" bestFit="1" customWidth="1"/>
    <col min="15108" max="15108" width="18" style="1174" bestFit="1" customWidth="1"/>
    <col min="15109" max="15109" width="13.42578125" style="1174" customWidth="1"/>
    <col min="15110" max="15110" width="16.42578125" style="1174" customWidth="1"/>
    <col min="15111" max="15111" width="16.5703125" style="1174" customWidth="1"/>
    <col min="15112" max="15112" width="12.85546875" style="1174" customWidth="1"/>
    <col min="15113" max="15113" width="13.42578125" style="1174" customWidth="1"/>
    <col min="15114" max="15114" width="12.7109375" style="1174" customWidth="1"/>
    <col min="15115" max="15115" width="12.140625" style="1174" customWidth="1"/>
    <col min="15116" max="15116" width="12.28515625" style="1174" bestFit="1" customWidth="1"/>
    <col min="15117" max="15117" width="15.5703125" style="1174" bestFit="1" customWidth="1"/>
    <col min="15118" max="15118" width="0" style="1174" hidden="1" customWidth="1"/>
    <col min="15119" max="15119" width="11.28515625" style="1174" customWidth="1"/>
    <col min="15120" max="15120" width="0" style="1174" hidden="1" customWidth="1"/>
    <col min="15121" max="15121" width="13" style="1174" bestFit="1" customWidth="1"/>
    <col min="15122" max="15122" width="30.42578125" style="1174" customWidth="1"/>
    <col min="15123" max="15123" width="13" style="1174" bestFit="1" customWidth="1"/>
    <col min="15124" max="15345" width="12" style="1174" customWidth="1"/>
    <col min="15346" max="15360" width="9.42578125" style="1174"/>
    <col min="15361" max="15361" width="19.140625" style="1174" customWidth="1"/>
    <col min="15362" max="15362" width="9.42578125" style="1174" customWidth="1"/>
    <col min="15363" max="15363" width="13.5703125" style="1174" bestFit="1" customWidth="1"/>
    <col min="15364" max="15364" width="18" style="1174" bestFit="1" customWidth="1"/>
    <col min="15365" max="15365" width="13.42578125" style="1174" customWidth="1"/>
    <col min="15366" max="15366" width="16.42578125" style="1174" customWidth="1"/>
    <col min="15367" max="15367" width="16.5703125" style="1174" customWidth="1"/>
    <col min="15368" max="15368" width="12.85546875" style="1174" customWidth="1"/>
    <col min="15369" max="15369" width="13.42578125" style="1174" customWidth="1"/>
    <col min="15370" max="15370" width="12.7109375" style="1174" customWidth="1"/>
    <col min="15371" max="15371" width="12.140625" style="1174" customWidth="1"/>
    <col min="15372" max="15372" width="12.28515625" style="1174" bestFit="1" customWidth="1"/>
    <col min="15373" max="15373" width="15.5703125" style="1174" bestFit="1" customWidth="1"/>
    <col min="15374" max="15374" width="0" style="1174" hidden="1" customWidth="1"/>
    <col min="15375" max="15375" width="11.28515625" style="1174" customWidth="1"/>
    <col min="15376" max="15376" width="0" style="1174" hidden="1" customWidth="1"/>
    <col min="15377" max="15377" width="13" style="1174" bestFit="1" customWidth="1"/>
    <col min="15378" max="15378" width="30.42578125" style="1174" customWidth="1"/>
    <col min="15379" max="15379" width="13" style="1174" bestFit="1" customWidth="1"/>
    <col min="15380" max="15601" width="12" style="1174" customWidth="1"/>
    <col min="15602" max="15616" width="9.42578125" style="1174"/>
    <col min="15617" max="15617" width="19.140625" style="1174" customWidth="1"/>
    <col min="15618" max="15618" width="9.42578125" style="1174" customWidth="1"/>
    <col min="15619" max="15619" width="13.5703125" style="1174" bestFit="1" customWidth="1"/>
    <col min="15620" max="15620" width="18" style="1174" bestFit="1" customWidth="1"/>
    <col min="15621" max="15621" width="13.42578125" style="1174" customWidth="1"/>
    <col min="15622" max="15622" width="16.42578125" style="1174" customWidth="1"/>
    <col min="15623" max="15623" width="16.5703125" style="1174" customWidth="1"/>
    <col min="15624" max="15624" width="12.85546875" style="1174" customWidth="1"/>
    <col min="15625" max="15625" width="13.42578125" style="1174" customWidth="1"/>
    <col min="15626" max="15626" width="12.7109375" style="1174" customWidth="1"/>
    <col min="15627" max="15627" width="12.140625" style="1174" customWidth="1"/>
    <col min="15628" max="15628" width="12.28515625" style="1174" bestFit="1" customWidth="1"/>
    <col min="15629" max="15629" width="15.5703125" style="1174" bestFit="1" customWidth="1"/>
    <col min="15630" max="15630" width="0" style="1174" hidden="1" customWidth="1"/>
    <col min="15631" max="15631" width="11.28515625" style="1174" customWidth="1"/>
    <col min="15632" max="15632" width="0" style="1174" hidden="1" customWidth="1"/>
    <col min="15633" max="15633" width="13" style="1174" bestFit="1" customWidth="1"/>
    <col min="15634" max="15634" width="30.42578125" style="1174" customWidth="1"/>
    <col min="15635" max="15635" width="13" style="1174" bestFit="1" customWidth="1"/>
    <col min="15636" max="15857" width="12" style="1174" customWidth="1"/>
    <col min="15858" max="15872" width="9.42578125" style="1174"/>
    <col min="15873" max="15873" width="19.140625" style="1174" customWidth="1"/>
    <col min="15874" max="15874" width="9.42578125" style="1174" customWidth="1"/>
    <col min="15875" max="15875" width="13.5703125" style="1174" bestFit="1" customWidth="1"/>
    <col min="15876" max="15876" width="18" style="1174" bestFit="1" customWidth="1"/>
    <col min="15877" max="15877" width="13.42578125" style="1174" customWidth="1"/>
    <col min="15878" max="15878" width="16.42578125" style="1174" customWidth="1"/>
    <col min="15879" max="15879" width="16.5703125" style="1174" customWidth="1"/>
    <col min="15880" max="15880" width="12.85546875" style="1174" customWidth="1"/>
    <col min="15881" max="15881" width="13.42578125" style="1174" customWidth="1"/>
    <col min="15882" max="15882" width="12.7109375" style="1174" customWidth="1"/>
    <col min="15883" max="15883" width="12.140625" style="1174" customWidth="1"/>
    <col min="15884" max="15884" width="12.28515625" style="1174" bestFit="1" customWidth="1"/>
    <col min="15885" max="15885" width="15.5703125" style="1174" bestFit="1" customWidth="1"/>
    <col min="15886" max="15886" width="0" style="1174" hidden="1" customWidth="1"/>
    <col min="15887" max="15887" width="11.28515625" style="1174" customWidth="1"/>
    <col min="15888" max="15888" width="0" style="1174" hidden="1" customWidth="1"/>
    <col min="15889" max="15889" width="13" style="1174" bestFit="1" customWidth="1"/>
    <col min="15890" max="15890" width="30.42578125" style="1174" customWidth="1"/>
    <col min="15891" max="15891" width="13" style="1174" bestFit="1" customWidth="1"/>
    <col min="15892" max="16113" width="12" style="1174" customWidth="1"/>
    <col min="16114" max="16128" width="9.42578125" style="1174"/>
    <col min="16129" max="16129" width="19.140625" style="1174" customWidth="1"/>
    <col min="16130" max="16130" width="9.42578125" style="1174" customWidth="1"/>
    <col min="16131" max="16131" width="13.5703125" style="1174" bestFit="1" customWidth="1"/>
    <col min="16132" max="16132" width="18" style="1174" bestFit="1" customWidth="1"/>
    <col min="16133" max="16133" width="13.42578125" style="1174" customWidth="1"/>
    <col min="16134" max="16134" width="16.42578125" style="1174" customWidth="1"/>
    <col min="16135" max="16135" width="16.5703125" style="1174" customWidth="1"/>
    <col min="16136" max="16136" width="12.85546875" style="1174" customWidth="1"/>
    <col min="16137" max="16137" width="13.42578125" style="1174" customWidth="1"/>
    <col min="16138" max="16138" width="12.7109375" style="1174" customWidth="1"/>
    <col min="16139" max="16139" width="12.140625" style="1174" customWidth="1"/>
    <col min="16140" max="16140" width="12.28515625" style="1174" bestFit="1" customWidth="1"/>
    <col min="16141" max="16141" width="15.5703125" style="1174" bestFit="1" customWidth="1"/>
    <col min="16142" max="16142" width="0" style="1174" hidden="1" customWidth="1"/>
    <col min="16143" max="16143" width="11.28515625" style="1174" customWidth="1"/>
    <col min="16144" max="16144" width="0" style="1174" hidden="1" customWidth="1"/>
    <col min="16145" max="16145" width="13" style="1174" bestFit="1" customWidth="1"/>
    <col min="16146" max="16146" width="30.42578125" style="1174" customWidth="1"/>
    <col min="16147" max="16147" width="13" style="1174" bestFit="1" customWidth="1"/>
    <col min="16148" max="16369" width="12" style="1174" customWidth="1"/>
    <col min="16370" max="16384" width="9.42578125" style="1174"/>
  </cols>
  <sheetData>
    <row r="1" spans="1:39" ht="28.35" customHeight="1">
      <c r="A1" s="1801"/>
      <c r="B1" s="1801"/>
      <c r="E1" s="1793"/>
      <c r="F1" s="1793"/>
      <c r="J1" s="2724"/>
      <c r="K1" s="2724"/>
      <c r="T1" s="2867"/>
      <c r="U1" s="3208"/>
      <c r="V1" s="3175"/>
      <c r="W1" s="2867"/>
      <c r="X1" s="2867"/>
      <c r="Y1" s="2867"/>
      <c r="Z1" s="2867"/>
    </row>
    <row r="2" spans="1:39" ht="28.35" customHeight="1">
      <c r="A2" s="1809"/>
      <c r="B2" s="1809"/>
      <c r="C2" s="3209"/>
      <c r="D2" s="3209"/>
      <c r="E2" s="3209"/>
      <c r="F2" s="3209"/>
      <c r="G2" s="2724"/>
      <c r="H2" s="2724"/>
      <c r="J2" s="2724"/>
      <c r="K2" s="3172"/>
      <c r="T2" s="2350"/>
      <c r="U2" s="3174"/>
      <c r="V2" s="2867"/>
      <c r="W2" s="2867"/>
      <c r="X2" s="2867"/>
      <c r="Y2" s="2867"/>
    </row>
    <row r="3" spans="1:39" s="1845" customFormat="1" ht="28.35" customHeight="1">
      <c r="A3" s="3176"/>
      <c r="B3" s="3176"/>
      <c r="C3" s="4856" t="s">
        <v>1369</v>
      </c>
      <c r="D3" s="4856"/>
      <c r="E3" s="4856"/>
      <c r="F3" s="4856"/>
      <c r="G3" s="4856"/>
      <c r="H3" s="4856"/>
      <c r="I3" s="4856"/>
      <c r="J3" s="4856"/>
      <c r="K3" s="4856"/>
      <c r="L3" s="4856"/>
      <c r="M3" s="4856"/>
      <c r="N3" s="4856"/>
      <c r="O3" s="4856"/>
      <c r="P3" s="3237"/>
    </row>
    <row r="4" spans="1:39" s="2498" customFormat="1" ht="28.35" customHeight="1">
      <c r="A4" s="3179"/>
      <c r="B4" s="3179"/>
      <c r="C4" s="4713" t="s">
        <v>1370</v>
      </c>
      <c r="D4" s="4713"/>
      <c r="E4" s="4713"/>
      <c r="F4" s="4713"/>
      <c r="G4" s="4713"/>
      <c r="H4" s="4713"/>
      <c r="I4" s="4713"/>
      <c r="J4" s="4713"/>
      <c r="K4" s="4713"/>
      <c r="L4" s="4713"/>
      <c r="M4" s="4713"/>
      <c r="N4" s="4713"/>
      <c r="O4" s="4713"/>
      <c r="P4" s="3238"/>
    </row>
    <row r="5" spans="1:39" s="1849" customFormat="1" ht="17.100000000000001" customHeight="1">
      <c r="A5" s="3212"/>
      <c r="B5" s="3212"/>
      <c r="C5" s="3213" t="s">
        <v>1306</v>
      </c>
      <c r="D5" s="2159"/>
      <c r="E5" s="2159"/>
      <c r="F5" s="2159"/>
      <c r="G5" s="1318"/>
      <c r="H5" s="1318"/>
      <c r="I5" s="1318"/>
      <c r="J5" s="1318"/>
      <c r="K5" s="1318"/>
      <c r="L5" s="1318"/>
      <c r="M5" s="4935" t="s">
        <v>1307</v>
      </c>
      <c r="N5" s="4935"/>
      <c r="O5" s="4935"/>
      <c r="P5" s="2957" t="s">
        <v>1343</v>
      </c>
    </row>
    <row r="6" spans="1:39" ht="4.3499999999999996" customHeight="1">
      <c r="A6" s="1809"/>
      <c r="B6" s="1809"/>
      <c r="C6" s="3214"/>
      <c r="D6" s="3214"/>
      <c r="E6" s="3213"/>
      <c r="F6" s="3213"/>
      <c r="G6" s="1323"/>
      <c r="H6" s="1323"/>
      <c r="I6" s="1323"/>
      <c r="J6" s="1323"/>
      <c r="K6" s="1323"/>
      <c r="L6" s="1323"/>
      <c r="M6" s="1323"/>
      <c r="N6" s="1323"/>
      <c r="O6" s="1323"/>
      <c r="P6" s="3239"/>
    </row>
    <row r="7" spans="1:39" s="3217" customFormat="1" ht="6.95" customHeight="1">
      <c r="A7" s="1809"/>
      <c r="B7" s="1809"/>
      <c r="C7" s="2506"/>
      <c r="D7" s="2589"/>
      <c r="E7" s="2589"/>
      <c r="F7" s="2589"/>
      <c r="G7" s="2589"/>
      <c r="H7" s="2589"/>
      <c r="I7" s="2589"/>
      <c r="J7" s="2589"/>
      <c r="K7" s="2589"/>
      <c r="L7" s="2589"/>
      <c r="M7" s="1329"/>
      <c r="N7" s="1329"/>
      <c r="O7" s="3240"/>
      <c r="P7" s="3241"/>
      <c r="Q7" s="1801"/>
      <c r="R7" s="1801"/>
      <c r="S7" s="1801"/>
      <c r="T7" s="1801"/>
      <c r="U7" s="1801"/>
      <c r="V7" s="1801"/>
      <c r="W7" s="1801"/>
      <c r="X7" s="1801"/>
      <c r="Y7" s="1801"/>
      <c r="Z7" s="1801"/>
      <c r="AA7" s="1801"/>
      <c r="AB7" s="1801"/>
      <c r="AC7" s="1801"/>
      <c r="AD7" s="1801"/>
      <c r="AE7" s="1801"/>
      <c r="AF7" s="1801"/>
      <c r="AG7" s="1801"/>
      <c r="AH7" s="1801"/>
      <c r="AI7" s="1801"/>
      <c r="AJ7" s="1801"/>
      <c r="AK7" s="1801"/>
      <c r="AL7" s="1801"/>
      <c r="AM7" s="1801"/>
    </row>
    <row r="8" spans="1:39" s="1801" customFormat="1" ht="23.1" customHeight="1">
      <c r="A8" s="1809"/>
      <c r="B8" s="1809"/>
      <c r="C8" s="2316"/>
      <c r="D8" s="1235"/>
      <c r="E8" s="1235"/>
      <c r="F8" s="1731" t="s">
        <v>1371</v>
      </c>
      <c r="G8" s="1387"/>
      <c r="H8" s="1387"/>
      <c r="I8" s="1731" t="s">
        <v>1372</v>
      </c>
      <c r="J8" s="1387"/>
      <c r="K8" s="1235"/>
      <c r="L8" s="1235"/>
      <c r="M8" s="1235"/>
      <c r="N8" s="1235"/>
      <c r="O8" s="3242"/>
      <c r="P8" s="3243"/>
    </row>
    <row r="9" spans="1:39" s="1801" customFormat="1" ht="23.1" customHeight="1">
      <c r="A9" s="1809"/>
      <c r="B9" s="1809"/>
      <c r="C9" s="2367"/>
      <c r="D9" s="1731"/>
      <c r="E9" s="1731"/>
      <c r="F9" s="1731" t="s">
        <v>1373</v>
      </c>
      <c r="G9" s="1387"/>
      <c r="H9" s="1731" t="s">
        <v>1374</v>
      </c>
      <c r="I9" s="1731" t="s">
        <v>1375</v>
      </c>
      <c r="J9" s="1731" t="s">
        <v>1376</v>
      </c>
      <c r="K9" s="1387"/>
      <c r="L9" s="1731" t="s">
        <v>1317</v>
      </c>
      <c r="M9" s="1387"/>
      <c r="N9" s="1235"/>
      <c r="O9" s="3242"/>
      <c r="P9" s="3243"/>
    </row>
    <row r="10" spans="1:39" s="1801" customFormat="1" ht="23.1" customHeight="1">
      <c r="A10" s="1809"/>
      <c r="B10" s="1809"/>
      <c r="C10" s="2367"/>
      <c r="D10" s="1731"/>
      <c r="E10" s="1731" t="s">
        <v>1348</v>
      </c>
      <c r="F10" s="1731" t="s">
        <v>1377</v>
      </c>
      <c r="G10" s="1731"/>
      <c r="H10" s="1731" t="s">
        <v>1378</v>
      </c>
      <c r="I10" s="1731" t="s">
        <v>1379</v>
      </c>
      <c r="J10" s="1731" t="s">
        <v>1380</v>
      </c>
      <c r="K10" s="1731"/>
      <c r="L10" s="1731" t="s">
        <v>1381</v>
      </c>
      <c r="M10" s="3244"/>
      <c r="N10" s="1235"/>
      <c r="O10" s="3242"/>
      <c r="P10" s="3243"/>
    </row>
    <row r="11" spans="1:39" s="1801" customFormat="1" ht="23.1" customHeight="1">
      <c r="A11" s="3245"/>
      <c r="B11" s="3245"/>
      <c r="C11" s="2367"/>
      <c r="D11" s="1731" t="s">
        <v>1382</v>
      </c>
      <c r="E11" s="1731" t="s">
        <v>1349</v>
      </c>
      <c r="F11" s="1731" t="s">
        <v>1383</v>
      </c>
      <c r="G11" s="1731" t="s">
        <v>1317</v>
      </c>
      <c r="H11" s="1731" t="s">
        <v>1384</v>
      </c>
      <c r="I11" s="1731" t="s">
        <v>1375</v>
      </c>
      <c r="J11" s="1731" t="s">
        <v>1385</v>
      </c>
      <c r="K11" s="1731" t="s">
        <v>1386</v>
      </c>
      <c r="L11" s="1731" t="s">
        <v>1387</v>
      </c>
      <c r="M11" s="1242" t="s">
        <v>170</v>
      </c>
      <c r="N11" s="1387"/>
      <c r="O11" s="3246"/>
      <c r="P11" s="3243"/>
    </row>
    <row r="12" spans="1:39" s="1801" customFormat="1" ht="23.1" customHeight="1">
      <c r="A12" s="1809"/>
      <c r="B12" s="1809"/>
      <c r="C12" s="2367" t="s">
        <v>330</v>
      </c>
      <c r="D12" s="1731" t="s">
        <v>1388</v>
      </c>
      <c r="E12" s="1731" t="s">
        <v>668</v>
      </c>
      <c r="F12" s="1731" t="s">
        <v>1389</v>
      </c>
      <c r="G12" s="1731" t="s">
        <v>1390</v>
      </c>
      <c r="H12" s="1731" t="s">
        <v>1391</v>
      </c>
      <c r="I12" s="1731" t="s">
        <v>1392</v>
      </c>
      <c r="J12" s="1731" t="s">
        <v>1351</v>
      </c>
      <c r="K12" s="1731" t="s">
        <v>1393</v>
      </c>
      <c r="L12" s="1731" t="s">
        <v>1394</v>
      </c>
      <c r="M12" s="1242" t="s">
        <v>1395</v>
      </c>
      <c r="N12" s="1387"/>
      <c r="O12" s="2690"/>
      <c r="P12" s="3243"/>
    </row>
    <row r="13" spans="1:39" s="1801" customFormat="1" ht="17.100000000000001" customHeight="1">
      <c r="A13" s="1809"/>
      <c r="B13" s="1809"/>
      <c r="C13" s="3247"/>
      <c r="D13" s="3248"/>
      <c r="E13" s="3248"/>
      <c r="F13" s="3248"/>
      <c r="G13" s="3248"/>
      <c r="H13" s="3248"/>
      <c r="I13" s="3248"/>
      <c r="J13" s="3248"/>
      <c r="K13" s="3248"/>
      <c r="L13" s="3248"/>
      <c r="M13" s="1731"/>
      <c r="N13" s="1235"/>
      <c r="O13" s="3242"/>
      <c r="P13" s="3249"/>
    </row>
    <row r="14" spans="1:39" s="1801" customFormat="1" ht="17.100000000000001" customHeight="1">
      <c r="A14" s="1809"/>
      <c r="B14" s="1809"/>
      <c r="C14" s="3066"/>
      <c r="D14" s="1387"/>
      <c r="E14" s="1387"/>
      <c r="F14" s="1731" t="s">
        <v>1396</v>
      </c>
      <c r="G14" s="1387"/>
      <c r="H14" s="1387"/>
      <c r="I14" s="1731" t="s">
        <v>1397</v>
      </c>
      <c r="J14" s="1731" t="s">
        <v>1398</v>
      </c>
      <c r="K14" s="1387"/>
      <c r="L14" s="1387"/>
      <c r="M14" s="1387"/>
      <c r="N14" s="1235"/>
      <c r="O14" s="2272"/>
      <c r="P14" s="3249"/>
    </row>
    <row r="15" spans="1:39" s="1801" customFormat="1" ht="24.75" customHeight="1">
      <c r="A15" s="1809"/>
      <c r="B15" s="1809"/>
      <c r="C15" s="2367"/>
      <c r="D15" s="1731"/>
      <c r="E15" s="1731" t="s">
        <v>1399</v>
      </c>
      <c r="F15" s="1731" t="s">
        <v>1400</v>
      </c>
      <c r="G15" s="1731"/>
      <c r="H15" s="1731" t="s">
        <v>1401</v>
      </c>
      <c r="I15" s="1731" t="s">
        <v>1402</v>
      </c>
      <c r="J15" s="1731" t="s">
        <v>1403</v>
      </c>
      <c r="K15" s="1731"/>
      <c r="L15" s="1731" t="s">
        <v>1404</v>
      </c>
      <c r="M15" s="1242"/>
      <c r="N15" s="1235"/>
      <c r="O15" s="3242"/>
      <c r="P15" s="3243"/>
    </row>
    <row r="16" spans="1:39" s="1801" customFormat="1" ht="21.75" customHeight="1">
      <c r="A16" s="1809"/>
      <c r="B16" s="1809"/>
      <c r="C16" s="2367"/>
      <c r="D16" s="1731" t="s">
        <v>1405</v>
      </c>
      <c r="E16" s="1731" t="s">
        <v>127</v>
      </c>
      <c r="F16" s="1731" t="s">
        <v>1329</v>
      </c>
      <c r="G16" s="1731"/>
      <c r="H16" s="1731" t="s">
        <v>1406</v>
      </c>
      <c r="I16" s="1731" t="s">
        <v>1407</v>
      </c>
      <c r="J16" s="1731" t="s">
        <v>1408</v>
      </c>
      <c r="K16" s="1731" t="s">
        <v>1409</v>
      </c>
      <c r="L16" s="1731" t="s">
        <v>127</v>
      </c>
      <c r="M16" s="1242"/>
      <c r="N16" s="1235"/>
      <c r="O16" s="3242"/>
      <c r="P16" s="3243"/>
    </row>
    <row r="17" spans="1:58" s="1801" customFormat="1" ht="21.75" customHeight="1">
      <c r="A17" s="1809"/>
      <c r="B17" s="1809"/>
      <c r="C17" s="2367"/>
      <c r="D17" s="1731" t="s">
        <v>1410</v>
      </c>
      <c r="E17" s="1731" t="s">
        <v>1411</v>
      </c>
      <c r="F17" s="1731" t="s">
        <v>1412</v>
      </c>
      <c r="G17" s="1731"/>
      <c r="H17" s="1731" t="s">
        <v>1413</v>
      </c>
      <c r="I17" s="1731" t="s">
        <v>1414</v>
      </c>
      <c r="J17" s="1731" t="s">
        <v>1415</v>
      </c>
      <c r="K17" s="1731" t="s">
        <v>127</v>
      </c>
      <c r="L17" s="1731" t="s">
        <v>1416</v>
      </c>
      <c r="M17" s="1242" t="s">
        <v>634</v>
      </c>
      <c r="N17" s="1235"/>
      <c r="O17" s="3242"/>
      <c r="P17" s="3243"/>
    </row>
    <row r="18" spans="1:58" s="1801" customFormat="1" ht="16.5" customHeight="1">
      <c r="A18" s="1809"/>
      <c r="B18" s="1809"/>
      <c r="C18" s="2597" t="s">
        <v>119</v>
      </c>
      <c r="D18" s="1732" t="s">
        <v>1417</v>
      </c>
      <c r="E18" s="1732" t="s">
        <v>1359</v>
      </c>
      <c r="F18" s="1732" t="s">
        <v>1418</v>
      </c>
      <c r="G18" s="1732" t="s">
        <v>1419</v>
      </c>
      <c r="H18" s="1732" t="s">
        <v>1420</v>
      </c>
      <c r="I18" s="1732" t="s">
        <v>1330</v>
      </c>
      <c r="J18" s="1732" t="s">
        <v>1360</v>
      </c>
      <c r="K18" s="1732" t="s">
        <v>1421</v>
      </c>
      <c r="L18" s="1732" t="s">
        <v>1422</v>
      </c>
      <c r="M18" s="2515" t="s">
        <v>187</v>
      </c>
      <c r="N18" s="3250"/>
      <c r="O18" s="3251"/>
      <c r="P18" s="3243"/>
    </row>
    <row r="19" spans="1:58" s="3259" customFormat="1" ht="5.25" customHeight="1">
      <c r="A19" s="3252"/>
      <c r="B19" s="3252"/>
      <c r="C19" s="3253"/>
      <c r="D19" s="3254"/>
      <c r="E19" s="3254"/>
      <c r="F19" s="3254"/>
      <c r="G19" s="3254"/>
      <c r="H19" s="3254"/>
      <c r="I19" s="3254"/>
      <c r="J19" s="3254"/>
      <c r="K19" s="3254"/>
      <c r="L19" s="3254"/>
      <c r="M19" s="3255"/>
      <c r="N19" s="3254"/>
      <c r="O19" s="3256"/>
      <c r="P19" s="3257"/>
      <c r="Q19" s="3258"/>
      <c r="R19" s="3252"/>
      <c r="S19" s="3252"/>
      <c r="T19" s="3252"/>
      <c r="U19" s="3252"/>
      <c r="V19" s="3252"/>
      <c r="W19" s="3252"/>
      <c r="X19" s="3252"/>
      <c r="Y19" s="3252"/>
      <c r="Z19" s="3252"/>
      <c r="AA19" s="3252"/>
      <c r="AB19" s="3252"/>
      <c r="AC19" s="3252"/>
      <c r="AD19" s="3252"/>
      <c r="AE19" s="3252"/>
      <c r="AF19" s="3252"/>
      <c r="AG19" s="3252"/>
      <c r="AH19" s="3252"/>
      <c r="AI19" s="3252"/>
      <c r="AJ19" s="3252"/>
      <c r="AK19" s="3252"/>
      <c r="AL19" s="3252"/>
      <c r="AM19" s="3252"/>
      <c r="AN19" s="3252"/>
      <c r="AO19" s="3252"/>
      <c r="AP19" s="3252"/>
      <c r="AQ19" s="3252"/>
      <c r="AR19" s="3252"/>
      <c r="AS19" s="3252"/>
      <c r="AT19" s="3252"/>
      <c r="AU19" s="3252"/>
      <c r="AV19" s="3252"/>
      <c r="AW19" s="3252"/>
      <c r="AX19" s="3252"/>
      <c r="AY19" s="3252"/>
      <c r="AZ19" s="3252"/>
      <c r="BA19" s="3252"/>
      <c r="BB19" s="3252"/>
      <c r="BC19" s="3252"/>
      <c r="BD19" s="3252"/>
      <c r="BE19" s="3252"/>
      <c r="BF19" s="3252"/>
    </row>
    <row r="20" spans="1:58" ht="21" customHeight="1">
      <c r="C20" s="410">
        <v>52</v>
      </c>
      <c r="D20" s="1254">
        <v>165</v>
      </c>
      <c r="E20" s="1254">
        <v>32</v>
      </c>
      <c r="F20" s="1254">
        <v>115</v>
      </c>
      <c r="G20" s="1254">
        <v>17</v>
      </c>
      <c r="H20" s="1254">
        <v>149</v>
      </c>
      <c r="I20" s="1254">
        <v>53</v>
      </c>
      <c r="J20" s="1254">
        <v>2685</v>
      </c>
      <c r="K20" s="1254">
        <v>602</v>
      </c>
      <c r="L20" s="1254">
        <v>3142</v>
      </c>
      <c r="M20" s="1256">
        <f t="shared" ref="M20:M71" si="0">L20+K20+J20+I20+H20+G20+F20+E20+D20+C20</f>
        <v>7012</v>
      </c>
      <c r="N20" s="1472"/>
      <c r="O20" s="1512">
        <v>1964</v>
      </c>
      <c r="P20" s="3243"/>
      <c r="Q20" s="3199"/>
      <c r="R20" s="1801"/>
      <c r="S20" s="3198"/>
      <c r="T20" s="1801"/>
      <c r="U20" s="1801"/>
      <c r="V20" s="1801"/>
      <c r="W20" s="1801"/>
      <c r="X20" s="1801"/>
      <c r="Y20" s="1801"/>
      <c r="Z20" s="1801"/>
      <c r="AA20" s="1801"/>
      <c r="AB20" s="1801"/>
      <c r="AC20" s="1801"/>
      <c r="AD20" s="1801"/>
      <c r="AE20" s="1801"/>
      <c r="AF20" s="1801"/>
      <c r="AG20" s="1801"/>
      <c r="AH20" s="1801"/>
      <c r="AI20" s="1801"/>
      <c r="AJ20" s="1801"/>
      <c r="AK20" s="1801"/>
      <c r="AL20" s="1801"/>
      <c r="AM20" s="1801"/>
      <c r="AN20" s="1801"/>
      <c r="AO20" s="1801"/>
      <c r="AP20" s="1801"/>
      <c r="AQ20" s="1801"/>
      <c r="AR20" s="1801"/>
      <c r="AS20" s="1801"/>
      <c r="AT20" s="1801"/>
      <c r="AU20" s="1801"/>
      <c r="AV20" s="1801"/>
      <c r="AW20" s="1801"/>
      <c r="AX20" s="1801"/>
      <c r="AY20" s="1801"/>
      <c r="AZ20" s="1801"/>
      <c r="BA20" s="1801"/>
      <c r="BB20" s="1801"/>
      <c r="BC20" s="1801"/>
      <c r="BD20" s="1801"/>
      <c r="BE20" s="1801"/>
      <c r="BF20" s="1801"/>
    </row>
    <row r="21" spans="1:58" ht="21" customHeight="1">
      <c r="C21" s="1492">
        <v>47</v>
      </c>
      <c r="D21" s="1157">
        <v>221</v>
      </c>
      <c r="E21" s="1260">
        <v>123</v>
      </c>
      <c r="F21" s="1260">
        <v>112</v>
      </c>
      <c r="G21" s="1260">
        <v>19</v>
      </c>
      <c r="H21" s="1260">
        <v>103</v>
      </c>
      <c r="I21" s="1260">
        <v>0</v>
      </c>
      <c r="J21" s="3260">
        <v>2798</v>
      </c>
      <c r="K21" s="1260">
        <v>425</v>
      </c>
      <c r="L21" s="1260">
        <v>3905</v>
      </c>
      <c r="M21" s="1159">
        <f t="shared" si="0"/>
        <v>7753</v>
      </c>
      <c r="N21" s="1510"/>
      <c r="O21" s="1511">
        <v>1965</v>
      </c>
      <c r="P21" s="3261"/>
      <c r="Q21" s="3199"/>
      <c r="R21" s="1964"/>
      <c r="S21" s="3198"/>
      <c r="T21" s="1964"/>
      <c r="U21" s="1964"/>
      <c r="V21" s="1964"/>
      <c r="W21" s="1964"/>
      <c r="X21" s="1964"/>
      <c r="Y21" s="1964"/>
      <c r="Z21" s="1964"/>
      <c r="AA21" s="1964"/>
      <c r="AB21" s="1964"/>
      <c r="AC21" s="1801"/>
      <c r="AD21" s="1801"/>
      <c r="AE21" s="1801"/>
      <c r="AF21" s="1801"/>
      <c r="AG21" s="1801"/>
      <c r="AH21" s="1801"/>
      <c r="AI21" s="1801"/>
      <c r="AJ21" s="1801"/>
      <c r="AK21" s="1801"/>
      <c r="AL21" s="1801"/>
      <c r="AM21" s="1801"/>
      <c r="AN21" s="1801"/>
      <c r="AO21" s="1801"/>
      <c r="AP21" s="1801"/>
      <c r="AQ21" s="1801"/>
      <c r="AR21" s="1801"/>
      <c r="AS21" s="1801"/>
      <c r="AT21" s="1801"/>
      <c r="AU21" s="1801"/>
      <c r="AV21" s="1801"/>
      <c r="AW21" s="1801"/>
      <c r="AX21" s="1801"/>
      <c r="AY21" s="1801"/>
      <c r="AZ21" s="1801"/>
      <c r="BA21" s="1801"/>
      <c r="BB21" s="1801"/>
      <c r="BC21" s="1801"/>
      <c r="BD21" s="1801"/>
      <c r="BE21" s="1801"/>
      <c r="BF21" s="1801"/>
    </row>
    <row r="22" spans="1:58" ht="21" customHeight="1">
      <c r="C22" s="410">
        <v>51</v>
      </c>
      <c r="D22" s="1254">
        <v>198</v>
      </c>
      <c r="E22" s="1254">
        <v>223</v>
      </c>
      <c r="F22" s="1254">
        <v>135</v>
      </c>
      <c r="G22" s="1254">
        <v>25</v>
      </c>
      <c r="H22" s="1254">
        <v>118</v>
      </c>
      <c r="I22" s="1254">
        <v>0</v>
      </c>
      <c r="J22" s="1254">
        <v>3627</v>
      </c>
      <c r="K22" s="1254">
        <v>329</v>
      </c>
      <c r="L22" s="1254">
        <v>4053</v>
      </c>
      <c r="M22" s="1256">
        <f t="shared" si="0"/>
        <v>8759</v>
      </c>
      <c r="N22" s="1472"/>
      <c r="O22" s="1512">
        <v>1966</v>
      </c>
      <c r="P22" s="3262"/>
      <c r="Q22" s="3199"/>
      <c r="R22" s="1964"/>
      <c r="S22" s="3198"/>
      <c r="T22" s="1964"/>
      <c r="U22" s="1964"/>
      <c r="V22" s="1964"/>
      <c r="W22" s="1964"/>
      <c r="X22" s="1964"/>
      <c r="Y22" s="1964"/>
      <c r="Z22" s="1964"/>
      <c r="AA22" s="1964"/>
      <c r="AB22" s="1964"/>
      <c r="AC22" s="1801"/>
      <c r="AD22" s="1801"/>
      <c r="AE22" s="1801"/>
      <c r="AF22" s="1801"/>
      <c r="AG22" s="1801"/>
      <c r="AH22" s="1801"/>
      <c r="AI22" s="1801"/>
      <c r="AJ22" s="1801"/>
      <c r="AK22" s="1801"/>
      <c r="AL22" s="1801"/>
      <c r="AM22" s="1801"/>
      <c r="AN22" s="1801"/>
      <c r="AO22" s="1801"/>
      <c r="AP22" s="1801"/>
      <c r="AQ22" s="1801"/>
      <c r="AR22" s="1801"/>
      <c r="AS22" s="1801"/>
      <c r="AT22" s="1801"/>
      <c r="AU22" s="1801"/>
      <c r="AV22" s="1801"/>
      <c r="AW22" s="1801"/>
      <c r="AX22" s="1801"/>
      <c r="AY22" s="1801"/>
      <c r="AZ22" s="1801"/>
      <c r="BA22" s="1801"/>
      <c r="BB22" s="1801"/>
      <c r="BC22" s="1801"/>
      <c r="BD22" s="1801"/>
      <c r="BE22" s="1801"/>
      <c r="BF22" s="1801"/>
    </row>
    <row r="23" spans="1:58" ht="21" customHeight="1">
      <c r="C23" s="1492">
        <v>43</v>
      </c>
      <c r="D23" s="1157">
        <v>194</v>
      </c>
      <c r="E23" s="1260">
        <v>164</v>
      </c>
      <c r="F23" s="1260">
        <v>153</v>
      </c>
      <c r="G23" s="1260">
        <v>40</v>
      </c>
      <c r="H23" s="1260">
        <v>288</v>
      </c>
      <c r="I23" s="1260">
        <v>68</v>
      </c>
      <c r="J23" s="1260">
        <v>3719</v>
      </c>
      <c r="K23" s="1260">
        <v>676</v>
      </c>
      <c r="L23" s="1260">
        <v>4639</v>
      </c>
      <c r="M23" s="1159">
        <f t="shared" si="0"/>
        <v>9984</v>
      </c>
      <c r="N23" s="1510"/>
      <c r="O23" s="1511">
        <v>1967</v>
      </c>
      <c r="P23" s="3261"/>
      <c r="Q23" s="3199"/>
      <c r="R23" s="1963"/>
      <c r="S23" s="3199"/>
      <c r="T23" s="1963"/>
      <c r="U23" s="1963"/>
      <c r="V23" s="1963"/>
      <c r="W23" s="1963"/>
      <c r="X23" s="1963"/>
      <c r="Y23" s="1963"/>
      <c r="Z23" s="1963"/>
      <c r="AA23" s="1963"/>
      <c r="AB23" s="1963"/>
    </row>
    <row r="24" spans="1:58" ht="21" customHeight="1">
      <c r="C24" s="410">
        <v>42</v>
      </c>
      <c r="D24" s="1254">
        <v>281</v>
      </c>
      <c r="E24" s="1254">
        <v>174</v>
      </c>
      <c r="F24" s="1254">
        <v>654</v>
      </c>
      <c r="G24" s="1254">
        <v>86</v>
      </c>
      <c r="H24" s="1254">
        <v>271</v>
      </c>
      <c r="I24" s="1254">
        <v>88</v>
      </c>
      <c r="J24" s="1254">
        <v>4471</v>
      </c>
      <c r="K24" s="1254">
        <v>545</v>
      </c>
      <c r="L24" s="1254">
        <v>5560</v>
      </c>
      <c r="M24" s="1256">
        <f t="shared" si="0"/>
        <v>12172</v>
      </c>
      <c r="N24" s="1472"/>
      <c r="O24" s="1512">
        <v>1968</v>
      </c>
      <c r="P24" s="3262"/>
      <c r="Q24" s="3199"/>
      <c r="R24" s="1963"/>
      <c r="S24" s="3199"/>
      <c r="T24" s="1963"/>
      <c r="U24" s="1963"/>
      <c r="V24" s="1963"/>
      <c r="W24" s="1963"/>
      <c r="X24" s="1963"/>
      <c r="Y24" s="1963"/>
      <c r="Z24" s="1963"/>
      <c r="AA24" s="1963"/>
      <c r="AB24" s="1963"/>
    </row>
    <row r="25" spans="1:58" ht="21" customHeight="1">
      <c r="C25" s="1492">
        <v>43</v>
      </c>
      <c r="D25" s="1157">
        <v>215</v>
      </c>
      <c r="E25" s="1260">
        <v>219</v>
      </c>
      <c r="F25" s="1260">
        <v>912</v>
      </c>
      <c r="G25" s="1260">
        <v>194</v>
      </c>
      <c r="H25" s="1260">
        <v>382</v>
      </c>
      <c r="I25" s="1260">
        <v>44</v>
      </c>
      <c r="J25" s="1260">
        <v>3852</v>
      </c>
      <c r="K25" s="1260">
        <v>563</v>
      </c>
      <c r="L25" s="1260">
        <v>5492</v>
      </c>
      <c r="M25" s="1159">
        <f t="shared" si="0"/>
        <v>11916</v>
      </c>
      <c r="N25" s="1510"/>
      <c r="O25" s="1511">
        <v>1969</v>
      </c>
      <c r="P25" s="3261"/>
      <c r="Q25" s="3199"/>
      <c r="R25" s="1963"/>
      <c r="S25" s="3199"/>
      <c r="T25" s="1963"/>
      <c r="U25" s="1963"/>
      <c r="V25" s="1963"/>
      <c r="W25" s="1963"/>
      <c r="X25" s="1963"/>
      <c r="Y25" s="1963"/>
      <c r="Z25" s="1963"/>
      <c r="AA25" s="1963"/>
      <c r="AB25" s="1963"/>
    </row>
    <row r="26" spans="1:58" ht="21" customHeight="1">
      <c r="C26" s="410">
        <v>38</v>
      </c>
      <c r="D26" s="1254">
        <v>185</v>
      </c>
      <c r="E26" s="1254">
        <v>304</v>
      </c>
      <c r="F26" s="1254">
        <v>742</v>
      </c>
      <c r="G26" s="1254">
        <v>264</v>
      </c>
      <c r="H26" s="1254">
        <v>143</v>
      </c>
      <c r="I26" s="1254">
        <v>8</v>
      </c>
      <c r="J26" s="1254">
        <v>2454</v>
      </c>
      <c r="K26" s="1254">
        <v>519</v>
      </c>
      <c r="L26" s="1254">
        <v>4663</v>
      </c>
      <c r="M26" s="1256">
        <f t="shared" si="0"/>
        <v>9320</v>
      </c>
      <c r="N26" s="1472"/>
      <c r="O26" s="1512">
        <v>1970</v>
      </c>
      <c r="P26" s="3262"/>
      <c r="Q26" s="3199"/>
      <c r="R26" s="1963"/>
      <c r="S26" s="3199"/>
      <c r="T26" s="1963"/>
      <c r="U26" s="1963"/>
      <c r="V26" s="1963"/>
      <c r="W26" s="1963"/>
      <c r="X26" s="1963"/>
      <c r="Y26" s="1963"/>
      <c r="Z26" s="1963"/>
      <c r="AA26" s="1963"/>
      <c r="AB26" s="1963"/>
    </row>
    <row r="27" spans="1:58" ht="21" customHeight="1">
      <c r="C27" s="1492">
        <v>37</v>
      </c>
      <c r="D27" s="1157">
        <v>194</v>
      </c>
      <c r="E27" s="1260">
        <v>335</v>
      </c>
      <c r="F27" s="1260">
        <v>1077</v>
      </c>
      <c r="G27" s="1260">
        <v>382</v>
      </c>
      <c r="H27" s="1260">
        <v>320</v>
      </c>
      <c r="I27" s="1260">
        <v>31</v>
      </c>
      <c r="J27" s="1260">
        <v>2347</v>
      </c>
      <c r="K27" s="1260">
        <v>411</v>
      </c>
      <c r="L27" s="1260">
        <v>3683</v>
      </c>
      <c r="M27" s="1159">
        <f t="shared" si="0"/>
        <v>8817</v>
      </c>
      <c r="N27" s="1510"/>
      <c r="O27" s="1511">
        <v>1971</v>
      </c>
      <c r="P27" s="3261"/>
      <c r="Q27" s="3199"/>
      <c r="R27" s="1963"/>
      <c r="S27" s="3199"/>
      <c r="T27" s="1963"/>
      <c r="U27" s="1963"/>
      <c r="V27" s="1963"/>
      <c r="W27" s="1963"/>
      <c r="X27" s="1963"/>
      <c r="Y27" s="1963"/>
      <c r="Z27" s="1963"/>
      <c r="AA27" s="1963"/>
      <c r="AB27" s="1963"/>
    </row>
    <row r="28" spans="1:58" ht="21" customHeight="1">
      <c r="C28" s="410">
        <v>1</v>
      </c>
      <c r="D28" s="1254">
        <v>179</v>
      </c>
      <c r="E28" s="1254">
        <v>451</v>
      </c>
      <c r="F28" s="1254">
        <v>2426</v>
      </c>
      <c r="G28" s="1254">
        <v>311</v>
      </c>
      <c r="H28" s="1254">
        <v>297</v>
      </c>
      <c r="I28" s="1254">
        <v>0</v>
      </c>
      <c r="J28" s="1254">
        <v>3716</v>
      </c>
      <c r="K28" s="1254">
        <v>452</v>
      </c>
      <c r="L28" s="1254">
        <v>4773</v>
      </c>
      <c r="M28" s="1256">
        <f t="shared" si="0"/>
        <v>12606</v>
      </c>
      <c r="N28" s="1472"/>
      <c r="O28" s="1512">
        <v>1972</v>
      </c>
      <c r="P28" s="3262"/>
      <c r="Q28" s="3199"/>
      <c r="R28" s="1963"/>
      <c r="S28" s="3199"/>
      <c r="T28" s="1963"/>
      <c r="U28" s="1963"/>
      <c r="V28" s="1963"/>
      <c r="W28" s="1963"/>
      <c r="X28" s="1963"/>
      <c r="Y28" s="1963"/>
      <c r="Z28" s="1963"/>
      <c r="AA28" s="1963"/>
      <c r="AB28" s="1963"/>
    </row>
    <row r="29" spans="1:58" ht="21" customHeight="1">
      <c r="C29" s="1492">
        <v>41</v>
      </c>
      <c r="D29" s="1157">
        <v>295</v>
      </c>
      <c r="E29" s="1260">
        <v>453</v>
      </c>
      <c r="F29" s="1260">
        <v>2213</v>
      </c>
      <c r="G29" s="1260">
        <v>644</v>
      </c>
      <c r="H29" s="1260">
        <v>124</v>
      </c>
      <c r="I29" s="1260">
        <v>170</v>
      </c>
      <c r="J29" s="1260">
        <v>4558</v>
      </c>
      <c r="K29" s="1260">
        <v>862</v>
      </c>
      <c r="L29" s="1260">
        <v>4650</v>
      </c>
      <c r="M29" s="1159">
        <f t="shared" si="0"/>
        <v>14010</v>
      </c>
      <c r="N29" s="1510"/>
      <c r="O29" s="1511">
        <v>1973</v>
      </c>
      <c r="P29" s="3261"/>
      <c r="Q29" s="3199"/>
      <c r="R29" s="1963"/>
      <c r="S29" s="3199"/>
      <c r="T29" s="1963"/>
      <c r="U29" s="1963"/>
      <c r="V29" s="1963"/>
      <c r="W29" s="1963"/>
      <c r="X29" s="1963"/>
      <c r="Y29" s="1963"/>
      <c r="Z29" s="1963"/>
      <c r="AA29" s="1963"/>
      <c r="AB29" s="1963"/>
    </row>
    <row r="30" spans="1:58" ht="21" customHeight="1">
      <c r="C30" s="410">
        <v>8</v>
      </c>
      <c r="D30" s="1254">
        <v>671</v>
      </c>
      <c r="E30" s="1254">
        <v>586</v>
      </c>
      <c r="F30" s="1254">
        <v>5860</v>
      </c>
      <c r="G30" s="1254">
        <v>1244</v>
      </c>
      <c r="H30" s="1254">
        <v>474</v>
      </c>
      <c r="I30" s="1254">
        <v>129</v>
      </c>
      <c r="J30" s="1254">
        <v>20032</v>
      </c>
      <c r="K30" s="1254">
        <v>869</v>
      </c>
      <c r="L30" s="1254">
        <v>9565</v>
      </c>
      <c r="M30" s="1256">
        <f t="shared" si="0"/>
        <v>39438</v>
      </c>
      <c r="N30" s="1472"/>
      <c r="O30" s="1512">
        <v>1974</v>
      </c>
      <c r="P30" s="3262"/>
      <c r="Q30" s="3199"/>
      <c r="R30" s="1963"/>
      <c r="S30" s="3199"/>
      <c r="T30" s="1963"/>
      <c r="U30" s="1963"/>
      <c r="V30" s="1963"/>
      <c r="W30" s="1963"/>
      <c r="X30" s="1963"/>
      <c r="Y30" s="1963"/>
      <c r="Z30" s="1963"/>
      <c r="AA30" s="1963"/>
      <c r="AB30" s="1963"/>
    </row>
    <row r="31" spans="1:58" ht="21" customHeight="1">
      <c r="C31" s="1492">
        <v>69</v>
      </c>
      <c r="D31" s="1157">
        <v>1598</v>
      </c>
      <c r="E31" s="1260">
        <v>470</v>
      </c>
      <c r="F31" s="1260">
        <v>4085</v>
      </c>
      <c r="G31" s="1260">
        <v>1946</v>
      </c>
      <c r="H31" s="1260">
        <v>409</v>
      </c>
      <c r="I31" s="1260">
        <v>246</v>
      </c>
      <c r="J31" s="1260">
        <v>20107</v>
      </c>
      <c r="K31" s="1260">
        <v>1006</v>
      </c>
      <c r="L31" s="1260">
        <v>10203</v>
      </c>
      <c r="M31" s="1159">
        <f t="shared" si="0"/>
        <v>40139</v>
      </c>
      <c r="N31" s="1510"/>
      <c r="O31" s="1511">
        <v>1975</v>
      </c>
      <c r="P31" s="3261"/>
      <c r="Q31" s="3199"/>
      <c r="R31" s="1963"/>
      <c r="S31" s="3199"/>
      <c r="T31" s="1963"/>
      <c r="U31" s="1963"/>
      <c r="V31" s="1963"/>
      <c r="W31" s="1963"/>
      <c r="X31" s="1963"/>
      <c r="Y31" s="1963"/>
      <c r="Z31" s="1963"/>
      <c r="AA31" s="1963"/>
      <c r="AB31" s="1963"/>
    </row>
    <row r="32" spans="1:58" ht="21" customHeight="1">
      <c r="C32" s="410">
        <v>5</v>
      </c>
      <c r="D32" s="1254">
        <v>2352</v>
      </c>
      <c r="E32" s="1254">
        <v>722</v>
      </c>
      <c r="F32" s="1254">
        <v>3920</v>
      </c>
      <c r="G32" s="1254">
        <v>3544</v>
      </c>
      <c r="H32" s="1254">
        <v>709</v>
      </c>
      <c r="I32" s="1254">
        <v>639</v>
      </c>
      <c r="J32" s="1254">
        <v>20078</v>
      </c>
      <c r="K32" s="1254">
        <v>1204</v>
      </c>
      <c r="L32" s="1254">
        <v>16379</v>
      </c>
      <c r="M32" s="1256">
        <f t="shared" si="0"/>
        <v>49552</v>
      </c>
      <c r="N32" s="1472"/>
      <c r="O32" s="1512">
        <v>1976</v>
      </c>
      <c r="P32" s="3262"/>
      <c r="Q32" s="3199"/>
      <c r="R32" s="1963"/>
      <c r="S32" s="3199"/>
      <c r="T32" s="1963"/>
      <c r="U32" s="1963"/>
      <c r="V32" s="1963"/>
      <c r="W32" s="1963"/>
      <c r="X32" s="1963"/>
      <c r="Y32" s="1963"/>
      <c r="Z32" s="1963"/>
      <c r="AA32" s="1963"/>
      <c r="AB32" s="1963"/>
    </row>
    <row r="33" spans="3:28" ht="21" customHeight="1">
      <c r="C33" s="1492">
        <f>39-36</f>
        <v>3</v>
      </c>
      <c r="D33" s="1157">
        <v>3610</v>
      </c>
      <c r="E33" s="1260">
        <v>778</v>
      </c>
      <c r="F33" s="1260">
        <v>9484</v>
      </c>
      <c r="G33" s="1260">
        <v>5221</v>
      </c>
      <c r="H33" s="1260">
        <v>362</v>
      </c>
      <c r="I33" s="1260">
        <v>7</v>
      </c>
      <c r="J33" s="1260">
        <v>18880</v>
      </c>
      <c r="K33" s="1260">
        <v>1265</v>
      </c>
      <c r="L33" s="1260">
        <v>20643</v>
      </c>
      <c r="M33" s="1159">
        <f t="shared" si="0"/>
        <v>60253</v>
      </c>
      <c r="N33" s="1510"/>
      <c r="O33" s="1511">
        <v>1977</v>
      </c>
      <c r="P33" s="3261"/>
      <c r="Q33" s="3199"/>
      <c r="R33" s="1963"/>
      <c r="S33" s="3199"/>
      <c r="T33" s="1963"/>
      <c r="U33" s="1963"/>
      <c r="V33" s="1963"/>
      <c r="W33" s="1963"/>
      <c r="X33" s="1963"/>
      <c r="Y33" s="1963"/>
      <c r="Z33" s="1963"/>
      <c r="AA33" s="1963"/>
      <c r="AB33" s="1963"/>
    </row>
    <row r="34" spans="3:28" ht="21" customHeight="1">
      <c r="C34" s="410">
        <v>2</v>
      </c>
      <c r="D34" s="1254">
        <v>5417</v>
      </c>
      <c r="E34" s="1254">
        <v>1067</v>
      </c>
      <c r="F34" s="1254">
        <v>11903</v>
      </c>
      <c r="G34" s="1254">
        <v>6278</v>
      </c>
      <c r="H34" s="1254">
        <v>786</v>
      </c>
      <c r="I34" s="1254">
        <v>20</v>
      </c>
      <c r="J34" s="1254">
        <v>20691</v>
      </c>
      <c r="K34" s="1254">
        <v>1630</v>
      </c>
      <c r="L34" s="1254">
        <v>16336</v>
      </c>
      <c r="M34" s="1256">
        <f t="shared" si="0"/>
        <v>64130</v>
      </c>
      <c r="N34" s="1472"/>
      <c r="O34" s="1512">
        <v>1978</v>
      </c>
      <c r="P34" s="3262"/>
      <c r="Q34" s="3199"/>
      <c r="R34" s="1963"/>
      <c r="S34" s="3199"/>
      <c r="T34" s="1963"/>
      <c r="U34" s="1963"/>
      <c r="V34" s="1963"/>
      <c r="W34" s="1963"/>
      <c r="X34" s="1963"/>
      <c r="Y34" s="1963"/>
      <c r="Z34" s="1963"/>
      <c r="AA34" s="1963"/>
      <c r="AB34" s="1963"/>
    </row>
    <row r="35" spans="3:28" ht="21" customHeight="1">
      <c r="C35" s="1492">
        <v>10</v>
      </c>
      <c r="D35" s="1157">
        <v>6422</v>
      </c>
      <c r="E35" s="1260">
        <v>1677</v>
      </c>
      <c r="F35" s="1260">
        <v>14129</v>
      </c>
      <c r="G35" s="1260">
        <v>7143</v>
      </c>
      <c r="H35" s="1260">
        <v>486</v>
      </c>
      <c r="I35" s="1260">
        <v>11</v>
      </c>
      <c r="J35" s="1260">
        <v>27557</v>
      </c>
      <c r="K35" s="1260">
        <v>3885</v>
      </c>
      <c r="L35" s="1260">
        <v>21239</v>
      </c>
      <c r="M35" s="1159">
        <f t="shared" si="0"/>
        <v>82559</v>
      </c>
      <c r="N35" s="1510"/>
      <c r="O35" s="1511">
        <v>1979</v>
      </c>
      <c r="P35" s="3261"/>
      <c r="Q35" s="3199"/>
      <c r="R35" s="1963"/>
      <c r="S35" s="3199"/>
      <c r="T35" s="1963"/>
      <c r="U35" s="1963"/>
      <c r="V35" s="1963"/>
      <c r="W35" s="1963"/>
      <c r="X35" s="1963"/>
      <c r="Y35" s="1963"/>
      <c r="Z35" s="1963"/>
      <c r="AA35" s="1963"/>
      <c r="AB35" s="1963"/>
    </row>
    <row r="36" spans="3:28" ht="21" customHeight="1">
      <c r="C36" s="410">
        <v>1</v>
      </c>
      <c r="D36" s="1254">
        <v>8602</v>
      </c>
      <c r="E36" s="1254">
        <v>2392</v>
      </c>
      <c r="F36" s="1254">
        <v>18717</v>
      </c>
      <c r="G36" s="1254">
        <v>10937</v>
      </c>
      <c r="H36" s="1254">
        <v>877</v>
      </c>
      <c r="I36" s="1254">
        <v>299</v>
      </c>
      <c r="J36" s="1254">
        <v>49204</v>
      </c>
      <c r="K36" s="1254">
        <v>5583</v>
      </c>
      <c r="L36" s="1254">
        <v>23495</v>
      </c>
      <c r="M36" s="1256">
        <f t="shared" si="0"/>
        <v>120107</v>
      </c>
      <c r="N36" s="1472"/>
      <c r="O36" s="1512">
        <v>1980</v>
      </c>
      <c r="P36" s="3262"/>
      <c r="Q36" s="3199"/>
      <c r="R36" s="1963"/>
      <c r="S36" s="3199"/>
      <c r="T36" s="1963"/>
      <c r="U36" s="1963"/>
      <c r="V36" s="1963"/>
      <c r="W36" s="1963"/>
      <c r="X36" s="1963"/>
      <c r="Y36" s="1963"/>
      <c r="Z36" s="1963"/>
      <c r="AA36" s="1963"/>
      <c r="AB36" s="1963"/>
    </row>
    <row r="37" spans="3:28" ht="21" customHeight="1">
      <c r="C37" s="1492">
        <v>82</v>
      </c>
      <c r="D37" s="1157">
        <v>14697</v>
      </c>
      <c r="E37" s="1260">
        <v>3934</v>
      </c>
      <c r="F37" s="1260">
        <v>34636</v>
      </c>
      <c r="G37" s="1260">
        <v>17922</v>
      </c>
      <c r="H37" s="1260">
        <v>1053</v>
      </c>
      <c r="I37" s="1260">
        <v>397</v>
      </c>
      <c r="J37" s="1260">
        <v>56688</v>
      </c>
      <c r="K37" s="1260">
        <v>6582</v>
      </c>
      <c r="L37" s="1260">
        <v>33035</v>
      </c>
      <c r="M37" s="1159">
        <f t="shared" si="0"/>
        <v>169026</v>
      </c>
      <c r="N37" s="1510"/>
      <c r="O37" s="1511">
        <v>1981</v>
      </c>
      <c r="P37" s="3261"/>
      <c r="Q37" s="3199"/>
      <c r="R37" s="1963"/>
      <c r="S37" s="3199"/>
      <c r="T37" s="1963"/>
      <c r="U37" s="1963"/>
      <c r="V37" s="1963"/>
      <c r="W37" s="1963"/>
      <c r="X37" s="1963"/>
      <c r="Y37" s="1963"/>
      <c r="Z37" s="1963"/>
      <c r="AA37" s="1963"/>
      <c r="AB37" s="1963"/>
    </row>
    <row r="38" spans="3:28" ht="21" customHeight="1">
      <c r="C38" s="410">
        <v>31</v>
      </c>
      <c r="D38" s="1254">
        <v>19983</v>
      </c>
      <c r="E38" s="1254">
        <v>3186</v>
      </c>
      <c r="F38" s="1254">
        <v>32467</v>
      </c>
      <c r="G38" s="1254">
        <v>23119</v>
      </c>
      <c r="H38" s="1254">
        <v>657</v>
      </c>
      <c r="I38" s="1254">
        <v>239</v>
      </c>
      <c r="J38" s="1254">
        <v>61451</v>
      </c>
      <c r="K38" s="1254">
        <v>5304</v>
      </c>
      <c r="L38" s="1254">
        <v>39144</v>
      </c>
      <c r="M38" s="1256">
        <f t="shared" si="0"/>
        <v>185581</v>
      </c>
      <c r="N38" s="1472"/>
      <c r="O38" s="1512">
        <v>1982</v>
      </c>
      <c r="P38" s="3263"/>
      <c r="Q38" s="3199"/>
      <c r="R38" s="1963"/>
      <c r="S38" s="3199"/>
      <c r="T38" s="1963"/>
      <c r="U38" s="1963"/>
      <c r="V38" s="1963"/>
      <c r="W38" s="1963"/>
      <c r="X38" s="1963"/>
      <c r="Y38" s="1963"/>
      <c r="Z38" s="1963"/>
      <c r="AA38" s="1963"/>
      <c r="AB38" s="1963"/>
    </row>
    <row r="39" spans="3:28" ht="21" customHeight="1">
      <c r="C39" s="1492">
        <v>31</v>
      </c>
      <c r="D39" s="1157">
        <v>9227</v>
      </c>
      <c r="E39" s="1260">
        <v>1996</v>
      </c>
      <c r="F39" s="1260">
        <v>17981</v>
      </c>
      <c r="G39" s="1260">
        <v>36791</v>
      </c>
      <c r="H39" s="1260">
        <v>1182</v>
      </c>
      <c r="I39" s="1260">
        <v>55</v>
      </c>
      <c r="J39" s="1260">
        <v>52712</v>
      </c>
      <c r="K39" s="1260">
        <v>3833</v>
      </c>
      <c r="L39" s="1260">
        <v>36277</v>
      </c>
      <c r="M39" s="1159">
        <f t="shared" si="0"/>
        <v>160085</v>
      </c>
      <c r="N39" s="1510"/>
      <c r="O39" s="1511">
        <v>1983</v>
      </c>
      <c r="P39" s="3261"/>
      <c r="Q39" s="3199"/>
      <c r="R39" s="1963"/>
      <c r="S39" s="3199"/>
      <c r="T39" s="1963"/>
      <c r="U39" s="1963"/>
      <c r="V39" s="1963"/>
      <c r="W39" s="1963"/>
      <c r="X39" s="1963"/>
      <c r="Y39" s="1963"/>
      <c r="Z39" s="1963"/>
      <c r="AA39" s="1963"/>
      <c r="AB39" s="1963"/>
    </row>
    <row r="40" spans="3:28" ht="21" customHeight="1">
      <c r="C40" s="410">
        <v>0</v>
      </c>
      <c r="D40" s="1254">
        <v>23416</v>
      </c>
      <c r="E40" s="1254">
        <v>1972</v>
      </c>
      <c r="F40" s="1254">
        <v>33777</v>
      </c>
      <c r="G40" s="1254">
        <v>67629</v>
      </c>
      <c r="H40" s="1254">
        <v>1123</v>
      </c>
      <c r="I40" s="1254">
        <v>11</v>
      </c>
      <c r="J40" s="1254">
        <v>87101</v>
      </c>
      <c r="K40" s="1254">
        <v>4265</v>
      </c>
      <c r="L40" s="1254">
        <v>41761</v>
      </c>
      <c r="M40" s="1256">
        <f t="shared" si="0"/>
        <v>261055</v>
      </c>
      <c r="N40" s="1472"/>
      <c r="O40" s="1512">
        <v>1984</v>
      </c>
      <c r="P40" s="3262"/>
      <c r="Q40" s="3199"/>
      <c r="R40" s="1963"/>
      <c r="S40" s="3199"/>
      <c r="T40" s="1963"/>
      <c r="U40" s="1963"/>
      <c r="V40" s="1963"/>
      <c r="W40" s="1963"/>
      <c r="X40" s="1963"/>
      <c r="Y40" s="1963"/>
      <c r="Z40" s="1963"/>
      <c r="AA40" s="1963"/>
      <c r="AB40" s="1963"/>
    </row>
    <row r="41" spans="3:28" ht="21" customHeight="1">
      <c r="C41" s="1492">
        <v>0</v>
      </c>
      <c r="D41" s="1157">
        <v>18513</v>
      </c>
      <c r="E41" s="1260">
        <v>2014</v>
      </c>
      <c r="F41" s="1260">
        <v>39718</v>
      </c>
      <c r="G41" s="1260">
        <v>50959</v>
      </c>
      <c r="H41" s="1260">
        <v>176</v>
      </c>
      <c r="I41" s="1260">
        <v>8</v>
      </c>
      <c r="J41" s="1260">
        <v>98463</v>
      </c>
      <c r="K41" s="1260">
        <v>1937</v>
      </c>
      <c r="L41" s="1260">
        <v>43558</v>
      </c>
      <c r="M41" s="1159">
        <f t="shared" si="0"/>
        <v>255346</v>
      </c>
      <c r="N41" s="1510"/>
      <c r="O41" s="1511">
        <v>1985</v>
      </c>
      <c r="P41" s="3261"/>
      <c r="Q41" s="3199"/>
      <c r="R41" s="1963"/>
      <c r="S41" s="3199"/>
      <c r="T41" s="1963"/>
      <c r="U41" s="1963"/>
      <c r="V41" s="1963"/>
      <c r="W41" s="1963"/>
      <c r="X41" s="1963"/>
      <c r="Y41" s="1963"/>
      <c r="Z41" s="1963"/>
      <c r="AA41" s="1963"/>
      <c r="AB41" s="1963"/>
    </row>
    <row r="42" spans="3:28" ht="21" customHeight="1">
      <c r="C42" s="410">
        <v>0</v>
      </c>
      <c r="D42" s="1254">
        <v>7320</v>
      </c>
      <c r="E42" s="1254">
        <v>1408</v>
      </c>
      <c r="F42" s="1254">
        <v>19622</v>
      </c>
      <c r="G42" s="1254">
        <v>54455</v>
      </c>
      <c r="H42" s="1254">
        <v>1514</v>
      </c>
      <c r="I42" s="1254">
        <v>145</v>
      </c>
      <c r="J42" s="1254">
        <v>97829</v>
      </c>
      <c r="K42" s="1254">
        <v>1390</v>
      </c>
      <c r="L42" s="1254">
        <v>41932</v>
      </c>
      <c r="M42" s="1256">
        <f t="shared" si="0"/>
        <v>225615</v>
      </c>
      <c r="N42" s="1472"/>
      <c r="O42" s="1512">
        <v>1986</v>
      </c>
      <c r="P42" s="3262"/>
      <c r="Q42" s="3199"/>
      <c r="R42" s="1963"/>
      <c r="S42" s="3199"/>
      <c r="T42" s="1963"/>
      <c r="U42" s="1963"/>
      <c r="V42" s="1963"/>
      <c r="W42" s="1963"/>
      <c r="X42" s="1963"/>
      <c r="Y42" s="1963"/>
      <c r="Z42" s="1963"/>
      <c r="AA42" s="1963"/>
      <c r="AB42" s="1963"/>
    </row>
    <row r="43" spans="3:28" ht="21" customHeight="1">
      <c r="C43" s="1492">
        <v>0</v>
      </c>
      <c r="D43" s="1157">
        <v>9877</v>
      </c>
      <c r="E43" s="1260">
        <v>2464</v>
      </c>
      <c r="F43" s="1260">
        <v>37343</v>
      </c>
      <c r="G43" s="1260">
        <v>69932</v>
      </c>
      <c r="H43" s="1260">
        <v>437</v>
      </c>
      <c r="I43" s="1260">
        <v>344</v>
      </c>
      <c r="J43" s="1260">
        <v>91502</v>
      </c>
      <c r="K43" s="1260">
        <v>3037</v>
      </c>
      <c r="L43" s="1260">
        <v>33837</v>
      </c>
      <c r="M43" s="1159">
        <f t="shared" si="0"/>
        <v>248773</v>
      </c>
      <c r="N43" s="1510"/>
      <c r="O43" s="1511">
        <v>1987</v>
      </c>
      <c r="P43" s="3261"/>
      <c r="Q43" s="3199"/>
      <c r="S43" s="3199"/>
    </row>
    <row r="44" spans="3:28" ht="21" customHeight="1">
      <c r="C44" s="410">
        <f>1881-929</f>
        <v>952</v>
      </c>
      <c r="D44" s="1254">
        <v>13749</v>
      </c>
      <c r="E44" s="1254">
        <v>3762</v>
      </c>
      <c r="F44" s="1254">
        <v>35371</v>
      </c>
      <c r="G44" s="1254">
        <v>91625</v>
      </c>
      <c r="H44" s="1254">
        <v>632</v>
      </c>
      <c r="I44" s="1254">
        <v>338</v>
      </c>
      <c r="J44" s="1254">
        <v>146862</v>
      </c>
      <c r="K44" s="1254">
        <v>1488</v>
      </c>
      <c r="L44" s="1254">
        <v>30010</v>
      </c>
      <c r="M44" s="1256">
        <f t="shared" si="0"/>
        <v>324789</v>
      </c>
      <c r="N44" s="1472"/>
      <c r="O44" s="1512">
        <v>1988</v>
      </c>
      <c r="P44" s="3262"/>
      <c r="Q44" s="3199"/>
      <c r="S44" s="3199"/>
    </row>
    <row r="45" spans="3:28" ht="21" customHeight="1">
      <c r="C45" s="1492">
        <v>76</v>
      </c>
      <c r="D45" s="1157">
        <v>24716</v>
      </c>
      <c r="E45" s="1260">
        <v>10901</v>
      </c>
      <c r="F45" s="1260">
        <v>63659</v>
      </c>
      <c r="G45" s="1260">
        <v>155974</v>
      </c>
      <c r="H45" s="1260">
        <v>2446</v>
      </c>
      <c r="I45" s="1260">
        <v>6</v>
      </c>
      <c r="J45" s="1260">
        <v>224913</v>
      </c>
      <c r="K45" s="1260">
        <v>2845</v>
      </c>
      <c r="L45" s="1260">
        <v>48623</v>
      </c>
      <c r="M45" s="1159">
        <f t="shared" si="0"/>
        <v>534159</v>
      </c>
      <c r="N45" s="1510"/>
      <c r="O45" s="1511">
        <v>1989</v>
      </c>
      <c r="P45" s="3261"/>
      <c r="Q45" s="3199"/>
      <c r="S45" s="3199"/>
    </row>
    <row r="46" spans="3:28" ht="21" customHeight="1">
      <c r="C46" s="410">
        <v>1</v>
      </c>
      <c r="D46" s="1254">
        <v>31105</v>
      </c>
      <c r="E46" s="1254">
        <v>14292</v>
      </c>
      <c r="F46" s="1254">
        <v>77792</v>
      </c>
      <c r="G46" s="1254">
        <v>188967</v>
      </c>
      <c r="H46" s="1254">
        <v>643</v>
      </c>
      <c r="I46" s="1254">
        <v>5</v>
      </c>
      <c r="J46" s="1254">
        <v>235242</v>
      </c>
      <c r="K46" s="1254">
        <v>4450</v>
      </c>
      <c r="L46" s="1254">
        <v>59756</v>
      </c>
      <c r="M46" s="1256">
        <f t="shared" si="0"/>
        <v>612253</v>
      </c>
      <c r="N46" s="1472"/>
      <c r="O46" s="1512">
        <v>1990</v>
      </c>
      <c r="P46" s="3262"/>
      <c r="Q46" s="3199"/>
      <c r="S46" s="3199"/>
    </row>
    <row r="47" spans="3:28" ht="21" customHeight="1">
      <c r="C47" s="1492">
        <v>0</v>
      </c>
      <c r="D47" s="1157">
        <v>26627</v>
      </c>
      <c r="E47" s="1260">
        <v>7442</v>
      </c>
      <c r="F47" s="1260">
        <v>63411</v>
      </c>
      <c r="G47" s="1260">
        <v>177045</v>
      </c>
      <c r="H47" s="1260">
        <v>2312</v>
      </c>
      <c r="I47" s="1260">
        <v>23</v>
      </c>
      <c r="J47" s="1260">
        <v>228356</v>
      </c>
      <c r="K47" s="1260">
        <v>7370</v>
      </c>
      <c r="L47" s="1260">
        <v>86041</v>
      </c>
      <c r="M47" s="1159">
        <f t="shared" si="0"/>
        <v>598627</v>
      </c>
      <c r="N47" s="1510"/>
      <c r="O47" s="1511">
        <v>1991</v>
      </c>
      <c r="P47" s="3261"/>
      <c r="Q47" s="3199"/>
      <c r="S47" s="3199"/>
    </row>
    <row r="48" spans="3:28" ht="21" customHeight="1">
      <c r="C48" s="410">
        <v>0</v>
      </c>
      <c r="D48" s="1254">
        <v>41009</v>
      </c>
      <c r="E48" s="1254">
        <v>11838</v>
      </c>
      <c r="F48" s="1254">
        <v>66990</v>
      </c>
      <c r="G48" s="1254">
        <v>196932</v>
      </c>
      <c r="H48" s="1254">
        <v>1856</v>
      </c>
      <c r="I48" s="1254">
        <v>5</v>
      </c>
      <c r="J48" s="1254">
        <v>218157</v>
      </c>
      <c r="K48" s="1254">
        <v>4935</v>
      </c>
      <c r="L48" s="1254">
        <v>92033</v>
      </c>
      <c r="M48" s="1256">
        <f t="shared" si="0"/>
        <v>633755</v>
      </c>
      <c r="N48" s="1472"/>
      <c r="O48" s="1512">
        <v>1992</v>
      </c>
      <c r="P48" s="3262"/>
      <c r="Q48" s="3199"/>
      <c r="S48" s="3199"/>
    </row>
    <row r="49" spans="1:256" ht="21" customHeight="1">
      <c r="C49" s="1492">
        <v>0</v>
      </c>
      <c r="D49" s="1157">
        <v>52282</v>
      </c>
      <c r="E49" s="1260">
        <v>23904</v>
      </c>
      <c r="F49" s="1260">
        <v>81367</v>
      </c>
      <c r="G49" s="1260">
        <v>195462</v>
      </c>
      <c r="H49" s="1260">
        <v>1717</v>
      </c>
      <c r="I49" s="1260">
        <v>39</v>
      </c>
      <c r="J49" s="1260">
        <v>192816</v>
      </c>
      <c r="K49" s="1260">
        <v>3662</v>
      </c>
      <c r="L49" s="1260">
        <v>140033</v>
      </c>
      <c r="M49" s="1159">
        <f t="shared" si="0"/>
        <v>691282</v>
      </c>
      <c r="N49" s="1510"/>
      <c r="O49" s="1511">
        <v>1993</v>
      </c>
      <c r="P49" s="3261"/>
      <c r="Q49" s="3199"/>
      <c r="S49" s="3199"/>
    </row>
    <row r="50" spans="1:256" ht="21" customHeight="1">
      <c r="C50" s="410">
        <v>0</v>
      </c>
      <c r="D50" s="1254">
        <v>40469</v>
      </c>
      <c r="E50" s="1254">
        <v>39443</v>
      </c>
      <c r="F50" s="1254">
        <v>85921</v>
      </c>
      <c r="G50" s="1254">
        <v>262361</v>
      </c>
      <c r="H50" s="1254">
        <v>62698</v>
      </c>
      <c r="I50" s="1254">
        <v>71</v>
      </c>
      <c r="J50" s="1254">
        <v>207686</v>
      </c>
      <c r="K50" s="1254">
        <v>4070</v>
      </c>
      <c r="L50" s="1254">
        <v>91200</v>
      </c>
      <c r="M50" s="1256">
        <f t="shared" si="0"/>
        <v>793919</v>
      </c>
      <c r="N50" s="1472"/>
      <c r="O50" s="1512">
        <v>1994</v>
      </c>
      <c r="P50" s="3262"/>
      <c r="Q50" s="3199"/>
      <c r="S50" s="3199"/>
    </row>
    <row r="51" spans="1:256" ht="21" customHeight="1">
      <c r="C51" s="1492">
        <v>0</v>
      </c>
      <c r="D51" s="1157">
        <v>48259</v>
      </c>
      <c r="E51" s="1260">
        <v>45891</v>
      </c>
      <c r="F51" s="1260">
        <v>96672</v>
      </c>
      <c r="G51" s="1260">
        <v>302119</v>
      </c>
      <c r="H51" s="1260">
        <v>147009</v>
      </c>
      <c r="I51" s="1260">
        <v>21</v>
      </c>
      <c r="J51" s="1260">
        <v>259822</v>
      </c>
      <c r="K51" s="1260">
        <v>5232</v>
      </c>
      <c r="L51" s="1260">
        <v>99509</v>
      </c>
      <c r="M51" s="1159">
        <f t="shared" si="0"/>
        <v>1004534</v>
      </c>
      <c r="N51" s="1510"/>
      <c r="O51" s="1511">
        <v>1995</v>
      </c>
      <c r="P51" s="3261"/>
      <c r="Q51" s="3199"/>
      <c r="S51" s="3199"/>
    </row>
    <row r="52" spans="1:256" ht="21" customHeight="1">
      <c r="C52" s="410">
        <v>222</v>
      </c>
      <c r="D52" s="1254">
        <v>51147</v>
      </c>
      <c r="E52" s="1254">
        <v>24485</v>
      </c>
      <c r="F52" s="1254">
        <v>118780</v>
      </c>
      <c r="G52" s="1254">
        <v>331124</v>
      </c>
      <c r="H52" s="1254">
        <v>64381</v>
      </c>
      <c r="I52" s="1254">
        <v>26</v>
      </c>
      <c r="J52" s="1254">
        <v>285421</v>
      </c>
      <c r="K52" s="1254">
        <v>4103</v>
      </c>
      <c r="L52" s="1254">
        <v>160112</v>
      </c>
      <c r="M52" s="1256">
        <f t="shared" si="0"/>
        <v>1039801</v>
      </c>
      <c r="N52" s="1472"/>
      <c r="O52" s="1512">
        <v>1996</v>
      </c>
      <c r="P52" s="3262"/>
      <c r="Q52" s="3199"/>
      <c r="S52" s="3199"/>
    </row>
    <row r="53" spans="1:256" ht="21" customHeight="1">
      <c r="C53" s="1492">
        <v>50</v>
      </c>
      <c r="D53" s="1157">
        <v>57006</v>
      </c>
      <c r="E53" s="1260">
        <v>34710</v>
      </c>
      <c r="F53" s="1260">
        <v>110018</v>
      </c>
      <c r="G53" s="1260">
        <v>335106</v>
      </c>
      <c r="H53" s="1260">
        <v>86733</v>
      </c>
      <c r="I53" s="1260">
        <v>38</v>
      </c>
      <c r="J53" s="1260">
        <v>258532</v>
      </c>
      <c r="K53" s="1260">
        <v>3638</v>
      </c>
      <c r="L53" s="1260">
        <v>181333</v>
      </c>
      <c r="M53" s="1159">
        <f t="shared" si="0"/>
        <v>1067164</v>
      </c>
      <c r="N53" s="1510"/>
      <c r="O53" s="1511">
        <v>1997</v>
      </c>
      <c r="P53" s="3261"/>
      <c r="Q53" s="3199"/>
      <c r="S53" s="3199"/>
    </row>
    <row r="54" spans="1:256" ht="21" customHeight="1">
      <c r="C54" s="410">
        <v>0</v>
      </c>
      <c r="D54" s="1254">
        <v>78297</v>
      </c>
      <c r="E54" s="1254">
        <v>45345</v>
      </c>
      <c r="F54" s="1254">
        <v>100137</v>
      </c>
      <c r="G54" s="1254">
        <v>323290</v>
      </c>
      <c r="H54" s="1254">
        <v>59660</v>
      </c>
      <c r="I54" s="1254">
        <v>34</v>
      </c>
      <c r="J54" s="1254">
        <v>268631</v>
      </c>
      <c r="K54" s="1254">
        <v>5951</v>
      </c>
      <c r="L54" s="1254">
        <v>165037</v>
      </c>
      <c r="M54" s="1256">
        <f t="shared" si="0"/>
        <v>1046382</v>
      </c>
      <c r="N54" s="1472"/>
      <c r="O54" s="1512">
        <v>1998</v>
      </c>
      <c r="P54" s="3262"/>
      <c r="Q54" s="3199"/>
      <c r="S54" s="3199"/>
    </row>
    <row r="55" spans="1:256" ht="21" customHeight="1">
      <c r="C55" s="1492">
        <v>89</v>
      </c>
      <c r="D55" s="1157">
        <v>77569</v>
      </c>
      <c r="E55" s="1260">
        <v>68025</v>
      </c>
      <c r="F55" s="1260">
        <v>108650</v>
      </c>
      <c r="G55" s="1260">
        <v>352528</v>
      </c>
      <c r="H55" s="1260">
        <v>49105</v>
      </c>
      <c r="I55" s="1260">
        <v>38</v>
      </c>
      <c r="J55" s="1260">
        <v>264937</v>
      </c>
      <c r="K55" s="1260">
        <v>3033</v>
      </c>
      <c r="L55" s="1260">
        <v>127379</v>
      </c>
      <c r="M55" s="1159">
        <f t="shared" si="0"/>
        <v>1051353</v>
      </c>
      <c r="N55" s="1510"/>
      <c r="O55" s="1511">
        <v>1999</v>
      </c>
      <c r="P55" s="3261"/>
      <c r="Q55" s="3199"/>
      <c r="S55" s="3199"/>
    </row>
    <row r="56" spans="1:256" ht="21" customHeight="1">
      <c r="C56" s="410">
        <v>133</v>
      </c>
      <c r="D56" s="1254">
        <v>131497</v>
      </c>
      <c r="E56" s="1254">
        <v>69253</v>
      </c>
      <c r="F56" s="1254">
        <v>113619</v>
      </c>
      <c r="G56" s="1254">
        <v>347161</v>
      </c>
      <c r="H56" s="1254">
        <v>44731</v>
      </c>
      <c r="I56" s="1254">
        <v>99</v>
      </c>
      <c r="J56" s="1254">
        <v>249306</v>
      </c>
      <c r="K56" s="1254">
        <v>8596</v>
      </c>
      <c r="L56" s="1254">
        <v>116422</v>
      </c>
      <c r="M56" s="1256">
        <f t="shared" si="0"/>
        <v>1080817</v>
      </c>
      <c r="N56" s="1472"/>
      <c r="O56" s="1512">
        <v>2000</v>
      </c>
      <c r="P56" s="3262"/>
      <c r="Q56" s="3199"/>
      <c r="S56" s="3199"/>
    </row>
    <row r="57" spans="1:256" ht="21" customHeight="1">
      <c r="C57" s="1492">
        <v>1</v>
      </c>
      <c r="D57" s="1157">
        <v>264262</v>
      </c>
      <c r="E57" s="1260">
        <v>122826</v>
      </c>
      <c r="F57" s="1260">
        <v>168795</v>
      </c>
      <c r="G57" s="1260">
        <v>345135</v>
      </c>
      <c r="H57" s="1260">
        <v>42735</v>
      </c>
      <c r="I57" s="1260">
        <v>149</v>
      </c>
      <c r="J57" s="1260">
        <v>250165</v>
      </c>
      <c r="K57" s="1260">
        <v>22773</v>
      </c>
      <c r="L57" s="1260">
        <v>135530</v>
      </c>
      <c r="M57" s="1159">
        <f t="shared" si="0"/>
        <v>1352371</v>
      </c>
      <c r="N57" s="1510"/>
      <c r="O57" s="1511">
        <v>2001</v>
      </c>
      <c r="P57" s="3261"/>
      <c r="Q57" s="3199"/>
      <c r="S57" s="3199"/>
    </row>
    <row r="58" spans="1:256" ht="21" customHeight="1">
      <c r="C58" s="410">
        <v>35</v>
      </c>
      <c r="D58" s="1254">
        <v>412111</v>
      </c>
      <c r="E58" s="1254">
        <v>101175</v>
      </c>
      <c r="F58" s="1254">
        <v>159721</v>
      </c>
      <c r="G58" s="1254">
        <v>391855</v>
      </c>
      <c r="H58" s="1254">
        <v>67819</v>
      </c>
      <c r="I58" s="1254">
        <v>99</v>
      </c>
      <c r="J58" s="1254">
        <v>252324</v>
      </c>
      <c r="K58" s="1254">
        <v>30293</v>
      </c>
      <c r="L58" s="1254">
        <v>141316</v>
      </c>
      <c r="M58" s="1256">
        <f t="shared" si="0"/>
        <v>1556748</v>
      </c>
      <c r="N58" s="1472"/>
      <c r="O58" s="1512">
        <v>2002</v>
      </c>
      <c r="P58" s="3262"/>
      <c r="Q58" s="3199"/>
      <c r="S58" s="3199"/>
    </row>
    <row r="59" spans="1:256" ht="24" customHeight="1">
      <c r="C59" s="1492">
        <v>2189</v>
      </c>
      <c r="D59" s="1157">
        <v>567514</v>
      </c>
      <c r="E59" s="1260">
        <v>77083</v>
      </c>
      <c r="F59" s="1260">
        <v>132218</v>
      </c>
      <c r="G59" s="1260">
        <v>389664</v>
      </c>
      <c r="H59" s="1260">
        <v>41775</v>
      </c>
      <c r="I59" s="1260">
        <v>4613</v>
      </c>
      <c r="J59" s="1260">
        <v>258607</v>
      </c>
      <c r="K59" s="1260">
        <v>44771</v>
      </c>
      <c r="L59" s="1260">
        <v>156641</v>
      </c>
      <c r="M59" s="1159">
        <f>L59+K59+J59+I59+H59+G59+F59+E59+D59+C59</f>
        <v>1675075</v>
      </c>
      <c r="N59" s="1510"/>
      <c r="O59" s="1511">
        <v>2003</v>
      </c>
      <c r="P59" s="3261"/>
      <c r="Q59" s="3199"/>
      <c r="S59" s="3199"/>
    </row>
    <row r="60" spans="1:256" ht="24" customHeight="1">
      <c r="C60" s="410">
        <v>20677</v>
      </c>
      <c r="D60" s="1254">
        <v>841010</v>
      </c>
      <c r="E60" s="1254">
        <v>103018</v>
      </c>
      <c r="F60" s="1254">
        <v>158545</v>
      </c>
      <c r="G60" s="1254">
        <v>502193</v>
      </c>
      <c r="H60" s="1254">
        <v>112957</v>
      </c>
      <c r="I60" s="1254">
        <v>15735</v>
      </c>
      <c r="J60" s="1254">
        <v>310156</v>
      </c>
      <c r="K60" s="1254">
        <v>41456</v>
      </c>
      <c r="L60" s="1254">
        <v>200879</v>
      </c>
      <c r="M60" s="1256">
        <f t="shared" si="0"/>
        <v>2306626</v>
      </c>
      <c r="N60" s="1472"/>
      <c r="O60" s="1512">
        <v>2004</v>
      </c>
      <c r="P60" s="3262"/>
      <c r="Q60" s="3199"/>
      <c r="S60" s="3199"/>
    </row>
    <row r="61" spans="1:256" s="3264" customFormat="1" ht="21.95" customHeight="1">
      <c r="A61" s="1801"/>
      <c r="B61" s="1801"/>
      <c r="C61" s="411">
        <v>36</v>
      </c>
      <c r="D61" s="1157">
        <v>925539</v>
      </c>
      <c r="E61" s="1157">
        <v>127147</v>
      </c>
      <c r="F61" s="1157">
        <v>191824</v>
      </c>
      <c r="G61" s="1157">
        <v>575727</v>
      </c>
      <c r="H61" s="1157">
        <v>72247</v>
      </c>
      <c r="I61" s="1157">
        <v>4656</v>
      </c>
      <c r="J61" s="1157">
        <v>350211</v>
      </c>
      <c r="K61" s="1157">
        <v>47857</v>
      </c>
      <c r="L61" s="1157">
        <v>274978</v>
      </c>
      <c r="M61" s="1159">
        <f t="shared" si="0"/>
        <v>2570222</v>
      </c>
      <c r="N61" s="1510"/>
      <c r="O61" s="1511">
        <v>2005</v>
      </c>
      <c r="P61" s="3261"/>
      <c r="Q61" s="3199"/>
      <c r="R61" s="1801"/>
      <c r="S61" s="1801"/>
      <c r="T61" s="1801"/>
      <c r="U61" s="1801"/>
      <c r="V61" s="1801"/>
      <c r="W61" s="1801"/>
      <c r="X61" s="1801"/>
      <c r="Y61" s="1801"/>
      <c r="Z61" s="1801"/>
      <c r="AA61" s="1801"/>
      <c r="AB61" s="1801"/>
      <c r="AC61" s="1801"/>
      <c r="AD61" s="1801"/>
      <c r="AE61" s="1801"/>
      <c r="AF61" s="1801"/>
      <c r="AG61" s="1801"/>
      <c r="AH61" s="1801"/>
      <c r="AI61" s="1801"/>
      <c r="AJ61" s="1801"/>
      <c r="AK61" s="1801"/>
      <c r="AL61" s="1801"/>
      <c r="AM61" s="1801"/>
      <c r="AN61" s="1801"/>
      <c r="AO61" s="1801"/>
      <c r="AP61" s="1801"/>
      <c r="AQ61" s="1801"/>
      <c r="AR61" s="1801"/>
      <c r="AS61" s="1801"/>
      <c r="AT61" s="1801"/>
      <c r="AU61" s="1801"/>
      <c r="AV61" s="1801"/>
      <c r="AW61" s="1801"/>
      <c r="AX61" s="1801"/>
      <c r="AY61" s="1801"/>
      <c r="AZ61" s="1801"/>
      <c r="BA61" s="1801"/>
      <c r="BB61" s="1801"/>
      <c r="BC61" s="1801"/>
      <c r="BD61" s="1801"/>
      <c r="BE61" s="1801"/>
      <c r="BF61" s="1801"/>
      <c r="BG61" s="1801"/>
      <c r="BH61" s="1801"/>
      <c r="BI61" s="1801"/>
      <c r="BJ61" s="1801"/>
      <c r="BK61" s="1801"/>
      <c r="BL61" s="1801"/>
      <c r="BM61" s="1801"/>
      <c r="BN61" s="1801"/>
      <c r="BO61" s="1801"/>
      <c r="BP61" s="1801"/>
      <c r="BQ61" s="1801"/>
      <c r="BR61" s="1801"/>
      <c r="BS61" s="1801"/>
      <c r="BT61" s="1801"/>
      <c r="BU61" s="1801"/>
      <c r="BV61" s="1801"/>
      <c r="BW61" s="1801"/>
      <c r="BX61" s="1801"/>
      <c r="BY61" s="1801"/>
      <c r="BZ61" s="1801"/>
      <c r="CA61" s="1801"/>
      <c r="CB61" s="1801"/>
      <c r="CC61" s="1801"/>
      <c r="CD61" s="1801"/>
      <c r="CE61" s="1801"/>
      <c r="CF61" s="1801"/>
      <c r="CG61" s="1801"/>
      <c r="CH61" s="1801"/>
      <c r="CI61" s="1801"/>
      <c r="CJ61" s="1801"/>
      <c r="CK61" s="1801"/>
      <c r="CL61" s="1801"/>
      <c r="CM61" s="1801"/>
      <c r="CN61" s="1801"/>
      <c r="CO61" s="1801"/>
      <c r="CP61" s="1801"/>
      <c r="CQ61" s="1801"/>
      <c r="CR61" s="1801"/>
      <c r="CS61" s="1801"/>
      <c r="CT61" s="1801"/>
      <c r="CU61" s="1801"/>
      <c r="CV61" s="1801"/>
      <c r="CW61" s="1801"/>
      <c r="CX61" s="1801"/>
      <c r="CY61" s="1801"/>
      <c r="CZ61" s="1801"/>
      <c r="DA61" s="1801"/>
      <c r="DB61" s="1801"/>
      <c r="DC61" s="1801"/>
      <c r="DD61" s="1801"/>
      <c r="DE61" s="1801"/>
      <c r="DF61" s="1801"/>
      <c r="DG61" s="1801"/>
      <c r="DH61" s="1801"/>
      <c r="DI61" s="1801"/>
      <c r="DJ61" s="1801"/>
      <c r="DK61" s="1801"/>
      <c r="DL61" s="1801"/>
      <c r="DM61" s="1801"/>
      <c r="DN61" s="1801"/>
      <c r="DO61" s="1801"/>
      <c r="DP61" s="1801"/>
      <c r="DQ61" s="1801"/>
      <c r="DR61" s="1801"/>
      <c r="DS61" s="1801"/>
      <c r="DT61" s="1801"/>
      <c r="DU61" s="1801"/>
      <c r="DV61" s="1801"/>
      <c r="DW61" s="1801"/>
      <c r="DX61" s="1801"/>
      <c r="DY61" s="1801"/>
      <c r="DZ61" s="1801"/>
      <c r="EA61" s="1801"/>
      <c r="EB61" s="1801"/>
      <c r="EC61" s="1801"/>
      <c r="ED61" s="1801"/>
      <c r="EE61" s="1801"/>
      <c r="EF61" s="1801"/>
      <c r="EG61" s="1801"/>
      <c r="EH61" s="1801"/>
      <c r="EI61" s="1801"/>
      <c r="EJ61" s="1801"/>
      <c r="EK61" s="1801"/>
      <c r="EL61" s="1801"/>
      <c r="EM61" s="1801"/>
      <c r="EN61" s="1801"/>
      <c r="EO61" s="1801"/>
      <c r="EP61" s="1801"/>
      <c r="EQ61" s="1801"/>
      <c r="ER61" s="1801"/>
      <c r="ES61" s="1801"/>
      <c r="ET61" s="1801"/>
      <c r="EU61" s="1801"/>
      <c r="EV61" s="1801"/>
      <c r="EW61" s="1801"/>
      <c r="EX61" s="1801"/>
      <c r="EY61" s="1801"/>
      <c r="EZ61" s="1801"/>
      <c r="FA61" s="1801"/>
      <c r="FB61" s="1801"/>
      <c r="FC61" s="1801"/>
      <c r="FD61" s="1801"/>
      <c r="FE61" s="1801"/>
      <c r="FF61" s="1801"/>
      <c r="FG61" s="1801"/>
      <c r="FH61" s="1801"/>
      <c r="FI61" s="1801"/>
      <c r="FJ61" s="1801"/>
      <c r="FK61" s="1801"/>
      <c r="FL61" s="1801"/>
      <c r="FM61" s="1801"/>
      <c r="FN61" s="1801"/>
      <c r="FO61" s="1801"/>
      <c r="FP61" s="1801"/>
      <c r="FQ61" s="1801"/>
      <c r="FR61" s="1801"/>
      <c r="FS61" s="1801"/>
      <c r="FT61" s="1801"/>
      <c r="FU61" s="1801"/>
      <c r="FV61" s="1801"/>
      <c r="FW61" s="1801"/>
      <c r="FX61" s="1801"/>
      <c r="FY61" s="1801"/>
      <c r="FZ61" s="1801"/>
      <c r="GA61" s="1801"/>
      <c r="GB61" s="1801"/>
      <c r="GC61" s="1801"/>
      <c r="GD61" s="1801"/>
      <c r="GE61" s="1801"/>
      <c r="GF61" s="1801"/>
      <c r="GG61" s="1801"/>
      <c r="GH61" s="1801"/>
      <c r="GI61" s="1801"/>
      <c r="GJ61" s="1801"/>
      <c r="GK61" s="1801"/>
      <c r="GL61" s="1801"/>
      <c r="GM61" s="1801"/>
      <c r="GN61" s="1801"/>
      <c r="GO61" s="1801"/>
      <c r="GP61" s="1801"/>
      <c r="GQ61" s="1801"/>
      <c r="GR61" s="1801"/>
      <c r="GS61" s="1801"/>
      <c r="GT61" s="1801"/>
      <c r="GU61" s="1801"/>
      <c r="GV61" s="1801"/>
      <c r="GW61" s="1801"/>
      <c r="GX61" s="1801"/>
      <c r="GY61" s="1801"/>
      <c r="GZ61" s="1801"/>
      <c r="HA61" s="1801"/>
      <c r="HB61" s="1801"/>
      <c r="HC61" s="1801"/>
      <c r="HD61" s="1801"/>
      <c r="HE61" s="1801"/>
      <c r="HF61" s="1801"/>
      <c r="HG61" s="1801"/>
      <c r="HH61" s="1801"/>
      <c r="HI61" s="1801"/>
      <c r="HJ61" s="1801"/>
      <c r="HK61" s="1801"/>
      <c r="HL61" s="1801"/>
      <c r="HM61" s="1801"/>
      <c r="HN61" s="1801"/>
      <c r="HO61" s="1801"/>
      <c r="HP61" s="1801"/>
      <c r="HQ61" s="1801"/>
      <c r="HR61" s="1801"/>
      <c r="HS61" s="1801"/>
      <c r="HT61" s="1801"/>
      <c r="HU61" s="1801"/>
      <c r="HV61" s="1801"/>
      <c r="HW61" s="1801"/>
      <c r="HX61" s="1801"/>
      <c r="HY61" s="1801"/>
      <c r="HZ61" s="1801"/>
      <c r="IA61" s="1801"/>
      <c r="IB61" s="1801"/>
      <c r="IC61" s="1801"/>
      <c r="ID61" s="1801"/>
      <c r="IE61" s="1801"/>
      <c r="IF61" s="1801"/>
      <c r="IG61" s="1801"/>
      <c r="IH61" s="1801"/>
      <c r="II61" s="1801"/>
      <c r="IJ61" s="1801"/>
      <c r="IK61" s="1801"/>
      <c r="IL61" s="1801"/>
      <c r="IM61" s="1801"/>
      <c r="IN61" s="1801"/>
      <c r="IO61" s="1801"/>
      <c r="IP61" s="1801"/>
      <c r="IQ61" s="1801"/>
      <c r="IR61" s="1801"/>
      <c r="IS61" s="1801"/>
      <c r="IT61" s="1801"/>
      <c r="IU61" s="1801"/>
      <c r="IV61" s="1801"/>
    </row>
    <row r="62" spans="1:256" s="1801" customFormat="1" ht="21.95" customHeight="1">
      <c r="C62" s="410">
        <v>6360</v>
      </c>
      <c r="D62" s="1254">
        <v>1088787</v>
      </c>
      <c r="E62" s="1254">
        <v>157035</v>
      </c>
      <c r="F62" s="1254">
        <v>217911</v>
      </c>
      <c r="G62" s="1254">
        <v>625409</v>
      </c>
      <c r="H62" s="1254">
        <v>61541</v>
      </c>
      <c r="I62" s="1254">
        <v>29790</v>
      </c>
      <c r="J62" s="1254">
        <v>353828</v>
      </c>
      <c r="K62" s="1254">
        <v>66020</v>
      </c>
      <c r="L62" s="1254">
        <v>322629</v>
      </c>
      <c r="M62" s="1256">
        <f t="shared" si="0"/>
        <v>2929310</v>
      </c>
      <c r="N62" s="1472"/>
      <c r="O62" s="1512">
        <v>2006</v>
      </c>
      <c r="P62" s="3262"/>
      <c r="Q62" s="3199"/>
    </row>
    <row r="63" spans="1:256" s="1801" customFormat="1" ht="21.75" customHeight="1">
      <c r="C63" s="411">
        <v>3217</v>
      </c>
      <c r="D63" s="1157">
        <v>1024590</v>
      </c>
      <c r="E63" s="1157">
        <v>171431</v>
      </c>
      <c r="F63" s="1157">
        <v>267601</v>
      </c>
      <c r="G63" s="1157">
        <v>766653</v>
      </c>
      <c r="H63" s="1157">
        <v>16070</v>
      </c>
      <c r="I63" s="1157">
        <v>26347</v>
      </c>
      <c r="J63" s="1157">
        <v>435247</v>
      </c>
      <c r="K63" s="1157">
        <v>68436</v>
      </c>
      <c r="L63" s="1157">
        <v>404115</v>
      </c>
      <c r="M63" s="1159">
        <f t="shared" si="0"/>
        <v>3183707</v>
      </c>
      <c r="N63" s="1510"/>
      <c r="O63" s="1511">
        <v>2007</v>
      </c>
      <c r="P63" s="3261"/>
      <c r="Q63" s="3199"/>
    </row>
    <row r="64" spans="1:256" s="1191" customFormat="1" ht="21.75" customHeight="1">
      <c r="C64" s="410">
        <v>8885</v>
      </c>
      <c r="D64" s="1254">
        <v>907168</v>
      </c>
      <c r="E64" s="1254">
        <v>236043</v>
      </c>
      <c r="F64" s="1254">
        <v>409724</v>
      </c>
      <c r="G64" s="1254">
        <v>1245693</v>
      </c>
      <c r="H64" s="1254">
        <v>18096</v>
      </c>
      <c r="I64" s="1254">
        <v>34325</v>
      </c>
      <c r="J64" s="1254">
        <v>987876</v>
      </c>
      <c r="K64" s="1254">
        <v>76015</v>
      </c>
      <c r="L64" s="1254">
        <v>507288</v>
      </c>
      <c r="M64" s="1256">
        <f t="shared" si="0"/>
        <v>4431113</v>
      </c>
      <c r="N64" s="1472"/>
      <c r="O64" s="1512">
        <v>2008</v>
      </c>
      <c r="P64" s="3262"/>
      <c r="Q64" s="3199"/>
    </row>
    <row r="65" spans="3:17" s="2086" customFormat="1" ht="21.75" customHeight="1">
      <c r="C65" s="411">
        <v>83044</v>
      </c>
      <c r="D65" s="1157">
        <v>772819</v>
      </c>
      <c r="E65" s="1157">
        <v>203518</v>
      </c>
      <c r="F65" s="1157">
        <v>404933</v>
      </c>
      <c r="G65" s="1157">
        <v>878956</v>
      </c>
      <c r="H65" s="1157">
        <v>6124</v>
      </c>
      <c r="I65" s="1157">
        <v>20086</v>
      </c>
      <c r="J65" s="1157">
        <v>635359</v>
      </c>
      <c r="K65" s="1157">
        <v>61142</v>
      </c>
      <c r="L65" s="1157">
        <v>513185</v>
      </c>
      <c r="M65" s="1159">
        <f t="shared" si="0"/>
        <v>3579166</v>
      </c>
      <c r="N65" s="1510"/>
      <c r="O65" s="1511">
        <v>2009</v>
      </c>
      <c r="P65" s="3265"/>
      <c r="Q65" s="3198"/>
    </row>
    <row r="66" spans="3:17" s="2086" customFormat="1" ht="21.75" customHeight="1">
      <c r="C66" s="410">
        <v>87124</v>
      </c>
      <c r="D66" s="1254">
        <v>823631</v>
      </c>
      <c r="E66" s="1254">
        <v>230125</v>
      </c>
      <c r="F66" s="1254">
        <v>450775</v>
      </c>
      <c r="G66" s="1254">
        <v>1096733</v>
      </c>
      <c r="H66" s="1254">
        <v>7844</v>
      </c>
      <c r="I66" s="1254">
        <v>46000</v>
      </c>
      <c r="J66" s="1254">
        <v>790697</v>
      </c>
      <c r="K66" s="1254">
        <v>62529</v>
      </c>
      <c r="L66" s="1254">
        <v>621491</v>
      </c>
      <c r="M66" s="1256">
        <f t="shared" si="0"/>
        <v>4216949</v>
      </c>
      <c r="N66" s="1472"/>
      <c r="O66" s="1512">
        <v>2010</v>
      </c>
      <c r="P66" s="3266"/>
      <c r="Q66" s="3198"/>
    </row>
    <row r="67" spans="3:17" s="2086" customFormat="1" ht="21.75" customHeight="1">
      <c r="C67" s="411">
        <v>142020</v>
      </c>
      <c r="D67" s="1157">
        <v>911593</v>
      </c>
      <c r="E67" s="1157">
        <v>260111</v>
      </c>
      <c r="F67" s="1157">
        <v>449577</v>
      </c>
      <c r="G67" s="1157">
        <v>1099430</v>
      </c>
      <c r="H67" s="1157">
        <v>11972</v>
      </c>
      <c r="I67" s="1157">
        <v>10867</v>
      </c>
      <c r="J67" s="1157">
        <v>1138611</v>
      </c>
      <c r="K67" s="1157">
        <v>51954</v>
      </c>
      <c r="L67" s="1157">
        <v>729738</v>
      </c>
      <c r="M67" s="1159">
        <f t="shared" si="0"/>
        <v>4805873</v>
      </c>
      <c r="N67" s="1510"/>
      <c r="O67" s="1511">
        <v>2011</v>
      </c>
      <c r="P67" s="3266"/>
      <c r="Q67" s="3198"/>
    </row>
    <row r="68" spans="3:17" s="2086" customFormat="1" ht="21.75" customHeight="1">
      <c r="C68" s="410">
        <v>101356</v>
      </c>
      <c r="D68" s="1254">
        <v>979546</v>
      </c>
      <c r="E68" s="1254">
        <v>224282</v>
      </c>
      <c r="F68" s="1254">
        <v>433503</v>
      </c>
      <c r="G68" s="1254">
        <v>1148077</v>
      </c>
      <c r="H68" s="1254">
        <v>14622</v>
      </c>
      <c r="I68" s="1254">
        <v>13584</v>
      </c>
      <c r="J68" s="1254">
        <v>987675</v>
      </c>
      <c r="K68" s="1254">
        <v>60219</v>
      </c>
      <c r="L68" s="1254">
        <v>786706</v>
      </c>
      <c r="M68" s="1256">
        <f t="shared" si="0"/>
        <v>4749570</v>
      </c>
      <c r="N68" s="1472"/>
      <c r="O68" s="1512">
        <v>2012</v>
      </c>
      <c r="P68" s="3266"/>
      <c r="Q68" s="3198"/>
    </row>
    <row r="69" spans="3:17" s="2086" customFormat="1" ht="21.75" customHeight="1">
      <c r="C69" s="411">
        <v>9900</v>
      </c>
      <c r="D69" s="1157">
        <v>1069911</v>
      </c>
      <c r="E69" s="1157">
        <v>262257</v>
      </c>
      <c r="F69" s="1157">
        <v>479101</v>
      </c>
      <c r="G69" s="1157">
        <v>1245544</v>
      </c>
      <c r="H69" s="1157">
        <v>11373</v>
      </c>
      <c r="I69" s="1157">
        <v>7647</v>
      </c>
      <c r="J69" s="1157">
        <v>753440</v>
      </c>
      <c r="K69" s="1157">
        <v>72757</v>
      </c>
      <c r="L69" s="1157">
        <v>893304</v>
      </c>
      <c r="M69" s="1159">
        <f t="shared" si="0"/>
        <v>4805234</v>
      </c>
      <c r="N69" s="1510"/>
      <c r="O69" s="1511">
        <v>2013</v>
      </c>
      <c r="P69" s="3266"/>
      <c r="Q69" s="3198"/>
    </row>
    <row r="70" spans="3:17" s="2086" customFormat="1" ht="21.75" customHeight="1">
      <c r="C70" s="410">
        <v>423</v>
      </c>
      <c r="D70" s="1254">
        <v>1221841</v>
      </c>
      <c r="E70" s="1254">
        <v>245401</v>
      </c>
      <c r="F70" s="1254">
        <v>488213</v>
      </c>
      <c r="G70" s="1254">
        <v>1312727</v>
      </c>
      <c r="H70" s="1254">
        <v>7919</v>
      </c>
      <c r="I70" s="1254">
        <v>8653</v>
      </c>
      <c r="J70" s="1254">
        <v>830215</v>
      </c>
      <c r="K70" s="1254">
        <v>80780</v>
      </c>
      <c r="L70" s="1254">
        <v>966857</v>
      </c>
      <c r="M70" s="1256">
        <f>L70+K70+J70+I70+H70+G70+F70+E70+D70+C70</f>
        <v>5163029</v>
      </c>
      <c r="N70" s="1472"/>
      <c r="O70" s="1512">
        <v>2014</v>
      </c>
      <c r="P70" s="3266"/>
      <c r="Q70" s="3198"/>
    </row>
    <row r="71" spans="3:17" s="2086" customFormat="1" ht="21.75" customHeight="1">
      <c r="C71" s="411">
        <v>1338</v>
      </c>
      <c r="D71" s="1157">
        <v>1253476</v>
      </c>
      <c r="E71" s="1157">
        <v>200454</v>
      </c>
      <c r="F71" s="1157">
        <v>431165</v>
      </c>
      <c r="G71" s="1157">
        <v>1038169</v>
      </c>
      <c r="H71" s="1157">
        <v>4601</v>
      </c>
      <c r="I71" s="1157">
        <v>5802</v>
      </c>
      <c r="J71" s="1157">
        <v>863737</v>
      </c>
      <c r="K71" s="1157">
        <v>78714</v>
      </c>
      <c r="L71" s="1157">
        <v>920127</v>
      </c>
      <c r="M71" s="1159">
        <f t="shared" si="0"/>
        <v>4797583</v>
      </c>
      <c r="N71" s="1510"/>
      <c r="O71" s="1654">
        <v>2015</v>
      </c>
      <c r="P71" s="3266"/>
      <c r="Q71" s="3198"/>
    </row>
    <row r="72" spans="3:17" s="2086" customFormat="1" ht="21.75" customHeight="1">
      <c r="C72" s="410">
        <v>10685</v>
      </c>
      <c r="D72" s="1254">
        <v>1264483</v>
      </c>
      <c r="E72" s="1254">
        <v>173659</v>
      </c>
      <c r="F72" s="1254">
        <v>374643</v>
      </c>
      <c r="G72" s="1254">
        <v>1052255</v>
      </c>
      <c r="H72" s="1254">
        <v>6301</v>
      </c>
      <c r="I72" s="1254">
        <v>4578</v>
      </c>
      <c r="J72" s="1254">
        <v>706507</v>
      </c>
      <c r="K72" s="1254">
        <v>67276</v>
      </c>
      <c r="L72" s="1254">
        <v>736127</v>
      </c>
      <c r="M72" s="1256">
        <v>4396514</v>
      </c>
      <c r="N72" s="1472"/>
      <c r="O72" s="1655" t="s">
        <v>2618</v>
      </c>
      <c r="P72" s="3266"/>
      <c r="Q72" s="3198"/>
    </row>
    <row r="73" spans="3:17" s="2086" customFormat="1" ht="21.75" customHeight="1">
      <c r="C73" s="411">
        <v>26871</v>
      </c>
      <c r="D73" s="1157">
        <v>1328057</v>
      </c>
      <c r="E73" s="1157">
        <v>158678</v>
      </c>
      <c r="F73" s="1157">
        <v>389389</v>
      </c>
      <c r="G73" s="1157">
        <v>1091714</v>
      </c>
      <c r="H73" s="1157">
        <v>3136</v>
      </c>
      <c r="I73" s="1157">
        <v>5511</v>
      </c>
      <c r="J73" s="1157">
        <v>711087</v>
      </c>
      <c r="K73" s="1157">
        <v>62663</v>
      </c>
      <c r="L73" s="1157">
        <v>727118</v>
      </c>
      <c r="M73" s="1159">
        <v>4504224</v>
      </c>
      <c r="N73" s="1510"/>
      <c r="O73" s="1654" t="s">
        <v>2748</v>
      </c>
      <c r="P73" s="3266"/>
      <c r="Q73" s="3198"/>
    </row>
    <row r="74" spans="3:17" s="2086" customFormat="1" ht="21.75" customHeight="1">
      <c r="C74" s="410">
        <v>9411</v>
      </c>
      <c r="D74" s="1254">
        <v>1415723</v>
      </c>
      <c r="E74" s="1254">
        <v>183416</v>
      </c>
      <c r="F74" s="1254">
        <v>364371</v>
      </c>
      <c r="G74" s="1254">
        <v>1166010</v>
      </c>
      <c r="H74" s="1254">
        <v>2429</v>
      </c>
      <c r="I74" s="1254">
        <v>80121</v>
      </c>
      <c r="J74" s="1254">
        <v>744762</v>
      </c>
      <c r="K74" s="1254">
        <v>58888</v>
      </c>
      <c r="L74" s="1254">
        <v>649575</v>
      </c>
      <c r="M74" s="1256">
        <v>4674706</v>
      </c>
      <c r="N74" s="1472"/>
      <c r="O74" s="1655" t="s">
        <v>2928</v>
      </c>
      <c r="P74" s="3266"/>
      <c r="Q74" s="3198"/>
    </row>
    <row r="75" spans="3:17" s="2086" customFormat="1" ht="21.75" customHeight="1">
      <c r="C75" s="411">
        <v>86199.298720000035</v>
      </c>
      <c r="D75" s="1157">
        <v>1513644.5279999999</v>
      </c>
      <c r="E75" s="1157">
        <v>150314.79699999999</v>
      </c>
      <c r="F75" s="1157">
        <v>391820.08624000003</v>
      </c>
      <c r="G75" s="1157">
        <v>1264902.4993159999</v>
      </c>
      <c r="H75" s="1157">
        <v>2069.402</v>
      </c>
      <c r="I75" s="1157">
        <v>84043.552000000025</v>
      </c>
      <c r="J75" s="1157">
        <v>778775.5593020001</v>
      </c>
      <c r="K75" s="1157">
        <v>55897.286999999997</v>
      </c>
      <c r="L75" s="1157">
        <v>668017.58609999996</v>
      </c>
      <c r="M75" s="1159">
        <v>4995684.5956779998</v>
      </c>
      <c r="N75" s="1510"/>
      <c r="O75" s="1654" t="s">
        <v>3028</v>
      </c>
      <c r="P75" s="3266"/>
      <c r="Q75" s="3198"/>
    </row>
    <row r="76" spans="3:17" s="2086" customFormat="1" ht="21.75" customHeight="1">
      <c r="C76" s="410">
        <v>262852.5</v>
      </c>
      <c r="D76" s="1254">
        <v>1293048</v>
      </c>
      <c r="E76" s="1254">
        <v>134984</v>
      </c>
      <c r="F76" s="1254">
        <v>355928</v>
      </c>
      <c r="G76" s="1254">
        <v>1475549</v>
      </c>
      <c r="H76" s="1254">
        <v>5956</v>
      </c>
      <c r="I76" s="1254">
        <v>67182.259999999995</v>
      </c>
      <c r="J76" s="1254">
        <v>707877</v>
      </c>
      <c r="K76" s="1254">
        <v>44923.406999999999</v>
      </c>
      <c r="L76" s="1254">
        <v>695808</v>
      </c>
      <c r="M76" s="1256">
        <v>5044108.1670000004</v>
      </c>
      <c r="N76" s="1472"/>
      <c r="O76" s="1655" t="s">
        <v>3101</v>
      </c>
      <c r="P76" s="3266"/>
      <c r="Q76" s="3198"/>
    </row>
    <row r="77" spans="3:17" s="2086" customFormat="1" ht="17.25" customHeight="1">
      <c r="C77" s="411">
        <v>50137</v>
      </c>
      <c r="D77" s="1157">
        <v>1478549</v>
      </c>
      <c r="E77" s="1157">
        <v>197921</v>
      </c>
      <c r="F77" s="1157">
        <v>500579</v>
      </c>
      <c r="G77" s="1157">
        <v>1885424</v>
      </c>
      <c r="H77" s="1157">
        <v>3159</v>
      </c>
      <c r="I77" s="1157">
        <v>42687</v>
      </c>
      <c r="J77" s="1157">
        <v>1024431</v>
      </c>
      <c r="K77" s="1157">
        <v>50835</v>
      </c>
      <c r="L77" s="1157">
        <v>805102</v>
      </c>
      <c r="M77" s="1159">
        <v>6038824</v>
      </c>
      <c r="N77" s="1510"/>
      <c r="O77" s="1654" t="s">
        <v>3106</v>
      </c>
      <c r="P77" s="3266"/>
      <c r="Q77" s="3198"/>
    </row>
    <row r="78" spans="3:17" s="2086" customFormat="1" ht="21.75" customHeight="1">
      <c r="C78" s="4542">
        <v>25303</v>
      </c>
      <c r="D78" s="4534">
        <v>2131242</v>
      </c>
      <c r="E78" s="4534">
        <v>296074</v>
      </c>
      <c r="F78" s="4534">
        <v>594634</v>
      </c>
      <c r="G78" s="4534">
        <v>2336334</v>
      </c>
      <c r="H78" s="4534">
        <v>4285</v>
      </c>
      <c r="I78" s="4534">
        <v>76721</v>
      </c>
      <c r="J78" s="4534">
        <v>1951247</v>
      </c>
      <c r="K78" s="4534">
        <v>50987</v>
      </c>
      <c r="L78" s="4534">
        <v>898703</v>
      </c>
      <c r="M78" s="4543">
        <v>8365530</v>
      </c>
      <c r="N78" s="4544"/>
      <c r="O78" s="4545" t="s">
        <v>3116</v>
      </c>
      <c r="P78" s="3266"/>
      <c r="Q78" s="3198"/>
    </row>
    <row r="79" spans="3:17" s="1191" customFormat="1" ht="18.600000000000001" customHeight="1">
      <c r="C79" s="406" t="s">
        <v>1423</v>
      </c>
      <c r="D79" s="1318"/>
      <c r="E79" s="1318"/>
      <c r="F79" s="1318"/>
      <c r="G79" s="1318"/>
      <c r="H79" s="1318"/>
      <c r="I79" s="1318"/>
      <c r="J79" s="1318"/>
      <c r="K79" s="1318"/>
      <c r="L79" s="1318"/>
      <c r="M79" s="1318"/>
      <c r="N79" s="1318"/>
      <c r="O79" s="3202" t="s">
        <v>1424</v>
      </c>
      <c r="P79" s="3267" t="s">
        <v>1427</v>
      </c>
      <c r="Q79" s="3199"/>
    </row>
    <row r="80" spans="3:17">
      <c r="C80" s="412" t="s">
        <v>1425</v>
      </c>
      <c r="D80" s="413"/>
      <c r="E80" s="413"/>
      <c r="F80" s="1318"/>
      <c r="G80" s="1318"/>
      <c r="H80" s="1318"/>
      <c r="I80" s="1318"/>
      <c r="J80" s="1318"/>
      <c r="K80" s="1318"/>
      <c r="L80" s="1318"/>
      <c r="M80" s="4936" t="s">
        <v>1426</v>
      </c>
      <c r="N80" s="4937"/>
      <c r="O80" s="4937"/>
      <c r="Q80" s="3199"/>
    </row>
    <row r="81" spans="2:17">
      <c r="B81" s="1793"/>
      <c r="F81" s="1793"/>
      <c r="G81" s="1793"/>
      <c r="L81" s="3268"/>
      <c r="Q81" s="3199"/>
    </row>
    <row r="82" spans="2:17">
      <c r="B82" s="1793"/>
      <c r="F82" s="1793"/>
      <c r="G82" s="1793"/>
      <c r="L82" s="3268"/>
      <c r="Q82" s="3199"/>
    </row>
    <row r="83" spans="2:17">
      <c r="B83" s="1793"/>
      <c r="F83" s="1793"/>
      <c r="G83" s="1793"/>
      <c r="L83" s="3268"/>
      <c r="Q83" s="3199"/>
    </row>
    <row r="84" spans="2:17">
      <c r="B84" s="1793"/>
      <c r="F84" s="1793"/>
      <c r="G84" s="1793"/>
      <c r="L84" s="3268"/>
      <c r="Q84" s="3199"/>
    </row>
    <row r="85" spans="2:17">
      <c r="B85" s="1793"/>
      <c r="F85" s="1793"/>
      <c r="G85" s="1793"/>
      <c r="L85" s="3268"/>
      <c r="Q85" s="3199"/>
    </row>
    <row r="86" spans="2:17">
      <c r="B86" s="1793"/>
      <c r="F86" s="1793"/>
      <c r="G86" s="1793"/>
      <c r="L86" s="3268"/>
      <c r="Q86" s="3199"/>
    </row>
    <row r="87" spans="2:17">
      <c r="B87" s="1793"/>
      <c r="F87" s="1793"/>
      <c r="G87" s="1793"/>
      <c r="L87" s="3268"/>
      <c r="Q87" s="3199"/>
    </row>
    <row r="88" spans="2:17">
      <c r="B88" s="1793"/>
      <c r="F88" s="1174"/>
      <c r="G88" s="1174"/>
      <c r="L88" s="3268"/>
      <c r="Q88" s="3199"/>
    </row>
    <row r="89" spans="2:17">
      <c r="C89" s="1801"/>
      <c r="D89" s="1174"/>
      <c r="E89" s="1174"/>
      <c r="F89" s="1793"/>
      <c r="G89" s="1793"/>
      <c r="H89" s="1174"/>
      <c r="I89" s="1174"/>
      <c r="J89" s="1174"/>
      <c r="K89" s="1174"/>
      <c r="L89" s="1174"/>
      <c r="M89" s="1174"/>
      <c r="N89" s="1174"/>
      <c r="O89" s="1174"/>
      <c r="P89" s="1174"/>
    </row>
    <row r="90" spans="2:17">
      <c r="F90" s="1793"/>
      <c r="G90" s="1793"/>
      <c r="O90" s="1793"/>
    </row>
    <row r="91" spans="2:17">
      <c r="F91" s="1793"/>
      <c r="G91" s="1793"/>
      <c r="O91" s="1793"/>
    </row>
    <row r="92" spans="2:17">
      <c r="F92" s="1793"/>
      <c r="G92" s="1793"/>
      <c r="O92" s="1793"/>
    </row>
    <row r="93" spans="2:17">
      <c r="F93" s="1793"/>
      <c r="G93" s="1793"/>
      <c r="O93" s="1793"/>
    </row>
    <row r="94" spans="2:17">
      <c r="F94" s="1793"/>
      <c r="G94" s="1793"/>
      <c r="O94" s="1793"/>
    </row>
    <row r="95" spans="2:17">
      <c r="F95" s="1793"/>
      <c r="G95" s="1793"/>
    </row>
    <row r="96" spans="2:17">
      <c r="F96" s="1793"/>
      <c r="G96" s="1793"/>
    </row>
    <row r="97" spans="6:7">
      <c r="F97" s="1793"/>
      <c r="G97" s="1793"/>
    </row>
    <row r="98" spans="6:7">
      <c r="F98" s="1793"/>
      <c r="G98" s="1793"/>
    </row>
    <row r="99" spans="6:7">
      <c r="F99" s="1793"/>
      <c r="G99" s="1793"/>
    </row>
    <row r="100" spans="6:7">
      <c r="F100" s="1793"/>
      <c r="G100" s="1793"/>
    </row>
    <row r="101" spans="6:7">
      <c r="F101" s="1793"/>
      <c r="G101" s="1793"/>
    </row>
    <row r="102" spans="6:7">
      <c r="F102" s="1793"/>
      <c r="G102" s="1793"/>
    </row>
    <row r="103" spans="6:7">
      <c r="F103" s="1793"/>
      <c r="G103" s="1793"/>
    </row>
    <row r="104" spans="6:7">
      <c r="F104" s="1793"/>
      <c r="G104" s="1793"/>
    </row>
    <row r="105" spans="6:7">
      <c r="F105" s="1793"/>
      <c r="G105" s="1793"/>
    </row>
    <row r="106" spans="6:7">
      <c r="F106" s="1793"/>
      <c r="G106" s="1793"/>
    </row>
    <row r="107" spans="6:7">
      <c r="F107" s="1793"/>
      <c r="G107" s="1793"/>
    </row>
    <row r="108" spans="6:7">
      <c r="F108" s="1793"/>
      <c r="G108" s="1793"/>
    </row>
    <row r="109" spans="6:7">
      <c r="F109" s="1793"/>
      <c r="G109" s="1793"/>
    </row>
    <row r="110" spans="6:7">
      <c r="F110" s="1793"/>
      <c r="G110" s="1793"/>
    </row>
    <row r="111" spans="6:7">
      <c r="F111" s="1793"/>
      <c r="G111" s="1793"/>
    </row>
    <row r="112" spans="6:7">
      <c r="F112" s="1793"/>
      <c r="G112" s="1793"/>
    </row>
    <row r="113" spans="6:7">
      <c r="F113" s="1793"/>
      <c r="G113" s="1793"/>
    </row>
    <row r="114" spans="6:7">
      <c r="F114" s="1793"/>
      <c r="G114" s="1793"/>
    </row>
    <row r="115" spans="6:7">
      <c r="F115" s="1793"/>
      <c r="G115" s="1793"/>
    </row>
    <row r="116" spans="6:7">
      <c r="F116" s="1793"/>
      <c r="G116" s="1793"/>
    </row>
    <row r="117" spans="6:7">
      <c r="F117" s="1793"/>
      <c r="G117" s="1793"/>
    </row>
    <row r="118" spans="6:7">
      <c r="F118" s="1793"/>
      <c r="G118" s="1793"/>
    </row>
    <row r="119" spans="6:7">
      <c r="F119" s="1793"/>
      <c r="G119" s="1793"/>
    </row>
    <row r="120" spans="6:7">
      <c r="F120" s="1793"/>
      <c r="G120" s="1793"/>
    </row>
    <row r="121" spans="6:7">
      <c r="F121" s="1793"/>
      <c r="G121" s="1793"/>
    </row>
    <row r="122" spans="6:7">
      <c r="F122" s="1793"/>
      <c r="G122" s="1793"/>
    </row>
    <row r="123" spans="6:7">
      <c r="F123" s="1793"/>
      <c r="G123" s="1793"/>
    </row>
    <row r="124" spans="6:7">
      <c r="F124" s="1793"/>
      <c r="G124" s="1793"/>
    </row>
    <row r="125" spans="6:7">
      <c r="F125" s="1174"/>
      <c r="G125" s="1174"/>
    </row>
    <row r="126" spans="6:7">
      <c r="F126" s="1793"/>
      <c r="G126" s="1793"/>
    </row>
    <row r="127" spans="6:7">
      <c r="F127" s="1793"/>
      <c r="G127" s="1793"/>
    </row>
    <row r="128" spans="6:7">
      <c r="F128" s="1793"/>
      <c r="G128" s="1793"/>
    </row>
    <row r="129" spans="6:7">
      <c r="F129" s="1793"/>
      <c r="G129" s="1793"/>
    </row>
    <row r="130" spans="6:7">
      <c r="F130" s="1793"/>
      <c r="G130" s="1793"/>
    </row>
    <row r="131" spans="6:7">
      <c r="F131" s="1793"/>
      <c r="G131" s="1793"/>
    </row>
    <row r="132" spans="6:7">
      <c r="F132" s="1793"/>
      <c r="G132" s="1793"/>
    </row>
    <row r="133" spans="6:7">
      <c r="F133" s="1793"/>
      <c r="G133" s="1793"/>
    </row>
    <row r="134" spans="6:7">
      <c r="F134" s="1793"/>
      <c r="G134" s="1793"/>
    </row>
    <row r="135" spans="6:7">
      <c r="F135" s="1793"/>
      <c r="G135" s="1793"/>
    </row>
    <row r="136" spans="6:7">
      <c r="F136" s="1793"/>
      <c r="G136" s="1793"/>
    </row>
    <row r="137" spans="6:7">
      <c r="F137" s="1793"/>
      <c r="G137" s="1793"/>
    </row>
    <row r="138" spans="6:7">
      <c r="F138" s="1793"/>
      <c r="G138" s="1793"/>
    </row>
    <row r="139" spans="6:7">
      <c r="F139" s="1793"/>
      <c r="G139" s="1793"/>
    </row>
    <row r="140" spans="6:7">
      <c r="F140" s="1793"/>
      <c r="G140" s="1793"/>
    </row>
    <row r="141" spans="6:7">
      <c r="F141" s="1793"/>
      <c r="G141" s="1793"/>
    </row>
    <row r="142" spans="6:7">
      <c r="F142" s="1793"/>
      <c r="G142" s="1793"/>
    </row>
    <row r="143" spans="6:7">
      <c r="F143" s="1793"/>
      <c r="G143" s="1793"/>
    </row>
    <row r="144" spans="6:7">
      <c r="F144" s="1793"/>
      <c r="G144" s="1793"/>
    </row>
    <row r="145" spans="6:7">
      <c r="F145" s="1793"/>
      <c r="G145" s="1793"/>
    </row>
    <row r="146" spans="6:7">
      <c r="F146" s="1793"/>
      <c r="G146" s="1793"/>
    </row>
    <row r="147" spans="6:7">
      <c r="F147" s="1793"/>
      <c r="G147" s="1793"/>
    </row>
    <row r="148" spans="6:7">
      <c r="F148" s="1793"/>
      <c r="G148" s="1793"/>
    </row>
    <row r="149" spans="6:7">
      <c r="F149" s="1793"/>
      <c r="G149" s="1793"/>
    </row>
    <row r="150" spans="6:7">
      <c r="F150" s="1793"/>
      <c r="G150" s="1793"/>
    </row>
    <row r="151" spans="6:7">
      <c r="F151" s="1793"/>
      <c r="G151" s="1793"/>
    </row>
    <row r="152" spans="6:7">
      <c r="F152" s="1793"/>
      <c r="G152" s="1793"/>
    </row>
    <row r="153" spans="6:7">
      <c r="F153" s="1793"/>
      <c r="G153" s="1793"/>
    </row>
    <row r="154" spans="6:7">
      <c r="F154" s="1793"/>
      <c r="G154" s="1793"/>
    </row>
    <row r="155" spans="6:7">
      <c r="F155" s="1793"/>
      <c r="G155" s="1793"/>
    </row>
    <row r="156" spans="6:7">
      <c r="F156" s="1793"/>
      <c r="G156" s="1793"/>
    </row>
    <row r="157" spans="6:7">
      <c r="F157" s="1793"/>
      <c r="G157" s="1793"/>
    </row>
    <row r="158" spans="6:7">
      <c r="F158" s="1793"/>
      <c r="G158" s="1793"/>
    </row>
    <row r="159" spans="6:7">
      <c r="F159" s="1793"/>
      <c r="G159" s="1793"/>
    </row>
    <row r="160" spans="6:7">
      <c r="F160" s="1793"/>
      <c r="G160" s="1793"/>
    </row>
    <row r="161" spans="6:7">
      <c r="F161" s="1793"/>
      <c r="G161" s="1793"/>
    </row>
    <row r="162" spans="6:7">
      <c r="F162" s="1174"/>
      <c r="G162" s="1174"/>
    </row>
    <row r="163" spans="6:7">
      <c r="F163" s="1793"/>
      <c r="G163" s="1793"/>
    </row>
    <row r="164" spans="6:7">
      <c r="F164" s="1793"/>
      <c r="G164" s="1793"/>
    </row>
    <row r="165" spans="6:7">
      <c r="F165" s="1793"/>
      <c r="G165" s="1793"/>
    </row>
    <row r="166" spans="6:7">
      <c r="F166" s="1793"/>
      <c r="G166" s="1793"/>
    </row>
    <row r="167" spans="6:7">
      <c r="F167" s="1793"/>
      <c r="G167" s="1793"/>
    </row>
    <row r="168" spans="6:7">
      <c r="F168" s="1793"/>
      <c r="G168" s="1793"/>
    </row>
    <row r="169" spans="6:7">
      <c r="F169" s="1793"/>
      <c r="G169" s="1793"/>
    </row>
    <row r="170" spans="6:7">
      <c r="F170" s="1793"/>
      <c r="G170" s="1793"/>
    </row>
    <row r="171" spans="6:7">
      <c r="F171" s="1793"/>
      <c r="G171" s="1793"/>
    </row>
    <row r="172" spans="6:7">
      <c r="F172" s="1793"/>
      <c r="G172" s="1793"/>
    </row>
    <row r="173" spans="6:7">
      <c r="F173" s="1793"/>
      <c r="G173" s="1793"/>
    </row>
    <row r="174" spans="6:7">
      <c r="F174" s="1793"/>
      <c r="G174" s="1793"/>
    </row>
    <row r="175" spans="6:7">
      <c r="F175" s="1793"/>
      <c r="G175" s="1793"/>
    </row>
    <row r="176" spans="6:7">
      <c r="F176" s="1793"/>
      <c r="G176" s="1793"/>
    </row>
    <row r="177" spans="6:7">
      <c r="F177" s="1793"/>
      <c r="G177" s="1793"/>
    </row>
    <row r="178" spans="6:7">
      <c r="F178" s="1793"/>
      <c r="G178" s="1793"/>
    </row>
    <row r="179" spans="6:7">
      <c r="F179" s="1793"/>
      <c r="G179" s="1793"/>
    </row>
    <row r="180" spans="6:7">
      <c r="F180" s="1793"/>
      <c r="G180" s="1793"/>
    </row>
    <row r="181" spans="6:7">
      <c r="F181" s="1793"/>
      <c r="G181" s="1793"/>
    </row>
    <row r="182" spans="6:7">
      <c r="F182" s="1793"/>
      <c r="G182" s="1793"/>
    </row>
    <row r="183" spans="6:7">
      <c r="F183" s="1793"/>
      <c r="G183" s="1793"/>
    </row>
    <row r="184" spans="6:7">
      <c r="F184" s="1793"/>
      <c r="G184" s="1793"/>
    </row>
    <row r="185" spans="6:7">
      <c r="F185" s="1793"/>
      <c r="G185" s="1793"/>
    </row>
    <row r="186" spans="6:7">
      <c r="F186" s="1793"/>
      <c r="G186" s="1793"/>
    </row>
    <row r="187" spans="6:7">
      <c r="F187" s="1793"/>
      <c r="G187" s="1793"/>
    </row>
    <row r="188" spans="6:7">
      <c r="F188" s="1793"/>
      <c r="G188" s="1793"/>
    </row>
    <row r="189" spans="6:7">
      <c r="F189" s="1793"/>
      <c r="G189" s="1793"/>
    </row>
    <row r="190" spans="6:7">
      <c r="F190" s="1793"/>
      <c r="G190" s="1793"/>
    </row>
    <row r="191" spans="6:7">
      <c r="F191" s="1793"/>
      <c r="G191" s="1793"/>
    </row>
    <row r="192" spans="6:7">
      <c r="F192" s="1793"/>
      <c r="G192" s="1793"/>
    </row>
    <row r="193" spans="6:7">
      <c r="F193" s="1793"/>
      <c r="G193" s="1793"/>
    </row>
    <row r="194" spans="6:7">
      <c r="F194" s="1793"/>
      <c r="G194" s="1793"/>
    </row>
    <row r="195" spans="6:7">
      <c r="F195" s="1793"/>
      <c r="G195" s="1793"/>
    </row>
    <row r="196" spans="6:7">
      <c r="F196" s="1793"/>
      <c r="G196" s="1793"/>
    </row>
    <row r="197" spans="6:7">
      <c r="F197" s="1793"/>
      <c r="G197" s="1793"/>
    </row>
    <row r="198" spans="6:7">
      <c r="F198" s="1793"/>
      <c r="G198" s="1793"/>
    </row>
    <row r="199" spans="6:7">
      <c r="F199" s="1174"/>
      <c r="G199" s="1174"/>
    </row>
    <row r="200" spans="6:7">
      <c r="F200" s="1793"/>
      <c r="G200" s="1793"/>
    </row>
    <row r="201" spans="6:7">
      <c r="F201" s="1793"/>
      <c r="G201" s="1793"/>
    </row>
    <row r="202" spans="6:7">
      <c r="F202" s="1793"/>
      <c r="G202" s="1793"/>
    </row>
    <row r="203" spans="6:7">
      <c r="F203" s="1793"/>
      <c r="G203" s="1793"/>
    </row>
    <row r="204" spans="6:7">
      <c r="F204" s="1793"/>
      <c r="G204" s="1793"/>
    </row>
    <row r="205" spans="6:7">
      <c r="F205" s="1793"/>
      <c r="G205" s="1793"/>
    </row>
    <row r="206" spans="6:7">
      <c r="F206" s="1793"/>
      <c r="G206" s="1793"/>
    </row>
    <row r="207" spans="6:7">
      <c r="F207" s="1793"/>
      <c r="G207" s="1793"/>
    </row>
    <row r="208" spans="6:7">
      <c r="F208" s="1793"/>
      <c r="G208" s="1793"/>
    </row>
    <row r="209" spans="6:7">
      <c r="F209" s="1793"/>
      <c r="G209" s="1793"/>
    </row>
    <row r="210" spans="6:7">
      <c r="F210" s="1793"/>
      <c r="G210" s="1793"/>
    </row>
    <row r="211" spans="6:7">
      <c r="F211" s="1793"/>
      <c r="G211" s="1793"/>
    </row>
    <row r="212" spans="6:7">
      <c r="F212" s="1793"/>
      <c r="G212" s="1793"/>
    </row>
    <row r="213" spans="6:7">
      <c r="F213" s="1793"/>
      <c r="G213" s="1793"/>
    </row>
    <row r="214" spans="6:7">
      <c r="F214" s="1793"/>
      <c r="G214" s="1793"/>
    </row>
    <row r="215" spans="6:7">
      <c r="F215" s="1793"/>
      <c r="G215" s="1793"/>
    </row>
    <row r="216" spans="6:7">
      <c r="F216" s="1793"/>
      <c r="G216" s="1793"/>
    </row>
    <row r="217" spans="6:7">
      <c r="F217" s="1793"/>
      <c r="G217" s="1793"/>
    </row>
    <row r="218" spans="6:7">
      <c r="F218" s="1793"/>
      <c r="G218" s="1793"/>
    </row>
  </sheetData>
  <mergeCells count="4">
    <mergeCell ref="C3:O3"/>
    <mergeCell ref="C4:O4"/>
    <mergeCell ref="M5:O5"/>
    <mergeCell ref="M80:O80"/>
  </mergeCells>
  <printOptions horizontalCentered="1"/>
  <pageMargins left="0.62992125984252001" right="0.62992125984252001" top="0.78740157480314998" bottom="0.98425196850393704" header="0.511811023622047" footer="0.511811023622047"/>
  <pageSetup paperSize="9" scale="50" orientation="portrait" r:id="rId1"/>
  <headerFooter alignWithMargins="0">
    <oddFooter>&amp;C&amp;"+,Regular"&amp;22-49-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97"/>
  <sheetViews>
    <sheetView zoomScale="75" zoomScaleNormal="75" workbookViewId="0">
      <selection activeCell="J2" sqref="J2"/>
    </sheetView>
  </sheetViews>
  <sheetFormatPr defaultColWidth="11.42578125" defaultRowHeight="20.25"/>
  <cols>
    <col min="1" max="1" width="11.7109375" style="1192" customWidth="1"/>
    <col min="2" max="9" width="21.28515625" style="1192" customWidth="1"/>
    <col min="10" max="10" width="18.7109375" style="1192" customWidth="1"/>
    <col min="11" max="11" width="18.7109375" style="1760" customWidth="1"/>
    <col min="12" max="12" width="18.7109375" style="1813" customWidth="1"/>
    <col min="13" max="17" width="18.7109375" customWidth="1"/>
    <col min="18" max="18" width="20.7109375" customWidth="1"/>
    <col min="19" max="19" width="11.7109375" style="1192" customWidth="1"/>
    <col min="20" max="16384" width="11.42578125" style="1192"/>
  </cols>
  <sheetData>
    <row r="1" spans="1:25" ht="15" customHeight="1">
      <c r="A1" s="4602"/>
      <c r="B1" s="4602"/>
      <c r="C1" s="4602"/>
      <c r="D1" s="4602"/>
      <c r="E1" s="4602"/>
      <c r="F1" s="4602"/>
      <c r="G1" s="4602"/>
      <c r="H1" s="4602"/>
      <c r="I1" s="4602"/>
      <c r="K1" s="1192"/>
      <c r="L1" s="1192"/>
      <c r="M1" s="1192"/>
      <c r="N1" s="1192"/>
      <c r="O1" s="1192"/>
      <c r="P1" s="1192"/>
      <c r="Q1" s="1192"/>
      <c r="R1" s="1192"/>
      <c r="S1" s="1760"/>
      <c r="T1"/>
      <c r="U1"/>
      <c r="V1"/>
      <c r="W1"/>
      <c r="X1"/>
      <c r="Y1"/>
    </row>
    <row r="2" spans="1:25" ht="15" customHeight="1">
      <c r="A2" s="4603"/>
      <c r="B2" s="4603"/>
      <c r="C2" s="4603"/>
      <c r="D2" s="4603"/>
      <c r="E2" s="4603"/>
      <c r="F2" s="4603"/>
      <c r="G2" s="4603"/>
      <c r="H2" s="4603"/>
      <c r="I2" s="4603"/>
      <c r="K2" s="1192"/>
      <c r="L2" s="1192"/>
      <c r="M2" s="1192"/>
      <c r="N2" s="1192"/>
      <c r="O2" s="1192"/>
      <c r="P2" s="1192"/>
      <c r="Q2" s="1192"/>
      <c r="R2" s="1192"/>
      <c r="S2" s="1760"/>
      <c r="T2"/>
      <c r="U2"/>
      <c r="V2"/>
      <c r="W2"/>
      <c r="X2"/>
      <c r="Y2"/>
    </row>
    <row r="3" spans="1:25" ht="30" customHeight="1">
      <c r="A3" s="4602" t="s">
        <v>0</v>
      </c>
      <c r="B3" s="4602"/>
      <c r="C3" s="4602"/>
      <c r="D3" s="4602"/>
      <c r="E3" s="4602"/>
      <c r="F3" s="4602"/>
      <c r="G3" s="4602"/>
      <c r="H3" s="4602"/>
      <c r="I3" s="4602"/>
      <c r="J3" s="4602" t="s">
        <v>1</v>
      </c>
      <c r="K3" s="4602"/>
      <c r="L3" s="4602"/>
      <c r="M3" s="4602"/>
      <c r="N3" s="4602"/>
      <c r="O3" s="4602"/>
      <c r="P3" s="4602"/>
      <c r="Q3" s="4602"/>
      <c r="R3" s="4602"/>
      <c r="S3" s="4602"/>
      <c r="T3"/>
      <c r="U3"/>
      <c r="V3"/>
      <c r="W3"/>
      <c r="X3"/>
      <c r="Y3"/>
    </row>
    <row r="4" spans="1:25" s="1761" customFormat="1" ht="30" customHeight="1">
      <c r="A4" s="4603" t="s">
        <v>2</v>
      </c>
      <c r="B4" s="4603"/>
      <c r="C4" s="4603"/>
      <c r="D4" s="4603"/>
      <c r="E4" s="4603"/>
      <c r="F4" s="4603"/>
      <c r="G4" s="4603"/>
      <c r="H4" s="4603"/>
      <c r="I4" s="4603"/>
      <c r="J4" s="4604" t="s">
        <v>3</v>
      </c>
      <c r="K4" s="4604"/>
      <c r="L4" s="4604"/>
      <c r="M4" s="4604"/>
      <c r="N4" s="4604"/>
      <c r="O4" s="4604"/>
      <c r="P4" s="4604"/>
      <c r="Q4" s="4604"/>
      <c r="R4" s="4604"/>
      <c r="S4" s="4604"/>
      <c r="T4"/>
      <c r="U4"/>
      <c r="V4"/>
      <c r="W4"/>
      <c r="X4"/>
      <c r="Y4"/>
    </row>
    <row r="5" spans="1:25" ht="15" customHeight="1">
      <c r="A5" s="1323"/>
      <c r="B5" s="1323"/>
      <c r="C5" s="1323"/>
      <c r="D5" s="1323"/>
      <c r="E5" s="1323"/>
      <c r="F5" s="1762"/>
      <c r="G5" s="1323"/>
      <c r="H5" s="1323"/>
      <c r="I5" s="1323"/>
      <c r="J5" s="1323"/>
      <c r="K5" s="1323"/>
      <c r="L5" s="1762"/>
      <c r="M5" s="1323"/>
      <c r="N5" s="1323"/>
      <c r="O5" s="1323"/>
      <c r="P5" s="1323"/>
      <c r="Q5" s="1323"/>
      <c r="R5" s="1323"/>
      <c r="S5" s="1763"/>
      <c r="T5"/>
      <c r="U5"/>
      <c r="V5"/>
      <c r="W5"/>
      <c r="X5"/>
      <c r="Y5"/>
    </row>
    <row r="6" spans="1:25" s="1770" customFormat="1" ht="24" customHeight="1">
      <c r="A6" s="4232"/>
      <c r="B6" s="1764" t="s">
        <v>4</v>
      </c>
      <c r="C6" s="1765"/>
      <c r="D6" s="4164"/>
      <c r="E6" s="4164"/>
      <c r="F6" s="1766"/>
      <c r="G6" s="1767"/>
      <c r="H6" s="1767"/>
      <c r="I6" s="1768"/>
      <c r="J6" s="4164"/>
      <c r="K6" s="4164"/>
      <c r="L6" s="1766"/>
      <c r="M6" s="1767"/>
      <c r="N6" s="1767"/>
      <c r="O6" s="4605" t="s">
        <v>5</v>
      </c>
      <c r="P6" s="4605"/>
      <c r="Q6" s="4605"/>
      <c r="R6" s="1769"/>
      <c r="S6" s="4606"/>
      <c r="T6"/>
      <c r="U6"/>
      <c r="V6"/>
      <c r="W6"/>
      <c r="X6"/>
      <c r="Y6"/>
    </row>
    <row r="7" spans="1:25" s="1770" customFormat="1" ht="21.2" customHeight="1">
      <c r="A7" s="4233"/>
      <c r="B7" s="4608" t="s">
        <v>6</v>
      </c>
      <c r="C7" s="4609"/>
      <c r="D7" s="4610"/>
      <c r="E7" s="4608" t="s">
        <v>7</v>
      </c>
      <c r="F7" s="4609"/>
      <c r="G7" s="4609"/>
      <c r="H7" s="4609"/>
      <c r="I7" s="4142"/>
      <c r="J7" s="4609" t="s">
        <v>7</v>
      </c>
      <c r="K7" s="4609"/>
      <c r="L7" s="4609"/>
      <c r="M7" s="4609"/>
      <c r="N7" s="4609"/>
      <c r="O7" s="4609"/>
      <c r="P7" s="4609"/>
      <c r="Q7" s="4609"/>
      <c r="R7" s="1771" t="s">
        <v>8</v>
      </c>
      <c r="S7" s="4607"/>
      <c r="T7"/>
      <c r="U7"/>
      <c r="V7"/>
      <c r="W7"/>
      <c r="X7"/>
      <c r="Y7"/>
    </row>
    <row r="8" spans="1:25" s="1760" customFormat="1" ht="21.2" customHeight="1">
      <c r="A8" s="4233"/>
      <c r="B8" s="4611" t="s">
        <v>9</v>
      </c>
      <c r="C8" s="4612"/>
      <c r="D8" s="4613"/>
      <c r="E8" s="4612" t="s">
        <v>10</v>
      </c>
      <c r="F8" s="4612"/>
      <c r="G8" s="4612"/>
      <c r="H8" s="4612"/>
      <c r="I8" s="4145"/>
      <c r="J8" s="4612" t="s">
        <v>10</v>
      </c>
      <c r="K8" s="4612"/>
      <c r="L8" s="4612"/>
      <c r="M8" s="4612"/>
      <c r="N8" s="4612"/>
      <c r="O8" s="4612"/>
      <c r="P8" s="4612"/>
      <c r="Q8" s="4612"/>
      <c r="R8" s="1773"/>
      <c r="S8" s="4607"/>
      <c r="T8"/>
      <c r="U8"/>
      <c r="V8"/>
      <c r="W8"/>
      <c r="X8"/>
      <c r="Y8"/>
    </row>
    <row r="9" spans="1:25" s="1760" customFormat="1" ht="21" customHeight="1">
      <c r="A9" s="4233"/>
      <c r="B9" s="4197"/>
      <c r="C9" s="4229" t="s">
        <v>11</v>
      </c>
      <c r="D9" s="4229"/>
      <c r="E9" s="4229" t="s">
        <v>12</v>
      </c>
      <c r="F9" s="4229"/>
      <c r="G9" s="4229"/>
      <c r="H9" s="4229" t="s">
        <v>13</v>
      </c>
      <c r="I9" s="4198"/>
      <c r="J9" s="4198" t="s">
        <v>13</v>
      </c>
      <c r="K9" s="4229" t="s">
        <v>13</v>
      </c>
      <c r="L9" s="4229"/>
      <c r="M9" s="4229"/>
      <c r="N9" s="1774"/>
      <c r="O9" s="4229"/>
      <c r="P9" s="4229"/>
      <c r="Q9" s="4198"/>
      <c r="R9" s="1242"/>
      <c r="S9" s="4607"/>
      <c r="T9"/>
      <c r="U9"/>
      <c r="V9"/>
      <c r="W9"/>
      <c r="X9"/>
      <c r="Y9"/>
    </row>
    <row r="10" spans="1:25" s="1760" customFormat="1" ht="21" customHeight="1">
      <c r="A10" s="4233"/>
      <c r="B10" s="4197" t="s">
        <v>12</v>
      </c>
      <c r="C10" s="4229" t="s">
        <v>14</v>
      </c>
      <c r="D10" s="4229" t="s">
        <v>11</v>
      </c>
      <c r="E10" s="4229" t="s">
        <v>15</v>
      </c>
      <c r="F10" s="4229"/>
      <c r="G10" s="4229"/>
      <c r="H10" s="4229" t="s">
        <v>16</v>
      </c>
      <c r="I10" s="4198" t="s">
        <v>13</v>
      </c>
      <c r="J10" s="4198" t="s">
        <v>17</v>
      </c>
      <c r="K10" s="4229" t="s">
        <v>18</v>
      </c>
      <c r="L10" s="4229" t="s">
        <v>19</v>
      </c>
      <c r="M10" s="4229" t="s">
        <v>19</v>
      </c>
      <c r="N10" s="1774" t="s">
        <v>13</v>
      </c>
      <c r="O10" s="4229" t="s">
        <v>11</v>
      </c>
      <c r="P10" s="4229"/>
      <c r="Q10" s="4198"/>
      <c r="R10" s="1242"/>
      <c r="S10" s="4607"/>
      <c r="T10"/>
      <c r="U10"/>
      <c r="V10"/>
      <c r="W10"/>
      <c r="X10"/>
      <c r="Y10"/>
    </row>
    <row r="11" spans="1:25" s="1760" customFormat="1" ht="21" customHeight="1">
      <c r="A11" s="4233"/>
      <c r="B11" s="4197" t="s">
        <v>2896</v>
      </c>
      <c r="C11" s="4229" t="s">
        <v>20</v>
      </c>
      <c r="D11" s="4229" t="s">
        <v>21</v>
      </c>
      <c r="E11" s="4229" t="s">
        <v>22</v>
      </c>
      <c r="F11" s="4229" t="s">
        <v>12</v>
      </c>
      <c r="G11" s="4229" t="s">
        <v>11</v>
      </c>
      <c r="H11" s="4229" t="s">
        <v>14</v>
      </c>
      <c r="I11" s="4198" t="s">
        <v>23</v>
      </c>
      <c r="J11" s="4215" t="s">
        <v>24</v>
      </c>
      <c r="K11" s="4229" t="s">
        <v>25</v>
      </c>
      <c r="L11" s="4229" t="s">
        <v>26</v>
      </c>
      <c r="M11" s="4229" t="s">
        <v>27</v>
      </c>
      <c r="N11" s="4229" t="s">
        <v>28</v>
      </c>
      <c r="O11" s="4229" t="s">
        <v>29</v>
      </c>
      <c r="P11" s="4229" t="s">
        <v>13</v>
      </c>
      <c r="Q11" s="4198" t="s">
        <v>19</v>
      </c>
      <c r="R11" s="1242" t="s">
        <v>30</v>
      </c>
      <c r="S11" s="4607"/>
      <c r="T11"/>
      <c r="U11"/>
      <c r="V11"/>
      <c r="W11"/>
      <c r="X11"/>
      <c r="Y11"/>
    </row>
    <row r="12" spans="1:25" s="1760" customFormat="1" ht="21" customHeight="1">
      <c r="A12" s="4233"/>
      <c r="B12" s="4197" t="s">
        <v>31</v>
      </c>
      <c r="C12" s="4229" t="s">
        <v>32</v>
      </c>
      <c r="D12" s="4229" t="s">
        <v>27</v>
      </c>
      <c r="E12" s="4229" t="s">
        <v>33</v>
      </c>
      <c r="F12" s="4229" t="s">
        <v>34</v>
      </c>
      <c r="G12" s="4229" t="s">
        <v>35</v>
      </c>
      <c r="H12" s="4229" t="s">
        <v>27</v>
      </c>
      <c r="I12" s="4198" t="s">
        <v>36</v>
      </c>
      <c r="J12" s="1775" t="s">
        <v>37</v>
      </c>
      <c r="K12" s="4229" t="s">
        <v>38</v>
      </c>
      <c r="L12" s="1774" t="s">
        <v>27</v>
      </c>
      <c r="M12" s="4229" t="s">
        <v>39</v>
      </c>
      <c r="N12" s="4229" t="s">
        <v>40</v>
      </c>
      <c r="O12" s="4229" t="s">
        <v>41</v>
      </c>
      <c r="P12" s="4229" t="s">
        <v>42</v>
      </c>
      <c r="Q12" s="4198" t="s">
        <v>14</v>
      </c>
      <c r="R12" s="1242" t="s">
        <v>43</v>
      </c>
      <c r="S12" s="4607"/>
      <c r="T12"/>
      <c r="U12"/>
      <c r="V12"/>
      <c r="W12"/>
      <c r="X12"/>
      <c r="Y12"/>
    </row>
    <row r="13" spans="1:25" s="1780" customFormat="1" ht="21" customHeight="1">
      <c r="A13" s="4233"/>
      <c r="B13" s="4246"/>
      <c r="C13" s="1776" t="s">
        <v>44</v>
      </c>
      <c r="D13" s="4264"/>
      <c r="E13" s="1776" t="s">
        <v>45</v>
      </c>
      <c r="F13" s="1776"/>
      <c r="G13" s="1776"/>
      <c r="H13" s="4264" t="s">
        <v>46</v>
      </c>
      <c r="I13" s="1777"/>
      <c r="J13" s="1777" t="s">
        <v>46</v>
      </c>
      <c r="K13" s="1776" t="s">
        <v>47</v>
      </c>
      <c r="L13" s="1778"/>
      <c r="M13" s="1776"/>
      <c r="N13" s="4264"/>
      <c r="O13" s="4264"/>
      <c r="P13" s="4264"/>
      <c r="Q13" s="1777"/>
      <c r="R13" s="1779"/>
      <c r="S13" s="4607"/>
      <c r="T13"/>
      <c r="U13"/>
      <c r="V13"/>
      <c r="W13"/>
      <c r="X13"/>
      <c r="Y13"/>
    </row>
    <row r="14" spans="1:25" s="1780" customFormat="1" ht="21" customHeight="1">
      <c r="A14" s="4233"/>
      <c r="B14" s="4246" t="s">
        <v>2897</v>
      </c>
      <c r="C14" s="1776" t="s">
        <v>48</v>
      </c>
      <c r="D14" s="4264" t="s">
        <v>49</v>
      </c>
      <c r="E14" s="1776" t="s">
        <v>50</v>
      </c>
      <c r="F14" s="1776"/>
      <c r="G14" s="4264"/>
      <c r="H14" s="4264" t="s">
        <v>51</v>
      </c>
      <c r="I14" s="1777"/>
      <c r="J14" s="1777" t="s">
        <v>52</v>
      </c>
      <c r="K14" s="1776" t="s">
        <v>53</v>
      </c>
      <c r="L14" s="1778" t="s">
        <v>49</v>
      </c>
      <c r="M14" s="1776" t="s">
        <v>49</v>
      </c>
      <c r="N14" s="4264" t="s">
        <v>54</v>
      </c>
      <c r="O14" s="4264" t="s">
        <v>51</v>
      </c>
      <c r="P14" s="4264"/>
      <c r="Q14" s="1777"/>
      <c r="R14" s="1779"/>
      <c r="S14" s="4607"/>
      <c r="T14"/>
      <c r="U14"/>
      <c r="V14"/>
      <c r="W14"/>
      <c r="X14"/>
      <c r="Y14"/>
    </row>
    <row r="15" spans="1:25" s="1781" customFormat="1" ht="21" customHeight="1">
      <c r="A15" s="4233"/>
      <c r="B15" s="4246" t="s">
        <v>44</v>
      </c>
      <c r="C15" s="1776" t="s">
        <v>46</v>
      </c>
      <c r="D15" s="4264" t="s">
        <v>44</v>
      </c>
      <c r="E15" s="1776" t="s">
        <v>55</v>
      </c>
      <c r="F15" s="1776" t="s">
        <v>56</v>
      </c>
      <c r="G15" s="1776" t="s">
        <v>57</v>
      </c>
      <c r="H15" s="4264" t="s">
        <v>57</v>
      </c>
      <c r="I15" s="1777" t="s">
        <v>58</v>
      </c>
      <c r="J15" s="1775" t="s">
        <v>59</v>
      </c>
      <c r="K15" s="1776" t="s">
        <v>60</v>
      </c>
      <c r="L15" s="1778" t="s">
        <v>61</v>
      </c>
      <c r="M15" s="4264" t="s">
        <v>62</v>
      </c>
      <c r="N15" s="4264" t="s">
        <v>63</v>
      </c>
      <c r="O15" s="4264" t="s">
        <v>64</v>
      </c>
      <c r="P15" s="4264" t="s">
        <v>65</v>
      </c>
      <c r="Q15" s="1777" t="s">
        <v>46</v>
      </c>
      <c r="R15" s="1779" t="s">
        <v>66</v>
      </c>
      <c r="S15" s="4607"/>
      <c r="T15"/>
      <c r="U15"/>
      <c r="V15"/>
      <c r="W15"/>
      <c r="X15"/>
      <c r="Y15"/>
    </row>
    <row r="16" spans="1:25" s="1781" customFormat="1" ht="21" customHeight="1">
      <c r="A16" s="4233"/>
      <c r="B16" s="4246" t="s">
        <v>67</v>
      </c>
      <c r="C16" s="4264" t="s">
        <v>68</v>
      </c>
      <c r="D16" s="1776" t="s">
        <v>65</v>
      </c>
      <c r="E16" s="4264" t="s">
        <v>69</v>
      </c>
      <c r="F16" s="1776" t="s">
        <v>65</v>
      </c>
      <c r="G16" s="4264" t="s">
        <v>65</v>
      </c>
      <c r="H16" s="4264" t="s">
        <v>65</v>
      </c>
      <c r="I16" s="1777" t="s">
        <v>70</v>
      </c>
      <c r="J16" s="1777" t="s">
        <v>71</v>
      </c>
      <c r="K16" s="4264" t="s">
        <v>72</v>
      </c>
      <c r="L16" s="1776" t="s">
        <v>65</v>
      </c>
      <c r="M16" s="4264" t="s">
        <v>65</v>
      </c>
      <c r="N16" s="4264" t="s">
        <v>65</v>
      </c>
      <c r="O16" s="4264" t="s">
        <v>73</v>
      </c>
      <c r="P16" s="1776" t="s">
        <v>74</v>
      </c>
      <c r="Q16" s="1777" t="s">
        <v>65</v>
      </c>
      <c r="R16" s="1779" t="s">
        <v>75</v>
      </c>
      <c r="S16" s="4607"/>
      <c r="T16"/>
      <c r="U16"/>
      <c r="V16"/>
      <c r="W16"/>
      <c r="X16"/>
      <c r="Y16"/>
    </row>
    <row r="17" spans="1:27" s="1781" customFormat="1" ht="21" customHeight="1">
      <c r="A17" s="1782"/>
      <c r="B17" s="1783">
        <v>2010</v>
      </c>
      <c r="C17" s="1784">
        <v>1997</v>
      </c>
      <c r="D17" s="1784">
        <v>1979</v>
      </c>
      <c r="E17" s="1784">
        <v>1993</v>
      </c>
      <c r="F17" s="1785">
        <v>1991</v>
      </c>
      <c r="G17" s="1785">
        <v>1989</v>
      </c>
      <c r="H17" s="1785">
        <v>1978</v>
      </c>
      <c r="I17" s="1786">
        <v>1996</v>
      </c>
      <c r="J17" s="1787">
        <v>1989</v>
      </c>
      <c r="K17" s="1784">
        <v>1974</v>
      </c>
      <c r="L17" s="1785">
        <v>1978</v>
      </c>
      <c r="M17" s="1785">
        <v>1977</v>
      </c>
      <c r="N17" s="1785">
        <v>1960</v>
      </c>
      <c r="O17" s="1785">
        <v>1956</v>
      </c>
      <c r="P17" s="1785">
        <v>1960</v>
      </c>
      <c r="Q17" s="1784">
        <v>1930</v>
      </c>
      <c r="R17" s="1788" t="s">
        <v>76</v>
      </c>
      <c r="S17" s="1789"/>
      <c r="T17"/>
      <c r="U17"/>
      <c r="V17"/>
      <c r="W17"/>
      <c r="X17"/>
      <c r="Y17"/>
    </row>
    <row r="18" spans="1:27" s="1790" customFormat="1" ht="21" customHeight="1">
      <c r="A18" s="1556">
        <v>1964</v>
      </c>
      <c r="B18" s="1557" t="s">
        <v>77</v>
      </c>
      <c r="C18" s="1558" t="s">
        <v>77</v>
      </c>
      <c r="D18" s="1558" t="s">
        <v>77</v>
      </c>
      <c r="E18" s="1558" t="s">
        <v>77</v>
      </c>
      <c r="F18" s="1558" t="s">
        <v>77</v>
      </c>
      <c r="G18" s="1558" t="s">
        <v>77</v>
      </c>
      <c r="H18" s="1558" t="s">
        <v>77</v>
      </c>
      <c r="I18" s="1558" t="s">
        <v>77</v>
      </c>
      <c r="J18" s="4173" t="s">
        <v>77</v>
      </c>
      <c r="K18" s="4173" t="s">
        <v>77</v>
      </c>
      <c r="L18" s="4173" t="s">
        <v>77</v>
      </c>
      <c r="M18" s="4173" t="s">
        <v>77</v>
      </c>
      <c r="N18" s="4173">
        <v>3</v>
      </c>
      <c r="O18" s="4173">
        <v>4</v>
      </c>
      <c r="P18" s="4173">
        <v>3</v>
      </c>
      <c r="Q18" s="4173">
        <v>3</v>
      </c>
      <c r="R18" s="1559">
        <v>13</v>
      </c>
      <c r="S18" s="1560">
        <v>1964</v>
      </c>
      <c r="T18"/>
      <c r="U18"/>
      <c r="V18"/>
      <c r="W18"/>
      <c r="X18"/>
      <c r="Y18"/>
      <c r="Z18"/>
      <c r="AA18"/>
    </row>
    <row r="19" spans="1:27" ht="21" customHeight="1">
      <c r="A19" s="1561">
        <v>1965</v>
      </c>
      <c r="B19" s="1562" t="s">
        <v>77</v>
      </c>
      <c r="C19" s="1791" t="s">
        <v>77</v>
      </c>
      <c r="D19" s="1791" t="s">
        <v>77</v>
      </c>
      <c r="E19" s="1563" t="s">
        <v>77</v>
      </c>
      <c r="F19" s="1563" t="s">
        <v>77</v>
      </c>
      <c r="G19" s="1563" t="s">
        <v>77</v>
      </c>
      <c r="H19" s="1563" t="s">
        <v>77</v>
      </c>
      <c r="I19" s="1563" t="s">
        <v>77</v>
      </c>
      <c r="J19" s="4163" t="s">
        <v>77</v>
      </c>
      <c r="K19" s="4163" t="s">
        <v>77</v>
      </c>
      <c r="L19" s="4163" t="s">
        <v>77</v>
      </c>
      <c r="M19" s="4163" t="s">
        <v>77</v>
      </c>
      <c r="N19" s="4163">
        <v>3</v>
      </c>
      <c r="O19" s="4163">
        <v>4</v>
      </c>
      <c r="P19" s="4163">
        <v>6</v>
      </c>
      <c r="Q19" s="4163">
        <v>3</v>
      </c>
      <c r="R19" s="1564">
        <v>16</v>
      </c>
      <c r="S19" s="1565">
        <v>1965</v>
      </c>
      <c r="T19"/>
      <c r="U19"/>
      <c r="V19"/>
      <c r="W19"/>
      <c r="X19"/>
      <c r="Y19"/>
      <c r="Z19"/>
      <c r="AA19"/>
    </row>
    <row r="20" spans="1:27" ht="21" customHeight="1">
      <c r="A20" s="1556">
        <v>1966</v>
      </c>
      <c r="B20" s="1557" t="s">
        <v>77</v>
      </c>
      <c r="C20" s="1558" t="s">
        <v>77</v>
      </c>
      <c r="D20" s="1558" t="s">
        <v>77</v>
      </c>
      <c r="E20" s="1558" t="s">
        <v>77</v>
      </c>
      <c r="F20" s="1558" t="s">
        <v>77</v>
      </c>
      <c r="G20" s="1558" t="s">
        <v>77</v>
      </c>
      <c r="H20" s="1558" t="s">
        <v>77</v>
      </c>
      <c r="I20" s="1558" t="s">
        <v>77</v>
      </c>
      <c r="J20" s="4173" t="s">
        <v>77</v>
      </c>
      <c r="K20" s="4173" t="s">
        <v>77</v>
      </c>
      <c r="L20" s="4173" t="s">
        <v>77</v>
      </c>
      <c r="M20" s="4173" t="s">
        <v>77</v>
      </c>
      <c r="N20" s="4173">
        <v>3</v>
      </c>
      <c r="O20" s="4173">
        <v>5</v>
      </c>
      <c r="P20" s="4173">
        <v>9</v>
      </c>
      <c r="Q20" s="4173">
        <v>4</v>
      </c>
      <c r="R20" s="1559">
        <v>21</v>
      </c>
      <c r="S20" s="1560">
        <v>1966</v>
      </c>
      <c r="T20"/>
      <c r="U20"/>
      <c r="V20"/>
      <c r="W20"/>
      <c r="X20"/>
      <c r="Y20"/>
      <c r="Z20"/>
      <c r="AA20"/>
    </row>
    <row r="21" spans="1:27" ht="21" customHeight="1">
      <c r="A21" s="1561">
        <v>1967</v>
      </c>
      <c r="B21" s="1562" t="s">
        <v>77</v>
      </c>
      <c r="C21" s="1791" t="s">
        <v>77</v>
      </c>
      <c r="D21" s="1791" t="s">
        <v>77</v>
      </c>
      <c r="E21" s="1563" t="s">
        <v>77</v>
      </c>
      <c r="F21" s="1563" t="s">
        <v>77</v>
      </c>
      <c r="G21" s="1563" t="s">
        <v>77</v>
      </c>
      <c r="H21" s="1563" t="s">
        <v>77</v>
      </c>
      <c r="I21" s="1563" t="s">
        <v>77</v>
      </c>
      <c r="J21" s="4163" t="s">
        <v>77</v>
      </c>
      <c r="K21" s="4163" t="s">
        <v>77</v>
      </c>
      <c r="L21" s="4163" t="s">
        <v>77</v>
      </c>
      <c r="M21" s="4163" t="s">
        <v>77</v>
      </c>
      <c r="N21" s="4163">
        <v>3</v>
      </c>
      <c r="O21" s="4163">
        <v>5</v>
      </c>
      <c r="P21" s="4163">
        <v>10</v>
      </c>
      <c r="Q21" s="4163">
        <v>4</v>
      </c>
      <c r="R21" s="1564">
        <v>22</v>
      </c>
      <c r="S21" s="1565">
        <v>1967</v>
      </c>
      <c r="T21"/>
      <c r="U21"/>
      <c r="V21"/>
      <c r="W21"/>
      <c r="X21"/>
      <c r="Y21"/>
      <c r="Z21"/>
      <c r="AA21"/>
    </row>
    <row r="22" spans="1:27" ht="21" customHeight="1">
      <c r="A22" s="1556">
        <v>1968</v>
      </c>
      <c r="B22" s="1557" t="s">
        <v>77</v>
      </c>
      <c r="C22" s="1558" t="s">
        <v>77</v>
      </c>
      <c r="D22" s="1558" t="s">
        <v>77</v>
      </c>
      <c r="E22" s="1558" t="s">
        <v>77</v>
      </c>
      <c r="F22" s="1558" t="s">
        <v>77</v>
      </c>
      <c r="G22" s="1558" t="s">
        <v>77</v>
      </c>
      <c r="H22" s="1558" t="s">
        <v>77</v>
      </c>
      <c r="I22" s="1558" t="s">
        <v>77</v>
      </c>
      <c r="J22" s="4173" t="s">
        <v>77</v>
      </c>
      <c r="K22" s="4173" t="s">
        <v>77</v>
      </c>
      <c r="L22" s="4173" t="s">
        <v>77</v>
      </c>
      <c r="M22" s="4173" t="s">
        <v>77</v>
      </c>
      <c r="N22" s="4173">
        <v>3</v>
      </c>
      <c r="O22" s="4173">
        <v>5</v>
      </c>
      <c r="P22" s="4173">
        <v>10</v>
      </c>
      <c r="Q22" s="4173">
        <v>5</v>
      </c>
      <c r="R22" s="1559">
        <v>23</v>
      </c>
      <c r="S22" s="1560">
        <v>1968</v>
      </c>
      <c r="T22"/>
      <c r="U22"/>
      <c r="V22"/>
      <c r="W22"/>
      <c r="X22"/>
      <c r="Y22"/>
      <c r="Z22"/>
      <c r="AA22"/>
    </row>
    <row r="23" spans="1:27" ht="21" customHeight="1">
      <c r="A23" s="1561">
        <v>1969</v>
      </c>
      <c r="B23" s="1562" t="s">
        <v>77</v>
      </c>
      <c r="C23" s="1791" t="s">
        <v>77</v>
      </c>
      <c r="D23" s="1791" t="s">
        <v>77</v>
      </c>
      <c r="E23" s="1563" t="s">
        <v>77</v>
      </c>
      <c r="F23" s="1563" t="s">
        <v>77</v>
      </c>
      <c r="G23" s="1563" t="s">
        <v>77</v>
      </c>
      <c r="H23" s="1563" t="s">
        <v>77</v>
      </c>
      <c r="I23" s="1563" t="s">
        <v>77</v>
      </c>
      <c r="J23" s="4163" t="s">
        <v>77</v>
      </c>
      <c r="K23" s="4163" t="s">
        <v>77</v>
      </c>
      <c r="L23" s="4163" t="s">
        <v>77</v>
      </c>
      <c r="M23" s="4163" t="s">
        <v>77</v>
      </c>
      <c r="N23" s="4163">
        <v>3</v>
      </c>
      <c r="O23" s="4163">
        <v>5</v>
      </c>
      <c r="P23" s="4163">
        <v>10</v>
      </c>
      <c r="Q23" s="4163">
        <v>5</v>
      </c>
      <c r="R23" s="1564">
        <v>23</v>
      </c>
      <c r="S23" s="1565">
        <v>1969</v>
      </c>
      <c r="T23"/>
      <c r="U23"/>
      <c r="V23"/>
      <c r="W23"/>
      <c r="X23"/>
      <c r="Y23"/>
      <c r="Z23"/>
      <c r="AA23"/>
    </row>
    <row r="24" spans="1:27" ht="21" customHeight="1">
      <c r="A24" s="1556">
        <v>1970</v>
      </c>
      <c r="B24" s="1557" t="s">
        <v>77</v>
      </c>
      <c r="C24" s="1558" t="s">
        <v>77</v>
      </c>
      <c r="D24" s="1558" t="s">
        <v>77</v>
      </c>
      <c r="E24" s="1558" t="s">
        <v>77</v>
      </c>
      <c r="F24" s="1558" t="s">
        <v>77</v>
      </c>
      <c r="G24" s="1558" t="s">
        <v>77</v>
      </c>
      <c r="H24" s="1558" t="s">
        <v>77</v>
      </c>
      <c r="I24" s="1558" t="s">
        <v>77</v>
      </c>
      <c r="J24" s="4173" t="s">
        <v>77</v>
      </c>
      <c r="K24" s="4173" t="s">
        <v>77</v>
      </c>
      <c r="L24" s="4173" t="s">
        <v>77</v>
      </c>
      <c r="M24" s="4173" t="s">
        <v>77</v>
      </c>
      <c r="N24" s="4173">
        <v>3</v>
      </c>
      <c r="O24" s="4173">
        <v>5</v>
      </c>
      <c r="P24" s="4173">
        <v>11</v>
      </c>
      <c r="Q24" s="4173">
        <v>6</v>
      </c>
      <c r="R24" s="1559">
        <v>25</v>
      </c>
      <c r="S24" s="1560">
        <v>1970</v>
      </c>
      <c r="T24"/>
      <c r="U24"/>
      <c r="V24"/>
      <c r="W24"/>
      <c r="X24"/>
      <c r="Y24"/>
      <c r="Z24"/>
      <c r="AA24"/>
    </row>
    <row r="25" spans="1:27" ht="21" customHeight="1">
      <c r="A25" s="1561">
        <v>1971</v>
      </c>
      <c r="B25" s="1562" t="s">
        <v>77</v>
      </c>
      <c r="C25" s="1791" t="s">
        <v>77</v>
      </c>
      <c r="D25" s="1791" t="s">
        <v>77</v>
      </c>
      <c r="E25" s="1563" t="s">
        <v>77</v>
      </c>
      <c r="F25" s="1563" t="s">
        <v>77</v>
      </c>
      <c r="G25" s="1563" t="s">
        <v>77</v>
      </c>
      <c r="H25" s="1563" t="s">
        <v>77</v>
      </c>
      <c r="I25" s="1563" t="s">
        <v>77</v>
      </c>
      <c r="J25" s="4163" t="s">
        <v>77</v>
      </c>
      <c r="K25" s="4163" t="s">
        <v>77</v>
      </c>
      <c r="L25" s="4163" t="s">
        <v>77</v>
      </c>
      <c r="M25" s="4163" t="s">
        <v>77</v>
      </c>
      <c r="N25" s="4163">
        <v>3</v>
      </c>
      <c r="O25" s="4163">
        <v>5</v>
      </c>
      <c r="P25" s="4163">
        <v>11</v>
      </c>
      <c r="Q25" s="4163">
        <v>6</v>
      </c>
      <c r="R25" s="1564">
        <v>25</v>
      </c>
      <c r="S25" s="1565">
        <v>1971</v>
      </c>
      <c r="T25"/>
      <c r="U25"/>
      <c r="V25"/>
      <c r="W25"/>
      <c r="X25"/>
      <c r="Y25"/>
      <c r="Z25"/>
      <c r="AA25"/>
    </row>
    <row r="26" spans="1:27" ht="21" customHeight="1">
      <c r="A26" s="1556">
        <v>1972</v>
      </c>
      <c r="B26" s="1557" t="s">
        <v>77</v>
      </c>
      <c r="C26" s="1558" t="s">
        <v>77</v>
      </c>
      <c r="D26" s="1558" t="s">
        <v>77</v>
      </c>
      <c r="E26" s="1558" t="s">
        <v>77</v>
      </c>
      <c r="F26" s="1558" t="s">
        <v>77</v>
      </c>
      <c r="G26" s="1558" t="s">
        <v>77</v>
      </c>
      <c r="H26" s="1558" t="s">
        <v>77</v>
      </c>
      <c r="I26" s="1558" t="s">
        <v>77</v>
      </c>
      <c r="J26" s="4173" t="s">
        <v>77</v>
      </c>
      <c r="K26" s="4173" t="s">
        <v>77</v>
      </c>
      <c r="L26" s="4173" t="s">
        <v>77</v>
      </c>
      <c r="M26" s="4173" t="s">
        <v>77</v>
      </c>
      <c r="N26" s="4173">
        <v>3</v>
      </c>
      <c r="O26" s="4173">
        <v>7</v>
      </c>
      <c r="P26" s="4173">
        <v>12</v>
      </c>
      <c r="Q26" s="4173">
        <v>6</v>
      </c>
      <c r="R26" s="1559">
        <v>28</v>
      </c>
      <c r="S26" s="1560">
        <v>1972</v>
      </c>
      <c r="T26"/>
      <c r="U26"/>
      <c r="V26"/>
      <c r="W26"/>
      <c r="X26"/>
      <c r="Y26"/>
      <c r="Z26"/>
      <c r="AA26"/>
    </row>
    <row r="27" spans="1:27" ht="21" customHeight="1">
      <c r="A27" s="1561">
        <v>1973</v>
      </c>
      <c r="B27" s="1562" t="s">
        <v>77</v>
      </c>
      <c r="C27" s="1791" t="s">
        <v>77</v>
      </c>
      <c r="D27" s="1791" t="s">
        <v>77</v>
      </c>
      <c r="E27" s="1563" t="s">
        <v>77</v>
      </c>
      <c r="F27" s="1563" t="s">
        <v>77</v>
      </c>
      <c r="G27" s="1563" t="s">
        <v>77</v>
      </c>
      <c r="H27" s="1563" t="s">
        <v>77</v>
      </c>
      <c r="I27" s="1563" t="s">
        <v>77</v>
      </c>
      <c r="J27" s="4163" t="s">
        <v>77</v>
      </c>
      <c r="K27" s="4163" t="s">
        <v>77</v>
      </c>
      <c r="L27" s="4163" t="s">
        <v>77</v>
      </c>
      <c r="M27" s="4163" t="s">
        <v>77</v>
      </c>
      <c r="N27" s="4163">
        <v>3</v>
      </c>
      <c r="O27" s="4163">
        <v>10</v>
      </c>
      <c r="P27" s="4163">
        <v>13</v>
      </c>
      <c r="Q27" s="4163">
        <v>7</v>
      </c>
      <c r="R27" s="1564">
        <v>33</v>
      </c>
      <c r="S27" s="1565">
        <v>1973</v>
      </c>
      <c r="T27"/>
      <c r="U27"/>
      <c r="V27"/>
      <c r="W27"/>
      <c r="X27"/>
      <c r="Y27"/>
      <c r="Z27"/>
      <c r="AA27"/>
    </row>
    <row r="28" spans="1:27" ht="21" customHeight="1">
      <c r="A28" s="1556">
        <v>1974</v>
      </c>
      <c r="B28" s="1557" t="s">
        <v>77</v>
      </c>
      <c r="C28" s="1558" t="s">
        <v>77</v>
      </c>
      <c r="D28" s="1558" t="s">
        <v>77</v>
      </c>
      <c r="E28" s="1558" t="s">
        <v>77</v>
      </c>
      <c r="F28" s="1558" t="s">
        <v>77</v>
      </c>
      <c r="G28" s="1558" t="s">
        <v>77</v>
      </c>
      <c r="H28" s="1558" t="s">
        <v>77</v>
      </c>
      <c r="I28" s="1558" t="s">
        <v>77</v>
      </c>
      <c r="J28" s="4173" t="s">
        <v>77</v>
      </c>
      <c r="K28" s="4173">
        <v>4</v>
      </c>
      <c r="L28" s="4173" t="s">
        <v>77</v>
      </c>
      <c r="M28" s="4173" t="s">
        <v>77</v>
      </c>
      <c r="N28" s="4173">
        <v>9</v>
      </c>
      <c r="O28" s="4173">
        <v>11</v>
      </c>
      <c r="P28" s="4173">
        <v>14</v>
      </c>
      <c r="Q28" s="4173">
        <v>9</v>
      </c>
      <c r="R28" s="1559">
        <v>47</v>
      </c>
      <c r="S28" s="1560">
        <v>1974</v>
      </c>
      <c r="T28"/>
      <c r="U28"/>
      <c r="V28"/>
      <c r="W28"/>
      <c r="X28"/>
      <c r="Y28"/>
      <c r="Z28"/>
      <c r="AA28"/>
    </row>
    <row r="29" spans="1:27" ht="21" customHeight="1">
      <c r="A29" s="1561">
        <v>1975</v>
      </c>
      <c r="B29" s="1562" t="s">
        <v>77</v>
      </c>
      <c r="C29" s="1791" t="s">
        <v>77</v>
      </c>
      <c r="D29" s="1791" t="s">
        <v>77</v>
      </c>
      <c r="E29" s="1563" t="s">
        <v>77</v>
      </c>
      <c r="F29" s="1563" t="s">
        <v>77</v>
      </c>
      <c r="G29" s="1563" t="s">
        <v>77</v>
      </c>
      <c r="H29" s="1563" t="s">
        <v>77</v>
      </c>
      <c r="I29" s="1563" t="s">
        <v>77</v>
      </c>
      <c r="J29" s="4163" t="s">
        <v>77</v>
      </c>
      <c r="K29" s="4163">
        <v>8</v>
      </c>
      <c r="L29" s="4163" t="s">
        <v>77</v>
      </c>
      <c r="M29" s="4163" t="s">
        <v>77</v>
      </c>
      <c r="N29" s="4163">
        <v>9</v>
      </c>
      <c r="O29" s="4163">
        <v>11</v>
      </c>
      <c r="P29" s="4163">
        <v>16</v>
      </c>
      <c r="Q29" s="4163">
        <v>9</v>
      </c>
      <c r="R29" s="1564">
        <v>53</v>
      </c>
      <c r="S29" s="1565">
        <v>1975</v>
      </c>
      <c r="T29"/>
      <c r="U29"/>
      <c r="V29"/>
      <c r="W29"/>
      <c r="X29"/>
      <c r="Y29"/>
      <c r="Z29"/>
      <c r="AA29"/>
    </row>
    <row r="30" spans="1:27" ht="21" customHeight="1">
      <c r="A30" s="1556">
        <v>1976</v>
      </c>
      <c r="B30" s="1557" t="s">
        <v>77</v>
      </c>
      <c r="C30" s="1558" t="s">
        <v>77</v>
      </c>
      <c r="D30" s="1558" t="s">
        <v>77</v>
      </c>
      <c r="E30" s="1558" t="s">
        <v>77</v>
      </c>
      <c r="F30" s="1558" t="s">
        <v>77</v>
      </c>
      <c r="G30" s="1558" t="s">
        <v>77</v>
      </c>
      <c r="H30" s="1558" t="s">
        <v>77</v>
      </c>
      <c r="I30" s="1558" t="s">
        <v>77</v>
      </c>
      <c r="J30" s="4173" t="s">
        <v>77</v>
      </c>
      <c r="K30" s="4173">
        <v>13</v>
      </c>
      <c r="L30" s="4173" t="s">
        <v>77</v>
      </c>
      <c r="M30" s="4173" t="s">
        <v>77</v>
      </c>
      <c r="N30" s="4173">
        <v>9</v>
      </c>
      <c r="O30" s="4173">
        <v>12</v>
      </c>
      <c r="P30" s="4173">
        <v>16</v>
      </c>
      <c r="Q30" s="4173">
        <v>9</v>
      </c>
      <c r="R30" s="1559">
        <v>59</v>
      </c>
      <c r="S30" s="1560">
        <v>1976</v>
      </c>
      <c r="T30"/>
      <c r="U30"/>
      <c r="V30"/>
      <c r="W30"/>
      <c r="X30"/>
      <c r="Y30"/>
      <c r="Z30"/>
      <c r="AA30"/>
    </row>
    <row r="31" spans="1:27" ht="21" customHeight="1">
      <c r="A31" s="1561">
        <v>1977</v>
      </c>
      <c r="B31" s="1562" t="s">
        <v>77</v>
      </c>
      <c r="C31" s="1791" t="s">
        <v>77</v>
      </c>
      <c r="D31" s="1791" t="s">
        <v>77</v>
      </c>
      <c r="E31" s="1563" t="s">
        <v>77</v>
      </c>
      <c r="F31" s="1563" t="s">
        <v>77</v>
      </c>
      <c r="G31" s="1563" t="s">
        <v>77</v>
      </c>
      <c r="H31" s="1563" t="s">
        <v>77</v>
      </c>
      <c r="I31" s="1563" t="s">
        <v>77</v>
      </c>
      <c r="J31" s="4163" t="s">
        <v>77</v>
      </c>
      <c r="K31" s="4163">
        <v>15</v>
      </c>
      <c r="L31" s="4163" t="s">
        <v>77</v>
      </c>
      <c r="M31" s="4163">
        <v>1</v>
      </c>
      <c r="N31" s="4163">
        <v>9</v>
      </c>
      <c r="O31" s="4163">
        <v>13</v>
      </c>
      <c r="P31" s="4163">
        <v>16</v>
      </c>
      <c r="Q31" s="4163">
        <v>9</v>
      </c>
      <c r="R31" s="1564">
        <v>63</v>
      </c>
      <c r="S31" s="1565">
        <v>1977</v>
      </c>
      <c r="T31"/>
      <c r="U31"/>
      <c r="V31"/>
      <c r="W31"/>
      <c r="X31"/>
      <c r="Y31"/>
      <c r="Z31"/>
      <c r="AA31"/>
    </row>
    <row r="32" spans="1:27" ht="21" customHeight="1">
      <c r="A32" s="1556">
        <v>1978</v>
      </c>
      <c r="B32" s="1557" t="s">
        <v>77</v>
      </c>
      <c r="C32" s="1558" t="s">
        <v>77</v>
      </c>
      <c r="D32" s="1558" t="s">
        <v>77</v>
      </c>
      <c r="E32" s="1558" t="s">
        <v>77</v>
      </c>
      <c r="F32" s="1558" t="s">
        <v>77</v>
      </c>
      <c r="G32" s="1558" t="s">
        <v>77</v>
      </c>
      <c r="H32" s="1558">
        <v>1</v>
      </c>
      <c r="I32" s="1558" t="s">
        <v>77</v>
      </c>
      <c r="J32" s="4173" t="s">
        <v>77</v>
      </c>
      <c r="K32" s="4173">
        <v>17</v>
      </c>
      <c r="L32" s="4173">
        <v>2</v>
      </c>
      <c r="M32" s="4173">
        <v>4</v>
      </c>
      <c r="N32" s="4173">
        <v>9</v>
      </c>
      <c r="O32" s="4173">
        <v>14</v>
      </c>
      <c r="P32" s="4173">
        <v>16</v>
      </c>
      <c r="Q32" s="4173">
        <v>10</v>
      </c>
      <c r="R32" s="1559">
        <v>73</v>
      </c>
      <c r="S32" s="1560">
        <v>1978</v>
      </c>
      <c r="T32"/>
      <c r="U32"/>
      <c r="V32"/>
      <c r="W32"/>
      <c r="X32"/>
      <c r="Y32"/>
      <c r="Z32"/>
      <c r="AA32"/>
    </row>
    <row r="33" spans="1:27" ht="21" customHeight="1">
      <c r="A33" s="1561">
        <v>1979</v>
      </c>
      <c r="B33" s="1562" t="s">
        <v>77</v>
      </c>
      <c r="C33" s="1791" t="s">
        <v>77</v>
      </c>
      <c r="D33" s="1791">
        <v>1</v>
      </c>
      <c r="E33" s="1563" t="s">
        <v>77</v>
      </c>
      <c r="F33" s="1563" t="s">
        <v>77</v>
      </c>
      <c r="G33" s="1563" t="s">
        <v>77</v>
      </c>
      <c r="H33" s="1563">
        <v>1</v>
      </c>
      <c r="I33" s="1563" t="s">
        <v>77</v>
      </c>
      <c r="J33" s="4163" t="s">
        <v>77</v>
      </c>
      <c r="K33" s="4163">
        <v>21</v>
      </c>
      <c r="L33" s="4163">
        <v>5</v>
      </c>
      <c r="M33" s="4163">
        <v>6</v>
      </c>
      <c r="N33" s="4163">
        <v>10</v>
      </c>
      <c r="O33" s="4163">
        <v>16</v>
      </c>
      <c r="P33" s="4163">
        <v>16</v>
      </c>
      <c r="Q33" s="4163">
        <v>10</v>
      </c>
      <c r="R33" s="1564">
        <v>86</v>
      </c>
      <c r="S33" s="1565">
        <v>1979</v>
      </c>
      <c r="T33"/>
      <c r="U33"/>
      <c r="V33"/>
      <c r="W33"/>
      <c r="X33"/>
      <c r="Y33"/>
      <c r="Z33"/>
      <c r="AA33"/>
    </row>
    <row r="34" spans="1:27" ht="21" customHeight="1">
      <c r="A34" s="1556">
        <v>1980</v>
      </c>
      <c r="B34" s="1557" t="s">
        <v>77</v>
      </c>
      <c r="C34" s="1558" t="s">
        <v>77</v>
      </c>
      <c r="D34" s="1558">
        <v>2</v>
      </c>
      <c r="E34" s="1558" t="s">
        <v>77</v>
      </c>
      <c r="F34" s="1558" t="s">
        <v>77</v>
      </c>
      <c r="G34" s="1558" t="s">
        <v>77</v>
      </c>
      <c r="H34" s="1558">
        <v>1</v>
      </c>
      <c r="I34" s="1558" t="s">
        <v>77</v>
      </c>
      <c r="J34" s="4173" t="s">
        <v>77</v>
      </c>
      <c r="K34" s="4173">
        <v>23</v>
      </c>
      <c r="L34" s="4173">
        <v>7</v>
      </c>
      <c r="M34" s="4173">
        <v>8</v>
      </c>
      <c r="N34" s="4173">
        <v>11</v>
      </c>
      <c r="O34" s="4173">
        <v>20</v>
      </c>
      <c r="P34" s="4173">
        <v>16</v>
      </c>
      <c r="Q34" s="4173">
        <v>11</v>
      </c>
      <c r="R34" s="1559">
        <v>99</v>
      </c>
      <c r="S34" s="1560">
        <v>1980</v>
      </c>
      <c r="T34"/>
      <c r="U34"/>
      <c r="V34"/>
      <c r="W34"/>
      <c r="X34"/>
      <c r="Y34"/>
      <c r="Z34"/>
      <c r="AA34"/>
    </row>
    <row r="35" spans="1:27" ht="21" customHeight="1">
      <c r="A35" s="1561">
        <v>1981</v>
      </c>
      <c r="B35" s="1562" t="s">
        <v>77</v>
      </c>
      <c r="C35" s="1791" t="s">
        <v>77</v>
      </c>
      <c r="D35" s="1791">
        <v>5</v>
      </c>
      <c r="E35" s="1563" t="s">
        <v>77</v>
      </c>
      <c r="F35" s="1563" t="s">
        <v>77</v>
      </c>
      <c r="G35" s="1563" t="s">
        <v>77</v>
      </c>
      <c r="H35" s="1563">
        <v>1</v>
      </c>
      <c r="I35" s="1563" t="s">
        <v>77</v>
      </c>
      <c r="J35" s="4163" t="s">
        <v>77</v>
      </c>
      <c r="K35" s="4163">
        <v>35</v>
      </c>
      <c r="L35" s="4163">
        <v>10</v>
      </c>
      <c r="M35" s="4163">
        <v>10</v>
      </c>
      <c r="N35" s="4163">
        <v>12</v>
      </c>
      <c r="O35" s="4163">
        <v>23</v>
      </c>
      <c r="P35" s="4163">
        <v>18</v>
      </c>
      <c r="Q35" s="4163">
        <v>15</v>
      </c>
      <c r="R35" s="1564">
        <v>129</v>
      </c>
      <c r="S35" s="1565">
        <v>1981</v>
      </c>
      <c r="T35"/>
      <c r="U35"/>
      <c r="V35"/>
      <c r="W35"/>
      <c r="X35"/>
      <c r="Y35"/>
      <c r="Z35"/>
      <c r="AA35"/>
    </row>
    <row r="36" spans="1:27" ht="21" customHeight="1">
      <c r="A36" s="1556">
        <v>1982</v>
      </c>
      <c r="B36" s="1557" t="s">
        <v>77</v>
      </c>
      <c r="C36" s="1558" t="s">
        <v>77</v>
      </c>
      <c r="D36" s="1558">
        <v>7</v>
      </c>
      <c r="E36" s="1558" t="s">
        <v>77</v>
      </c>
      <c r="F36" s="1558" t="s">
        <v>77</v>
      </c>
      <c r="G36" s="1558" t="s">
        <v>77</v>
      </c>
      <c r="H36" s="1558">
        <v>1</v>
      </c>
      <c r="I36" s="1558" t="s">
        <v>77</v>
      </c>
      <c r="J36" s="4173" t="s">
        <v>77</v>
      </c>
      <c r="K36" s="4173">
        <v>53</v>
      </c>
      <c r="L36" s="4173">
        <v>12</v>
      </c>
      <c r="M36" s="4173">
        <v>10</v>
      </c>
      <c r="N36" s="4173">
        <v>12</v>
      </c>
      <c r="O36" s="4173">
        <v>24</v>
      </c>
      <c r="P36" s="4173">
        <v>21</v>
      </c>
      <c r="Q36" s="4173">
        <v>17</v>
      </c>
      <c r="R36" s="1559">
        <v>157</v>
      </c>
      <c r="S36" s="1560">
        <v>1982</v>
      </c>
      <c r="T36"/>
      <c r="U36"/>
      <c r="V36"/>
      <c r="W36"/>
      <c r="X36"/>
      <c r="Y36"/>
      <c r="Z36"/>
      <c r="AA36"/>
    </row>
    <row r="37" spans="1:27" ht="21" customHeight="1">
      <c r="A37" s="1561">
        <v>1983</v>
      </c>
      <c r="B37" s="1562" t="s">
        <v>77</v>
      </c>
      <c r="C37" s="1791" t="s">
        <v>77</v>
      </c>
      <c r="D37" s="1791">
        <v>8</v>
      </c>
      <c r="E37" s="1563" t="s">
        <v>77</v>
      </c>
      <c r="F37" s="1563" t="s">
        <v>77</v>
      </c>
      <c r="G37" s="1563" t="s">
        <v>77</v>
      </c>
      <c r="H37" s="1563">
        <v>2</v>
      </c>
      <c r="I37" s="1563" t="s">
        <v>77</v>
      </c>
      <c r="J37" s="4163" t="s">
        <v>77</v>
      </c>
      <c r="K37" s="4163">
        <v>66</v>
      </c>
      <c r="L37" s="4163">
        <v>14</v>
      </c>
      <c r="M37" s="4163">
        <v>12</v>
      </c>
      <c r="N37" s="4163">
        <v>12</v>
      </c>
      <c r="O37" s="4163">
        <v>24</v>
      </c>
      <c r="P37" s="4163">
        <v>22</v>
      </c>
      <c r="Q37" s="4163">
        <v>23</v>
      </c>
      <c r="R37" s="1564">
        <v>183</v>
      </c>
      <c r="S37" s="1565">
        <v>1983</v>
      </c>
      <c r="T37"/>
      <c r="U37"/>
      <c r="V37"/>
      <c r="W37"/>
      <c r="X37"/>
      <c r="Y37"/>
      <c r="Z37"/>
      <c r="AA37"/>
    </row>
    <row r="38" spans="1:27" ht="21" customHeight="1">
      <c r="A38" s="1556">
        <v>1984</v>
      </c>
      <c r="B38" s="1557" t="s">
        <v>77</v>
      </c>
      <c r="C38" s="1558" t="s">
        <v>77</v>
      </c>
      <c r="D38" s="1558">
        <v>9</v>
      </c>
      <c r="E38" s="1558" t="s">
        <v>77</v>
      </c>
      <c r="F38" s="1558" t="s">
        <v>77</v>
      </c>
      <c r="G38" s="1558" t="s">
        <v>77</v>
      </c>
      <c r="H38" s="1558">
        <v>2</v>
      </c>
      <c r="I38" s="1558" t="s">
        <v>77</v>
      </c>
      <c r="J38" s="4173" t="s">
        <v>77</v>
      </c>
      <c r="K38" s="4173">
        <v>72</v>
      </c>
      <c r="L38" s="4173">
        <v>18</v>
      </c>
      <c r="M38" s="4173">
        <v>12</v>
      </c>
      <c r="N38" s="4173">
        <v>13</v>
      </c>
      <c r="O38" s="4173">
        <v>25</v>
      </c>
      <c r="P38" s="4173">
        <v>22</v>
      </c>
      <c r="Q38" s="4173">
        <v>25</v>
      </c>
      <c r="R38" s="1559">
        <v>198</v>
      </c>
      <c r="S38" s="1560">
        <v>1984</v>
      </c>
      <c r="T38"/>
      <c r="U38"/>
      <c r="V38"/>
      <c r="W38"/>
      <c r="X38"/>
      <c r="Y38"/>
      <c r="Z38"/>
      <c r="AA38"/>
    </row>
    <row r="39" spans="1:27" ht="21" customHeight="1">
      <c r="A39" s="1561">
        <v>1985</v>
      </c>
      <c r="B39" s="1562" t="s">
        <v>77</v>
      </c>
      <c r="C39" s="1791" t="s">
        <v>77</v>
      </c>
      <c r="D39" s="1791">
        <v>12</v>
      </c>
      <c r="E39" s="1563" t="s">
        <v>77</v>
      </c>
      <c r="F39" s="1563" t="s">
        <v>77</v>
      </c>
      <c r="G39" s="1563" t="s">
        <v>77</v>
      </c>
      <c r="H39" s="1563">
        <v>2</v>
      </c>
      <c r="I39" s="1563" t="s">
        <v>77</v>
      </c>
      <c r="J39" s="4163" t="s">
        <v>77</v>
      </c>
      <c r="K39" s="4163">
        <v>77</v>
      </c>
      <c r="L39" s="4163">
        <v>21</v>
      </c>
      <c r="M39" s="4163">
        <v>14</v>
      </c>
      <c r="N39" s="4163">
        <v>14</v>
      </c>
      <c r="O39" s="4163">
        <v>27</v>
      </c>
      <c r="P39" s="4163">
        <v>23</v>
      </c>
      <c r="Q39" s="4163">
        <v>25</v>
      </c>
      <c r="R39" s="1564">
        <v>215</v>
      </c>
      <c r="S39" s="1565">
        <v>1985</v>
      </c>
      <c r="T39"/>
      <c r="U39"/>
      <c r="V39"/>
      <c r="W39"/>
      <c r="X39"/>
      <c r="Y39"/>
      <c r="Z39"/>
      <c r="AA39"/>
    </row>
    <row r="40" spans="1:27" ht="21" customHeight="1">
      <c r="A40" s="1556">
        <v>1986</v>
      </c>
      <c r="B40" s="1557" t="s">
        <v>77</v>
      </c>
      <c r="C40" s="1558" t="s">
        <v>77</v>
      </c>
      <c r="D40" s="1558">
        <v>12</v>
      </c>
      <c r="E40" s="1558" t="s">
        <v>77</v>
      </c>
      <c r="F40" s="1558" t="s">
        <v>77</v>
      </c>
      <c r="G40" s="1558" t="s">
        <v>77</v>
      </c>
      <c r="H40" s="1558">
        <v>2</v>
      </c>
      <c r="I40" s="1558" t="s">
        <v>77</v>
      </c>
      <c r="J40" s="4173" t="s">
        <v>77</v>
      </c>
      <c r="K40" s="4173">
        <v>80</v>
      </c>
      <c r="L40" s="4173">
        <v>21</v>
      </c>
      <c r="M40" s="4173">
        <v>14</v>
      </c>
      <c r="N40" s="4173">
        <v>15</v>
      </c>
      <c r="O40" s="4173">
        <v>30</v>
      </c>
      <c r="P40" s="4173">
        <v>25</v>
      </c>
      <c r="Q40" s="4173">
        <v>25</v>
      </c>
      <c r="R40" s="1559">
        <v>224</v>
      </c>
      <c r="S40" s="1560">
        <v>1986</v>
      </c>
      <c r="T40"/>
      <c r="U40"/>
      <c r="V40"/>
      <c r="W40"/>
      <c r="X40"/>
      <c r="Y40"/>
      <c r="Z40"/>
      <c r="AA40"/>
    </row>
    <row r="41" spans="1:27" ht="21" customHeight="1">
      <c r="A41" s="1561">
        <v>1987</v>
      </c>
      <c r="B41" s="1562" t="s">
        <v>77</v>
      </c>
      <c r="C41" s="1791" t="s">
        <v>77</v>
      </c>
      <c r="D41" s="1791">
        <v>13</v>
      </c>
      <c r="E41" s="1563" t="s">
        <v>77</v>
      </c>
      <c r="F41" s="1563" t="s">
        <v>77</v>
      </c>
      <c r="G41" s="1563" t="s">
        <v>77</v>
      </c>
      <c r="H41" s="1563">
        <v>2</v>
      </c>
      <c r="I41" s="1563" t="s">
        <v>77</v>
      </c>
      <c r="J41" s="4163" t="s">
        <v>77</v>
      </c>
      <c r="K41" s="4163">
        <v>81</v>
      </c>
      <c r="L41" s="4163">
        <v>21</v>
      </c>
      <c r="M41" s="4163">
        <v>14</v>
      </c>
      <c r="N41" s="4163">
        <v>15</v>
      </c>
      <c r="O41" s="4163">
        <v>30</v>
      </c>
      <c r="P41" s="4163">
        <v>25</v>
      </c>
      <c r="Q41" s="4163">
        <v>25</v>
      </c>
      <c r="R41" s="1564">
        <v>226</v>
      </c>
      <c r="S41" s="1565">
        <v>1987</v>
      </c>
      <c r="T41"/>
      <c r="U41"/>
      <c r="V41"/>
      <c r="W41"/>
      <c r="X41"/>
      <c r="Y41"/>
      <c r="Z41"/>
      <c r="AA41"/>
    </row>
    <row r="42" spans="1:27" ht="21" customHeight="1">
      <c r="A42" s="1556">
        <v>1988</v>
      </c>
      <c r="B42" s="1557" t="s">
        <v>77</v>
      </c>
      <c r="C42" s="1558" t="s">
        <v>77</v>
      </c>
      <c r="D42" s="1558">
        <v>14</v>
      </c>
      <c r="E42" s="1558" t="s">
        <v>77</v>
      </c>
      <c r="F42" s="1558" t="s">
        <v>77</v>
      </c>
      <c r="G42" s="1558" t="s">
        <v>77</v>
      </c>
      <c r="H42" s="1558">
        <v>2</v>
      </c>
      <c r="I42" s="1558" t="s">
        <v>77</v>
      </c>
      <c r="J42" s="4173" t="s">
        <v>77</v>
      </c>
      <c r="K42" s="4173">
        <v>85</v>
      </c>
      <c r="L42" s="4173">
        <v>20</v>
      </c>
      <c r="M42" s="4173">
        <v>15</v>
      </c>
      <c r="N42" s="4173">
        <v>15</v>
      </c>
      <c r="O42" s="4173">
        <v>30</v>
      </c>
      <c r="P42" s="4173">
        <v>24</v>
      </c>
      <c r="Q42" s="4173">
        <v>26</v>
      </c>
      <c r="R42" s="1559">
        <v>231</v>
      </c>
      <c r="S42" s="1560">
        <v>1988</v>
      </c>
      <c r="T42"/>
      <c r="U42"/>
      <c r="V42"/>
      <c r="W42"/>
      <c r="X42"/>
      <c r="Y42"/>
      <c r="Z42"/>
      <c r="AA42"/>
    </row>
    <row r="43" spans="1:27" ht="21" customHeight="1">
      <c r="A43" s="1561">
        <v>1989</v>
      </c>
      <c r="B43" s="1562" t="s">
        <v>77</v>
      </c>
      <c r="C43" s="1791" t="s">
        <v>77</v>
      </c>
      <c r="D43" s="1791">
        <v>18</v>
      </c>
      <c r="E43" s="1563" t="s">
        <v>77</v>
      </c>
      <c r="F43" s="1563" t="s">
        <v>77</v>
      </c>
      <c r="G43" s="1563">
        <v>1</v>
      </c>
      <c r="H43" s="1563">
        <v>2</v>
      </c>
      <c r="I43" s="1563" t="s">
        <v>77</v>
      </c>
      <c r="J43" s="4163">
        <v>1</v>
      </c>
      <c r="K43" s="4163">
        <v>95</v>
      </c>
      <c r="L43" s="4163">
        <v>22</v>
      </c>
      <c r="M43" s="4163">
        <v>15</v>
      </c>
      <c r="N43" s="4163">
        <v>15</v>
      </c>
      <c r="O43" s="4163">
        <v>30</v>
      </c>
      <c r="P43" s="4163">
        <v>25</v>
      </c>
      <c r="Q43" s="4163">
        <v>26</v>
      </c>
      <c r="R43" s="1564">
        <v>250</v>
      </c>
      <c r="S43" s="1565">
        <v>1989</v>
      </c>
      <c r="T43"/>
      <c r="U43"/>
      <c r="V43"/>
      <c r="W43"/>
      <c r="X43"/>
      <c r="Y43"/>
      <c r="Z43"/>
      <c r="AA43"/>
    </row>
    <row r="44" spans="1:27" ht="21" customHeight="1">
      <c r="A44" s="1556">
        <v>1990</v>
      </c>
      <c r="B44" s="1557" t="s">
        <v>77</v>
      </c>
      <c r="C44" s="1558" t="s">
        <v>77</v>
      </c>
      <c r="D44" s="1558">
        <v>18</v>
      </c>
      <c r="E44" s="1558" t="s">
        <v>77</v>
      </c>
      <c r="F44" s="1558" t="s">
        <v>77</v>
      </c>
      <c r="G44" s="1558">
        <v>1</v>
      </c>
      <c r="H44" s="1558">
        <v>3</v>
      </c>
      <c r="I44" s="1558" t="s">
        <v>77</v>
      </c>
      <c r="J44" s="4173">
        <v>1</v>
      </c>
      <c r="K44" s="4173">
        <v>96</v>
      </c>
      <c r="L44" s="4173">
        <v>22</v>
      </c>
      <c r="M44" s="4173">
        <v>15</v>
      </c>
      <c r="N44" s="4173">
        <v>15</v>
      </c>
      <c r="O44" s="4173">
        <v>30</v>
      </c>
      <c r="P44" s="4173">
        <v>28</v>
      </c>
      <c r="Q44" s="4173">
        <v>26</v>
      </c>
      <c r="R44" s="1559">
        <v>255</v>
      </c>
      <c r="S44" s="1560">
        <v>1990</v>
      </c>
      <c r="T44"/>
      <c r="U44"/>
      <c r="V44"/>
      <c r="W44"/>
      <c r="X44"/>
      <c r="Y44"/>
      <c r="Z44"/>
      <c r="AA44"/>
    </row>
    <row r="45" spans="1:27" ht="21" customHeight="1">
      <c r="A45" s="1561">
        <v>1991</v>
      </c>
      <c r="B45" s="1562" t="s">
        <v>77</v>
      </c>
      <c r="C45" s="1791" t="s">
        <v>77</v>
      </c>
      <c r="D45" s="1791">
        <v>22</v>
      </c>
      <c r="E45" s="1563" t="s">
        <v>77</v>
      </c>
      <c r="F45" s="1563">
        <v>5</v>
      </c>
      <c r="G45" s="1563">
        <v>1</v>
      </c>
      <c r="H45" s="1563">
        <v>8</v>
      </c>
      <c r="I45" s="1563" t="s">
        <v>77</v>
      </c>
      <c r="J45" s="4163">
        <v>5</v>
      </c>
      <c r="K45" s="4163">
        <v>100</v>
      </c>
      <c r="L45" s="4163">
        <v>22</v>
      </c>
      <c r="M45" s="4163">
        <v>15</v>
      </c>
      <c r="N45" s="4163">
        <v>16</v>
      </c>
      <c r="O45" s="4163">
        <v>31</v>
      </c>
      <c r="P45" s="4163">
        <v>31</v>
      </c>
      <c r="Q45" s="4163">
        <v>26</v>
      </c>
      <c r="R45" s="1564">
        <v>282</v>
      </c>
      <c r="S45" s="1565">
        <v>1991</v>
      </c>
      <c r="T45"/>
      <c r="U45"/>
      <c r="V45"/>
      <c r="W45"/>
      <c r="X45"/>
      <c r="Y45"/>
      <c r="Z45"/>
      <c r="AA45"/>
    </row>
    <row r="46" spans="1:27" ht="21" customHeight="1">
      <c r="A46" s="1556">
        <v>1992</v>
      </c>
      <c r="B46" s="1557" t="s">
        <v>77</v>
      </c>
      <c r="C46" s="1558" t="s">
        <v>77</v>
      </c>
      <c r="D46" s="1558">
        <v>24</v>
      </c>
      <c r="E46" s="1558" t="s">
        <v>77</v>
      </c>
      <c r="F46" s="1558">
        <v>6</v>
      </c>
      <c r="G46" s="1558">
        <v>2</v>
      </c>
      <c r="H46" s="1558">
        <v>8</v>
      </c>
      <c r="I46" s="1558" t="s">
        <v>77</v>
      </c>
      <c r="J46" s="4173">
        <v>7</v>
      </c>
      <c r="K46" s="4173">
        <v>101</v>
      </c>
      <c r="L46" s="4173">
        <v>23</v>
      </c>
      <c r="M46" s="4173">
        <v>15</v>
      </c>
      <c r="N46" s="4173">
        <v>18</v>
      </c>
      <c r="O46" s="4173">
        <v>30</v>
      </c>
      <c r="P46" s="4173">
        <v>33</v>
      </c>
      <c r="Q46" s="4173">
        <v>25</v>
      </c>
      <c r="R46" s="1559">
        <v>292</v>
      </c>
      <c r="S46" s="1560">
        <v>1992</v>
      </c>
      <c r="T46"/>
      <c r="U46"/>
      <c r="V46"/>
      <c r="W46"/>
      <c r="X46"/>
      <c r="Y46"/>
      <c r="Z46"/>
      <c r="AA46"/>
    </row>
    <row r="47" spans="1:27" ht="21" customHeight="1">
      <c r="A47" s="1561">
        <v>1993</v>
      </c>
      <c r="B47" s="1562" t="s">
        <v>77</v>
      </c>
      <c r="C47" s="1791" t="s">
        <v>77</v>
      </c>
      <c r="D47" s="1791">
        <v>26</v>
      </c>
      <c r="E47" s="1563">
        <v>18</v>
      </c>
      <c r="F47" s="1563">
        <v>10</v>
      </c>
      <c r="G47" s="1563">
        <v>3</v>
      </c>
      <c r="H47" s="1563">
        <v>8</v>
      </c>
      <c r="I47" s="1563" t="s">
        <v>77</v>
      </c>
      <c r="J47" s="4163">
        <v>7</v>
      </c>
      <c r="K47" s="4163">
        <v>104</v>
      </c>
      <c r="L47" s="4163">
        <v>27</v>
      </c>
      <c r="M47" s="4163">
        <v>15</v>
      </c>
      <c r="N47" s="4163">
        <v>20</v>
      </c>
      <c r="O47" s="4163">
        <v>33</v>
      </c>
      <c r="P47" s="4163">
        <v>36</v>
      </c>
      <c r="Q47" s="4163">
        <v>26</v>
      </c>
      <c r="R47" s="1564">
        <v>333</v>
      </c>
      <c r="S47" s="1565">
        <v>1993</v>
      </c>
      <c r="T47"/>
      <c r="U47"/>
      <c r="V47"/>
      <c r="W47"/>
      <c r="X47"/>
      <c r="Y47"/>
      <c r="Z47"/>
      <c r="AA47"/>
    </row>
    <row r="48" spans="1:27" ht="21" customHeight="1">
      <c r="A48" s="1556">
        <v>1994</v>
      </c>
      <c r="B48" s="1557" t="s">
        <v>77</v>
      </c>
      <c r="C48" s="1558" t="s">
        <v>77</v>
      </c>
      <c r="D48" s="1558">
        <v>29</v>
      </c>
      <c r="E48" s="1558">
        <v>18</v>
      </c>
      <c r="F48" s="1558">
        <v>10</v>
      </c>
      <c r="G48" s="1558">
        <v>4</v>
      </c>
      <c r="H48" s="1558">
        <v>8</v>
      </c>
      <c r="I48" s="1558" t="s">
        <v>77</v>
      </c>
      <c r="J48" s="4173">
        <v>9</v>
      </c>
      <c r="K48" s="4173">
        <v>109</v>
      </c>
      <c r="L48" s="4173">
        <v>27</v>
      </c>
      <c r="M48" s="4173">
        <v>17</v>
      </c>
      <c r="N48" s="4173">
        <v>20</v>
      </c>
      <c r="O48" s="4173">
        <v>34</v>
      </c>
      <c r="P48" s="4173">
        <v>37</v>
      </c>
      <c r="Q48" s="4173">
        <v>29</v>
      </c>
      <c r="R48" s="1559">
        <v>351</v>
      </c>
      <c r="S48" s="1560">
        <v>1994</v>
      </c>
      <c r="T48"/>
      <c r="U48"/>
      <c r="V48"/>
      <c r="W48"/>
      <c r="X48"/>
      <c r="Y48"/>
      <c r="Z48"/>
      <c r="AA48"/>
    </row>
    <row r="49" spans="1:27" ht="21" customHeight="1">
      <c r="A49" s="1561">
        <v>1995</v>
      </c>
      <c r="B49" s="1562" t="s">
        <v>77</v>
      </c>
      <c r="C49" s="1791" t="s">
        <v>77</v>
      </c>
      <c r="D49" s="1791">
        <v>32</v>
      </c>
      <c r="E49" s="1563">
        <v>19</v>
      </c>
      <c r="F49" s="1563">
        <v>12</v>
      </c>
      <c r="G49" s="1563">
        <v>4</v>
      </c>
      <c r="H49" s="1563">
        <v>8</v>
      </c>
      <c r="I49" s="1563" t="s">
        <v>77</v>
      </c>
      <c r="J49" s="4163">
        <v>13</v>
      </c>
      <c r="K49" s="4163">
        <v>111</v>
      </c>
      <c r="L49" s="4163">
        <v>26</v>
      </c>
      <c r="M49" s="4163">
        <v>17</v>
      </c>
      <c r="N49" s="4163">
        <v>23</v>
      </c>
      <c r="O49" s="4163">
        <v>35</v>
      </c>
      <c r="P49" s="4163">
        <v>37</v>
      </c>
      <c r="Q49" s="4163">
        <v>29</v>
      </c>
      <c r="R49" s="1564">
        <v>366</v>
      </c>
      <c r="S49" s="1565">
        <v>1995</v>
      </c>
      <c r="T49"/>
      <c r="U49"/>
      <c r="V49"/>
      <c r="W49"/>
      <c r="X49"/>
      <c r="Y49"/>
      <c r="Z49"/>
      <c r="AA49"/>
    </row>
    <row r="50" spans="1:27" ht="21" customHeight="1">
      <c r="A50" s="1556">
        <f>A49+1</f>
        <v>1996</v>
      </c>
      <c r="B50" s="1557" t="s">
        <v>77</v>
      </c>
      <c r="C50" s="1558" t="s">
        <v>77</v>
      </c>
      <c r="D50" s="1558">
        <v>33</v>
      </c>
      <c r="E50" s="1558">
        <v>19</v>
      </c>
      <c r="F50" s="1558">
        <v>12</v>
      </c>
      <c r="G50" s="1558">
        <v>4</v>
      </c>
      <c r="H50" s="1558">
        <v>8</v>
      </c>
      <c r="I50" s="1558">
        <v>1</v>
      </c>
      <c r="J50" s="4173">
        <v>15</v>
      </c>
      <c r="K50" s="4173">
        <v>113</v>
      </c>
      <c r="L50" s="4173">
        <v>27</v>
      </c>
      <c r="M50" s="4173">
        <v>21</v>
      </c>
      <c r="N50" s="4173">
        <v>23</v>
      </c>
      <c r="O50" s="4173">
        <v>36</v>
      </c>
      <c r="P50" s="4173">
        <v>37</v>
      </c>
      <c r="Q50" s="4173">
        <v>30</v>
      </c>
      <c r="R50" s="1559">
        <v>379</v>
      </c>
      <c r="S50" s="1560">
        <f>S49+1</f>
        <v>1996</v>
      </c>
      <c r="T50"/>
      <c r="U50"/>
      <c r="V50"/>
      <c r="W50"/>
      <c r="X50"/>
      <c r="Y50"/>
      <c r="Z50"/>
      <c r="AA50"/>
    </row>
    <row r="51" spans="1:27" ht="21" customHeight="1">
      <c r="A51" s="1561">
        <f t="shared" ref="A51:A60" si="0">A50+1</f>
        <v>1997</v>
      </c>
      <c r="B51" s="1562" t="s">
        <v>77</v>
      </c>
      <c r="C51" s="1791" t="s">
        <v>77</v>
      </c>
      <c r="D51" s="1791">
        <v>41</v>
      </c>
      <c r="E51" s="1563">
        <v>19</v>
      </c>
      <c r="F51" s="1563">
        <v>12</v>
      </c>
      <c r="G51" s="1563">
        <v>5</v>
      </c>
      <c r="H51" s="1563">
        <v>9</v>
      </c>
      <c r="I51" s="1563">
        <v>1</v>
      </c>
      <c r="J51" s="4163">
        <v>16</v>
      </c>
      <c r="K51" s="4163">
        <v>113</v>
      </c>
      <c r="L51" s="4163">
        <v>27</v>
      </c>
      <c r="M51" s="4163">
        <v>22</v>
      </c>
      <c r="N51" s="4163">
        <v>22</v>
      </c>
      <c r="O51" s="4163">
        <v>47</v>
      </c>
      <c r="P51" s="4163">
        <v>38</v>
      </c>
      <c r="Q51" s="4163">
        <v>30</v>
      </c>
      <c r="R51" s="1564">
        <v>402</v>
      </c>
      <c r="S51" s="1565">
        <f t="shared" ref="S51:S58" si="1">S50+1</f>
        <v>1997</v>
      </c>
      <c r="T51"/>
      <c r="U51"/>
      <c r="V51"/>
      <c r="W51"/>
      <c r="X51"/>
      <c r="Y51"/>
      <c r="Z51"/>
      <c r="AA51"/>
    </row>
    <row r="52" spans="1:27" ht="21" customHeight="1">
      <c r="A52" s="1556">
        <f t="shared" si="0"/>
        <v>1998</v>
      </c>
      <c r="B52" s="1557" t="s">
        <v>77</v>
      </c>
      <c r="C52" s="1558">
        <v>5</v>
      </c>
      <c r="D52" s="1558">
        <v>45</v>
      </c>
      <c r="E52" s="1558">
        <v>19</v>
      </c>
      <c r="F52" s="1558">
        <v>12</v>
      </c>
      <c r="G52" s="1558">
        <v>6</v>
      </c>
      <c r="H52" s="1558">
        <v>8</v>
      </c>
      <c r="I52" s="1558">
        <v>1</v>
      </c>
      <c r="J52" s="4173">
        <v>16</v>
      </c>
      <c r="K52" s="4173">
        <v>106</v>
      </c>
      <c r="L52" s="4173">
        <v>24</v>
      </c>
      <c r="M52" s="4173">
        <v>25</v>
      </c>
      <c r="N52" s="4173">
        <v>23</v>
      </c>
      <c r="O52" s="4173">
        <v>51</v>
      </c>
      <c r="P52" s="4173">
        <v>38</v>
      </c>
      <c r="Q52" s="4173">
        <v>31</v>
      </c>
      <c r="R52" s="1559">
        <v>410</v>
      </c>
      <c r="S52" s="1560">
        <f t="shared" si="1"/>
        <v>1998</v>
      </c>
      <c r="T52"/>
      <c r="U52"/>
      <c r="V52"/>
      <c r="W52"/>
      <c r="X52"/>
      <c r="Y52"/>
      <c r="Z52"/>
      <c r="AA52"/>
    </row>
    <row r="53" spans="1:27" ht="21" customHeight="1">
      <c r="A53" s="1561">
        <f t="shared" si="0"/>
        <v>1999</v>
      </c>
      <c r="B53" s="1562" t="s">
        <v>77</v>
      </c>
      <c r="C53" s="1791">
        <v>7</v>
      </c>
      <c r="D53" s="1791">
        <v>49</v>
      </c>
      <c r="E53" s="1563">
        <v>19</v>
      </c>
      <c r="F53" s="1563">
        <v>11</v>
      </c>
      <c r="G53" s="1563">
        <v>6</v>
      </c>
      <c r="H53" s="1563">
        <v>7</v>
      </c>
      <c r="I53" s="1563">
        <v>1</v>
      </c>
      <c r="J53" s="4163">
        <v>16</v>
      </c>
      <c r="K53" s="4163">
        <v>106</v>
      </c>
      <c r="L53" s="4163">
        <v>24</v>
      </c>
      <c r="M53" s="4163">
        <v>26</v>
      </c>
      <c r="N53" s="4163">
        <v>25</v>
      </c>
      <c r="O53" s="4163">
        <v>49</v>
      </c>
      <c r="P53" s="4163">
        <v>39</v>
      </c>
      <c r="Q53" s="4163">
        <v>31</v>
      </c>
      <c r="R53" s="1564">
        <v>416</v>
      </c>
      <c r="S53" s="1565">
        <f t="shared" si="1"/>
        <v>1999</v>
      </c>
      <c r="T53"/>
      <c r="U53"/>
      <c r="V53"/>
      <c r="W53"/>
      <c r="X53"/>
      <c r="Y53"/>
      <c r="Z53"/>
      <c r="AA53"/>
    </row>
    <row r="54" spans="1:27" ht="21" customHeight="1">
      <c r="A54" s="1556">
        <f t="shared" si="0"/>
        <v>2000</v>
      </c>
      <c r="B54" s="1557" t="s">
        <v>77</v>
      </c>
      <c r="C54" s="1558">
        <v>9</v>
      </c>
      <c r="D54" s="1558">
        <v>52</v>
      </c>
      <c r="E54" s="1558">
        <v>19</v>
      </c>
      <c r="F54" s="1558">
        <v>12</v>
      </c>
      <c r="G54" s="1558">
        <v>7</v>
      </c>
      <c r="H54" s="1558">
        <v>9</v>
      </c>
      <c r="I54" s="1558">
        <v>1</v>
      </c>
      <c r="J54" s="4173">
        <v>17</v>
      </c>
      <c r="K54" s="4173">
        <v>96</v>
      </c>
      <c r="L54" s="4173">
        <v>24</v>
      </c>
      <c r="M54" s="4173">
        <v>29</v>
      </c>
      <c r="N54" s="4173">
        <v>26</v>
      </c>
      <c r="O54" s="4173">
        <v>45</v>
      </c>
      <c r="P54" s="4173">
        <v>40</v>
      </c>
      <c r="Q54" s="4173">
        <v>33</v>
      </c>
      <c r="R54" s="1559">
        <v>419</v>
      </c>
      <c r="S54" s="1560">
        <f t="shared" si="1"/>
        <v>2000</v>
      </c>
      <c r="T54"/>
      <c r="U54"/>
      <c r="V54"/>
      <c r="W54"/>
      <c r="X54"/>
      <c r="Y54"/>
      <c r="Z54"/>
      <c r="AA54"/>
    </row>
    <row r="55" spans="1:27" ht="21" customHeight="1">
      <c r="A55" s="1561">
        <f t="shared" si="0"/>
        <v>2001</v>
      </c>
      <c r="B55" s="1562" t="s">
        <v>77</v>
      </c>
      <c r="C55" s="1791">
        <v>11</v>
      </c>
      <c r="D55" s="1791">
        <v>53</v>
      </c>
      <c r="E55" s="1563">
        <v>16</v>
      </c>
      <c r="F55" s="1563">
        <v>12</v>
      </c>
      <c r="G55" s="1563">
        <v>7</v>
      </c>
      <c r="H55" s="1563">
        <v>9</v>
      </c>
      <c r="I55" s="1563">
        <v>1</v>
      </c>
      <c r="J55" s="4163">
        <v>14</v>
      </c>
      <c r="K55" s="4163">
        <v>94</v>
      </c>
      <c r="L55" s="4163">
        <v>24</v>
      </c>
      <c r="M55" s="4163">
        <v>31</v>
      </c>
      <c r="N55" s="4163">
        <v>33</v>
      </c>
      <c r="O55" s="4163">
        <v>45</v>
      </c>
      <c r="P55" s="4163">
        <v>40</v>
      </c>
      <c r="Q55" s="4163">
        <v>33</v>
      </c>
      <c r="R55" s="1564">
        <v>423</v>
      </c>
      <c r="S55" s="1565">
        <f t="shared" si="1"/>
        <v>2001</v>
      </c>
      <c r="T55"/>
      <c r="U55"/>
      <c r="V55"/>
      <c r="W55"/>
      <c r="X55"/>
      <c r="Y55"/>
      <c r="Z55"/>
      <c r="AA55"/>
    </row>
    <row r="56" spans="1:27" ht="21" customHeight="1">
      <c r="A56" s="1556">
        <f t="shared" si="0"/>
        <v>2002</v>
      </c>
      <c r="B56" s="1557" t="s">
        <v>77</v>
      </c>
      <c r="C56" s="1558">
        <v>12</v>
      </c>
      <c r="D56" s="1558">
        <v>53</v>
      </c>
      <c r="E56" s="1558">
        <v>14</v>
      </c>
      <c r="F56" s="1558">
        <v>12</v>
      </c>
      <c r="G56" s="1558">
        <v>8</v>
      </c>
      <c r="H56" s="1558">
        <v>9</v>
      </c>
      <c r="I56" s="1558">
        <v>1</v>
      </c>
      <c r="J56" s="4173">
        <v>14</v>
      </c>
      <c r="K56" s="4173">
        <v>95</v>
      </c>
      <c r="L56" s="4173">
        <v>24</v>
      </c>
      <c r="M56" s="4173">
        <v>29</v>
      </c>
      <c r="N56" s="4173">
        <v>33</v>
      </c>
      <c r="O56" s="4173">
        <v>44</v>
      </c>
      <c r="P56" s="4173">
        <v>42</v>
      </c>
      <c r="Q56" s="4173">
        <v>33</v>
      </c>
      <c r="R56" s="1559">
        <v>423</v>
      </c>
      <c r="S56" s="1560">
        <f t="shared" si="1"/>
        <v>2002</v>
      </c>
      <c r="T56"/>
      <c r="U56"/>
      <c r="V56"/>
      <c r="W56"/>
      <c r="X56"/>
      <c r="Y56"/>
      <c r="Z56"/>
      <c r="AA56"/>
    </row>
    <row r="57" spans="1:27" ht="21" customHeight="1">
      <c r="A57" s="1561">
        <f>A56+1</f>
        <v>2003</v>
      </c>
      <c r="B57" s="1562" t="s">
        <v>77</v>
      </c>
      <c r="C57" s="1791">
        <v>11</v>
      </c>
      <c r="D57" s="1791">
        <v>52</v>
      </c>
      <c r="E57" s="1563">
        <v>14</v>
      </c>
      <c r="F57" s="1563">
        <v>11</v>
      </c>
      <c r="G57" s="1563">
        <v>7</v>
      </c>
      <c r="H57" s="1563">
        <v>8</v>
      </c>
      <c r="I57" s="1563">
        <v>1</v>
      </c>
      <c r="J57" s="4163">
        <v>12</v>
      </c>
      <c r="K57" s="4163">
        <v>96</v>
      </c>
      <c r="L57" s="4163">
        <v>22</v>
      </c>
      <c r="M57" s="4163">
        <v>27</v>
      </c>
      <c r="N57" s="4163">
        <v>32</v>
      </c>
      <c r="O57" s="4163">
        <v>44</v>
      </c>
      <c r="P57" s="4163">
        <v>43</v>
      </c>
      <c r="Q57" s="4163">
        <v>32</v>
      </c>
      <c r="R57" s="1564">
        <v>412</v>
      </c>
      <c r="S57" s="1565">
        <f>S56+1</f>
        <v>2003</v>
      </c>
      <c r="T57"/>
      <c r="U57"/>
      <c r="V57"/>
      <c r="W57"/>
      <c r="X57"/>
      <c r="Y57"/>
      <c r="Z57"/>
      <c r="AA57"/>
    </row>
    <row r="58" spans="1:27" s="1174" customFormat="1" ht="21" customHeight="1">
      <c r="A58" s="1556">
        <f t="shared" si="0"/>
        <v>2004</v>
      </c>
      <c r="B58" s="1557" t="s">
        <v>77</v>
      </c>
      <c r="C58" s="1558">
        <v>11</v>
      </c>
      <c r="D58" s="1558">
        <v>52</v>
      </c>
      <c r="E58" s="1558">
        <v>15</v>
      </c>
      <c r="F58" s="1558">
        <v>11</v>
      </c>
      <c r="G58" s="1558">
        <v>7</v>
      </c>
      <c r="H58" s="1558">
        <v>8</v>
      </c>
      <c r="I58" s="1558">
        <v>1</v>
      </c>
      <c r="J58" s="4173">
        <v>12</v>
      </c>
      <c r="K58" s="4173">
        <v>95</v>
      </c>
      <c r="L58" s="4173">
        <v>22</v>
      </c>
      <c r="M58" s="4173">
        <v>29</v>
      </c>
      <c r="N58" s="4173">
        <v>33</v>
      </c>
      <c r="O58" s="4173">
        <v>41</v>
      </c>
      <c r="P58" s="4173">
        <v>43</v>
      </c>
      <c r="Q58" s="4173">
        <v>32</v>
      </c>
      <c r="R58" s="1559">
        <v>412</v>
      </c>
      <c r="S58" s="1560">
        <f t="shared" si="1"/>
        <v>2004</v>
      </c>
      <c r="T58"/>
      <c r="U58"/>
      <c r="V58"/>
      <c r="W58"/>
      <c r="X58"/>
      <c r="Y58"/>
      <c r="Z58" s="1792"/>
      <c r="AA58" s="1792"/>
    </row>
    <row r="59" spans="1:27" s="1793" customFormat="1" ht="21" customHeight="1">
      <c r="A59" s="1561">
        <f>A58+1</f>
        <v>2005</v>
      </c>
      <c r="B59" s="1562" t="s">
        <v>77</v>
      </c>
      <c r="C59" s="1563">
        <v>11</v>
      </c>
      <c r="D59" s="1563">
        <v>54</v>
      </c>
      <c r="E59" s="1563">
        <v>16</v>
      </c>
      <c r="F59" s="1563">
        <v>11</v>
      </c>
      <c r="G59" s="1563">
        <v>7</v>
      </c>
      <c r="H59" s="1563">
        <v>8</v>
      </c>
      <c r="I59" s="1563">
        <v>5</v>
      </c>
      <c r="J59" s="4163">
        <v>12</v>
      </c>
      <c r="K59" s="4163">
        <v>96</v>
      </c>
      <c r="L59" s="4163">
        <v>24</v>
      </c>
      <c r="M59" s="4163">
        <v>31</v>
      </c>
      <c r="N59" s="4163">
        <v>33</v>
      </c>
      <c r="O59" s="4163">
        <v>46</v>
      </c>
      <c r="P59" s="4163">
        <v>44</v>
      </c>
      <c r="Q59" s="4163">
        <v>84</v>
      </c>
      <c r="R59" s="1564">
        <v>482</v>
      </c>
      <c r="S59" s="1565">
        <f>S58+1</f>
        <v>2005</v>
      </c>
      <c r="T59"/>
      <c r="U59"/>
      <c r="V59"/>
      <c r="W59"/>
      <c r="X59"/>
      <c r="Y59"/>
    </row>
    <row r="60" spans="1:27" ht="21" customHeight="1">
      <c r="A60" s="1556">
        <f t="shared" si="0"/>
        <v>2006</v>
      </c>
      <c r="B60" s="1557" t="s">
        <v>77</v>
      </c>
      <c r="C60" s="1558">
        <v>11</v>
      </c>
      <c r="D60" s="1558">
        <v>54</v>
      </c>
      <c r="E60" s="1558">
        <v>16</v>
      </c>
      <c r="F60" s="1558">
        <v>12</v>
      </c>
      <c r="G60" s="1558">
        <v>7</v>
      </c>
      <c r="H60" s="1558">
        <v>8</v>
      </c>
      <c r="I60" s="1558">
        <v>5</v>
      </c>
      <c r="J60" s="4173">
        <v>12</v>
      </c>
      <c r="K60" s="4173">
        <v>96</v>
      </c>
      <c r="L60" s="4173">
        <v>24</v>
      </c>
      <c r="M60" s="4173">
        <v>34</v>
      </c>
      <c r="N60" s="4173">
        <v>36</v>
      </c>
      <c r="O60" s="4173">
        <v>42</v>
      </c>
      <c r="P60" s="4173">
        <v>44</v>
      </c>
      <c r="Q60" s="4173">
        <v>82</v>
      </c>
      <c r="R60" s="1559">
        <v>483</v>
      </c>
      <c r="S60" s="1560">
        <f>S59+1</f>
        <v>2006</v>
      </c>
      <c r="T60"/>
      <c r="U60"/>
      <c r="V60"/>
      <c r="W60"/>
      <c r="X60"/>
      <c r="Y60"/>
    </row>
    <row r="61" spans="1:27" ht="21" customHeight="1">
      <c r="A61" s="1561">
        <f>A60+1</f>
        <v>2007</v>
      </c>
      <c r="B61" s="1562" t="s">
        <v>77</v>
      </c>
      <c r="C61" s="1563">
        <v>16</v>
      </c>
      <c r="D61" s="1563">
        <v>56</v>
      </c>
      <c r="E61" s="1563">
        <v>16</v>
      </c>
      <c r="F61" s="1563">
        <v>15</v>
      </c>
      <c r="G61" s="1563">
        <v>8</v>
      </c>
      <c r="H61" s="1563">
        <v>9</v>
      </c>
      <c r="I61" s="1563">
        <v>8</v>
      </c>
      <c r="J61" s="4163">
        <v>14</v>
      </c>
      <c r="K61" s="4163">
        <v>96</v>
      </c>
      <c r="L61" s="4163">
        <v>25</v>
      </c>
      <c r="M61" s="4163">
        <v>39</v>
      </c>
      <c r="N61" s="4163">
        <v>51</v>
      </c>
      <c r="O61" s="4163">
        <v>44</v>
      </c>
      <c r="P61" s="4163">
        <v>47</v>
      </c>
      <c r="Q61" s="4163">
        <v>77</v>
      </c>
      <c r="R61" s="1564">
        <v>521</v>
      </c>
      <c r="S61" s="1565">
        <f>S60+1</f>
        <v>2007</v>
      </c>
      <c r="T61"/>
      <c r="U61"/>
      <c r="V61"/>
      <c r="W61"/>
      <c r="X61"/>
      <c r="Y61"/>
    </row>
    <row r="62" spans="1:27" ht="21" customHeight="1">
      <c r="A62" s="1556">
        <v>2008</v>
      </c>
      <c r="B62" s="1557" t="s">
        <v>77</v>
      </c>
      <c r="C62" s="1558">
        <v>18</v>
      </c>
      <c r="D62" s="1558">
        <v>56</v>
      </c>
      <c r="E62" s="1558">
        <v>16</v>
      </c>
      <c r="F62" s="1558">
        <v>16</v>
      </c>
      <c r="G62" s="1558">
        <v>8</v>
      </c>
      <c r="H62" s="1558">
        <v>9</v>
      </c>
      <c r="I62" s="1558">
        <v>8</v>
      </c>
      <c r="J62" s="4173">
        <v>15</v>
      </c>
      <c r="K62" s="4173">
        <v>98</v>
      </c>
      <c r="L62" s="4173">
        <v>25</v>
      </c>
      <c r="M62" s="4173">
        <v>40</v>
      </c>
      <c r="N62" s="4173">
        <v>57</v>
      </c>
      <c r="O62" s="4173">
        <v>45</v>
      </c>
      <c r="P62" s="4173">
        <v>62</v>
      </c>
      <c r="Q62" s="4173">
        <v>79</v>
      </c>
      <c r="R62" s="1559">
        <v>552</v>
      </c>
      <c r="S62" s="1560">
        <v>2008</v>
      </c>
      <c r="T62"/>
      <c r="U62"/>
      <c r="V62"/>
      <c r="W62"/>
      <c r="X62"/>
      <c r="Y62"/>
    </row>
    <row r="63" spans="1:27" s="1174" customFormat="1" ht="21" customHeight="1">
      <c r="A63" s="1561">
        <v>2009</v>
      </c>
      <c r="B63" s="1562" t="s">
        <v>77</v>
      </c>
      <c r="C63" s="1563">
        <v>23</v>
      </c>
      <c r="D63" s="1563">
        <v>57</v>
      </c>
      <c r="E63" s="1563">
        <v>16</v>
      </c>
      <c r="F63" s="1563">
        <v>18</v>
      </c>
      <c r="G63" s="1563">
        <v>8</v>
      </c>
      <c r="H63" s="1563">
        <v>10</v>
      </c>
      <c r="I63" s="1563">
        <v>12</v>
      </c>
      <c r="J63" s="4163">
        <v>19</v>
      </c>
      <c r="K63" s="4163">
        <v>100</v>
      </c>
      <c r="L63" s="4163">
        <v>25</v>
      </c>
      <c r="M63" s="4163">
        <v>40</v>
      </c>
      <c r="N63" s="4163">
        <v>59</v>
      </c>
      <c r="O63" s="4163">
        <v>44</v>
      </c>
      <c r="P63" s="4163">
        <v>62</v>
      </c>
      <c r="Q63" s="4163">
        <v>80</v>
      </c>
      <c r="R63" s="1564">
        <v>573</v>
      </c>
      <c r="S63" s="1565">
        <v>2009</v>
      </c>
      <c r="T63" s="1792"/>
      <c r="U63" s="1792"/>
      <c r="V63" s="1792"/>
      <c r="W63" s="1792"/>
      <c r="X63" s="1792"/>
      <c r="Y63" s="1792"/>
    </row>
    <row r="64" spans="1:27" s="1174" customFormat="1" ht="21" customHeight="1">
      <c r="A64" s="1556">
        <v>2010</v>
      </c>
      <c r="B64" s="1557">
        <v>7</v>
      </c>
      <c r="C64" s="1558">
        <v>27</v>
      </c>
      <c r="D64" s="1558">
        <v>60</v>
      </c>
      <c r="E64" s="1558">
        <v>16</v>
      </c>
      <c r="F64" s="1558">
        <v>20</v>
      </c>
      <c r="G64" s="1558">
        <v>9</v>
      </c>
      <c r="H64" s="1558">
        <v>10</v>
      </c>
      <c r="I64" s="1558">
        <v>17</v>
      </c>
      <c r="J64" s="4173">
        <v>25</v>
      </c>
      <c r="K64" s="4173">
        <v>104</v>
      </c>
      <c r="L64" s="4173">
        <v>25</v>
      </c>
      <c r="M64" s="4173">
        <v>42</v>
      </c>
      <c r="N64" s="4173">
        <v>62</v>
      </c>
      <c r="O64" s="4173">
        <v>46</v>
      </c>
      <c r="P64" s="4173">
        <v>65</v>
      </c>
      <c r="Q64" s="4173">
        <v>80</v>
      </c>
      <c r="R64" s="1559">
        <v>615</v>
      </c>
      <c r="S64" s="1560">
        <v>2010</v>
      </c>
      <c r="T64" s="1792"/>
      <c r="U64" s="1792"/>
      <c r="V64" s="1792"/>
      <c r="W64" s="1792"/>
      <c r="X64" s="1792"/>
      <c r="Y64" s="1792"/>
    </row>
    <row r="65" spans="1:25" s="1174" customFormat="1" ht="21" customHeight="1">
      <c r="A65" s="1561">
        <v>2011</v>
      </c>
      <c r="B65" s="1562">
        <v>12</v>
      </c>
      <c r="C65" s="1563">
        <v>32</v>
      </c>
      <c r="D65" s="1563">
        <v>62</v>
      </c>
      <c r="E65" s="1563">
        <v>15</v>
      </c>
      <c r="F65" s="1563">
        <v>24</v>
      </c>
      <c r="G65" s="1563">
        <v>9</v>
      </c>
      <c r="H65" s="1563">
        <v>11</v>
      </c>
      <c r="I65" s="1563">
        <v>16</v>
      </c>
      <c r="J65" s="4163">
        <v>25</v>
      </c>
      <c r="K65" s="4163">
        <v>105</v>
      </c>
      <c r="L65" s="4163">
        <v>27</v>
      </c>
      <c r="M65" s="4163">
        <v>44</v>
      </c>
      <c r="N65" s="4163">
        <v>66</v>
      </c>
      <c r="O65" s="4163">
        <v>50</v>
      </c>
      <c r="P65" s="4163">
        <v>67</v>
      </c>
      <c r="Q65" s="4163">
        <v>79</v>
      </c>
      <c r="R65" s="1564">
        <v>644</v>
      </c>
      <c r="S65" s="1565">
        <v>2011</v>
      </c>
      <c r="T65" s="1792"/>
      <c r="U65" s="1792"/>
      <c r="V65" s="1792"/>
      <c r="W65" s="1792"/>
      <c r="X65" s="1792"/>
      <c r="Y65" s="1792"/>
    </row>
    <row r="66" spans="1:25" s="1174" customFormat="1" ht="21" customHeight="1">
      <c r="A66" s="1556">
        <v>2012</v>
      </c>
      <c r="B66" s="1557">
        <v>13</v>
      </c>
      <c r="C66" s="1558">
        <v>36</v>
      </c>
      <c r="D66" s="1558">
        <v>64</v>
      </c>
      <c r="E66" s="1558">
        <v>16</v>
      </c>
      <c r="F66" s="1558">
        <v>30</v>
      </c>
      <c r="G66" s="1558">
        <v>9</v>
      </c>
      <c r="H66" s="1558">
        <v>12</v>
      </c>
      <c r="I66" s="1558">
        <v>13</v>
      </c>
      <c r="J66" s="4173">
        <v>27</v>
      </c>
      <c r="K66" s="4173">
        <v>109</v>
      </c>
      <c r="L66" s="4173">
        <v>27</v>
      </c>
      <c r="M66" s="4173">
        <v>44</v>
      </c>
      <c r="N66" s="4173">
        <v>69</v>
      </c>
      <c r="O66" s="4173">
        <v>51</v>
      </c>
      <c r="P66" s="4173">
        <v>66</v>
      </c>
      <c r="Q66" s="4173">
        <v>73</v>
      </c>
      <c r="R66" s="1559">
        <v>659</v>
      </c>
      <c r="S66" s="1560">
        <v>2012</v>
      </c>
      <c r="T66" s="1792"/>
      <c r="U66" s="1792"/>
      <c r="V66" s="1792"/>
      <c r="W66" s="1792"/>
      <c r="X66" s="1792"/>
      <c r="Y66" s="1792"/>
    </row>
    <row r="67" spans="1:25" s="1174" customFormat="1" ht="21" customHeight="1">
      <c r="A67" s="1561">
        <v>2013</v>
      </c>
      <c r="B67" s="1562">
        <v>15</v>
      </c>
      <c r="C67" s="1563">
        <v>37</v>
      </c>
      <c r="D67" s="1563">
        <v>67</v>
      </c>
      <c r="E67" s="1563">
        <v>16</v>
      </c>
      <c r="F67" s="1563">
        <v>34</v>
      </c>
      <c r="G67" s="1563">
        <v>11</v>
      </c>
      <c r="H67" s="1563">
        <v>15</v>
      </c>
      <c r="I67" s="1563">
        <v>12</v>
      </c>
      <c r="J67" s="4163">
        <v>27</v>
      </c>
      <c r="K67" s="4163">
        <v>111</v>
      </c>
      <c r="L67" s="4163">
        <v>27</v>
      </c>
      <c r="M67" s="4163">
        <v>47</v>
      </c>
      <c r="N67" s="4163">
        <v>69</v>
      </c>
      <c r="O67" s="4163">
        <v>53</v>
      </c>
      <c r="P67" s="4163">
        <v>66</v>
      </c>
      <c r="Q67" s="4163">
        <v>75</v>
      </c>
      <c r="R67" s="1564">
        <v>682</v>
      </c>
      <c r="S67" s="1565">
        <v>2013</v>
      </c>
      <c r="T67" s="1792"/>
      <c r="U67" s="1792"/>
      <c r="V67" s="1792"/>
      <c r="W67" s="1792"/>
      <c r="X67" s="1792"/>
      <c r="Y67" s="1792"/>
    </row>
    <row r="68" spans="1:25" s="1174" customFormat="1" ht="21" customHeight="1">
      <c r="A68" s="1556">
        <v>2014</v>
      </c>
      <c r="B68" s="1557">
        <v>16</v>
      </c>
      <c r="C68" s="1558">
        <v>40</v>
      </c>
      <c r="D68" s="1558">
        <v>70</v>
      </c>
      <c r="E68" s="1558">
        <v>16</v>
      </c>
      <c r="F68" s="1558">
        <v>37</v>
      </c>
      <c r="G68" s="1558">
        <v>10</v>
      </c>
      <c r="H68" s="1558">
        <v>19</v>
      </c>
      <c r="I68" s="1558">
        <v>12</v>
      </c>
      <c r="J68" s="4173">
        <v>27</v>
      </c>
      <c r="K68" s="4173">
        <v>112</v>
      </c>
      <c r="L68" s="4173">
        <v>28</v>
      </c>
      <c r="M68" s="4173">
        <v>56</v>
      </c>
      <c r="N68" s="4173">
        <v>69</v>
      </c>
      <c r="O68" s="4173">
        <v>55</v>
      </c>
      <c r="P68" s="4173">
        <v>69</v>
      </c>
      <c r="Q68" s="4173">
        <v>74</v>
      </c>
      <c r="R68" s="1559">
        <v>710</v>
      </c>
      <c r="S68" s="1560">
        <v>2014</v>
      </c>
      <c r="T68" s="1792"/>
      <c r="U68" s="1792"/>
      <c r="V68" s="1792"/>
      <c r="W68" s="1792"/>
      <c r="X68" s="1792"/>
      <c r="Y68" s="1792"/>
    </row>
    <row r="69" spans="1:25" s="1174" customFormat="1" ht="21" customHeight="1">
      <c r="A69" s="1561">
        <v>2015</v>
      </c>
      <c r="B69" s="1562">
        <v>21</v>
      </c>
      <c r="C69" s="1563">
        <v>41</v>
      </c>
      <c r="D69" s="1563">
        <v>73</v>
      </c>
      <c r="E69" s="1563">
        <v>17</v>
      </c>
      <c r="F69" s="1563">
        <v>38</v>
      </c>
      <c r="G69" s="1563">
        <v>11</v>
      </c>
      <c r="H69" s="1563">
        <v>18</v>
      </c>
      <c r="I69" s="1563">
        <v>12</v>
      </c>
      <c r="J69" s="4163">
        <v>27</v>
      </c>
      <c r="K69" s="4163">
        <v>112</v>
      </c>
      <c r="L69" s="4163">
        <v>28</v>
      </c>
      <c r="M69" s="4163">
        <v>56</v>
      </c>
      <c r="N69" s="4163">
        <v>72</v>
      </c>
      <c r="O69" s="4163">
        <v>56</v>
      </c>
      <c r="P69" s="4163">
        <v>70</v>
      </c>
      <c r="Q69" s="4163">
        <v>75</v>
      </c>
      <c r="R69" s="1564">
        <v>727</v>
      </c>
      <c r="S69" s="1565">
        <v>2015</v>
      </c>
      <c r="T69" s="1792"/>
      <c r="U69" s="1792"/>
      <c r="V69" s="1792"/>
      <c r="W69" s="1792"/>
      <c r="X69" s="1792"/>
      <c r="Y69" s="1792"/>
    </row>
    <row r="70" spans="1:25" s="1174" customFormat="1" ht="21" customHeight="1">
      <c r="A70" s="1556">
        <v>2016</v>
      </c>
      <c r="B70" s="1557">
        <v>24</v>
      </c>
      <c r="C70" s="1558">
        <v>41</v>
      </c>
      <c r="D70" s="1558">
        <v>74</v>
      </c>
      <c r="E70" s="1558">
        <v>17</v>
      </c>
      <c r="F70" s="1558">
        <v>41</v>
      </c>
      <c r="G70" s="1558">
        <v>12</v>
      </c>
      <c r="H70" s="1558">
        <v>18</v>
      </c>
      <c r="I70" s="1558">
        <v>12</v>
      </c>
      <c r="J70" s="4173">
        <v>27</v>
      </c>
      <c r="K70" s="4173">
        <v>116</v>
      </c>
      <c r="L70" s="4173">
        <v>28</v>
      </c>
      <c r="M70" s="4173">
        <v>61</v>
      </c>
      <c r="N70" s="4173">
        <v>73</v>
      </c>
      <c r="O70" s="4173">
        <v>55</v>
      </c>
      <c r="P70" s="4173">
        <v>71</v>
      </c>
      <c r="Q70" s="4173">
        <v>74</v>
      </c>
      <c r="R70" s="1559">
        <v>744</v>
      </c>
      <c r="S70" s="1560">
        <v>2016</v>
      </c>
      <c r="T70" s="1792"/>
      <c r="U70" s="1792"/>
      <c r="V70" s="1792"/>
      <c r="W70" s="1792"/>
      <c r="X70" s="1792"/>
      <c r="Y70" s="1792"/>
    </row>
    <row r="71" spans="1:25" s="1174" customFormat="1" ht="21" customHeight="1">
      <c r="A71" s="1561">
        <v>2017</v>
      </c>
      <c r="B71" s="1563">
        <v>25</v>
      </c>
      <c r="C71" s="1563">
        <v>42</v>
      </c>
      <c r="D71" s="1563">
        <v>74</v>
      </c>
      <c r="E71" s="1563">
        <v>17</v>
      </c>
      <c r="F71" s="1563">
        <v>44</v>
      </c>
      <c r="G71" s="1563">
        <v>12</v>
      </c>
      <c r="H71" s="1563">
        <v>18</v>
      </c>
      <c r="I71" s="1563">
        <v>12</v>
      </c>
      <c r="J71" s="4163">
        <v>27</v>
      </c>
      <c r="K71" s="4163">
        <v>117</v>
      </c>
      <c r="L71" s="4163">
        <v>28</v>
      </c>
      <c r="M71" s="4163">
        <v>63</v>
      </c>
      <c r="N71" s="4163">
        <v>74</v>
      </c>
      <c r="O71" s="4163">
        <v>56</v>
      </c>
      <c r="P71" s="4163">
        <v>73</v>
      </c>
      <c r="Q71" s="4163">
        <v>74</v>
      </c>
      <c r="R71" s="1553">
        <v>756</v>
      </c>
      <c r="S71" s="1794">
        <v>2017</v>
      </c>
      <c r="T71" s="1792"/>
      <c r="U71" s="1792"/>
      <c r="V71" s="1792"/>
      <c r="W71" s="1792"/>
      <c r="X71" s="1792"/>
      <c r="Y71" s="1792"/>
    </row>
    <row r="72" spans="1:25" s="1174" customFormat="1" ht="21" customHeight="1">
      <c r="A72" s="1556">
        <v>2018</v>
      </c>
      <c r="B72" s="1557">
        <v>33</v>
      </c>
      <c r="C72" s="1558">
        <v>45</v>
      </c>
      <c r="D72" s="1558">
        <v>76</v>
      </c>
      <c r="E72" s="1558">
        <v>19</v>
      </c>
      <c r="F72" s="1558">
        <v>47</v>
      </c>
      <c r="G72" s="1558">
        <v>12</v>
      </c>
      <c r="H72" s="1558">
        <v>18</v>
      </c>
      <c r="I72" s="1558">
        <v>14</v>
      </c>
      <c r="J72" s="4173">
        <v>27</v>
      </c>
      <c r="K72" s="4173">
        <v>117</v>
      </c>
      <c r="L72" s="4173">
        <v>29</v>
      </c>
      <c r="M72" s="4173">
        <v>64</v>
      </c>
      <c r="N72" s="4173">
        <v>73</v>
      </c>
      <c r="O72" s="4173">
        <v>55</v>
      </c>
      <c r="P72" s="4173">
        <v>75</v>
      </c>
      <c r="Q72" s="4173">
        <v>78</v>
      </c>
      <c r="R72" s="1559">
        <v>782</v>
      </c>
      <c r="S72" s="1560">
        <v>2018</v>
      </c>
      <c r="T72" s="1792"/>
      <c r="U72" s="1792"/>
      <c r="V72" s="1792"/>
      <c r="W72" s="1792"/>
      <c r="X72" s="1792"/>
      <c r="Y72" s="1792"/>
    </row>
    <row r="73" spans="1:25" s="1174" customFormat="1" ht="21" customHeight="1">
      <c r="A73" s="1561">
        <v>2019</v>
      </c>
      <c r="B73" s="1563">
        <v>36</v>
      </c>
      <c r="C73" s="1563">
        <v>45</v>
      </c>
      <c r="D73" s="1563">
        <v>80</v>
      </c>
      <c r="E73" s="1563">
        <v>19</v>
      </c>
      <c r="F73" s="1563">
        <v>48</v>
      </c>
      <c r="G73" s="1563">
        <v>12</v>
      </c>
      <c r="H73" s="1563">
        <v>19</v>
      </c>
      <c r="I73" s="1563">
        <v>14</v>
      </c>
      <c r="J73" s="4163">
        <v>27</v>
      </c>
      <c r="K73" s="4163">
        <v>115</v>
      </c>
      <c r="L73" s="4163">
        <v>33</v>
      </c>
      <c r="M73" s="4163">
        <v>64</v>
      </c>
      <c r="N73" s="4163">
        <v>78</v>
      </c>
      <c r="O73" s="4163">
        <v>52</v>
      </c>
      <c r="P73" s="4163">
        <v>77</v>
      </c>
      <c r="Q73" s="4163">
        <v>80</v>
      </c>
      <c r="R73" s="1553">
        <v>799</v>
      </c>
      <c r="S73" s="1794">
        <v>2019</v>
      </c>
      <c r="T73" s="1792"/>
      <c r="U73" s="1792"/>
      <c r="V73" s="1792"/>
      <c r="W73" s="1792"/>
      <c r="X73" s="1792"/>
      <c r="Y73" s="1792"/>
    </row>
    <row r="74" spans="1:25" s="1174" customFormat="1" ht="21" customHeight="1">
      <c r="A74" s="4303">
        <v>2020</v>
      </c>
      <c r="B74" s="4304">
        <v>38</v>
      </c>
      <c r="C74" s="4305">
        <v>45</v>
      </c>
      <c r="D74" s="4305">
        <v>83</v>
      </c>
      <c r="E74" s="4305">
        <v>19</v>
      </c>
      <c r="F74" s="4305">
        <v>52</v>
      </c>
      <c r="G74" s="4305">
        <v>12</v>
      </c>
      <c r="H74" s="4305">
        <v>20</v>
      </c>
      <c r="I74" s="4305">
        <v>13</v>
      </c>
      <c r="J74" s="4306">
        <v>26</v>
      </c>
      <c r="K74" s="4306">
        <v>112</v>
      </c>
      <c r="L74" s="4306">
        <v>32</v>
      </c>
      <c r="M74" s="4306">
        <v>64</v>
      </c>
      <c r="N74" s="4306">
        <v>81</v>
      </c>
      <c r="O74" s="4306">
        <v>51</v>
      </c>
      <c r="P74" s="4306">
        <v>80</v>
      </c>
      <c r="Q74" s="4306">
        <v>81</v>
      </c>
      <c r="R74" s="4307">
        <v>809</v>
      </c>
      <c r="S74" s="4308">
        <v>2020</v>
      </c>
      <c r="T74" s="1792"/>
      <c r="U74" s="1792"/>
      <c r="V74" s="1792"/>
      <c r="W74" s="1792"/>
      <c r="X74" s="1792"/>
      <c r="Y74" s="1792"/>
    </row>
    <row r="75" spans="1:25" s="1174" customFormat="1" ht="6.95" customHeight="1">
      <c r="A75" s="1176"/>
      <c r="B75" s="1795"/>
      <c r="C75" s="1176"/>
      <c r="D75" s="1176"/>
      <c r="E75" s="1176"/>
      <c r="F75" s="1795"/>
      <c r="G75" s="1795"/>
      <c r="H75" s="1795"/>
      <c r="I75" s="1795"/>
      <c r="J75" s="1796"/>
      <c r="K75" s="1796"/>
      <c r="L75" s="1397"/>
      <c r="M75" s="1397"/>
      <c r="N75" s="1397"/>
      <c r="O75" s="1397"/>
      <c r="P75" s="1397"/>
      <c r="Q75" s="1397"/>
      <c r="R75" s="1797"/>
      <c r="S75" s="4161"/>
      <c r="T75" s="1792"/>
      <c r="U75" s="1792"/>
      <c r="V75" s="1792"/>
      <c r="W75" s="1792"/>
      <c r="X75" s="1792"/>
      <c r="Y75" s="1792"/>
    </row>
    <row r="76" spans="1:25" s="1398" customFormat="1" ht="17.100000000000001" customHeight="1">
      <c r="A76" s="4159" t="s">
        <v>78</v>
      </c>
      <c r="B76" s="1649"/>
      <c r="C76" s="1462"/>
      <c r="D76" s="1462"/>
      <c r="E76" s="1462"/>
      <c r="F76" s="1798"/>
      <c r="G76" s="1798"/>
      <c r="H76" s="1397"/>
      <c r="I76" s="1397"/>
      <c r="J76" s="1796"/>
      <c r="K76" s="1796"/>
      <c r="L76" s="1397"/>
      <c r="M76" s="1397"/>
      <c r="N76" s="1397"/>
      <c r="O76" s="1397"/>
      <c r="P76" s="1397"/>
      <c r="Q76" s="1397"/>
      <c r="R76" s="1797"/>
      <c r="S76" s="4160" t="s">
        <v>79</v>
      </c>
      <c r="T76"/>
      <c r="U76"/>
      <c r="V76"/>
      <c r="W76"/>
      <c r="X76"/>
      <c r="Y76"/>
    </row>
    <row r="77" spans="1:25" s="1398" customFormat="1" ht="17.100000000000001" customHeight="1">
      <c r="A77" s="4159" t="s">
        <v>80</v>
      </c>
      <c r="B77" s="1649"/>
      <c r="C77" s="1798"/>
      <c r="D77" s="1798"/>
      <c r="E77" s="1798"/>
      <c r="F77" s="1798"/>
      <c r="G77" s="1798"/>
      <c r="H77" s="1397"/>
      <c r="I77" s="1397"/>
      <c r="J77" s="1397"/>
      <c r="K77" s="1397"/>
      <c r="L77" s="1397"/>
      <c r="M77" s="1397"/>
      <c r="N77" s="1397"/>
      <c r="O77" s="1397"/>
      <c r="P77" s="1397"/>
      <c r="Q77" s="1397"/>
      <c r="R77" s="1797"/>
      <c r="S77" s="4160" t="s">
        <v>81</v>
      </c>
      <c r="T77"/>
      <c r="U77"/>
      <c r="V77"/>
      <c r="W77"/>
      <c r="X77"/>
      <c r="Y77"/>
    </row>
    <row r="78" spans="1:25" s="1801" customFormat="1" ht="17.100000000000001" customHeight="1">
      <c r="A78" s="4159" t="s">
        <v>82</v>
      </c>
      <c r="B78" s="1795"/>
      <c r="C78" s="1798"/>
      <c r="D78" s="1798"/>
      <c r="E78" s="1799"/>
      <c r="F78" s="1795"/>
      <c r="G78" s="1795"/>
      <c r="H78" s="1795"/>
      <c r="I78" s="1795"/>
      <c r="J78" s="1397"/>
      <c r="K78" s="1176"/>
      <c r="L78" s="1795"/>
      <c r="M78" s="1795"/>
      <c r="N78" s="1795"/>
      <c r="O78" s="1795"/>
      <c r="P78" s="1795"/>
      <c r="Q78" s="1795"/>
      <c r="R78" s="1800"/>
      <c r="S78" s="4160" t="s">
        <v>83</v>
      </c>
      <c r="T78"/>
      <c r="U78"/>
      <c r="V78"/>
      <c r="W78"/>
      <c r="X78"/>
      <c r="Y78"/>
    </row>
    <row r="79" spans="1:25" s="1801" customFormat="1" ht="17.100000000000001" customHeight="1">
      <c r="A79" s="4159" t="s">
        <v>2898</v>
      </c>
      <c r="B79" s="1795"/>
      <c r="C79" s="1799"/>
      <c r="D79" s="1799"/>
      <c r="E79" s="1799"/>
      <c r="F79" s="1795"/>
      <c r="G79" s="1795"/>
      <c r="H79" s="1795"/>
      <c r="I79" s="1795"/>
      <c r="J79" s="1802"/>
      <c r="K79" s="4160"/>
      <c r="L79" s="1176"/>
      <c r="M79"/>
      <c r="N79"/>
      <c r="O79"/>
      <c r="P79"/>
      <c r="Q79"/>
      <c r="R79"/>
      <c r="S79" s="4160" t="s">
        <v>2899</v>
      </c>
    </row>
    <row r="80" spans="1:25" s="1801" customFormat="1" ht="17.100000000000001" customHeight="1">
      <c r="A80" s="4159" t="s">
        <v>84</v>
      </c>
      <c r="B80" s="1795"/>
      <c r="C80" s="1799"/>
      <c r="D80" s="1799"/>
      <c r="E80" s="1799"/>
      <c r="F80" s="1795"/>
      <c r="G80" s="1795"/>
      <c r="H80" s="1795"/>
      <c r="I80" s="1795"/>
      <c r="J80" s="1802"/>
      <c r="L80" s="1176"/>
      <c r="M80"/>
      <c r="N80"/>
      <c r="O80"/>
      <c r="P80"/>
      <c r="Q80"/>
      <c r="R80"/>
      <c r="S80" s="4160" t="s">
        <v>85</v>
      </c>
    </row>
    <row r="81" spans="1:19" s="1801" customFormat="1" ht="17.100000000000001" customHeight="1">
      <c r="A81" s="1274" t="s">
        <v>86</v>
      </c>
      <c r="E81" s="1803"/>
      <c r="F81" s="1803"/>
      <c r="G81" s="1803"/>
      <c r="H81" s="1803"/>
      <c r="I81" s="1803"/>
      <c r="J81" s="1804"/>
      <c r="K81" s="1804"/>
      <c r="M81"/>
      <c r="N81"/>
      <c r="O81"/>
      <c r="P81"/>
      <c r="Q81"/>
      <c r="R81"/>
      <c r="S81" s="1805" t="s">
        <v>87</v>
      </c>
    </row>
    <row r="82" spans="1:19" s="1801" customFormat="1">
      <c r="A82" s="1274" t="s">
        <v>2900</v>
      </c>
      <c r="E82" s="1806"/>
      <c r="F82" s="1803"/>
      <c r="G82" s="1803"/>
      <c r="H82" s="1803"/>
      <c r="I82" s="1803"/>
      <c r="J82" s="1804"/>
      <c r="K82" s="1804"/>
      <c r="M82"/>
      <c r="N82"/>
      <c r="O82"/>
      <c r="P82"/>
      <c r="Q82"/>
      <c r="R82"/>
      <c r="S82" s="1805" t="s">
        <v>2901</v>
      </c>
    </row>
    <row r="83" spans="1:19" s="1801" customFormat="1" ht="17.25" customHeight="1">
      <c r="C83" s="1804"/>
      <c r="D83" s="1804"/>
      <c r="E83" s="1807"/>
      <c r="F83" s="1807"/>
      <c r="G83" s="1807"/>
      <c r="H83" s="1807"/>
      <c r="I83" s="1807"/>
      <c r="K83" s="1804"/>
      <c r="M83"/>
      <c r="N83"/>
      <c r="O83"/>
      <c r="P83"/>
      <c r="Q83"/>
      <c r="R83"/>
    </row>
    <row r="84" spans="1:19" s="1801" customFormat="1" ht="21" customHeight="1">
      <c r="C84" s="1804"/>
      <c r="D84" s="1804"/>
      <c r="E84" s="1807"/>
      <c r="F84" s="1807"/>
      <c r="G84" s="1807"/>
      <c r="H84" s="1807"/>
      <c r="I84" s="1807"/>
      <c r="K84" s="1804"/>
      <c r="M84"/>
      <c r="N84"/>
      <c r="O84"/>
      <c r="P84"/>
      <c r="Q84"/>
      <c r="R84"/>
    </row>
    <row r="85" spans="1:19" s="1801" customFormat="1" ht="21" customHeight="1">
      <c r="C85" s="1804"/>
      <c r="D85" s="1804"/>
      <c r="E85"/>
      <c r="F85" s="1807"/>
      <c r="G85" s="1807"/>
      <c r="H85" s="1807"/>
      <c r="I85" s="1807"/>
      <c r="K85" s="1804"/>
      <c r="M85"/>
      <c r="N85"/>
      <c r="O85"/>
      <c r="P85"/>
      <c r="Q85"/>
      <c r="R85"/>
    </row>
    <row r="86" spans="1:19" s="1801" customFormat="1" ht="21" customHeight="1">
      <c r="C86" s="1804"/>
      <c r="D86" s="1804"/>
      <c r="E86"/>
      <c r="F86" s="1807"/>
      <c r="G86" s="1807"/>
      <c r="H86" s="1807"/>
      <c r="I86" s="1807"/>
      <c r="K86" s="1804"/>
      <c r="M86"/>
      <c r="N86"/>
      <c r="O86"/>
      <c r="P86"/>
      <c r="Q86"/>
      <c r="R86"/>
    </row>
    <row r="87" spans="1:19" s="1801" customFormat="1" ht="21" customHeight="1">
      <c r="C87" s="1804"/>
      <c r="D87" s="1804"/>
      <c r="E87"/>
      <c r="F87" s="1807"/>
      <c r="G87" s="1807"/>
      <c r="H87" s="1807"/>
      <c r="I87" s="1807"/>
      <c r="K87" s="1804"/>
      <c r="M87"/>
      <c r="N87"/>
      <c r="O87"/>
      <c r="P87"/>
      <c r="Q87"/>
      <c r="R87"/>
    </row>
    <row r="88" spans="1:19" s="1801" customFormat="1" ht="21" customHeight="1">
      <c r="C88" s="1804"/>
      <c r="D88" s="1804"/>
      <c r="E88"/>
      <c r="F88" s="1807"/>
      <c r="G88" s="1807"/>
      <c r="H88" s="1807"/>
      <c r="I88" s="1807"/>
      <c r="K88" s="1804"/>
      <c r="M88"/>
      <c r="N88"/>
      <c r="O88"/>
      <c r="P88"/>
      <c r="Q88"/>
      <c r="R88"/>
    </row>
    <row r="89" spans="1:19" s="1801" customFormat="1" ht="21" customHeight="1">
      <c r="C89" s="1804"/>
      <c r="D89" s="1804"/>
      <c r="E89"/>
      <c r="F89" s="1807"/>
      <c r="G89" s="1807"/>
      <c r="H89" s="1807"/>
      <c r="I89" s="1807"/>
      <c r="K89" s="1804"/>
      <c r="M89"/>
      <c r="N89"/>
      <c r="O89"/>
      <c r="P89"/>
      <c r="Q89"/>
      <c r="R89"/>
    </row>
    <row r="90" spans="1:19" s="1801" customFormat="1" ht="21" customHeight="1">
      <c r="C90" s="1804"/>
      <c r="D90" s="1804"/>
      <c r="E90"/>
      <c r="F90" s="1807"/>
      <c r="G90" s="1807"/>
      <c r="H90" s="1807"/>
      <c r="I90" s="1807"/>
      <c r="K90" s="1804"/>
      <c r="M90"/>
      <c r="N90"/>
      <c r="O90"/>
      <c r="P90"/>
      <c r="Q90"/>
      <c r="R90"/>
    </row>
    <row r="91" spans="1:19" s="1801" customFormat="1" ht="21" customHeight="1">
      <c r="C91" s="1804"/>
      <c r="D91" s="1804"/>
      <c r="E91"/>
      <c r="F91" s="1807"/>
      <c r="G91" s="1807"/>
      <c r="H91" s="1807"/>
      <c r="I91" s="1807"/>
      <c r="K91" s="1804"/>
      <c r="M91"/>
      <c r="N91"/>
      <c r="O91"/>
      <c r="P91"/>
      <c r="Q91"/>
      <c r="R91"/>
    </row>
    <row r="92" spans="1:19" s="1801" customFormat="1" ht="21" customHeight="1">
      <c r="C92" s="1804"/>
      <c r="D92" s="1804"/>
      <c r="E92"/>
      <c r="F92" s="1807"/>
      <c r="G92" s="1807"/>
      <c r="H92" s="1807"/>
      <c r="I92" s="1807"/>
      <c r="K92" s="1804"/>
      <c r="M92"/>
      <c r="N92"/>
      <c r="O92"/>
      <c r="P92"/>
      <c r="Q92"/>
      <c r="R92"/>
    </row>
    <row r="93" spans="1:19" s="1801" customFormat="1" ht="21" customHeight="1">
      <c r="A93" s="1804"/>
      <c r="C93" s="1804"/>
      <c r="D93" s="1804"/>
      <c r="E93"/>
      <c r="F93" s="1807"/>
      <c r="G93" s="1807"/>
      <c r="H93" s="1807"/>
      <c r="I93" s="1807"/>
      <c r="K93" s="1804"/>
      <c r="M93"/>
      <c r="N93"/>
      <c r="O93"/>
      <c r="P93"/>
      <c r="Q93"/>
      <c r="R93"/>
    </row>
    <row r="94" spans="1:19" s="1801" customFormat="1" ht="21" customHeight="1">
      <c r="A94" s="1804"/>
      <c r="C94" s="1804"/>
      <c r="D94" s="1804"/>
      <c r="E94"/>
      <c r="F94" s="1807"/>
      <c r="G94" s="1807"/>
      <c r="H94" s="1807"/>
      <c r="I94" s="1807"/>
      <c r="K94" s="1804"/>
      <c r="M94"/>
      <c r="N94"/>
      <c r="O94"/>
      <c r="P94"/>
      <c r="Q94"/>
      <c r="R94"/>
    </row>
    <row r="95" spans="1:19" s="1801" customFormat="1" ht="21" customHeight="1">
      <c r="A95" s="1804"/>
      <c r="C95" s="1804"/>
      <c r="D95" s="1804"/>
      <c r="E95"/>
      <c r="F95" s="1807"/>
      <c r="G95" s="1807"/>
      <c r="H95" s="1807"/>
      <c r="I95" s="1807"/>
      <c r="K95" s="1804"/>
      <c r="M95"/>
      <c r="N95"/>
      <c r="O95"/>
      <c r="P95"/>
      <c r="Q95"/>
      <c r="R95"/>
    </row>
    <row r="96" spans="1:19" s="1801" customFormat="1" ht="21" customHeight="1">
      <c r="A96" s="1804"/>
      <c r="C96" s="1804"/>
      <c r="D96" s="1804"/>
      <c r="E96"/>
      <c r="F96" s="1807"/>
      <c r="G96" s="1807"/>
      <c r="H96" s="1807"/>
      <c r="I96" s="1807"/>
      <c r="K96" s="1804"/>
      <c r="M96"/>
      <c r="N96"/>
      <c r="O96"/>
      <c r="P96"/>
      <c r="Q96"/>
      <c r="R96"/>
    </row>
    <row r="97" spans="1:18" s="1801" customFormat="1" ht="21" customHeight="1">
      <c r="A97" s="1804"/>
      <c r="C97" s="1804"/>
      <c r="D97" s="1804"/>
      <c r="E97"/>
      <c r="F97" s="1807"/>
      <c r="G97" s="1807"/>
      <c r="H97" s="1807"/>
      <c r="I97" s="1807"/>
      <c r="K97" s="1804"/>
      <c r="M97"/>
      <c r="N97"/>
      <c r="O97"/>
      <c r="P97"/>
      <c r="Q97"/>
      <c r="R97"/>
    </row>
    <row r="98" spans="1:18" s="1801" customFormat="1" ht="21" customHeight="1">
      <c r="A98" s="1804"/>
      <c r="C98" s="1804"/>
      <c r="D98" s="1804"/>
      <c r="E98"/>
      <c r="F98" s="1807"/>
      <c r="G98" s="1807"/>
      <c r="H98" s="1807"/>
      <c r="I98" s="1807"/>
      <c r="K98" s="1804"/>
      <c r="M98"/>
      <c r="N98"/>
      <c r="O98"/>
      <c r="P98"/>
      <c r="Q98"/>
      <c r="R98"/>
    </row>
    <row r="99" spans="1:18" s="1801" customFormat="1" ht="21" customHeight="1">
      <c r="A99" s="1804"/>
      <c r="C99" s="1804"/>
      <c r="D99" s="1804"/>
      <c r="E99"/>
      <c r="F99" s="1807"/>
      <c r="G99" s="1807"/>
      <c r="H99" s="1807"/>
      <c r="I99" s="1807"/>
      <c r="K99" s="1804"/>
      <c r="M99"/>
      <c r="N99"/>
      <c r="O99"/>
      <c r="P99"/>
      <c r="Q99"/>
      <c r="R99"/>
    </row>
    <row r="100" spans="1:18" s="1801" customFormat="1" ht="21" customHeight="1">
      <c r="A100" s="1804"/>
      <c r="C100" s="1804"/>
      <c r="D100" s="1804"/>
      <c r="E100"/>
      <c r="F100" s="1807"/>
      <c r="G100" s="1807"/>
      <c r="H100" s="1807"/>
      <c r="I100" s="1807"/>
      <c r="K100" s="1804"/>
      <c r="M100"/>
      <c r="N100"/>
      <c r="O100"/>
      <c r="P100"/>
      <c r="Q100"/>
      <c r="R100"/>
    </row>
    <row r="101" spans="1:18" s="1801" customFormat="1" ht="21" customHeight="1">
      <c r="A101" s="1804"/>
      <c r="C101" s="1804"/>
      <c r="D101" s="1804"/>
      <c r="E101"/>
      <c r="F101" s="1807"/>
      <c r="G101" s="1807"/>
      <c r="H101" s="1807"/>
      <c r="I101" s="1807"/>
      <c r="K101" s="1804"/>
      <c r="M101"/>
      <c r="N101"/>
      <c r="O101"/>
      <c r="P101"/>
      <c r="Q101"/>
      <c r="R101"/>
    </row>
    <row r="102" spans="1:18" s="1801" customFormat="1" ht="21" customHeight="1">
      <c r="A102" s="1804"/>
      <c r="C102" s="1804"/>
      <c r="D102" s="1804"/>
      <c r="E102"/>
      <c r="F102" s="1807"/>
      <c r="G102" s="1807"/>
      <c r="H102" s="1807"/>
      <c r="I102" s="1807"/>
      <c r="K102" s="1804"/>
      <c r="M102"/>
      <c r="N102"/>
      <c r="O102"/>
      <c r="P102"/>
      <c r="Q102"/>
      <c r="R102"/>
    </row>
    <row r="103" spans="1:18" s="1801" customFormat="1" ht="21" customHeight="1">
      <c r="A103" s="1804"/>
      <c r="C103" s="1804"/>
      <c r="D103" s="1804"/>
      <c r="E103"/>
      <c r="F103" s="1807"/>
      <c r="G103" s="1807"/>
      <c r="H103" s="1807"/>
      <c r="I103" s="1807"/>
      <c r="K103" s="1804"/>
      <c r="M103"/>
      <c r="N103"/>
      <c r="O103"/>
      <c r="P103"/>
      <c r="Q103"/>
      <c r="R103"/>
    </row>
    <row r="104" spans="1:18" s="1801" customFormat="1" ht="21" customHeight="1">
      <c r="A104" s="1804"/>
      <c r="C104" s="1804"/>
      <c r="D104" s="1804"/>
      <c r="E104"/>
      <c r="F104" s="1807"/>
      <c r="G104" s="1807"/>
      <c r="H104" s="1807"/>
      <c r="I104" s="1807"/>
      <c r="K104" s="1804"/>
      <c r="M104"/>
      <c r="N104"/>
      <c r="O104"/>
      <c r="P104"/>
      <c r="Q104"/>
      <c r="R104"/>
    </row>
    <row r="105" spans="1:18" s="1801" customFormat="1" ht="21" customHeight="1">
      <c r="A105" s="1804"/>
      <c r="C105" s="1804"/>
      <c r="D105" s="1804"/>
      <c r="E105"/>
      <c r="F105" s="1807"/>
      <c r="G105" s="1807"/>
      <c r="H105" s="1807"/>
      <c r="I105" s="1807"/>
      <c r="K105" s="1804"/>
      <c r="M105"/>
      <c r="N105"/>
      <c r="O105"/>
      <c r="P105"/>
      <c r="Q105"/>
      <c r="R105"/>
    </row>
    <row r="106" spans="1:18" s="1801" customFormat="1" ht="21" customHeight="1">
      <c r="A106" s="1804"/>
      <c r="C106" s="1804"/>
      <c r="D106" s="1804"/>
      <c r="E106"/>
      <c r="F106" s="1807"/>
      <c r="G106" s="1807"/>
      <c r="H106" s="1807"/>
      <c r="I106" s="1807"/>
      <c r="K106" s="1804"/>
      <c r="M106"/>
      <c r="N106"/>
      <c r="O106"/>
      <c r="P106"/>
      <c r="Q106"/>
      <c r="R106"/>
    </row>
    <row r="107" spans="1:18" s="1801" customFormat="1" ht="21" customHeight="1">
      <c r="A107" s="1804"/>
      <c r="C107" s="1804"/>
      <c r="D107" s="1804"/>
      <c r="E107"/>
      <c r="F107" s="1807"/>
      <c r="G107" s="1807"/>
      <c r="H107" s="1807"/>
      <c r="I107" s="1807"/>
      <c r="K107" s="1804"/>
      <c r="M107"/>
      <c r="N107"/>
      <c r="O107"/>
      <c r="P107"/>
      <c r="Q107"/>
      <c r="R107"/>
    </row>
    <row r="108" spans="1:18" s="1801" customFormat="1" ht="21" customHeight="1">
      <c r="A108" s="1804"/>
      <c r="C108" s="1804"/>
      <c r="D108" s="1804"/>
      <c r="E108"/>
      <c r="F108" s="1807"/>
      <c r="G108" s="1807"/>
      <c r="H108" s="1807"/>
      <c r="I108" s="1807"/>
      <c r="K108" s="1804"/>
      <c r="M108"/>
      <c r="N108"/>
      <c r="O108"/>
      <c r="P108"/>
      <c r="Q108"/>
      <c r="R108"/>
    </row>
    <row r="109" spans="1:18" s="1801" customFormat="1" ht="21" customHeight="1">
      <c r="A109" s="1804"/>
      <c r="C109" s="1804"/>
      <c r="D109" s="1804"/>
      <c r="E109"/>
      <c r="F109" s="1807"/>
      <c r="G109" s="1807"/>
      <c r="H109" s="1807"/>
      <c r="I109" s="1807"/>
      <c r="K109" s="1804"/>
      <c r="M109"/>
      <c r="N109"/>
      <c r="O109"/>
      <c r="P109"/>
      <c r="Q109"/>
      <c r="R109"/>
    </row>
    <row r="110" spans="1:18" s="1801" customFormat="1" ht="21" customHeight="1">
      <c r="A110" s="1804"/>
      <c r="C110" s="1804"/>
      <c r="D110" s="1804"/>
      <c r="E110"/>
      <c r="F110" s="1807"/>
      <c r="G110" s="1807"/>
      <c r="H110" s="1807"/>
      <c r="I110" s="1807"/>
      <c r="K110" s="1804"/>
      <c r="M110"/>
      <c r="N110"/>
      <c r="O110"/>
      <c r="P110"/>
      <c r="Q110"/>
      <c r="R110"/>
    </row>
    <row r="111" spans="1:18" s="1801" customFormat="1" ht="21" customHeight="1">
      <c r="A111" s="1804"/>
      <c r="C111" s="1804"/>
      <c r="D111" s="1804"/>
      <c r="E111"/>
      <c r="F111" s="1807"/>
      <c r="G111" s="1807"/>
      <c r="H111" s="1807"/>
      <c r="I111" s="1807"/>
      <c r="K111" s="1804"/>
      <c r="M111"/>
      <c r="N111"/>
      <c r="O111"/>
      <c r="P111"/>
      <c r="Q111"/>
      <c r="R111"/>
    </row>
    <row r="112" spans="1:18" s="1801" customFormat="1" ht="21" customHeight="1">
      <c r="A112" s="1804"/>
      <c r="C112" s="1804"/>
      <c r="D112" s="1804"/>
      <c r="E112"/>
      <c r="F112" s="1807"/>
      <c r="G112" s="1807"/>
      <c r="H112" s="1807"/>
      <c r="I112" s="1807"/>
      <c r="K112" s="1804"/>
      <c r="M112"/>
      <c r="N112"/>
      <c r="O112"/>
      <c r="P112"/>
      <c r="Q112"/>
      <c r="R112"/>
    </row>
    <row r="113" spans="1:18" s="1801" customFormat="1" ht="21" customHeight="1">
      <c r="A113" s="1804"/>
      <c r="C113" s="1804"/>
      <c r="D113" s="1804"/>
      <c r="E113"/>
      <c r="F113" s="1807"/>
      <c r="G113" s="1807"/>
      <c r="H113" s="1807"/>
      <c r="I113" s="1807"/>
      <c r="K113" s="1804"/>
      <c r="M113"/>
      <c r="N113"/>
      <c r="O113"/>
      <c r="P113"/>
      <c r="Q113"/>
      <c r="R113"/>
    </row>
    <row r="114" spans="1:18" s="1801" customFormat="1" ht="21" customHeight="1">
      <c r="A114" s="1804"/>
      <c r="C114" s="1804"/>
      <c r="D114" s="1804"/>
      <c r="E114"/>
      <c r="F114" s="1807"/>
      <c r="G114" s="1807"/>
      <c r="H114" s="1807"/>
      <c r="I114" s="1807"/>
      <c r="K114" s="1804"/>
      <c r="M114"/>
      <c r="N114"/>
      <c r="O114"/>
      <c r="P114"/>
      <c r="Q114"/>
      <c r="R114"/>
    </row>
    <row r="115" spans="1:18" s="1801" customFormat="1" ht="21" customHeight="1">
      <c r="A115" s="1804"/>
      <c r="C115" s="1804"/>
      <c r="D115" s="1804"/>
      <c r="E115"/>
      <c r="F115" s="1807"/>
      <c r="G115" s="1807"/>
      <c r="H115" s="1807"/>
      <c r="I115" s="1807"/>
      <c r="K115" s="1804"/>
      <c r="M115"/>
      <c r="N115"/>
      <c r="O115"/>
      <c r="P115"/>
      <c r="Q115"/>
      <c r="R115"/>
    </row>
    <row r="116" spans="1:18" s="1801" customFormat="1" ht="21" customHeight="1">
      <c r="A116" s="1804"/>
      <c r="C116" s="1804"/>
      <c r="D116" s="1804"/>
      <c r="E116"/>
      <c r="F116" s="1807"/>
      <c r="G116" s="1807"/>
      <c r="H116" s="1807"/>
      <c r="I116" s="1807"/>
      <c r="K116" s="1804"/>
      <c r="M116"/>
      <c r="N116"/>
      <c r="O116"/>
      <c r="P116"/>
      <c r="Q116"/>
      <c r="R116"/>
    </row>
    <row r="117" spans="1:18" s="1801" customFormat="1" ht="21" customHeight="1">
      <c r="A117" s="1804"/>
      <c r="C117" s="1804"/>
      <c r="D117" s="1804"/>
      <c r="E117"/>
      <c r="F117" s="1807"/>
      <c r="G117" s="1807"/>
      <c r="H117" s="1807"/>
      <c r="I117" s="1807"/>
      <c r="K117" s="1804"/>
      <c r="M117"/>
      <c r="N117"/>
      <c r="O117"/>
      <c r="P117"/>
      <c r="Q117"/>
      <c r="R117"/>
    </row>
    <row r="118" spans="1:18" s="1801" customFormat="1" ht="21" customHeight="1">
      <c r="A118" s="1804"/>
      <c r="C118" s="1804"/>
      <c r="D118" s="1804"/>
      <c r="E118"/>
      <c r="F118" s="1807"/>
      <c r="G118" s="1807"/>
      <c r="H118" s="1807"/>
      <c r="I118" s="1807"/>
      <c r="K118" s="1804"/>
      <c r="M118"/>
      <c r="N118"/>
      <c r="O118"/>
      <c r="P118"/>
      <c r="Q118"/>
      <c r="R118"/>
    </row>
    <row r="119" spans="1:18" s="1801" customFormat="1" ht="21" customHeight="1">
      <c r="A119" s="1804"/>
      <c r="C119" s="1804"/>
      <c r="D119" s="1804"/>
      <c r="E119"/>
      <c r="F119" s="1807"/>
      <c r="G119" s="1807"/>
      <c r="H119" s="1807"/>
      <c r="I119" s="1807"/>
      <c r="K119" s="1804"/>
      <c r="M119"/>
      <c r="N119"/>
      <c r="O119"/>
      <c r="P119"/>
      <c r="Q119"/>
      <c r="R119"/>
    </row>
    <row r="120" spans="1:18" s="1801" customFormat="1" ht="21" customHeight="1">
      <c r="A120" s="1804"/>
      <c r="C120" s="1804"/>
      <c r="D120" s="1804"/>
      <c r="E120"/>
      <c r="F120" s="1807"/>
      <c r="G120" s="1807"/>
      <c r="H120" s="1807"/>
      <c r="I120" s="1807"/>
      <c r="K120" s="1804"/>
      <c r="M120"/>
      <c r="N120"/>
      <c r="O120"/>
      <c r="P120"/>
      <c r="Q120"/>
      <c r="R120"/>
    </row>
    <row r="121" spans="1:18" s="1801" customFormat="1" ht="21" customHeight="1">
      <c r="A121" s="1804"/>
      <c r="C121" s="1804"/>
      <c r="D121" s="1804"/>
      <c r="E121"/>
      <c r="F121" s="1807"/>
      <c r="G121" s="1807"/>
      <c r="H121" s="1807"/>
      <c r="I121" s="1807"/>
      <c r="K121" s="1804"/>
      <c r="M121"/>
      <c r="N121"/>
      <c r="O121"/>
      <c r="P121"/>
      <c r="Q121"/>
      <c r="R121"/>
    </row>
    <row r="122" spans="1:18" s="1801" customFormat="1" ht="21" customHeight="1">
      <c r="A122" s="1804"/>
      <c r="C122" s="1804"/>
      <c r="D122" s="1804"/>
      <c r="E122"/>
      <c r="F122" s="1807"/>
      <c r="G122" s="1807"/>
      <c r="H122" s="1807"/>
      <c r="I122" s="1807"/>
      <c r="K122" s="1804"/>
      <c r="M122"/>
      <c r="N122"/>
      <c r="O122"/>
      <c r="P122"/>
      <c r="Q122"/>
      <c r="R122"/>
    </row>
    <row r="123" spans="1:18" s="1801" customFormat="1" ht="6" customHeight="1">
      <c r="A123" s="1804"/>
      <c r="C123" s="1804"/>
      <c r="D123" s="1804"/>
      <c r="E123"/>
      <c r="F123" s="1807"/>
      <c r="G123" s="1807"/>
      <c r="H123" s="1807"/>
      <c r="I123" s="1807"/>
      <c r="K123" s="1804"/>
      <c r="M123"/>
      <c r="N123"/>
      <c r="O123"/>
      <c r="P123"/>
      <c r="Q123"/>
      <c r="R123"/>
    </row>
    <row r="124" spans="1:18" s="1801" customFormat="1" ht="6" customHeight="1">
      <c r="E124"/>
      <c r="K124" s="1808"/>
      <c r="M124"/>
      <c r="N124"/>
      <c r="O124"/>
      <c r="P124"/>
      <c r="Q124"/>
      <c r="R124"/>
    </row>
    <row r="125" spans="1:18" s="1801" customFormat="1">
      <c r="C125" s="1809"/>
      <c r="D125" s="1809"/>
      <c r="E125"/>
      <c r="J125" s="1810"/>
      <c r="K125" s="1811"/>
      <c r="M125"/>
      <c r="N125"/>
      <c r="O125"/>
      <c r="P125"/>
      <c r="Q125"/>
      <c r="R125"/>
    </row>
    <row r="126" spans="1:18" s="1801" customFormat="1">
      <c r="C126" s="1809"/>
      <c r="D126" s="1809"/>
      <c r="E126"/>
      <c r="J126" s="1810"/>
      <c r="K126" s="1811"/>
      <c r="M126"/>
      <c r="N126"/>
      <c r="O126"/>
      <c r="P126"/>
      <c r="Q126"/>
      <c r="R126"/>
    </row>
    <row r="127" spans="1:18" s="1801" customFormat="1">
      <c r="C127" s="1809"/>
      <c r="D127" s="1809"/>
      <c r="E127"/>
      <c r="J127" s="1810"/>
      <c r="K127" s="1811"/>
      <c r="M127"/>
      <c r="N127"/>
      <c r="O127"/>
      <c r="P127"/>
      <c r="Q127"/>
      <c r="R127"/>
    </row>
    <row r="128" spans="1:18" s="1801" customFormat="1">
      <c r="C128" s="1809"/>
      <c r="D128" s="1809"/>
      <c r="E128"/>
      <c r="J128" s="1810"/>
      <c r="K128" s="1811"/>
      <c r="M128"/>
      <c r="N128"/>
      <c r="O128"/>
      <c r="P128"/>
      <c r="Q128"/>
      <c r="R128"/>
    </row>
    <row r="129" spans="3:18" s="1801" customFormat="1">
      <c r="C129" s="1809"/>
      <c r="D129" s="1809"/>
      <c r="E129"/>
      <c r="J129" s="1810"/>
      <c r="K129" s="1811"/>
      <c r="M129"/>
      <c r="N129"/>
      <c r="O129"/>
      <c r="P129"/>
      <c r="Q129"/>
      <c r="R129"/>
    </row>
    <row r="130" spans="3:18" s="1801" customFormat="1">
      <c r="E130"/>
      <c r="J130" s="1812"/>
      <c r="M130"/>
      <c r="N130"/>
      <c r="O130"/>
      <c r="P130"/>
      <c r="Q130"/>
      <c r="R130"/>
    </row>
    <row r="131" spans="3:18" s="1801" customFormat="1">
      <c r="E131"/>
      <c r="J131" s="1310"/>
      <c r="K131" s="1310"/>
      <c r="M131"/>
      <c r="N131"/>
      <c r="O131"/>
      <c r="P131"/>
      <c r="Q131"/>
      <c r="R131"/>
    </row>
    <row r="132" spans="3:18" s="1801" customFormat="1">
      <c r="E132"/>
      <c r="F132" s="1812"/>
      <c r="G132" s="1810"/>
      <c r="H132" s="1810"/>
      <c r="J132" s="1310"/>
      <c r="K132" s="1310"/>
      <c r="M132"/>
      <c r="N132"/>
      <c r="O132"/>
      <c r="P132"/>
      <c r="Q132"/>
      <c r="R132"/>
    </row>
    <row r="133" spans="3:18" s="1801" customFormat="1">
      <c r="E133"/>
      <c r="F133" s="1310"/>
      <c r="G133" s="1310"/>
      <c r="H133" s="1310"/>
      <c r="J133" s="1310"/>
      <c r="K133" s="1310"/>
      <c r="M133"/>
      <c r="N133"/>
      <c r="O133"/>
      <c r="P133"/>
      <c r="Q133"/>
      <c r="R133"/>
    </row>
    <row r="134" spans="3:18" s="1801" customFormat="1">
      <c r="E134"/>
      <c r="K134" s="1808"/>
      <c r="M134"/>
      <c r="N134"/>
      <c r="O134"/>
      <c r="P134"/>
      <c r="Q134"/>
      <c r="R134"/>
    </row>
    <row r="135" spans="3:18" s="1801" customFormat="1">
      <c r="E135"/>
      <c r="K135" s="1808"/>
      <c r="M135"/>
      <c r="N135"/>
      <c r="O135"/>
      <c r="P135"/>
      <c r="Q135"/>
      <c r="R135"/>
    </row>
    <row r="136" spans="3:18" s="1801" customFormat="1">
      <c r="E136"/>
      <c r="K136" s="1808"/>
      <c r="M136"/>
      <c r="N136"/>
      <c r="O136"/>
      <c r="P136"/>
      <c r="Q136"/>
      <c r="R136"/>
    </row>
    <row r="137" spans="3:18" s="1801" customFormat="1">
      <c r="E137"/>
      <c r="K137" s="1808"/>
      <c r="M137"/>
      <c r="N137"/>
      <c r="O137"/>
      <c r="P137"/>
      <c r="Q137"/>
      <c r="R137"/>
    </row>
    <row r="138" spans="3:18" s="1801" customFormat="1">
      <c r="E138"/>
      <c r="K138" s="1808"/>
      <c r="M138"/>
      <c r="N138"/>
      <c r="O138"/>
      <c r="P138"/>
      <c r="Q138"/>
      <c r="R138"/>
    </row>
    <row r="139" spans="3:18" s="1801" customFormat="1">
      <c r="E139"/>
      <c r="K139" s="1808"/>
      <c r="M139"/>
      <c r="N139"/>
      <c r="O139"/>
      <c r="P139"/>
      <c r="Q139"/>
      <c r="R139"/>
    </row>
    <row r="140" spans="3:18" s="1801" customFormat="1">
      <c r="E140"/>
      <c r="K140" s="1808"/>
      <c r="M140"/>
      <c r="N140"/>
      <c r="O140"/>
      <c r="P140"/>
      <c r="Q140"/>
      <c r="R140"/>
    </row>
    <row r="141" spans="3:18" s="1801" customFormat="1">
      <c r="E141"/>
      <c r="K141" s="1808"/>
      <c r="M141"/>
      <c r="N141"/>
      <c r="O141"/>
      <c r="P141"/>
      <c r="Q141"/>
      <c r="R141"/>
    </row>
    <row r="142" spans="3:18" s="1801" customFormat="1">
      <c r="E142"/>
      <c r="K142" s="1808"/>
      <c r="M142"/>
      <c r="N142"/>
      <c r="O142"/>
      <c r="P142"/>
      <c r="Q142"/>
      <c r="R142"/>
    </row>
    <row r="143" spans="3:18" s="1801" customFormat="1">
      <c r="E143"/>
      <c r="K143" s="1808"/>
      <c r="M143"/>
      <c r="N143"/>
      <c r="O143"/>
      <c r="P143"/>
      <c r="Q143"/>
      <c r="R143"/>
    </row>
    <row r="144" spans="3:18" s="1801" customFormat="1">
      <c r="E144"/>
      <c r="K144" s="1808"/>
      <c r="M144"/>
      <c r="N144"/>
      <c r="O144"/>
      <c r="P144"/>
      <c r="Q144"/>
      <c r="R144"/>
    </row>
    <row r="145" spans="5:18" s="1801" customFormat="1">
      <c r="E145"/>
      <c r="K145" s="1808"/>
      <c r="M145"/>
      <c r="N145"/>
      <c r="O145"/>
      <c r="P145"/>
      <c r="Q145"/>
      <c r="R145"/>
    </row>
    <row r="146" spans="5:18" s="1801" customFormat="1">
      <c r="E146"/>
      <c r="K146" s="1808"/>
      <c r="M146"/>
      <c r="N146"/>
      <c r="O146"/>
      <c r="P146"/>
      <c r="Q146"/>
      <c r="R146"/>
    </row>
    <row r="147" spans="5:18" s="1801" customFormat="1">
      <c r="E147"/>
      <c r="K147" s="1808"/>
      <c r="M147"/>
      <c r="N147"/>
      <c r="O147"/>
      <c r="P147"/>
      <c r="Q147"/>
      <c r="R147"/>
    </row>
    <row r="148" spans="5:18" s="1801" customFormat="1">
      <c r="E148"/>
      <c r="K148" s="1808"/>
      <c r="M148"/>
      <c r="N148"/>
      <c r="O148"/>
      <c r="P148"/>
      <c r="Q148"/>
      <c r="R148"/>
    </row>
    <row r="149" spans="5:18" s="1801" customFormat="1">
      <c r="E149"/>
      <c r="K149" s="1808"/>
      <c r="M149"/>
      <c r="N149"/>
      <c r="O149"/>
      <c r="P149"/>
      <c r="Q149"/>
      <c r="R149"/>
    </row>
    <row r="150" spans="5:18" s="1801" customFormat="1">
      <c r="E150"/>
      <c r="K150" s="1808"/>
      <c r="M150"/>
      <c r="N150"/>
      <c r="O150"/>
      <c r="P150"/>
      <c r="Q150"/>
      <c r="R150"/>
    </row>
    <row r="151" spans="5:18" s="1801" customFormat="1">
      <c r="E151"/>
      <c r="K151" s="1808"/>
      <c r="M151"/>
      <c r="N151"/>
      <c r="O151"/>
      <c r="P151"/>
      <c r="Q151"/>
      <c r="R151"/>
    </row>
    <row r="152" spans="5:18" s="1801" customFormat="1">
      <c r="E152"/>
      <c r="K152" s="1808"/>
      <c r="M152"/>
      <c r="N152"/>
      <c r="O152"/>
      <c r="P152"/>
      <c r="Q152"/>
      <c r="R152"/>
    </row>
    <row r="153" spans="5:18" s="1801" customFormat="1">
      <c r="E153"/>
      <c r="K153" s="1808"/>
      <c r="M153"/>
      <c r="N153"/>
      <c r="O153"/>
      <c r="P153"/>
      <c r="Q153"/>
      <c r="R153"/>
    </row>
    <row r="154" spans="5:18" s="1801" customFormat="1">
      <c r="E154"/>
      <c r="K154" s="1808"/>
      <c r="M154"/>
      <c r="N154"/>
      <c r="O154"/>
      <c r="P154"/>
      <c r="Q154"/>
      <c r="R154"/>
    </row>
    <row r="155" spans="5:18" s="1801" customFormat="1">
      <c r="E155"/>
      <c r="K155" s="1808"/>
      <c r="M155"/>
      <c r="N155"/>
      <c r="O155"/>
      <c r="P155"/>
      <c r="Q155"/>
      <c r="R155"/>
    </row>
    <row r="156" spans="5:18" s="1801" customFormat="1">
      <c r="E156"/>
      <c r="K156" s="1808"/>
      <c r="M156"/>
      <c r="N156"/>
      <c r="O156"/>
      <c r="P156"/>
      <c r="Q156"/>
      <c r="R156"/>
    </row>
    <row r="157" spans="5:18" s="1801" customFormat="1">
      <c r="E157"/>
      <c r="K157" s="1808"/>
      <c r="M157"/>
      <c r="N157"/>
      <c r="O157"/>
      <c r="P157"/>
      <c r="Q157"/>
      <c r="R157"/>
    </row>
    <row r="158" spans="5:18" s="1801" customFormat="1">
      <c r="E158"/>
      <c r="K158" s="1808"/>
      <c r="M158"/>
      <c r="N158"/>
      <c r="O158"/>
      <c r="P158"/>
      <c r="Q158"/>
      <c r="R158"/>
    </row>
    <row r="159" spans="5:18" s="1801" customFormat="1">
      <c r="E159"/>
      <c r="K159" s="1808"/>
      <c r="M159"/>
      <c r="N159"/>
      <c r="O159"/>
      <c r="P159"/>
      <c r="Q159"/>
      <c r="R159"/>
    </row>
    <row r="160" spans="5:18" s="1801" customFormat="1">
      <c r="E160"/>
      <c r="K160" s="1808"/>
      <c r="M160"/>
      <c r="N160"/>
      <c r="O160"/>
      <c r="P160"/>
      <c r="Q160"/>
      <c r="R160"/>
    </row>
    <row r="161" spans="5:18" s="1801" customFormat="1">
      <c r="E161"/>
      <c r="K161" s="1808"/>
      <c r="M161"/>
      <c r="N161"/>
      <c r="O161"/>
      <c r="P161"/>
      <c r="Q161"/>
      <c r="R161"/>
    </row>
    <row r="162" spans="5:18" s="1801" customFormat="1">
      <c r="E162"/>
      <c r="K162" s="1808"/>
      <c r="M162"/>
      <c r="N162"/>
      <c r="O162"/>
      <c r="P162"/>
      <c r="Q162"/>
      <c r="R162"/>
    </row>
    <row r="163" spans="5:18" s="1801" customFormat="1">
      <c r="E163"/>
      <c r="K163" s="1808"/>
      <c r="M163"/>
      <c r="N163"/>
      <c r="O163"/>
      <c r="P163"/>
      <c r="Q163"/>
      <c r="R163"/>
    </row>
    <row r="164" spans="5:18" s="1801" customFormat="1">
      <c r="E164"/>
      <c r="K164" s="1808"/>
      <c r="M164"/>
      <c r="N164"/>
      <c r="O164"/>
      <c r="P164"/>
      <c r="Q164"/>
      <c r="R164"/>
    </row>
    <row r="165" spans="5:18" s="1801" customFormat="1">
      <c r="E165"/>
      <c r="K165" s="1808"/>
      <c r="M165"/>
      <c r="N165"/>
      <c r="O165"/>
      <c r="P165"/>
      <c r="Q165"/>
      <c r="R165"/>
    </row>
    <row r="166" spans="5:18" s="1801" customFormat="1">
      <c r="E166"/>
      <c r="K166" s="1808"/>
      <c r="M166"/>
      <c r="N166"/>
      <c r="O166"/>
      <c r="P166"/>
      <c r="Q166"/>
      <c r="R166"/>
    </row>
    <row r="167" spans="5:18" s="1801" customFormat="1">
      <c r="K167" s="1808"/>
      <c r="M167"/>
      <c r="N167"/>
      <c r="O167"/>
      <c r="P167"/>
      <c r="Q167"/>
      <c r="R167"/>
    </row>
    <row r="168" spans="5:18" s="1801" customFormat="1">
      <c r="K168" s="1808"/>
      <c r="M168"/>
      <c r="N168"/>
      <c r="O168"/>
      <c r="P168"/>
      <c r="Q168"/>
      <c r="R168"/>
    </row>
    <row r="169" spans="5:18" s="1801" customFormat="1">
      <c r="K169" s="1808"/>
      <c r="M169"/>
      <c r="N169"/>
      <c r="O169"/>
      <c r="P169"/>
      <c r="Q169"/>
      <c r="R169"/>
    </row>
    <row r="170" spans="5:18" s="1801" customFormat="1">
      <c r="K170" s="1808"/>
      <c r="M170"/>
      <c r="N170"/>
      <c r="O170"/>
      <c r="P170"/>
      <c r="Q170"/>
      <c r="R170"/>
    </row>
    <row r="171" spans="5:18" s="1801" customFormat="1">
      <c r="K171" s="1808"/>
      <c r="M171"/>
      <c r="N171"/>
      <c r="O171"/>
      <c r="P171"/>
      <c r="Q171"/>
      <c r="R171"/>
    </row>
    <row r="172" spans="5:18" s="1801" customFormat="1">
      <c r="K172" s="1808"/>
      <c r="M172"/>
      <c r="N172"/>
      <c r="O172"/>
      <c r="P172"/>
      <c r="Q172"/>
      <c r="R172"/>
    </row>
    <row r="173" spans="5:18" s="1801" customFormat="1">
      <c r="K173" s="1808"/>
      <c r="M173"/>
      <c r="N173"/>
      <c r="O173"/>
      <c r="P173"/>
      <c r="Q173"/>
      <c r="R173"/>
    </row>
    <row r="174" spans="5:18" s="1801" customFormat="1">
      <c r="K174" s="1808"/>
      <c r="M174"/>
      <c r="N174"/>
      <c r="O174"/>
      <c r="P174"/>
      <c r="Q174"/>
      <c r="R174"/>
    </row>
    <row r="175" spans="5:18" s="1801" customFormat="1">
      <c r="K175" s="1808"/>
      <c r="M175"/>
      <c r="N175"/>
      <c r="O175"/>
      <c r="P175"/>
      <c r="Q175"/>
      <c r="R175"/>
    </row>
    <row r="176" spans="5:18" s="1801" customFormat="1">
      <c r="K176" s="1808"/>
      <c r="M176"/>
      <c r="N176"/>
      <c r="O176"/>
      <c r="P176"/>
      <c r="Q176"/>
      <c r="R176"/>
    </row>
    <row r="177" spans="11:18" s="1801" customFormat="1">
      <c r="K177" s="1808"/>
      <c r="M177"/>
      <c r="N177"/>
      <c r="O177"/>
      <c r="P177"/>
      <c r="Q177"/>
      <c r="R177"/>
    </row>
    <row r="178" spans="11:18" s="1801" customFormat="1">
      <c r="K178" s="1808"/>
      <c r="M178"/>
      <c r="N178"/>
      <c r="O178"/>
      <c r="P178"/>
      <c r="Q178"/>
      <c r="R178"/>
    </row>
    <row r="179" spans="11:18" s="1801" customFormat="1">
      <c r="K179" s="1808"/>
      <c r="M179"/>
      <c r="N179"/>
      <c r="O179"/>
      <c r="P179"/>
      <c r="Q179"/>
      <c r="R179"/>
    </row>
    <row r="180" spans="11:18" s="1801" customFormat="1">
      <c r="K180" s="1808"/>
      <c r="M180"/>
      <c r="N180"/>
      <c r="O180"/>
      <c r="P180"/>
      <c r="Q180"/>
      <c r="R180"/>
    </row>
    <row r="181" spans="11:18" s="1801" customFormat="1">
      <c r="K181" s="1808"/>
      <c r="M181"/>
      <c r="N181"/>
      <c r="O181"/>
      <c r="P181"/>
      <c r="Q181"/>
      <c r="R181"/>
    </row>
    <row r="182" spans="11:18" s="1801" customFormat="1">
      <c r="K182" s="1808"/>
      <c r="M182"/>
      <c r="N182"/>
      <c r="O182"/>
      <c r="P182"/>
      <c r="Q182"/>
      <c r="R182"/>
    </row>
    <row r="183" spans="11:18" s="1801" customFormat="1">
      <c r="K183" s="1808"/>
      <c r="M183"/>
      <c r="N183"/>
      <c r="O183"/>
      <c r="P183"/>
      <c r="Q183"/>
      <c r="R183"/>
    </row>
    <row r="184" spans="11:18" s="1801" customFormat="1">
      <c r="K184" s="1808"/>
      <c r="M184"/>
      <c r="N184"/>
      <c r="O184"/>
      <c r="P184"/>
      <c r="Q184"/>
      <c r="R184"/>
    </row>
    <row r="185" spans="11:18" s="1801" customFormat="1">
      <c r="K185" s="1808"/>
      <c r="M185"/>
      <c r="N185"/>
      <c r="O185"/>
      <c r="P185"/>
      <c r="Q185"/>
      <c r="R185"/>
    </row>
    <row r="186" spans="11:18" s="1801" customFormat="1">
      <c r="K186" s="1808"/>
      <c r="M186"/>
      <c r="N186"/>
      <c r="O186"/>
      <c r="P186"/>
      <c r="Q186"/>
      <c r="R186"/>
    </row>
    <row r="187" spans="11:18" s="1801" customFormat="1">
      <c r="K187" s="1808"/>
      <c r="M187"/>
      <c r="N187"/>
      <c r="O187"/>
      <c r="P187"/>
      <c r="Q187"/>
      <c r="R187"/>
    </row>
    <row r="188" spans="11:18" s="1801" customFormat="1">
      <c r="K188" s="1808"/>
      <c r="M188"/>
      <c r="N188"/>
      <c r="O188"/>
      <c r="P188"/>
      <c r="Q188"/>
      <c r="R188"/>
    </row>
    <row r="189" spans="11:18" s="1801" customFormat="1">
      <c r="K189" s="1808"/>
      <c r="M189"/>
      <c r="N189"/>
      <c r="O189"/>
      <c r="P189"/>
      <c r="Q189"/>
      <c r="R189"/>
    </row>
    <row r="190" spans="11:18" s="1801" customFormat="1">
      <c r="K190" s="1808"/>
      <c r="M190"/>
      <c r="N190"/>
      <c r="O190"/>
      <c r="P190"/>
      <c r="Q190"/>
      <c r="R190"/>
    </row>
    <row r="191" spans="11:18" s="1801" customFormat="1">
      <c r="K191" s="1808"/>
      <c r="M191"/>
      <c r="N191"/>
      <c r="O191"/>
      <c r="P191"/>
      <c r="Q191"/>
      <c r="R191"/>
    </row>
    <row r="192" spans="11:18" s="1801" customFormat="1">
      <c r="K192" s="1808"/>
      <c r="M192"/>
      <c r="N192"/>
      <c r="O192"/>
      <c r="P192"/>
      <c r="Q192"/>
      <c r="R192"/>
    </row>
    <row r="193" spans="11:18" s="1801" customFormat="1">
      <c r="K193" s="1808"/>
      <c r="M193"/>
      <c r="N193"/>
      <c r="O193"/>
      <c r="P193"/>
      <c r="Q193"/>
      <c r="R193"/>
    </row>
    <row r="194" spans="11:18" s="1801" customFormat="1">
      <c r="K194" s="1808"/>
      <c r="M194"/>
      <c r="N194"/>
      <c r="O194"/>
      <c r="P194"/>
      <c r="Q194"/>
      <c r="R194"/>
    </row>
    <row r="195" spans="11:18" s="1801" customFormat="1">
      <c r="K195" s="1808"/>
      <c r="M195"/>
      <c r="N195"/>
      <c r="O195"/>
      <c r="P195"/>
      <c r="Q195"/>
      <c r="R195"/>
    </row>
    <row r="196" spans="11:18" s="1801" customFormat="1">
      <c r="K196" s="1808"/>
      <c r="M196"/>
      <c r="N196"/>
      <c r="O196"/>
      <c r="P196"/>
      <c r="Q196"/>
      <c r="R196"/>
    </row>
    <row r="197" spans="11:18" s="1801" customFormat="1">
      <c r="K197" s="1808"/>
      <c r="M197"/>
      <c r="N197"/>
      <c r="O197"/>
      <c r="P197"/>
      <c r="Q197"/>
      <c r="R197"/>
    </row>
    <row r="198" spans="11:18" s="1801" customFormat="1">
      <c r="K198" s="1808"/>
      <c r="M198"/>
      <c r="N198"/>
      <c r="O198"/>
      <c r="P198"/>
      <c r="Q198"/>
      <c r="R198"/>
    </row>
    <row r="199" spans="11:18" s="1801" customFormat="1">
      <c r="K199" s="1808"/>
      <c r="M199"/>
      <c r="N199"/>
      <c r="O199"/>
      <c r="P199"/>
      <c r="Q199"/>
      <c r="R199"/>
    </row>
    <row r="200" spans="11:18" s="1801" customFormat="1">
      <c r="K200" s="1808"/>
      <c r="M200"/>
      <c r="N200"/>
      <c r="O200"/>
      <c r="P200"/>
      <c r="Q200"/>
      <c r="R200"/>
    </row>
    <row r="201" spans="11:18" s="1801" customFormat="1">
      <c r="K201" s="1808"/>
      <c r="M201"/>
      <c r="N201"/>
      <c r="O201"/>
      <c r="P201"/>
      <c r="Q201"/>
      <c r="R201"/>
    </row>
    <row r="202" spans="11:18" s="1801" customFormat="1">
      <c r="K202" s="1808"/>
      <c r="M202"/>
      <c r="N202"/>
      <c r="O202"/>
      <c r="P202"/>
      <c r="Q202"/>
      <c r="R202"/>
    </row>
    <row r="203" spans="11:18" s="1801" customFormat="1">
      <c r="K203" s="1808"/>
      <c r="M203"/>
      <c r="N203"/>
      <c r="O203"/>
      <c r="P203"/>
      <c r="Q203"/>
      <c r="R203"/>
    </row>
    <row r="204" spans="11:18" s="1801" customFormat="1">
      <c r="K204" s="1808"/>
      <c r="M204"/>
      <c r="N204"/>
      <c r="O204"/>
      <c r="P204"/>
      <c r="Q204"/>
      <c r="R204"/>
    </row>
    <row r="205" spans="11:18" s="1801" customFormat="1">
      <c r="K205" s="1808"/>
      <c r="M205"/>
      <c r="N205"/>
      <c r="O205"/>
      <c r="P205"/>
      <c r="Q205"/>
      <c r="R205"/>
    </row>
    <row r="206" spans="11:18" s="1801" customFormat="1">
      <c r="K206" s="1808"/>
      <c r="M206"/>
      <c r="N206"/>
      <c r="O206"/>
      <c r="P206"/>
      <c r="Q206"/>
      <c r="R206"/>
    </row>
    <row r="207" spans="11:18" s="1801" customFormat="1">
      <c r="K207" s="1808"/>
      <c r="M207"/>
      <c r="N207"/>
      <c r="O207"/>
      <c r="P207"/>
      <c r="Q207"/>
      <c r="R207"/>
    </row>
    <row r="208" spans="11:18" s="1801" customFormat="1">
      <c r="K208" s="1808"/>
      <c r="M208"/>
      <c r="N208"/>
      <c r="O208"/>
      <c r="P208"/>
      <c r="Q208"/>
      <c r="R208"/>
    </row>
    <row r="209" spans="11:18" s="1801" customFormat="1">
      <c r="K209" s="1808"/>
      <c r="M209"/>
      <c r="N209"/>
      <c r="O209"/>
      <c r="P209"/>
      <c r="Q209"/>
      <c r="R209"/>
    </row>
    <row r="210" spans="11:18" s="1801" customFormat="1">
      <c r="K210" s="1808"/>
      <c r="M210"/>
      <c r="N210"/>
      <c r="O210"/>
      <c r="P210"/>
      <c r="Q210"/>
      <c r="R210"/>
    </row>
    <row r="211" spans="11:18" s="1801" customFormat="1">
      <c r="K211" s="1808"/>
      <c r="M211"/>
      <c r="N211"/>
      <c r="O211"/>
      <c r="P211"/>
      <c r="Q211"/>
      <c r="R211"/>
    </row>
    <row r="212" spans="11:18" s="1801" customFormat="1">
      <c r="K212" s="1808"/>
      <c r="M212"/>
      <c r="N212"/>
      <c r="O212"/>
      <c r="P212"/>
      <c r="Q212"/>
      <c r="R212"/>
    </row>
    <row r="213" spans="11:18" s="1801" customFormat="1">
      <c r="K213" s="1808"/>
      <c r="M213"/>
      <c r="N213"/>
      <c r="O213"/>
      <c r="P213"/>
      <c r="Q213"/>
      <c r="R213"/>
    </row>
    <row r="214" spans="11:18" s="1801" customFormat="1">
      <c r="K214" s="1808"/>
      <c r="M214"/>
      <c r="N214"/>
      <c r="O214"/>
      <c r="P214"/>
      <c r="Q214"/>
      <c r="R214"/>
    </row>
    <row r="215" spans="11:18" s="1801" customFormat="1">
      <c r="K215" s="1808"/>
      <c r="M215"/>
      <c r="N215"/>
      <c r="O215"/>
      <c r="P215"/>
      <c r="Q215"/>
      <c r="R215"/>
    </row>
    <row r="216" spans="11:18" s="1801" customFormat="1">
      <c r="K216" s="1808"/>
      <c r="M216"/>
      <c r="N216"/>
      <c r="O216"/>
      <c r="P216"/>
      <c r="Q216"/>
      <c r="R216"/>
    </row>
    <row r="217" spans="11:18" s="1801" customFormat="1">
      <c r="K217" s="1808"/>
      <c r="M217"/>
      <c r="N217"/>
      <c r="O217"/>
      <c r="P217"/>
      <c r="Q217"/>
      <c r="R217"/>
    </row>
    <row r="218" spans="11:18" s="1801" customFormat="1">
      <c r="K218" s="1808"/>
      <c r="M218"/>
      <c r="N218"/>
      <c r="O218"/>
      <c r="P218"/>
      <c r="Q218"/>
      <c r="R218"/>
    </row>
    <row r="219" spans="11:18" s="1801" customFormat="1">
      <c r="K219" s="1808"/>
      <c r="M219"/>
      <c r="N219"/>
      <c r="O219"/>
      <c r="P219"/>
      <c r="Q219"/>
      <c r="R219"/>
    </row>
    <row r="220" spans="11:18" s="1801" customFormat="1">
      <c r="K220" s="1808"/>
      <c r="M220"/>
      <c r="N220"/>
      <c r="O220"/>
      <c r="P220"/>
      <c r="Q220"/>
      <c r="R220"/>
    </row>
    <row r="221" spans="11:18" s="1801" customFormat="1">
      <c r="K221" s="1808"/>
      <c r="M221"/>
      <c r="N221"/>
      <c r="O221"/>
      <c r="P221"/>
      <c r="Q221"/>
      <c r="R221"/>
    </row>
    <row r="222" spans="11:18" s="1801" customFormat="1">
      <c r="K222" s="1808"/>
      <c r="M222"/>
      <c r="N222"/>
      <c r="O222"/>
      <c r="P222"/>
      <c r="Q222"/>
      <c r="R222"/>
    </row>
    <row r="223" spans="11:18" s="1801" customFormat="1">
      <c r="K223" s="1808"/>
      <c r="M223"/>
      <c r="N223"/>
      <c r="O223"/>
      <c r="P223"/>
      <c r="Q223"/>
      <c r="R223"/>
    </row>
    <row r="224" spans="11:18" s="1801" customFormat="1">
      <c r="K224" s="1808"/>
      <c r="M224"/>
      <c r="N224"/>
      <c r="O224"/>
      <c r="P224"/>
      <c r="Q224"/>
      <c r="R224"/>
    </row>
    <row r="225" spans="11:18" s="1801" customFormat="1">
      <c r="K225" s="1808"/>
      <c r="M225"/>
      <c r="N225"/>
      <c r="O225"/>
      <c r="P225"/>
      <c r="Q225"/>
      <c r="R225"/>
    </row>
    <row r="226" spans="11:18" s="1801" customFormat="1">
      <c r="K226" s="1808"/>
      <c r="M226"/>
      <c r="N226"/>
      <c r="O226"/>
      <c r="P226"/>
      <c r="Q226"/>
      <c r="R226"/>
    </row>
    <row r="227" spans="11:18" s="1801" customFormat="1">
      <c r="K227" s="1808"/>
      <c r="M227"/>
      <c r="N227"/>
      <c r="O227"/>
      <c r="P227"/>
      <c r="Q227"/>
      <c r="R227"/>
    </row>
    <row r="228" spans="11:18" s="1801" customFormat="1">
      <c r="K228" s="1808"/>
      <c r="M228"/>
      <c r="N228"/>
      <c r="O228"/>
      <c r="P228"/>
      <c r="Q228"/>
      <c r="R228"/>
    </row>
    <row r="229" spans="11:18" s="1801" customFormat="1">
      <c r="K229" s="1808"/>
      <c r="M229"/>
      <c r="N229"/>
      <c r="O229"/>
      <c r="P229"/>
      <c r="Q229"/>
      <c r="R229"/>
    </row>
    <row r="230" spans="11:18" s="1801" customFormat="1">
      <c r="K230" s="1808"/>
      <c r="M230"/>
      <c r="N230"/>
      <c r="O230"/>
      <c r="P230"/>
      <c r="Q230"/>
      <c r="R230"/>
    </row>
    <row r="231" spans="11:18" s="1801" customFormat="1">
      <c r="K231" s="1808"/>
      <c r="M231"/>
      <c r="N231"/>
      <c r="O231"/>
      <c r="P231"/>
      <c r="Q231"/>
      <c r="R231"/>
    </row>
    <row r="232" spans="11:18" s="1801" customFormat="1">
      <c r="K232" s="1808"/>
      <c r="M232"/>
      <c r="N232"/>
      <c r="O232"/>
      <c r="P232"/>
      <c r="Q232"/>
      <c r="R232"/>
    </row>
    <row r="233" spans="11:18" s="1801" customFormat="1">
      <c r="K233" s="1808"/>
      <c r="M233"/>
      <c r="N233"/>
      <c r="O233"/>
      <c r="P233"/>
      <c r="Q233"/>
      <c r="R233"/>
    </row>
    <row r="234" spans="11:18" s="1801" customFormat="1">
      <c r="K234" s="1808"/>
      <c r="M234"/>
      <c r="N234"/>
      <c r="O234"/>
      <c r="P234"/>
      <c r="Q234"/>
      <c r="R234"/>
    </row>
    <row r="235" spans="11:18" s="1801" customFormat="1">
      <c r="K235" s="1808"/>
      <c r="M235"/>
      <c r="N235"/>
      <c r="O235"/>
      <c r="P235"/>
      <c r="Q235"/>
      <c r="R235"/>
    </row>
    <row r="236" spans="11:18" s="1801" customFormat="1">
      <c r="K236" s="1808"/>
      <c r="M236"/>
      <c r="N236"/>
      <c r="O236"/>
      <c r="P236"/>
      <c r="Q236"/>
      <c r="R236"/>
    </row>
    <row r="237" spans="11:18" s="1801" customFormat="1">
      <c r="K237" s="1808"/>
      <c r="M237"/>
      <c r="N237"/>
      <c r="O237"/>
      <c r="P237"/>
      <c r="Q237"/>
      <c r="R237"/>
    </row>
    <row r="238" spans="11:18" s="1801" customFormat="1">
      <c r="K238" s="1808"/>
      <c r="M238"/>
      <c r="N238"/>
      <c r="O238"/>
      <c r="P238"/>
      <c r="Q238"/>
      <c r="R238"/>
    </row>
    <row r="239" spans="11:18" s="1801" customFormat="1">
      <c r="K239" s="1808"/>
      <c r="M239"/>
      <c r="N239"/>
      <c r="O239"/>
      <c r="P239"/>
      <c r="Q239"/>
      <c r="R239"/>
    </row>
    <row r="240" spans="11:18" s="1801" customFormat="1">
      <c r="K240" s="1808"/>
      <c r="M240"/>
      <c r="N240"/>
      <c r="O240"/>
      <c r="P240"/>
      <c r="Q240"/>
      <c r="R240"/>
    </row>
    <row r="241" spans="11:18" s="1801" customFormat="1">
      <c r="K241" s="1808"/>
      <c r="M241"/>
      <c r="N241"/>
      <c r="O241"/>
      <c r="P241"/>
      <c r="Q241"/>
      <c r="R241"/>
    </row>
    <row r="242" spans="11:18" s="1801" customFormat="1">
      <c r="K242" s="1808"/>
      <c r="M242"/>
      <c r="N242"/>
      <c r="O242"/>
      <c r="P242"/>
      <c r="Q242"/>
      <c r="R242"/>
    </row>
    <row r="243" spans="11:18" s="1801" customFormat="1">
      <c r="K243" s="1808"/>
      <c r="M243"/>
      <c r="N243"/>
      <c r="O243"/>
      <c r="P243"/>
      <c r="Q243"/>
      <c r="R243"/>
    </row>
    <row r="244" spans="11:18" s="1801" customFormat="1">
      <c r="K244" s="1808"/>
      <c r="M244"/>
      <c r="N244"/>
      <c r="O244"/>
      <c r="P244"/>
      <c r="Q244"/>
      <c r="R244"/>
    </row>
    <row r="245" spans="11:18" s="1801" customFormat="1">
      <c r="K245" s="1808"/>
      <c r="M245"/>
      <c r="N245"/>
      <c r="O245"/>
      <c r="P245"/>
      <c r="Q245"/>
      <c r="R245"/>
    </row>
    <row r="246" spans="11:18" s="1801" customFormat="1">
      <c r="K246" s="1808"/>
      <c r="M246"/>
      <c r="N246"/>
      <c r="O246"/>
      <c r="P246"/>
      <c r="Q246"/>
      <c r="R246"/>
    </row>
    <row r="247" spans="11:18" s="1801" customFormat="1">
      <c r="K247" s="1808"/>
      <c r="M247"/>
      <c r="N247"/>
      <c r="O247"/>
      <c r="P247"/>
      <c r="Q247"/>
      <c r="R247"/>
    </row>
    <row r="248" spans="11:18" s="1801" customFormat="1">
      <c r="K248" s="1808"/>
      <c r="M248"/>
      <c r="N248"/>
      <c r="O248"/>
      <c r="P248"/>
      <c r="Q248"/>
      <c r="R248"/>
    </row>
    <row r="249" spans="11:18" s="1801" customFormat="1">
      <c r="K249" s="1808"/>
      <c r="M249"/>
      <c r="N249"/>
      <c r="O249"/>
      <c r="P249"/>
      <c r="Q249"/>
      <c r="R249"/>
    </row>
    <row r="250" spans="11:18" s="1801" customFormat="1">
      <c r="K250" s="1808"/>
      <c r="M250"/>
      <c r="N250"/>
      <c r="O250"/>
      <c r="P250"/>
      <c r="Q250"/>
      <c r="R250"/>
    </row>
    <row r="251" spans="11:18" s="1801" customFormat="1">
      <c r="K251" s="1808"/>
      <c r="M251"/>
      <c r="N251"/>
      <c r="O251"/>
      <c r="P251"/>
      <c r="Q251"/>
      <c r="R251"/>
    </row>
    <row r="252" spans="11:18" s="1801" customFormat="1">
      <c r="K252" s="1808"/>
      <c r="M252"/>
      <c r="N252"/>
      <c r="O252"/>
      <c r="P252"/>
      <c r="Q252"/>
      <c r="R252"/>
    </row>
    <row r="253" spans="11:18" s="1801" customFormat="1">
      <c r="K253" s="1808"/>
      <c r="M253"/>
      <c r="N253"/>
      <c r="O253"/>
      <c r="P253"/>
      <c r="Q253"/>
      <c r="R253"/>
    </row>
    <row r="254" spans="11:18" s="1801" customFormat="1">
      <c r="K254" s="1808"/>
      <c r="M254"/>
      <c r="N254"/>
      <c r="O254"/>
      <c r="P254"/>
      <c r="Q254"/>
      <c r="R254"/>
    </row>
    <row r="255" spans="11:18" s="1801" customFormat="1">
      <c r="K255" s="1808"/>
      <c r="M255"/>
      <c r="N255"/>
      <c r="O255"/>
      <c r="P255"/>
      <c r="Q255"/>
      <c r="R255"/>
    </row>
    <row r="256" spans="11:18" s="1801" customFormat="1">
      <c r="K256" s="1808"/>
      <c r="M256"/>
      <c r="N256"/>
      <c r="O256"/>
      <c r="P256"/>
      <c r="Q256"/>
      <c r="R256"/>
    </row>
    <row r="257" spans="11:18" s="1801" customFormat="1">
      <c r="K257" s="1808"/>
      <c r="M257"/>
      <c r="N257"/>
      <c r="O257"/>
      <c r="P257"/>
      <c r="Q257"/>
      <c r="R257"/>
    </row>
    <row r="258" spans="11:18" s="1801" customFormat="1">
      <c r="K258" s="1808"/>
      <c r="M258"/>
      <c r="N258"/>
      <c r="O258"/>
      <c r="P258"/>
      <c r="Q258"/>
      <c r="R258"/>
    </row>
    <row r="259" spans="11:18" s="1801" customFormat="1">
      <c r="K259" s="1808"/>
      <c r="M259"/>
      <c r="N259"/>
      <c r="O259"/>
      <c r="P259"/>
      <c r="Q259"/>
      <c r="R259"/>
    </row>
    <row r="260" spans="11:18" s="1801" customFormat="1">
      <c r="K260" s="1808"/>
      <c r="M260"/>
      <c r="N260"/>
      <c r="O260"/>
      <c r="P260"/>
      <c r="Q260"/>
      <c r="R260"/>
    </row>
    <row r="261" spans="11:18" s="1801" customFormat="1">
      <c r="K261" s="1808"/>
      <c r="M261"/>
      <c r="N261"/>
      <c r="O261"/>
      <c r="P261"/>
      <c r="Q261"/>
      <c r="R261"/>
    </row>
    <row r="262" spans="11:18" s="1801" customFormat="1">
      <c r="K262" s="1808"/>
      <c r="M262"/>
      <c r="N262"/>
      <c r="O262"/>
      <c r="P262"/>
      <c r="Q262"/>
      <c r="R262"/>
    </row>
    <row r="263" spans="11:18" s="1801" customFormat="1">
      <c r="K263" s="1808"/>
      <c r="M263"/>
      <c r="N263"/>
      <c r="O263"/>
      <c r="P263"/>
      <c r="Q263"/>
      <c r="R263"/>
    </row>
    <row r="264" spans="11:18" s="1801" customFormat="1">
      <c r="K264" s="1808"/>
      <c r="M264"/>
      <c r="N264"/>
      <c r="O264"/>
      <c r="P264"/>
      <c r="Q264"/>
      <c r="R264"/>
    </row>
    <row r="265" spans="11:18" s="1801" customFormat="1">
      <c r="K265" s="1808"/>
      <c r="M265"/>
      <c r="N265"/>
      <c r="O265"/>
      <c r="P265"/>
      <c r="Q265"/>
      <c r="R265"/>
    </row>
    <row r="266" spans="11:18" s="1801" customFormat="1">
      <c r="K266" s="1808"/>
      <c r="M266"/>
      <c r="N266"/>
      <c r="O266"/>
      <c r="P266"/>
      <c r="Q266"/>
      <c r="R266"/>
    </row>
    <row r="267" spans="11:18" s="1801" customFormat="1">
      <c r="K267" s="1808"/>
      <c r="M267"/>
      <c r="N267"/>
      <c r="O267"/>
      <c r="P267"/>
      <c r="Q267"/>
      <c r="R267"/>
    </row>
    <row r="268" spans="11:18" s="1801" customFormat="1">
      <c r="K268" s="1808"/>
      <c r="M268"/>
      <c r="N268"/>
      <c r="O268"/>
      <c r="P268"/>
      <c r="Q268"/>
      <c r="R268"/>
    </row>
    <row r="269" spans="11:18" s="1801" customFormat="1">
      <c r="K269" s="1808"/>
      <c r="M269"/>
      <c r="N269"/>
      <c r="O269"/>
      <c r="P269"/>
      <c r="Q269"/>
      <c r="R269"/>
    </row>
    <row r="270" spans="11:18" s="1801" customFormat="1">
      <c r="K270" s="1808"/>
      <c r="M270"/>
      <c r="N270"/>
      <c r="O270"/>
      <c r="P270"/>
      <c r="Q270"/>
      <c r="R270"/>
    </row>
    <row r="271" spans="11:18" s="1801" customFormat="1">
      <c r="K271" s="1808"/>
      <c r="M271"/>
      <c r="N271"/>
      <c r="O271"/>
      <c r="P271"/>
      <c r="Q271"/>
      <c r="R271"/>
    </row>
    <row r="272" spans="11:18" s="1801" customFormat="1">
      <c r="K272" s="1808"/>
      <c r="M272"/>
      <c r="N272"/>
      <c r="O272"/>
      <c r="P272"/>
      <c r="Q272"/>
      <c r="R272"/>
    </row>
    <row r="273" spans="11:18" s="1801" customFormat="1">
      <c r="K273" s="1808"/>
      <c r="M273"/>
      <c r="N273"/>
      <c r="O273"/>
      <c r="P273"/>
      <c r="Q273"/>
      <c r="R273"/>
    </row>
    <row r="274" spans="11:18" s="1801" customFormat="1">
      <c r="K274" s="1808"/>
      <c r="M274"/>
      <c r="N274"/>
      <c r="O274"/>
      <c r="P274"/>
      <c r="Q274"/>
      <c r="R274"/>
    </row>
    <row r="275" spans="11:18" s="1801" customFormat="1">
      <c r="K275" s="1808"/>
      <c r="M275"/>
      <c r="N275"/>
      <c r="O275"/>
      <c r="P275"/>
      <c r="Q275"/>
      <c r="R275"/>
    </row>
    <row r="276" spans="11:18" s="1801" customFormat="1">
      <c r="K276" s="1808"/>
      <c r="M276"/>
      <c r="N276"/>
      <c r="O276"/>
      <c r="P276"/>
      <c r="Q276"/>
      <c r="R276"/>
    </row>
    <row r="277" spans="11:18" s="1801" customFormat="1">
      <c r="K277" s="1808"/>
      <c r="M277"/>
      <c r="N277"/>
      <c r="O277"/>
      <c r="P277"/>
      <c r="Q277"/>
      <c r="R277"/>
    </row>
    <row r="278" spans="11:18" s="1801" customFormat="1">
      <c r="K278" s="1808"/>
      <c r="M278"/>
      <c r="N278"/>
      <c r="O278"/>
      <c r="P278"/>
      <c r="Q278"/>
      <c r="R278"/>
    </row>
    <row r="279" spans="11:18" s="1801" customFormat="1">
      <c r="K279" s="1808"/>
      <c r="M279"/>
      <c r="N279"/>
      <c r="O279"/>
      <c r="P279"/>
      <c r="Q279"/>
      <c r="R279"/>
    </row>
    <row r="280" spans="11:18" s="1801" customFormat="1">
      <c r="K280" s="1808"/>
      <c r="M280"/>
      <c r="N280"/>
      <c r="O280"/>
      <c r="P280"/>
      <c r="Q280"/>
      <c r="R280"/>
    </row>
    <row r="281" spans="11:18" s="1801" customFormat="1">
      <c r="K281" s="1808"/>
      <c r="M281"/>
      <c r="N281"/>
      <c r="O281"/>
      <c r="P281"/>
      <c r="Q281"/>
      <c r="R281"/>
    </row>
    <row r="282" spans="11:18" s="1801" customFormat="1">
      <c r="K282" s="1808"/>
      <c r="M282"/>
      <c r="N282"/>
      <c r="O282"/>
      <c r="P282"/>
      <c r="Q282"/>
      <c r="R282"/>
    </row>
    <row r="283" spans="11:18" s="1801" customFormat="1">
      <c r="K283" s="1808"/>
      <c r="M283"/>
      <c r="N283"/>
      <c r="O283"/>
      <c r="P283"/>
      <c r="Q283"/>
      <c r="R283"/>
    </row>
    <row r="284" spans="11:18" s="1801" customFormat="1">
      <c r="K284" s="1808"/>
      <c r="M284"/>
      <c r="N284"/>
      <c r="O284"/>
      <c r="P284"/>
      <c r="Q284"/>
      <c r="R284"/>
    </row>
    <row r="285" spans="11:18" s="1801" customFormat="1">
      <c r="K285" s="1808"/>
      <c r="M285"/>
      <c r="N285"/>
      <c r="O285"/>
      <c r="P285"/>
      <c r="Q285"/>
      <c r="R285"/>
    </row>
    <row r="286" spans="11:18" s="1801" customFormat="1">
      <c r="K286" s="1808"/>
      <c r="M286"/>
      <c r="N286"/>
      <c r="O286"/>
      <c r="P286"/>
      <c r="Q286"/>
      <c r="R286"/>
    </row>
    <row r="287" spans="11:18" s="1801" customFormat="1">
      <c r="K287" s="1808"/>
      <c r="M287"/>
      <c r="N287"/>
      <c r="O287"/>
      <c r="P287"/>
      <c r="Q287"/>
      <c r="R287"/>
    </row>
    <row r="288" spans="11:18" s="1801" customFormat="1">
      <c r="K288" s="1808"/>
      <c r="M288"/>
      <c r="N288"/>
      <c r="O288"/>
      <c r="P288"/>
      <c r="Q288"/>
      <c r="R288"/>
    </row>
    <row r="289" spans="11:18" s="1801" customFormat="1">
      <c r="K289" s="1808"/>
      <c r="M289"/>
      <c r="N289"/>
      <c r="O289"/>
      <c r="P289"/>
      <c r="Q289"/>
      <c r="R289"/>
    </row>
    <row r="290" spans="11:18" s="1801" customFormat="1">
      <c r="K290" s="1808"/>
      <c r="M290"/>
      <c r="N290"/>
      <c r="O290"/>
      <c r="P290"/>
      <c r="Q290"/>
      <c r="R290"/>
    </row>
    <row r="291" spans="11:18" s="1801" customFormat="1">
      <c r="K291" s="1808"/>
      <c r="M291"/>
      <c r="N291"/>
      <c r="O291"/>
      <c r="P291"/>
      <c r="Q291"/>
      <c r="R291"/>
    </row>
    <row r="292" spans="11:18" s="1801" customFormat="1">
      <c r="K292" s="1808"/>
      <c r="M292"/>
      <c r="N292"/>
      <c r="O292"/>
      <c r="P292"/>
      <c r="Q292"/>
      <c r="R292"/>
    </row>
    <row r="293" spans="11:18" s="1801" customFormat="1">
      <c r="K293" s="1808"/>
      <c r="M293"/>
      <c r="N293"/>
      <c r="O293"/>
      <c r="P293"/>
      <c r="Q293"/>
      <c r="R293"/>
    </row>
    <row r="294" spans="11:18" s="1801" customFormat="1">
      <c r="K294" s="1808"/>
      <c r="M294"/>
      <c r="N294"/>
      <c r="O294"/>
      <c r="P294"/>
      <c r="Q294"/>
      <c r="R294"/>
    </row>
    <row r="295" spans="11:18" s="1801" customFormat="1">
      <c r="K295" s="1808"/>
      <c r="M295"/>
      <c r="N295"/>
      <c r="O295"/>
      <c r="P295"/>
      <c r="Q295"/>
      <c r="R295"/>
    </row>
    <row r="296" spans="11:18" s="1801" customFormat="1">
      <c r="K296" s="1808"/>
      <c r="M296"/>
      <c r="N296"/>
      <c r="O296"/>
      <c r="P296"/>
      <c r="Q296"/>
      <c r="R296"/>
    </row>
    <row r="297" spans="11:18" s="1801" customFormat="1">
      <c r="K297" s="1808"/>
      <c r="M297"/>
      <c r="N297"/>
      <c r="O297"/>
      <c r="P297"/>
      <c r="Q297"/>
      <c r="R297"/>
    </row>
  </sheetData>
  <mergeCells count="14">
    <mergeCell ref="O6:Q6"/>
    <mergeCell ref="S6:S16"/>
    <mergeCell ref="B7:D7"/>
    <mergeCell ref="E7:H7"/>
    <mergeCell ref="J7:Q7"/>
    <mergeCell ref="B8:D8"/>
    <mergeCell ref="E8:H8"/>
    <mergeCell ref="J8:Q8"/>
    <mergeCell ref="A1:I1"/>
    <mergeCell ref="A2:I2"/>
    <mergeCell ref="A3:I3"/>
    <mergeCell ref="J3:S3"/>
    <mergeCell ref="A4:I4"/>
    <mergeCell ref="J4:S4"/>
  </mergeCells>
  <printOptions horizontalCentered="1" verticalCentered="1"/>
  <pageMargins left="0.62992125984251968" right="0.62992125984251968" top="0" bottom="0" header="0" footer="0.51181102362204722"/>
  <pageSetup paperSize="9" scale="50" orientation="portrait" r:id="rId1"/>
  <headerFooter alignWithMargins="0">
    <oddFooter>&amp;C&amp;"+,Regular"&amp;22 -3-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32"/>
  <sheetViews>
    <sheetView zoomScale="75" zoomScaleNormal="75" workbookViewId="0">
      <selection activeCell="J81" sqref="J81"/>
    </sheetView>
  </sheetViews>
  <sheetFormatPr defaultColWidth="9.42578125" defaultRowHeight="20.25"/>
  <cols>
    <col min="1" max="1" width="12.140625" style="1801" bestFit="1" customWidth="1"/>
    <col min="2" max="2" width="9.85546875" style="1174" customWidth="1"/>
    <col min="3" max="3" width="14.85546875" style="2688" customWidth="1"/>
    <col min="4" max="4" width="14.85546875" style="2688" bestFit="1" customWidth="1"/>
    <col min="5" max="6" width="17.42578125" style="1192" bestFit="1" customWidth="1"/>
    <col min="7" max="7" width="14.5703125" style="1192" customWidth="1"/>
    <col min="8" max="8" width="14.5703125" style="1192" bestFit="1" customWidth="1"/>
    <col min="9" max="9" width="15.7109375" style="1192" customWidth="1"/>
    <col min="10" max="10" width="14.42578125" style="1192" bestFit="1" customWidth="1"/>
    <col min="11" max="11" width="15.5703125" style="1192" bestFit="1" customWidth="1"/>
    <col min="12" max="12" width="15.85546875" style="1192" customWidth="1"/>
    <col min="13" max="13" width="17.5703125" style="1192" customWidth="1"/>
    <col min="14" max="14" width="1.42578125" style="1192" customWidth="1"/>
    <col min="15" max="15" width="10.42578125" style="3173" customWidth="1"/>
    <col min="16" max="16" width="12" style="1801" customWidth="1"/>
    <col min="17" max="17" width="19.42578125" style="1801" customWidth="1"/>
    <col min="18" max="18" width="19.140625" style="1801" customWidth="1"/>
    <col min="19" max="237" width="12" style="1801" customWidth="1"/>
    <col min="238" max="256" width="9.42578125" style="1801"/>
    <col min="257" max="257" width="12.140625" style="1801" bestFit="1" customWidth="1"/>
    <col min="258" max="258" width="11.42578125" style="1801" bestFit="1" customWidth="1"/>
    <col min="259" max="259" width="11" style="1801" customWidth="1"/>
    <col min="260" max="260" width="13.28515625" style="1801" customWidth="1"/>
    <col min="261" max="262" width="13.5703125" style="1801" customWidth="1"/>
    <col min="263" max="263" width="13.28515625" style="1801" customWidth="1"/>
    <col min="264" max="264" width="13" style="1801" customWidth="1"/>
    <col min="265" max="265" width="14.140625" style="1801" bestFit="1" customWidth="1"/>
    <col min="266" max="266" width="12.42578125" style="1801" bestFit="1" customWidth="1"/>
    <col min="267" max="267" width="11.42578125" style="1801" customWidth="1"/>
    <col min="268" max="268" width="12.7109375" style="1801" customWidth="1"/>
    <col min="269" max="269" width="15.28515625" style="1801" customWidth="1"/>
    <col min="270" max="270" width="1.42578125" style="1801" customWidth="1"/>
    <col min="271" max="271" width="10.42578125" style="1801" customWidth="1"/>
    <col min="272" max="272" width="12" style="1801" customWidth="1"/>
    <col min="273" max="273" width="19.42578125" style="1801" customWidth="1"/>
    <col min="274" max="274" width="19.140625" style="1801" customWidth="1"/>
    <col min="275" max="493" width="12" style="1801" customWidth="1"/>
    <col min="494" max="512" width="9.42578125" style="1801"/>
    <col min="513" max="513" width="12.140625" style="1801" bestFit="1" customWidth="1"/>
    <col min="514" max="514" width="11.42578125" style="1801" bestFit="1" customWidth="1"/>
    <col min="515" max="515" width="11" style="1801" customWidth="1"/>
    <col min="516" max="516" width="13.28515625" style="1801" customWidth="1"/>
    <col min="517" max="518" width="13.5703125" style="1801" customWidth="1"/>
    <col min="519" max="519" width="13.28515625" style="1801" customWidth="1"/>
    <col min="520" max="520" width="13" style="1801" customWidth="1"/>
    <col min="521" max="521" width="14.140625" style="1801" bestFit="1" customWidth="1"/>
    <col min="522" max="522" width="12.42578125" style="1801" bestFit="1" customWidth="1"/>
    <col min="523" max="523" width="11.42578125" style="1801" customWidth="1"/>
    <col min="524" max="524" width="12.7109375" style="1801" customWidth="1"/>
    <col min="525" max="525" width="15.28515625" style="1801" customWidth="1"/>
    <col min="526" max="526" width="1.42578125" style="1801" customWidth="1"/>
    <col min="527" max="527" width="10.42578125" style="1801" customWidth="1"/>
    <col min="528" max="528" width="12" style="1801" customWidth="1"/>
    <col min="529" max="529" width="19.42578125" style="1801" customWidth="1"/>
    <col min="530" max="530" width="19.140625" style="1801" customWidth="1"/>
    <col min="531" max="749" width="12" style="1801" customWidth="1"/>
    <col min="750" max="768" width="9.42578125" style="1801"/>
    <col min="769" max="769" width="12.140625" style="1801" bestFit="1" customWidth="1"/>
    <col min="770" max="770" width="11.42578125" style="1801" bestFit="1" customWidth="1"/>
    <col min="771" max="771" width="11" style="1801" customWidth="1"/>
    <col min="772" max="772" width="13.28515625" style="1801" customWidth="1"/>
    <col min="773" max="774" width="13.5703125" style="1801" customWidth="1"/>
    <col min="775" max="775" width="13.28515625" style="1801" customWidth="1"/>
    <col min="776" max="776" width="13" style="1801" customWidth="1"/>
    <col min="777" max="777" width="14.140625" style="1801" bestFit="1" customWidth="1"/>
    <col min="778" max="778" width="12.42578125" style="1801" bestFit="1" customWidth="1"/>
    <col min="779" max="779" width="11.42578125" style="1801" customWidth="1"/>
    <col min="780" max="780" width="12.7109375" style="1801" customWidth="1"/>
    <col min="781" max="781" width="15.28515625" style="1801" customWidth="1"/>
    <col min="782" max="782" width="1.42578125" style="1801" customWidth="1"/>
    <col min="783" max="783" width="10.42578125" style="1801" customWidth="1"/>
    <col min="784" max="784" width="12" style="1801" customWidth="1"/>
    <col min="785" max="785" width="19.42578125" style="1801" customWidth="1"/>
    <col min="786" max="786" width="19.140625" style="1801" customWidth="1"/>
    <col min="787" max="1005" width="12" style="1801" customWidth="1"/>
    <col min="1006" max="1024" width="9.42578125" style="1801"/>
    <col min="1025" max="1025" width="12.140625" style="1801" bestFit="1" customWidth="1"/>
    <col min="1026" max="1026" width="11.42578125" style="1801" bestFit="1" customWidth="1"/>
    <col min="1027" max="1027" width="11" style="1801" customWidth="1"/>
    <col min="1028" max="1028" width="13.28515625" style="1801" customWidth="1"/>
    <col min="1029" max="1030" width="13.5703125" style="1801" customWidth="1"/>
    <col min="1031" max="1031" width="13.28515625" style="1801" customWidth="1"/>
    <col min="1032" max="1032" width="13" style="1801" customWidth="1"/>
    <col min="1033" max="1033" width="14.140625" style="1801" bestFit="1" customWidth="1"/>
    <col min="1034" max="1034" width="12.42578125" style="1801" bestFit="1" customWidth="1"/>
    <col min="1035" max="1035" width="11.42578125" style="1801" customWidth="1"/>
    <col min="1036" max="1036" width="12.7109375" style="1801" customWidth="1"/>
    <col min="1037" max="1037" width="15.28515625" style="1801" customWidth="1"/>
    <col min="1038" max="1038" width="1.42578125" style="1801" customWidth="1"/>
    <col min="1039" max="1039" width="10.42578125" style="1801" customWidth="1"/>
    <col min="1040" max="1040" width="12" style="1801" customWidth="1"/>
    <col min="1041" max="1041" width="19.42578125" style="1801" customWidth="1"/>
    <col min="1042" max="1042" width="19.140625" style="1801" customWidth="1"/>
    <col min="1043" max="1261" width="12" style="1801" customWidth="1"/>
    <col min="1262" max="1280" width="9.42578125" style="1801"/>
    <col min="1281" max="1281" width="12.140625" style="1801" bestFit="1" customWidth="1"/>
    <col min="1282" max="1282" width="11.42578125" style="1801" bestFit="1" customWidth="1"/>
    <col min="1283" max="1283" width="11" style="1801" customWidth="1"/>
    <col min="1284" max="1284" width="13.28515625" style="1801" customWidth="1"/>
    <col min="1285" max="1286" width="13.5703125" style="1801" customWidth="1"/>
    <col min="1287" max="1287" width="13.28515625" style="1801" customWidth="1"/>
    <col min="1288" max="1288" width="13" style="1801" customWidth="1"/>
    <col min="1289" max="1289" width="14.140625" style="1801" bestFit="1" customWidth="1"/>
    <col min="1290" max="1290" width="12.42578125" style="1801" bestFit="1" customWidth="1"/>
    <col min="1291" max="1291" width="11.42578125" style="1801" customWidth="1"/>
    <col min="1292" max="1292" width="12.7109375" style="1801" customWidth="1"/>
    <col min="1293" max="1293" width="15.28515625" style="1801" customWidth="1"/>
    <col min="1294" max="1294" width="1.42578125" style="1801" customWidth="1"/>
    <col min="1295" max="1295" width="10.42578125" style="1801" customWidth="1"/>
    <col min="1296" max="1296" width="12" style="1801" customWidth="1"/>
    <col min="1297" max="1297" width="19.42578125" style="1801" customWidth="1"/>
    <col min="1298" max="1298" width="19.140625" style="1801" customWidth="1"/>
    <col min="1299" max="1517" width="12" style="1801" customWidth="1"/>
    <col min="1518" max="1536" width="9.42578125" style="1801"/>
    <col min="1537" max="1537" width="12.140625" style="1801" bestFit="1" customWidth="1"/>
    <col min="1538" max="1538" width="11.42578125" style="1801" bestFit="1" customWidth="1"/>
    <col min="1539" max="1539" width="11" style="1801" customWidth="1"/>
    <col min="1540" max="1540" width="13.28515625" style="1801" customWidth="1"/>
    <col min="1541" max="1542" width="13.5703125" style="1801" customWidth="1"/>
    <col min="1543" max="1543" width="13.28515625" style="1801" customWidth="1"/>
    <col min="1544" max="1544" width="13" style="1801" customWidth="1"/>
    <col min="1545" max="1545" width="14.140625" style="1801" bestFit="1" customWidth="1"/>
    <col min="1546" max="1546" width="12.42578125" style="1801" bestFit="1" customWidth="1"/>
    <col min="1547" max="1547" width="11.42578125" style="1801" customWidth="1"/>
    <col min="1548" max="1548" width="12.7109375" style="1801" customWidth="1"/>
    <col min="1549" max="1549" width="15.28515625" style="1801" customWidth="1"/>
    <col min="1550" max="1550" width="1.42578125" style="1801" customWidth="1"/>
    <col min="1551" max="1551" width="10.42578125" style="1801" customWidth="1"/>
    <col min="1552" max="1552" width="12" style="1801" customWidth="1"/>
    <col min="1553" max="1553" width="19.42578125" style="1801" customWidth="1"/>
    <col min="1554" max="1554" width="19.140625" style="1801" customWidth="1"/>
    <col min="1555" max="1773" width="12" style="1801" customWidth="1"/>
    <col min="1774" max="1792" width="9.42578125" style="1801"/>
    <col min="1793" max="1793" width="12.140625" style="1801" bestFit="1" customWidth="1"/>
    <col min="1794" max="1794" width="11.42578125" style="1801" bestFit="1" customWidth="1"/>
    <col min="1795" max="1795" width="11" style="1801" customWidth="1"/>
    <col min="1796" max="1796" width="13.28515625" style="1801" customWidth="1"/>
    <col min="1797" max="1798" width="13.5703125" style="1801" customWidth="1"/>
    <col min="1799" max="1799" width="13.28515625" style="1801" customWidth="1"/>
    <col min="1800" max="1800" width="13" style="1801" customWidth="1"/>
    <col min="1801" max="1801" width="14.140625" style="1801" bestFit="1" customWidth="1"/>
    <col min="1802" max="1802" width="12.42578125" style="1801" bestFit="1" customWidth="1"/>
    <col min="1803" max="1803" width="11.42578125" style="1801" customWidth="1"/>
    <col min="1804" max="1804" width="12.7109375" style="1801" customWidth="1"/>
    <col min="1805" max="1805" width="15.28515625" style="1801" customWidth="1"/>
    <col min="1806" max="1806" width="1.42578125" style="1801" customWidth="1"/>
    <col min="1807" max="1807" width="10.42578125" style="1801" customWidth="1"/>
    <col min="1808" max="1808" width="12" style="1801" customWidth="1"/>
    <col min="1809" max="1809" width="19.42578125" style="1801" customWidth="1"/>
    <col min="1810" max="1810" width="19.140625" style="1801" customWidth="1"/>
    <col min="1811" max="2029" width="12" style="1801" customWidth="1"/>
    <col min="2030" max="2048" width="9.42578125" style="1801"/>
    <col min="2049" max="2049" width="12.140625" style="1801" bestFit="1" customWidth="1"/>
    <col min="2050" max="2050" width="11.42578125" style="1801" bestFit="1" customWidth="1"/>
    <col min="2051" max="2051" width="11" style="1801" customWidth="1"/>
    <col min="2052" max="2052" width="13.28515625" style="1801" customWidth="1"/>
    <col min="2053" max="2054" width="13.5703125" style="1801" customWidth="1"/>
    <col min="2055" max="2055" width="13.28515625" style="1801" customWidth="1"/>
    <col min="2056" max="2056" width="13" style="1801" customWidth="1"/>
    <col min="2057" max="2057" width="14.140625" style="1801" bestFit="1" customWidth="1"/>
    <col min="2058" max="2058" width="12.42578125" style="1801" bestFit="1" customWidth="1"/>
    <col min="2059" max="2059" width="11.42578125" style="1801" customWidth="1"/>
    <col min="2060" max="2060" width="12.7109375" style="1801" customWidth="1"/>
    <col min="2061" max="2061" width="15.28515625" style="1801" customWidth="1"/>
    <col min="2062" max="2062" width="1.42578125" style="1801" customWidth="1"/>
    <col min="2063" max="2063" width="10.42578125" style="1801" customWidth="1"/>
    <col min="2064" max="2064" width="12" style="1801" customWidth="1"/>
    <col min="2065" max="2065" width="19.42578125" style="1801" customWidth="1"/>
    <col min="2066" max="2066" width="19.140625" style="1801" customWidth="1"/>
    <col min="2067" max="2285" width="12" style="1801" customWidth="1"/>
    <col min="2286" max="2304" width="9.42578125" style="1801"/>
    <col min="2305" max="2305" width="12.140625" style="1801" bestFit="1" customWidth="1"/>
    <col min="2306" max="2306" width="11.42578125" style="1801" bestFit="1" customWidth="1"/>
    <col min="2307" max="2307" width="11" style="1801" customWidth="1"/>
    <col min="2308" max="2308" width="13.28515625" style="1801" customWidth="1"/>
    <col min="2309" max="2310" width="13.5703125" style="1801" customWidth="1"/>
    <col min="2311" max="2311" width="13.28515625" style="1801" customWidth="1"/>
    <col min="2312" max="2312" width="13" style="1801" customWidth="1"/>
    <col min="2313" max="2313" width="14.140625" style="1801" bestFit="1" customWidth="1"/>
    <col min="2314" max="2314" width="12.42578125" style="1801" bestFit="1" customWidth="1"/>
    <col min="2315" max="2315" width="11.42578125" style="1801" customWidth="1"/>
    <col min="2316" max="2316" width="12.7109375" style="1801" customWidth="1"/>
    <col min="2317" max="2317" width="15.28515625" style="1801" customWidth="1"/>
    <col min="2318" max="2318" width="1.42578125" style="1801" customWidth="1"/>
    <col min="2319" max="2319" width="10.42578125" style="1801" customWidth="1"/>
    <col min="2320" max="2320" width="12" style="1801" customWidth="1"/>
    <col min="2321" max="2321" width="19.42578125" style="1801" customWidth="1"/>
    <col min="2322" max="2322" width="19.140625" style="1801" customWidth="1"/>
    <col min="2323" max="2541" width="12" style="1801" customWidth="1"/>
    <col min="2542" max="2560" width="9.42578125" style="1801"/>
    <col min="2561" max="2561" width="12.140625" style="1801" bestFit="1" customWidth="1"/>
    <col min="2562" max="2562" width="11.42578125" style="1801" bestFit="1" customWidth="1"/>
    <col min="2563" max="2563" width="11" style="1801" customWidth="1"/>
    <col min="2564" max="2564" width="13.28515625" style="1801" customWidth="1"/>
    <col min="2565" max="2566" width="13.5703125" style="1801" customWidth="1"/>
    <col min="2567" max="2567" width="13.28515625" style="1801" customWidth="1"/>
    <col min="2568" max="2568" width="13" style="1801" customWidth="1"/>
    <col min="2569" max="2569" width="14.140625" style="1801" bestFit="1" customWidth="1"/>
    <col min="2570" max="2570" width="12.42578125" style="1801" bestFit="1" customWidth="1"/>
    <col min="2571" max="2571" width="11.42578125" style="1801" customWidth="1"/>
    <col min="2572" max="2572" width="12.7109375" style="1801" customWidth="1"/>
    <col min="2573" max="2573" width="15.28515625" style="1801" customWidth="1"/>
    <col min="2574" max="2574" width="1.42578125" style="1801" customWidth="1"/>
    <col min="2575" max="2575" width="10.42578125" style="1801" customWidth="1"/>
    <col min="2576" max="2576" width="12" style="1801" customWidth="1"/>
    <col min="2577" max="2577" width="19.42578125" style="1801" customWidth="1"/>
    <col min="2578" max="2578" width="19.140625" style="1801" customWidth="1"/>
    <col min="2579" max="2797" width="12" style="1801" customWidth="1"/>
    <col min="2798" max="2816" width="9.42578125" style="1801"/>
    <col min="2817" max="2817" width="12.140625" style="1801" bestFit="1" customWidth="1"/>
    <col min="2818" max="2818" width="11.42578125" style="1801" bestFit="1" customWidth="1"/>
    <col min="2819" max="2819" width="11" style="1801" customWidth="1"/>
    <col min="2820" max="2820" width="13.28515625" style="1801" customWidth="1"/>
    <col min="2821" max="2822" width="13.5703125" style="1801" customWidth="1"/>
    <col min="2823" max="2823" width="13.28515625" style="1801" customWidth="1"/>
    <col min="2824" max="2824" width="13" style="1801" customWidth="1"/>
    <col min="2825" max="2825" width="14.140625" style="1801" bestFit="1" customWidth="1"/>
    <col min="2826" max="2826" width="12.42578125" style="1801" bestFit="1" customWidth="1"/>
    <col min="2827" max="2827" width="11.42578125" style="1801" customWidth="1"/>
    <col min="2828" max="2828" width="12.7109375" style="1801" customWidth="1"/>
    <col min="2829" max="2829" width="15.28515625" style="1801" customWidth="1"/>
    <col min="2830" max="2830" width="1.42578125" style="1801" customWidth="1"/>
    <col min="2831" max="2831" width="10.42578125" style="1801" customWidth="1"/>
    <col min="2832" max="2832" width="12" style="1801" customWidth="1"/>
    <col min="2833" max="2833" width="19.42578125" style="1801" customWidth="1"/>
    <col min="2834" max="2834" width="19.140625" style="1801" customWidth="1"/>
    <col min="2835" max="3053" width="12" style="1801" customWidth="1"/>
    <col min="3054" max="3072" width="9.42578125" style="1801"/>
    <col min="3073" max="3073" width="12.140625" style="1801" bestFit="1" customWidth="1"/>
    <col min="3074" max="3074" width="11.42578125" style="1801" bestFit="1" customWidth="1"/>
    <col min="3075" max="3075" width="11" style="1801" customWidth="1"/>
    <col min="3076" max="3076" width="13.28515625" style="1801" customWidth="1"/>
    <col min="3077" max="3078" width="13.5703125" style="1801" customWidth="1"/>
    <col min="3079" max="3079" width="13.28515625" style="1801" customWidth="1"/>
    <col min="3080" max="3080" width="13" style="1801" customWidth="1"/>
    <col min="3081" max="3081" width="14.140625" style="1801" bestFit="1" customWidth="1"/>
    <col min="3082" max="3082" width="12.42578125" style="1801" bestFit="1" customWidth="1"/>
    <col min="3083" max="3083" width="11.42578125" style="1801" customWidth="1"/>
    <col min="3084" max="3084" width="12.7109375" style="1801" customWidth="1"/>
    <col min="3085" max="3085" width="15.28515625" style="1801" customWidth="1"/>
    <col min="3086" max="3086" width="1.42578125" style="1801" customWidth="1"/>
    <col min="3087" max="3087" width="10.42578125" style="1801" customWidth="1"/>
    <col min="3088" max="3088" width="12" style="1801" customWidth="1"/>
    <col min="3089" max="3089" width="19.42578125" style="1801" customWidth="1"/>
    <col min="3090" max="3090" width="19.140625" style="1801" customWidth="1"/>
    <col min="3091" max="3309" width="12" style="1801" customWidth="1"/>
    <col min="3310" max="3328" width="9.42578125" style="1801"/>
    <col min="3329" max="3329" width="12.140625" style="1801" bestFit="1" customWidth="1"/>
    <col min="3330" max="3330" width="11.42578125" style="1801" bestFit="1" customWidth="1"/>
    <col min="3331" max="3331" width="11" style="1801" customWidth="1"/>
    <col min="3332" max="3332" width="13.28515625" style="1801" customWidth="1"/>
    <col min="3333" max="3334" width="13.5703125" style="1801" customWidth="1"/>
    <col min="3335" max="3335" width="13.28515625" style="1801" customWidth="1"/>
    <col min="3336" max="3336" width="13" style="1801" customWidth="1"/>
    <col min="3337" max="3337" width="14.140625" style="1801" bestFit="1" customWidth="1"/>
    <col min="3338" max="3338" width="12.42578125" style="1801" bestFit="1" customWidth="1"/>
    <col min="3339" max="3339" width="11.42578125" style="1801" customWidth="1"/>
    <col min="3340" max="3340" width="12.7109375" style="1801" customWidth="1"/>
    <col min="3341" max="3341" width="15.28515625" style="1801" customWidth="1"/>
    <col min="3342" max="3342" width="1.42578125" style="1801" customWidth="1"/>
    <col min="3343" max="3343" width="10.42578125" style="1801" customWidth="1"/>
    <col min="3344" max="3344" width="12" style="1801" customWidth="1"/>
    <col min="3345" max="3345" width="19.42578125" style="1801" customWidth="1"/>
    <col min="3346" max="3346" width="19.140625" style="1801" customWidth="1"/>
    <col min="3347" max="3565" width="12" style="1801" customWidth="1"/>
    <col min="3566" max="3584" width="9.42578125" style="1801"/>
    <col min="3585" max="3585" width="12.140625" style="1801" bestFit="1" customWidth="1"/>
    <col min="3586" max="3586" width="11.42578125" style="1801" bestFit="1" customWidth="1"/>
    <col min="3587" max="3587" width="11" style="1801" customWidth="1"/>
    <col min="3588" max="3588" width="13.28515625" style="1801" customWidth="1"/>
    <col min="3589" max="3590" width="13.5703125" style="1801" customWidth="1"/>
    <col min="3591" max="3591" width="13.28515625" style="1801" customWidth="1"/>
    <col min="3592" max="3592" width="13" style="1801" customWidth="1"/>
    <col min="3593" max="3593" width="14.140625" style="1801" bestFit="1" customWidth="1"/>
    <col min="3594" max="3594" width="12.42578125" style="1801" bestFit="1" customWidth="1"/>
    <col min="3595" max="3595" width="11.42578125" style="1801" customWidth="1"/>
    <col min="3596" max="3596" width="12.7109375" style="1801" customWidth="1"/>
    <col min="3597" max="3597" width="15.28515625" style="1801" customWidth="1"/>
    <col min="3598" max="3598" width="1.42578125" style="1801" customWidth="1"/>
    <col min="3599" max="3599" width="10.42578125" style="1801" customWidth="1"/>
    <col min="3600" max="3600" width="12" style="1801" customWidth="1"/>
    <col min="3601" max="3601" width="19.42578125" style="1801" customWidth="1"/>
    <col min="3602" max="3602" width="19.140625" style="1801" customWidth="1"/>
    <col min="3603" max="3821" width="12" style="1801" customWidth="1"/>
    <col min="3822" max="3840" width="9.42578125" style="1801"/>
    <col min="3841" max="3841" width="12.140625" style="1801" bestFit="1" customWidth="1"/>
    <col min="3842" max="3842" width="11.42578125" style="1801" bestFit="1" customWidth="1"/>
    <col min="3843" max="3843" width="11" style="1801" customWidth="1"/>
    <col min="3844" max="3844" width="13.28515625" style="1801" customWidth="1"/>
    <col min="3845" max="3846" width="13.5703125" style="1801" customWidth="1"/>
    <col min="3847" max="3847" width="13.28515625" style="1801" customWidth="1"/>
    <col min="3848" max="3848" width="13" style="1801" customWidth="1"/>
    <col min="3849" max="3849" width="14.140625" style="1801" bestFit="1" customWidth="1"/>
    <col min="3850" max="3850" width="12.42578125" style="1801" bestFit="1" customWidth="1"/>
    <col min="3851" max="3851" width="11.42578125" style="1801" customWidth="1"/>
    <col min="3852" max="3852" width="12.7109375" style="1801" customWidth="1"/>
    <col min="3853" max="3853" width="15.28515625" style="1801" customWidth="1"/>
    <col min="3854" max="3854" width="1.42578125" style="1801" customWidth="1"/>
    <col min="3855" max="3855" width="10.42578125" style="1801" customWidth="1"/>
    <col min="3856" max="3856" width="12" style="1801" customWidth="1"/>
    <col min="3857" max="3857" width="19.42578125" style="1801" customWidth="1"/>
    <col min="3858" max="3858" width="19.140625" style="1801" customWidth="1"/>
    <col min="3859" max="4077" width="12" style="1801" customWidth="1"/>
    <col min="4078" max="4096" width="9.42578125" style="1801"/>
    <col min="4097" max="4097" width="12.140625" style="1801" bestFit="1" customWidth="1"/>
    <col min="4098" max="4098" width="11.42578125" style="1801" bestFit="1" customWidth="1"/>
    <col min="4099" max="4099" width="11" style="1801" customWidth="1"/>
    <col min="4100" max="4100" width="13.28515625" style="1801" customWidth="1"/>
    <col min="4101" max="4102" width="13.5703125" style="1801" customWidth="1"/>
    <col min="4103" max="4103" width="13.28515625" style="1801" customWidth="1"/>
    <col min="4104" max="4104" width="13" style="1801" customWidth="1"/>
    <col min="4105" max="4105" width="14.140625" style="1801" bestFit="1" customWidth="1"/>
    <col min="4106" max="4106" width="12.42578125" style="1801" bestFit="1" customWidth="1"/>
    <col min="4107" max="4107" width="11.42578125" style="1801" customWidth="1"/>
    <col min="4108" max="4108" width="12.7109375" style="1801" customWidth="1"/>
    <col min="4109" max="4109" width="15.28515625" style="1801" customWidth="1"/>
    <col min="4110" max="4110" width="1.42578125" style="1801" customWidth="1"/>
    <col min="4111" max="4111" width="10.42578125" style="1801" customWidth="1"/>
    <col min="4112" max="4112" width="12" style="1801" customWidth="1"/>
    <col min="4113" max="4113" width="19.42578125" style="1801" customWidth="1"/>
    <col min="4114" max="4114" width="19.140625" style="1801" customWidth="1"/>
    <col min="4115" max="4333" width="12" style="1801" customWidth="1"/>
    <col min="4334" max="4352" width="9.42578125" style="1801"/>
    <col min="4353" max="4353" width="12.140625" style="1801" bestFit="1" customWidth="1"/>
    <col min="4354" max="4354" width="11.42578125" style="1801" bestFit="1" customWidth="1"/>
    <col min="4355" max="4355" width="11" style="1801" customWidth="1"/>
    <col min="4356" max="4356" width="13.28515625" style="1801" customWidth="1"/>
    <col min="4357" max="4358" width="13.5703125" style="1801" customWidth="1"/>
    <col min="4359" max="4359" width="13.28515625" style="1801" customWidth="1"/>
    <col min="4360" max="4360" width="13" style="1801" customWidth="1"/>
    <col min="4361" max="4361" width="14.140625" style="1801" bestFit="1" customWidth="1"/>
    <col min="4362" max="4362" width="12.42578125" style="1801" bestFit="1" customWidth="1"/>
    <col min="4363" max="4363" width="11.42578125" style="1801" customWidth="1"/>
    <col min="4364" max="4364" width="12.7109375" style="1801" customWidth="1"/>
    <col min="4365" max="4365" width="15.28515625" style="1801" customWidth="1"/>
    <col min="4366" max="4366" width="1.42578125" style="1801" customWidth="1"/>
    <col min="4367" max="4367" width="10.42578125" style="1801" customWidth="1"/>
    <col min="4368" max="4368" width="12" style="1801" customWidth="1"/>
    <col min="4369" max="4369" width="19.42578125" style="1801" customWidth="1"/>
    <col min="4370" max="4370" width="19.140625" style="1801" customWidth="1"/>
    <col min="4371" max="4589" width="12" style="1801" customWidth="1"/>
    <col min="4590" max="4608" width="9.42578125" style="1801"/>
    <col min="4609" max="4609" width="12.140625" style="1801" bestFit="1" customWidth="1"/>
    <col min="4610" max="4610" width="11.42578125" style="1801" bestFit="1" customWidth="1"/>
    <col min="4611" max="4611" width="11" style="1801" customWidth="1"/>
    <col min="4612" max="4612" width="13.28515625" style="1801" customWidth="1"/>
    <col min="4613" max="4614" width="13.5703125" style="1801" customWidth="1"/>
    <col min="4615" max="4615" width="13.28515625" style="1801" customWidth="1"/>
    <col min="4616" max="4616" width="13" style="1801" customWidth="1"/>
    <col min="4617" max="4617" width="14.140625" style="1801" bestFit="1" customWidth="1"/>
    <col min="4618" max="4618" width="12.42578125" style="1801" bestFit="1" customWidth="1"/>
    <col min="4619" max="4619" width="11.42578125" style="1801" customWidth="1"/>
    <col min="4620" max="4620" width="12.7109375" style="1801" customWidth="1"/>
    <col min="4621" max="4621" width="15.28515625" style="1801" customWidth="1"/>
    <col min="4622" max="4622" width="1.42578125" style="1801" customWidth="1"/>
    <col min="4623" max="4623" width="10.42578125" style="1801" customWidth="1"/>
    <col min="4624" max="4624" width="12" style="1801" customWidth="1"/>
    <col min="4625" max="4625" width="19.42578125" style="1801" customWidth="1"/>
    <col min="4626" max="4626" width="19.140625" style="1801" customWidth="1"/>
    <col min="4627" max="4845" width="12" style="1801" customWidth="1"/>
    <col min="4846" max="4864" width="9.42578125" style="1801"/>
    <col min="4865" max="4865" width="12.140625" style="1801" bestFit="1" customWidth="1"/>
    <col min="4866" max="4866" width="11.42578125" style="1801" bestFit="1" customWidth="1"/>
    <col min="4867" max="4867" width="11" style="1801" customWidth="1"/>
    <col min="4868" max="4868" width="13.28515625" style="1801" customWidth="1"/>
    <col min="4869" max="4870" width="13.5703125" style="1801" customWidth="1"/>
    <col min="4871" max="4871" width="13.28515625" style="1801" customWidth="1"/>
    <col min="4872" max="4872" width="13" style="1801" customWidth="1"/>
    <col min="4873" max="4873" width="14.140625" style="1801" bestFit="1" customWidth="1"/>
    <col min="4874" max="4874" width="12.42578125" style="1801" bestFit="1" customWidth="1"/>
    <col min="4875" max="4875" width="11.42578125" style="1801" customWidth="1"/>
    <col min="4876" max="4876" width="12.7109375" style="1801" customWidth="1"/>
    <col min="4877" max="4877" width="15.28515625" style="1801" customWidth="1"/>
    <col min="4878" max="4878" width="1.42578125" style="1801" customWidth="1"/>
    <col min="4879" max="4879" width="10.42578125" style="1801" customWidth="1"/>
    <col min="4880" max="4880" width="12" style="1801" customWidth="1"/>
    <col min="4881" max="4881" width="19.42578125" style="1801" customWidth="1"/>
    <col min="4882" max="4882" width="19.140625" style="1801" customWidth="1"/>
    <col min="4883" max="5101" width="12" style="1801" customWidth="1"/>
    <col min="5102" max="5120" width="9.42578125" style="1801"/>
    <col min="5121" max="5121" width="12.140625" style="1801" bestFit="1" customWidth="1"/>
    <col min="5122" max="5122" width="11.42578125" style="1801" bestFit="1" customWidth="1"/>
    <col min="5123" max="5123" width="11" style="1801" customWidth="1"/>
    <col min="5124" max="5124" width="13.28515625" style="1801" customWidth="1"/>
    <col min="5125" max="5126" width="13.5703125" style="1801" customWidth="1"/>
    <col min="5127" max="5127" width="13.28515625" style="1801" customWidth="1"/>
    <col min="5128" max="5128" width="13" style="1801" customWidth="1"/>
    <col min="5129" max="5129" width="14.140625" style="1801" bestFit="1" customWidth="1"/>
    <col min="5130" max="5130" width="12.42578125" style="1801" bestFit="1" customWidth="1"/>
    <col min="5131" max="5131" width="11.42578125" style="1801" customWidth="1"/>
    <col min="5132" max="5132" width="12.7109375" style="1801" customWidth="1"/>
    <col min="5133" max="5133" width="15.28515625" style="1801" customWidth="1"/>
    <col min="5134" max="5134" width="1.42578125" style="1801" customWidth="1"/>
    <col min="5135" max="5135" width="10.42578125" style="1801" customWidth="1"/>
    <col min="5136" max="5136" width="12" style="1801" customWidth="1"/>
    <col min="5137" max="5137" width="19.42578125" style="1801" customWidth="1"/>
    <col min="5138" max="5138" width="19.140625" style="1801" customWidth="1"/>
    <col min="5139" max="5357" width="12" style="1801" customWidth="1"/>
    <col min="5358" max="5376" width="9.42578125" style="1801"/>
    <col min="5377" max="5377" width="12.140625" style="1801" bestFit="1" customWidth="1"/>
    <col min="5378" max="5378" width="11.42578125" style="1801" bestFit="1" customWidth="1"/>
    <col min="5379" max="5379" width="11" style="1801" customWidth="1"/>
    <col min="5380" max="5380" width="13.28515625" style="1801" customWidth="1"/>
    <col min="5381" max="5382" width="13.5703125" style="1801" customWidth="1"/>
    <col min="5383" max="5383" width="13.28515625" style="1801" customWidth="1"/>
    <col min="5384" max="5384" width="13" style="1801" customWidth="1"/>
    <col min="5385" max="5385" width="14.140625" style="1801" bestFit="1" customWidth="1"/>
    <col min="5386" max="5386" width="12.42578125" style="1801" bestFit="1" customWidth="1"/>
    <col min="5387" max="5387" width="11.42578125" style="1801" customWidth="1"/>
    <col min="5388" max="5388" width="12.7109375" style="1801" customWidth="1"/>
    <col min="5389" max="5389" width="15.28515625" style="1801" customWidth="1"/>
    <col min="5390" max="5390" width="1.42578125" style="1801" customWidth="1"/>
    <col min="5391" max="5391" width="10.42578125" style="1801" customWidth="1"/>
    <col min="5392" max="5392" width="12" style="1801" customWidth="1"/>
    <col min="5393" max="5393" width="19.42578125" style="1801" customWidth="1"/>
    <col min="5394" max="5394" width="19.140625" style="1801" customWidth="1"/>
    <col min="5395" max="5613" width="12" style="1801" customWidth="1"/>
    <col min="5614" max="5632" width="9.42578125" style="1801"/>
    <col min="5633" max="5633" width="12.140625" style="1801" bestFit="1" customWidth="1"/>
    <col min="5634" max="5634" width="11.42578125" style="1801" bestFit="1" customWidth="1"/>
    <col min="5635" max="5635" width="11" style="1801" customWidth="1"/>
    <col min="5636" max="5636" width="13.28515625" style="1801" customWidth="1"/>
    <col min="5637" max="5638" width="13.5703125" style="1801" customWidth="1"/>
    <col min="5639" max="5639" width="13.28515625" style="1801" customWidth="1"/>
    <col min="5640" max="5640" width="13" style="1801" customWidth="1"/>
    <col min="5641" max="5641" width="14.140625" style="1801" bestFit="1" customWidth="1"/>
    <col min="5642" max="5642" width="12.42578125" style="1801" bestFit="1" customWidth="1"/>
    <col min="5643" max="5643" width="11.42578125" style="1801" customWidth="1"/>
    <col min="5644" max="5644" width="12.7109375" style="1801" customWidth="1"/>
    <col min="5645" max="5645" width="15.28515625" style="1801" customWidth="1"/>
    <col min="5646" max="5646" width="1.42578125" style="1801" customWidth="1"/>
    <col min="5647" max="5647" width="10.42578125" style="1801" customWidth="1"/>
    <col min="5648" max="5648" width="12" style="1801" customWidth="1"/>
    <col min="5649" max="5649" width="19.42578125" style="1801" customWidth="1"/>
    <col min="5650" max="5650" width="19.140625" style="1801" customWidth="1"/>
    <col min="5651" max="5869" width="12" style="1801" customWidth="1"/>
    <col min="5870" max="5888" width="9.42578125" style="1801"/>
    <col min="5889" max="5889" width="12.140625" style="1801" bestFit="1" customWidth="1"/>
    <col min="5890" max="5890" width="11.42578125" style="1801" bestFit="1" customWidth="1"/>
    <col min="5891" max="5891" width="11" style="1801" customWidth="1"/>
    <col min="5892" max="5892" width="13.28515625" style="1801" customWidth="1"/>
    <col min="5893" max="5894" width="13.5703125" style="1801" customWidth="1"/>
    <col min="5895" max="5895" width="13.28515625" style="1801" customWidth="1"/>
    <col min="5896" max="5896" width="13" style="1801" customWidth="1"/>
    <col min="5897" max="5897" width="14.140625" style="1801" bestFit="1" customWidth="1"/>
    <col min="5898" max="5898" width="12.42578125" style="1801" bestFit="1" customWidth="1"/>
    <col min="5899" max="5899" width="11.42578125" style="1801" customWidth="1"/>
    <col min="5900" max="5900" width="12.7109375" style="1801" customWidth="1"/>
    <col min="5901" max="5901" width="15.28515625" style="1801" customWidth="1"/>
    <col min="5902" max="5902" width="1.42578125" style="1801" customWidth="1"/>
    <col min="5903" max="5903" width="10.42578125" style="1801" customWidth="1"/>
    <col min="5904" max="5904" width="12" style="1801" customWidth="1"/>
    <col min="5905" max="5905" width="19.42578125" style="1801" customWidth="1"/>
    <col min="5906" max="5906" width="19.140625" style="1801" customWidth="1"/>
    <col min="5907" max="6125" width="12" style="1801" customWidth="1"/>
    <col min="6126" max="6144" width="9.42578125" style="1801"/>
    <col min="6145" max="6145" width="12.140625" style="1801" bestFit="1" customWidth="1"/>
    <col min="6146" max="6146" width="11.42578125" style="1801" bestFit="1" customWidth="1"/>
    <col min="6147" max="6147" width="11" style="1801" customWidth="1"/>
    <col min="6148" max="6148" width="13.28515625" style="1801" customWidth="1"/>
    <col min="6149" max="6150" width="13.5703125" style="1801" customWidth="1"/>
    <col min="6151" max="6151" width="13.28515625" style="1801" customWidth="1"/>
    <col min="6152" max="6152" width="13" style="1801" customWidth="1"/>
    <col min="6153" max="6153" width="14.140625" style="1801" bestFit="1" customWidth="1"/>
    <col min="6154" max="6154" width="12.42578125" style="1801" bestFit="1" customWidth="1"/>
    <col min="6155" max="6155" width="11.42578125" style="1801" customWidth="1"/>
    <col min="6156" max="6156" width="12.7109375" style="1801" customWidth="1"/>
    <col min="6157" max="6157" width="15.28515625" style="1801" customWidth="1"/>
    <col min="6158" max="6158" width="1.42578125" style="1801" customWidth="1"/>
    <col min="6159" max="6159" width="10.42578125" style="1801" customWidth="1"/>
    <col min="6160" max="6160" width="12" style="1801" customWidth="1"/>
    <col min="6161" max="6161" width="19.42578125" style="1801" customWidth="1"/>
    <col min="6162" max="6162" width="19.140625" style="1801" customWidth="1"/>
    <col min="6163" max="6381" width="12" style="1801" customWidth="1"/>
    <col min="6382" max="6400" width="9.42578125" style="1801"/>
    <col min="6401" max="6401" width="12.140625" style="1801" bestFit="1" customWidth="1"/>
    <col min="6402" max="6402" width="11.42578125" style="1801" bestFit="1" customWidth="1"/>
    <col min="6403" max="6403" width="11" style="1801" customWidth="1"/>
    <col min="6404" max="6404" width="13.28515625" style="1801" customWidth="1"/>
    <col min="6405" max="6406" width="13.5703125" style="1801" customWidth="1"/>
    <col min="6407" max="6407" width="13.28515625" style="1801" customWidth="1"/>
    <col min="6408" max="6408" width="13" style="1801" customWidth="1"/>
    <col min="6409" max="6409" width="14.140625" style="1801" bestFit="1" customWidth="1"/>
    <col min="6410" max="6410" width="12.42578125" style="1801" bestFit="1" customWidth="1"/>
    <col min="6411" max="6411" width="11.42578125" style="1801" customWidth="1"/>
    <col min="6412" max="6412" width="12.7109375" style="1801" customWidth="1"/>
    <col min="6413" max="6413" width="15.28515625" style="1801" customWidth="1"/>
    <col min="6414" max="6414" width="1.42578125" style="1801" customWidth="1"/>
    <col min="6415" max="6415" width="10.42578125" style="1801" customWidth="1"/>
    <col min="6416" max="6416" width="12" style="1801" customWidth="1"/>
    <col min="6417" max="6417" width="19.42578125" style="1801" customWidth="1"/>
    <col min="6418" max="6418" width="19.140625" style="1801" customWidth="1"/>
    <col min="6419" max="6637" width="12" style="1801" customWidth="1"/>
    <col min="6638" max="6656" width="9.42578125" style="1801"/>
    <col min="6657" max="6657" width="12.140625" style="1801" bestFit="1" customWidth="1"/>
    <col min="6658" max="6658" width="11.42578125" style="1801" bestFit="1" customWidth="1"/>
    <col min="6659" max="6659" width="11" style="1801" customWidth="1"/>
    <col min="6660" max="6660" width="13.28515625" style="1801" customWidth="1"/>
    <col min="6661" max="6662" width="13.5703125" style="1801" customWidth="1"/>
    <col min="6663" max="6663" width="13.28515625" style="1801" customWidth="1"/>
    <col min="6664" max="6664" width="13" style="1801" customWidth="1"/>
    <col min="6665" max="6665" width="14.140625" style="1801" bestFit="1" customWidth="1"/>
    <col min="6666" max="6666" width="12.42578125" style="1801" bestFit="1" customWidth="1"/>
    <col min="6667" max="6667" width="11.42578125" style="1801" customWidth="1"/>
    <col min="6668" max="6668" width="12.7109375" style="1801" customWidth="1"/>
    <col min="6669" max="6669" width="15.28515625" style="1801" customWidth="1"/>
    <col min="6670" max="6670" width="1.42578125" style="1801" customWidth="1"/>
    <col min="6671" max="6671" width="10.42578125" style="1801" customWidth="1"/>
    <col min="6672" max="6672" width="12" style="1801" customWidth="1"/>
    <col min="6673" max="6673" width="19.42578125" style="1801" customWidth="1"/>
    <col min="6674" max="6674" width="19.140625" style="1801" customWidth="1"/>
    <col min="6675" max="6893" width="12" style="1801" customWidth="1"/>
    <col min="6894" max="6912" width="9.42578125" style="1801"/>
    <col min="6913" max="6913" width="12.140625" style="1801" bestFit="1" customWidth="1"/>
    <col min="6914" max="6914" width="11.42578125" style="1801" bestFit="1" customWidth="1"/>
    <col min="6915" max="6915" width="11" style="1801" customWidth="1"/>
    <col min="6916" max="6916" width="13.28515625" style="1801" customWidth="1"/>
    <col min="6917" max="6918" width="13.5703125" style="1801" customWidth="1"/>
    <col min="6919" max="6919" width="13.28515625" style="1801" customWidth="1"/>
    <col min="6920" max="6920" width="13" style="1801" customWidth="1"/>
    <col min="6921" max="6921" width="14.140625" style="1801" bestFit="1" customWidth="1"/>
    <col min="6922" max="6922" width="12.42578125" style="1801" bestFit="1" customWidth="1"/>
    <col min="6923" max="6923" width="11.42578125" style="1801" customWidth="1"/>
    <col min="6924" max="6924" width="12.7109375" style="1801" customWidth="1"/>
    <col min="6925" max="6925" width="15.28515625" style="1801" customWidth="1"/>
    <col min="6926" max="6926" width="1.42578125" style="1801" customWidth="1"/>
    <col min="6927" max="6927" width="10.42578125" style="1801" customWidth="1"/>
    <col min="6928" max="6928" width="12" style="1801" customWidth="1"/>
    <col min="6929" max="6929" width="19.42578125" style="1801" customWidth="1"/>
    <col min="6930" max="6930" width="19.140625" style="1801" customWidth="1"/>
    <col min="6931" max="7149" width="12" style="1801" customWidth="1"/>
    <col min="7150" max="7168" width="9.42578125" style="1801"/>
    <col min="7169" max="7169" width="12.140625" style="1801" bestFit="1" customWidth="1"/>
    <col min="7170" max="7170" width="11.42578125" style="1801" bestFit="1" customWidth="1"/>
    <col min="7171" max="7171" width="11" style="1801" customWidth="1"/>
    <col min="7172" max="7172" width="13.28515625" style="1801" customWidth="1"/>
    <col min="7173" max="7174" width="13.5703125" style="1801" customWidth="1"/>
    <col min="7175" max="7175" width="13.28515625" style="1801" customWidth="1"/>
    <col min="7176" max="7176" width="13" style="1801" customWidth="1"/>
    <col min="7177" max="7177" width="14.140625" style="1801" bestFit="1" customWidth="1"/>
    <col min="7178" max="7178" width="12.42578125" style="1801" bestFit="1" customWidth="1"/>
    <col min="7179" max="7179" width="11.42578125" style="1801" customWidth="1"/>
    <col min="7180" max="7180" width="12.7109375" style="1801" customWidth="1"/>
    <col min="7181" max="7181" width="15.28515625" style="1801" customWidth="1"/>
    <col min="7182" max="7182" width="1.42578125" style="1801" customWidth="1"/>
    <col min="7183" max="7183" width="10.42578125" style="1801" customWidth="1"/>
    <col min="7184" max="7184" width="12" style="1801" customWidth="1"/>
    <col min="7185" max="7185" width="19.42578125" style="1801" customWidth="1"/>
    <col min="7186" max="7186" width="19.140625" style="1801" customWidth="1"/>
    <col min="7187" max="7405" width="12" style="1801" customWidth="1"/>
    <col min="7406" max="7424" width="9.42578125" style="1801"/>
    <col min="7425" max="7425" width="12.140625" style="1801" bestFit="1" customWidth="1"/>
    <col min="7426" max="7426" width="11.42578125" style="1801" bestFit="1" customWidth="1"/>
    <col min="7427" max="7427" width="11" style="1801" customWidth="1"/>
    <col min="7428" max="7428" width="13.28515625" style="1801" customWidth="1"/>
    <col min="7429" max="7430" width="13.5703125" style="1801" customWidth="1"/>
    <col min="7431" max="7431" width="13.28515625" style="1801" customWidth="1"/>
    <col min="7432" max="7432" width="13" style="1801" customWidth="1"/>
    <col min="7433" max="7433" width="14.140625" style="1801" bestFit="1" customWidth="1"/>
    <col min="7434" max="7434" width="12.42578125" style="1801" bestFit="1" customWidth="1"/>
    <col min="7435" max="7435" width="11.42578125" style="1801" customWidth="1"/>
    <col min="7436" max="7436" width="12.7109375" style="1801" customWidth="1"/>
    <col min="7437" max="7437" width="15.28515625" style="1801" customWidth="1"/>
    <col min="7438" max="7438" width="1.42578125" style="1801" customWidth="1"/>
    <col min="7439" max="7439" width="10.42578125" style="1801" customWidth="1"/>
    <col min="7440" max="7440" width="12" style="1801" customWidth="1"/>
    <col min="7441" max="7441" width="19.42578125" style="1801" customWidth="1"/>
    <col min="7442" max="7442" width="19.140625" style="1801" customWidth="1"/>
    <col min="7443" max="7661" width="12" style="1801" customWidth="1"/>
    <col min="7662" max="7680" width="9.42578125" style="1801"/>
    <col min="7681" max="7681" width="12.140625" style="1801" bestFit="1" customWidth="1"/>
    <col min="7682" max="7682" width="11.42578125" style="1801" bestFit="1" customWidth="1"/>
    <col min="7683" max="7683" width="11" style="1801" customWidth="1"/>
    <col min="7684" max="7684" width="13.28515625" style="1801" customWidth="1"/>
    <col min="7685" max="7686" width="13.5703125" style="1801" customWidth="1"/>
    <col min="7687" max="7687" width="13.28515625" style="1801" customWidth="1"/>
    <col min="7688" max="7688" width="13" style="1801" customWidth="1"/>
    <col min="7689" max="7689" width="14.140625" style="1801" bestFit="1" customWidth="1"/>
    <col min="7690" max="7690" width="12.42578125" style="1801" bestFit="1" customWidth="1"/>
    <col min="7691" max="7691" width="11.42578125" style="1801" customWidth="1"/>
    <col min="7692" max="7692" width="12.7109375" style="1801" customWidth="1"/>
    <col min="7693" max="7693" width="15.28515625" style="1801" customWidth="1"/>
    <col min="7694" max="7694" width="1.42578125" style="1801" customWidth="1"/>
    <col min="7695" max="7695" width="10.42578125" style="1801" customWidth="1"/>
    <col min="7696" max="7696" width="12" style="1801" customWidth="1"/>
    <col min="7697" max="7697" width="19.42578125" style="1801" customWidth="1"/>
    <col min="7698" max="7698" width="19.140625" style="1801" customWidth="1"/>
    <col min="7699" max="7917" width="12" style="1801" customWidth="1"/>
    <col min="7918" max="7936" width="9.42578125" style="1801"/>
    <col min="7937" max="7937" width="12.140625" style="1801" bestFit="1" customWidth="1"/>
    <col min="7938" max="7938" width="11.42578125" style="1801" bestFit="1" customWidth="1"/>
    <col min="7939" max="7939" width="11" style="1801" customWidth="1"/>
    <col min="7940" max="7940" width="13.28515625" style="1801" customWidth="1"/>
    <col min="7941" max="7942" width="13.5703125" style="1801" customWidth="1"/>
    <col min="7943" max="7943" width="13.28515625" style="1801" customWidth="1"/>
    <col min="7944" max="7944" width="13" style="1801" customWidth="1"/>
    <col min="7945" max="7945" width="14.140625" style="1801" bestFit="1" customWidth="1"/>
    <col min="7946" max="7946" width="12.42578125" style="1801" bestFit="1" customWidth="1"/>
    <col min="7947" max="7947" width="11.42578125" style="1801" customWidth="1"/>
    <col min="7948" max="7948" width="12.7109375" style="1801" customWidth="1"/>
    <col min="7949" max="7949" width="15.28515625" style="1801" customWidth="1"/>
    <col min="7950" max="7950" width="1.42578125" style="1801" customWidth="1"/>
    <col min="7951" max="7951" width="10.42578125" style="1801" customWidth="1"/>
    <col min="7952" max="7952" width="12" style="1801" customWidth="1"/>
    <col min="7953" max="7953" width="19.42578125" style="1801" customWidth="1"/>
    <col min="7954" max="7954" width="19.140625" style="1801" customWidth="1"/>
    <col min="7955" max="8173" width="12" style="1801" customWidth="1"/>
    <col min="8174" max="8192" width="9.42578125" style="1801"/>
    <col min="8193" max="8193" width="12.140625" style="1801" bestFit="1" customWidth="1"/>
    <col min="8194" max="8194" width="11.42578125" style="1801" bestFit="1" customWidth="1"/>
    <col min="8195" max="8195" width="11" style="1801" customWidth="1"/>
    <col min="8196" max="8196" width="13.28515625" style="1801" customWidth="1"/>
    <col min="8197" max="8198" width="13.5703125" style="1801" customWidth="1"/>
    <col min="8199" max="8199" width="13.28515625" style="1801" customWidth="1"/>
    <col min="8200" max="8200" width="13" style="1801" customWidth="1"/>
    <col min="8201" max="8201" width="14.140625" style="1801" bestFit="1" customWidth="1"/>
    <col min="8202" max="8202" width="12.42578125" style="1801" bestFit="1" customWidth="1"/>
    <col min="8203" max="8203" width="11.42578125" style="1801" customWidth="1"/>
    <col min="8204" max="8204" width="12.7109375" style="1801" customWidth="1"/>
    <col min="8205" max="8205" width="15.28515625" style="1801" customWidth="1"/>
    <col min="8206" max="8206" width="1.42578125" style="1801" customWidth="1"/>
    <col min="8207" max="8207" width="10.42578125" style="1801" customWidth="1"/>
    <col min="8208" max="8208" width="12" style="1801" customWidth="1"/>
    <col min="8209" max="8209" width="19.42578125" style="1801" customWidth="1"/>
    <col min="8210" max="8210" width="19.140625" style="1801" customWidth="1"/>
    <col min="8211" max="8429" width="12" style="1801" customWidth="1"/>
    <col min="8430" max="8448" width="9.42578125" style="1801"/>
    <col min="8449" max="8449" width="12.140625" style="1801" bestFit="1" customWidth="1"/>
    <col min="8450" max="8450" width="11.42578125" style="1801" bestFit="1" customWidth="1"/>
    <col min="8451" max="8451" width="11" style="1801" customWidth="1"/>
    <col min="8452" max="8452" width="13.28515625" style="1801" customWidth="1"/>
    <col min="8453" max="8454" width="13.5703125" style="1801" customWidth="1"/>
    <col min="8455" max="8455" width="13.28515625" style="1801" customWidth="1"/>
    <col min="8456" max="8456" width="13" style="1801" customWidth="1"/>
    <col min="8457" max="8457" width="14.140625" style="1801" bestFit="1" customWidth="1"/>
    <col min="8458" max="8458" width="12.42578125" style="1801" bestFit="1" customWidth="1"/>
    <col min="8459" max="8459" width="11.42578125" style="1801" customWidth="1"/>
    <col min="8460" max="8460" width="12.7109375" style="1801" customWidth="1"/>
    <col min="8461" max="8461" width="15.28515625" style="1801" customWidth="1"/>
    <col min="8462" max="8462" width="1.42578125" style="1801" customWidth="1"/>
    <col min="8463" max="8463" width="10.42578125" style="1801" customWidth="1"/>
    <col min="8464" max="8464" width="12" style="1801" customWidth="1"/>
    <col min="8465" max="8465" width="19.42578125" style="1801" customWidth="1"/>
    <col min="8466" max="8466" width="19.140625" style="1801" customWidth="1"/>
    <col min="8467" max="8685" width="12" style="1801" customWidth="1"/>
    <col min="8686" max="8704" width="9.42578125" style="1801"/>
    <col min="8705" max="8705" width="12.140625" style="1801" bestFit="1" customWidth="1"/>
    <col min="8706" max="8706" width="11.42578125" style="1801" bestFit="1" customWidth="1"/>
    <col min="8707" max="8707" width="11" style="1801" customWidth="1"/>
    <col min="8708" max="8708" width="13.28515625" style="1801" customWidth="1"/>
    <col min="8709" max="8710" width="13.5703125" style="1801" customWidth="1"/>
    <col min="8711" max="8711" width="13.28515625" style="1801" customWidth="1"/>
    <col min="8712" max="8712" width="13" style="1801" customWidth="1"/>
    <col min="8713" max="8713" width="14.140625" style="1801" bestFit="1" customWidth="1"/>
    <col min="8714" max="8714" width="12.42578125" style="1801" bestFit="1" customWidth="1"/>
    <col min="8715" max="8715" width="11.42578125" style="1801" customWidth="1"/>
    <col min="8716" max="8716" width="12.7109375" style="1801" customWidth="1"/>
    <col min="8717" max="8717" width="15.28515625" style="1801" customWidth="1"/>
    <col min="8718" max="8718" width="1.42578125" style="1801" customWidth="1"/>
    <col min="8719" max="8719" width="10.42578125" style="1801" customWidth="1"/>
    <col min="8720" max="8720" width="12" style="1801" customWidth="1"/>
    <col min="8721" max="8721" width="19.42578125" style="1801" customWidth="1"/>
    <col min="8722" max="8722" width="19.140625" style="1801" customWidth="1"/>
    <col min="8723" max="8941" width="12" style="1801" customWidth="1"/>
    <col min="8942" max="8960" width="9.42578125" style="1801"/>
    <col min="8961" max="8961" width="12.140625" style="1801" bestFit="1" customWidth="1"/>
    <col min="8962" max="8962" width="11.42578125" style="1801" bestFit="1" customWidth="1"/>
    <col min="8963" max="8963" width="11" style="1801" customWidth="1"/>
    <col min="8964" max="8964" width="13.28515625" style="1801" customWidth="1"/>
    <col min="8965" max="8966" width="13.5703125" style="1801" customWidth="1"/>
    <col min="8967" max="8967" width="13.28515625" style="1801" customWidth="1"/>
    <col min="8968" max="8968" width="13" style="1801" customWidth="1"/>
    <col min="8969" max="8969" width="14.140625" style="1801" bestFit="1" customWidth="1"/>
    <col min="8970" max="8970" width="12.42578125" style="1801" bestFit="1" customWidth="1"/>
    <col min="8971" max="8971" width="11.42578125" style="1801" customWidth="1"/>
    <col min="8972" max="8972" width="12.7109375" style="1801" customWidth="1"/>
    <col min="8973" max="8973" width="15.28515625" style="1801" customWidth="1"/>
    <col min="8974" max="8974" width="1.42578125" style="1801" customWidth="1"/>
    <col min="8975" max="8975" width="10.42578125" style="1801" customWidth="1"/>
    <col min="8976" max="8976" width="12" style="1801" customWidth="1"/>
    <col min="8977" max="8977" width="19.42578125" style="1801" customWidth="1"/>
    <col min="8978" max="8978" width="19.140625" style="1801" customWidth="1"/>
    <col min="8979" max="9197" width="12" style="1801" customWidth="1"/>
    <col min="9198" max="9216" width="9.42578125" style="1801"/>
    <col min="9217" max="9217" width="12.140625" style="1801" bestFit="1" customWidth="1"/>
    <col min="9218" max="9218" width="11.42578125" style="1801" bestFit="1" customWidth="1"/>
    <col min="9219" max="9219" width="11" style="1801" customWidth="1"/>
    <col min="9220" max="9220" width="13.28515625" style="1801" customWidth="1"/>
    <col min="9221" max="9222" width="13.5703125" style="1801" customWidth="1"/>
    <col min="9223" max="9223" width="13.28515625" style="1801" customWidth="1"/>
    <col min="9224" max="9224" width="13" style="1801" customWidth="1"/>
    <col min="9225" max="9225" width="14.140625" style="1801" bestFit="1" customWidth="1"/>
    <col min="9226" max="9226" width="12.42578125" style="1801" bestFit="1" customWidth="1"/>
    <col min="9227" max="9227" width="11.42578125" style="1801" customWidth="1"/>
    <col min="9228" max="9228" width="12.7109375" style="1801" customWidth="1"/>
    <col min="9229" max="9229" width="15.28515625" style="1801" customWidth="1"/>
    <col min="9230" max="9230" width="1.42578125" style="1801" customWidth="1"/>
    <col min="9231" max="9231" width="10.42578125" style="1801" customWidth="1"/>
    <col min="9232" max="9232" width="12" style="1801" customWidth="1"/>
    <col min="9233" max="9233" width="19.42578125" style="1801" customWidth="1"/>
    <col min="9234" max="9234" width="19.140625" style="1801" customWidth="1"/>
    <col min="9235" max="9453" width="12" style="1801" customWidth="1"/>
    <col min="9454" max="9472" width="9.42578125" style="1801"/>
    <col min="9473" max="9473" width="12.140625" style="1801" bestFit="1" customWidth="1"/>
    <col min="9474" max="9474" width="11.42578125" style="1801" bestFit="1" customWidth="1"/>
    <col min="9475" max="9475" width="11" style="1801" customWidth="1"/>
    <col min="9476" max="9476" width="13.28515625" style="1801" customWidth="1"/>
    <col min="9477" max="9478" width="13.5703125" style="1801" customWidth="1"/>
    <col min="9479" max="9479" width="13.28515625" style="1801" customWidth="1"/>
    <col min="9480" max="9480" width="13" style="1801" customWidth="1"/>
    <col min="9481" max="9481" width="14.140625" style="1801" bestFit="1" customWidth="1"/>
    <col min="9482" max="9482" width="12.42578125" style="1801" bestFit="1" customWidth="1"/>
    <col min="9483" max="9483" width="11.42578125" style="1801" customWidth="1"/>
    <col min="9484" max="9484" width="12.7109375" style="1801" customWidth="1"/>
    <col min="9485" max="9485" width="15.28515625" style="1801" customWidth="1"/>
    <col min="9486" max="9486" width="1.42578125" style="1801" customWidth="1"/>
    <col min="9487" max="9487" width="10.42578125" style="1801" customWidth="1"/>
    <col min="9488" max="9488" width="12" style="1801" customWidth="1"/>
    <col min="9489" max="9489" width="19.42578125" style="1801" customWidth="1"/>
    <col min="9490" max="9490" width="19.140625" style="1801" customWidth="1"/>
    <col min="9491" max="9709" width="12" style="1801" customWidth="1"/>
    <col min="9710" max="9728" width="9.42578125" style="1801"/>
    <col min="9729" max="9729" width="12.140625" style="1801" bestFit="1" customWidth="1"/>
    <col min="9730" max="9730" width="11.42578125" style="1801" bestFit="1" customWidth="1"/>
    <col min="9731" max="9731" width="11" style="1801" customWidth="1"/>
    <col min="9732" max="9732" width="13.28515625" style="1801" customWidth="1"/>
    <col min="9733" max="9734" width="13.5703125" style="1801" customWidth="1"/>
    <col min="9735" max="9735" width="13.28515625" style="1801" customWidth="1"/>
    <col min="9736" max="9736" width="13" style="1801" customWidth="1"/>
    <col min="9737" max="9737" width="14.140625" style="1801" bestFit="1" customWidth="1"/>
    <col min="9738" max="9738" width="12.42578125" style="1801" bestFit="1" customWidth="1"/>
    <col min="9739" max="9739" width="11.42578125" style="1801" customWidth="1"/>
    <col min="9740" max="9740" width="12.7109375" style="1801" customWidth="1"/>
    <col min="9741" max="9741" width="15.28515625" style="1801" customWidth="1"/>
    <col min="9742" max="9742" width="1.42578125" style="1801" customWidth="1"/>
    <col min="9743" max="9743" width="10.42578125" style="1801" customWidth="1"/>
    <col min="9744" max="9744" width="12" style="1801" customWidth="1"/>
    <col min="9745" max="9745" width="19.42578125" style="1801" customWidth="1"/>
    <col min="9746" max="9746" width="19.140625" style="1801" customWidth="1"/>
    <col min="9747" max="9965" width="12" style="1801" customWidth="1"/>
    <col min="9966" max="9984" width="9.42578125" style="1801"/>
    <col min="9985" max="9985" width="12.140625" style="1801" bestFit="1" customWidth="1"/>
    <col min="9986" max="9986" width="11.42578125" style="1801" bestFit="1" customWidth="1"/>
    <col min="9987" max="9987" width="11" style="1801" customWidth="1"/>
    <col min="9988" max="9988" width="13.28515625" style="1801" customWidth="1"/>
    <col min="9989" max="9990" width="13.5703125" style="1801" customWidth="1"/>
    <col min="9991" max="9991" width="13.28515625" style="1801" customWidth="1"/>
    <col min="9992" max="9992" width="13" style="1801" customWidth="1"/>
    <col min="9993" max="9993" width="14.140625" style="1801" bestFit="1" customWidth="1"/>
    <col min="9994" max="9994" width="12.42578125" style="1801" bestFit="1" customWidth="1"/>
    <col min="9995" max="9995" width="11.42578125" style="1801" customWidth="1"/>
    <col min="9996" max="9996" width="12.7109375" style="1801" customWidth="1"/>
    <col min="9997" max="9997" width="15.28515625" style="1801" customWidth="1"/>
    <col min="9998" max="9998" width="1.42578125" style="1801" customWidth="1"/>
    <col min="9999" max="9999" width="10.42578125" style="1801" customWidth="1"/>
    <col min="10000" max="10000" width="12" style="1801" customWidth="1"/>
    <col min="10001" max="10001" width="19.42578125" style="1801" customWidth="1"/>
    <col min="10002" max="10002" width="19.140625" style="1801" customWidth="1"/>
    <col min="10003" max="10221" width="12" style="1801" customWidth="1"/>
    <col min="10222" max="10240" width="9.42578125" style="1801"/>
    <col min="10241" max="10241" width="12.140625" style="1801" bestFit="1" customWidth="1"/>
    <col min="10242" max="10242" width="11.42578125" style="1801" bestFit="1" customWidth="1"/>
    <col min="10243" max="10243" width="11" style="1801" customWidth="1"/>
    <col min="10244" max="10244" width="13.28515625" style="1801" customWidth="1"/>
    <col min="10245" max="10246" width="13.5703125" style="1801" customWidth="1"/>
    <col min="10247" max="10247" width="13.28515625" style="1801" customWidth="1"/>
    <col min="10248" max="10248" width="13" style="1801" customWidth="1"/>
    <col min="10249" max="10249" width="14.140625" style="1801" bestFit="1" customWidth="1"/>
    <col min="10250" max="10250" width="12.42578125" style="1801" bestFit="1" customWidth="1"/>
    <col min="10251" max="10251" width="11.42578125" style="1801" customWidth="1"/>
    <col min="10252" max="10252" width="12.7109375" style="1801" customWidth="1"/>
    <col min="10253" max="10253" width="15.28515625" style="1801" customWidth="1"/>
    <col min="10254" max="10254" width="1.42578125" style="1801" customWidth="1"/>
    <col min="10255" max="10255" width="10.42578125" style="1801" customWidth="1"/>
    <col min="10256" max="10256" width="12" style="1801" customWidth="1"/>
    <col min="10257" max="10257" width="19.42578125" style="1801" customWidth="1"/>
    <col min="10258" max="10258" width="19.140625" style="1801" customWidth="1"/>
    <col min="10259" max="10477" width="12" style="1801" customWidth="1"/>
    <col min="10478" max="10496" width="9.42578125" style="1801"/>
    <col min="10497" max="10497" width="12.140625" style="1801" bestFit="1" customWidth="1"/>
    <col min="10498" max="10498" width="11.42578125" style="1801" bestFit="1" customWidth="1"/>
    <col min="10499" max="10499" width="11" style="1801" customWidth="1"/>
    <col min="10500" max="10500" width="13.28515625" style="1801" customWidth="1"/>
    <col min="10501" max="10502" width="13.5703125" style="1801" customWidth="1"/>
    <col min="10503" max="10503" width="13.28515625" style="1801" customWidth="1"/>
    <col min="10504" max="10504" width="13" style="1801" customWidth="1"/>
    <col min="10505" max="10505" width="14.140625" style="1801" bestFit="1" customWidth="1"/>
    <col min="10506" max="10506" width="12.42578125" style="1801" bestFit="1" customWidth="1"/>
    <col min="10507" max="10507" width="11.42578125" style="1801" customWidth="1"/>
    <col min="10508" max="10508" width="12.7109375" style="1801" customWidth="1"/>
    <col min="10509" max="10509" width="15.28515625" style="1801" customWidth="1"/>
    <col min="10510" max="10510" width="1.42578125" style="1801" customWidth="1"/>
    <col min="10511" max="10511" width="10.42578125" style="1801" customWidth="1"/>
    <col min="10512" max="10512" width="12" style="1801" customWidth="1"/>
    <col min="10513" max="10513" width="19.42578125" style="1801" customWidth="1"/>
    <col min="10514" max="10514" width="19.140625" style="1801" customWidth="1"/>
    <col min="10515" max="10733" width="12" style="1801" customWidth="1"/>
    <col min="10734" max="10752" width="9.42578125" style="1801"/>
    <col min="10753" max="10753" width="12.140625" style="1801" bestFit="1" customWidth="1"/>
    <col min="10754" max="10754" width="11.42578125" style="1801" bestFit="1" customWidth="1"/>
    <col min="10755" max="10755" width="11" style="1801" customWidth="1"/>
    <col min="10756" max="10756" width="13.28515625" style="1801" customWidth="1"/>
    <col min="10757" max="10758" width="13.5703125" style="1801" customWidth="1"/>
    <col min="10759" max="10759" width="13.28515625" style="1801" customWidth="1"/>
    <col min="10760" max="10760" width="13" style="1801" customWidth="1"/>
    <col min="10761" max="10761" width="14.140625" style="1801" bestFit="1" customWidth="1"/>
    <col min="10762" max="10762" width="12.42578125" style="1801" bestFit="1" customWidth="1"/>
    <col min="10763" max="10763" width="11.42578125" style="1801" customWidth="1"/>
    <col min="10764" max="10764" width="12.7109375" style="1801" customWidth="1"/>
    <col min="10765" max="10765" width="15.28515625" style="1801" customWidth="1"/>
    <col min="10766" max="10766" width="1.42578125" style="1801" customWidth="1"/>
    <col min="10767" max="10767" width="10.42578125" style="1801" customWidth="1"/>
    <col min="10768" max="10768" width="12" style="1801" customWidth="1"/>
    <col min="10769" max="10769" width="19.42578125" style="1801" customWidth="1"/>
    <col min="10770" max="10770" width="19.140625" style="1801" customWidth="1"/>
    <col min="10771" max="10989" width="12" style="1801" customWidth="1"/>
    <col min="10990" max="11008" width="9.42578125" style="1801"/>
    <col min="11009" max="11009" width="12.140625" style="1801" bestFit="1" customWidth="1"/>
    <col min="11010" max="11010" width="11.42578125" style="1801" bestFit="1" customWidth="1"/>
    <col min="11011" max="11011" width="11" style="1801" customWidth="1"/>
    <col min="11012" max="11012" width="13.28515625" style="1801" customWidth="1"/>
    <col min="11013" max="11014" width="13.5703125" style="1801" customWidth="1"/>
    <col min="11015" max="11015" width="13.28515625" style="1801" customWidth="1"/>
    <col min="11016" max="11016" width="13" style="1801" customWidth="1"/>
    <col min="11017" max="11017" width="14.140625" style="1801" bestFit="1" customWidth="1"/>
    <col min="11018" max="11018" width="12.42578125" style="1801" bestFit="1" customWidth="1"/>
    <col min="11019" max="11019" width="11.42578125" style="1801" customWidth="1"/>
    <col min="11020" max="11020" width="12.7109375" style="1801" customWidth="1"/>
    <col min="11021" max="11021" width="15.28515625" style="1801" customWidth="1"/>
    <col min="11022" max="11022" width="1.42578125" style="1801" customWidth="1"/>
    <col min="11023" max="11023" width="10.42578125" style="1801" customWidth="1"/>
    <col min="11024" max="11024" width="12" style="1801" customWidth="1"/>
    <col min="11025" max="11025" width="19.42578125" style="1801" customWidth="1"/>
    <col min="11026" max="11026" width="19.140625" style="1801" customWidth="1"/>
    <col min="11027" max="11245" width="12" style="1801" customWidth="1"/>
    <col min="11246" max="11264" width="9.42578125" style="1801"/>
    <col min="11265" max="11265" width="12.140625" style="1801" bestFit="1" customWidth="1"/>
    <col min="11266" max="11266" width="11.42578125" style="1801" bestFit="1" customWidth="1"/>
    <col min="11267" max="11267" width="11" style="1801" customWidth="1"/>
    <col min="11268" max="11268" width="13.28515625" style="1801" customWidth="1"/>
    <col min="11269" max="11270" width="13.5703125" style="1801" customWidth="1"/>
    <col min="11271" max="11271" width="13.28515625" style="1801" customWidth="1"/>
    <col min="11272" max="11272" width="13" style="1801" customWidth="1"/>
    <col min="11273" max="11273" width="14.140625" style="1801" bestFit="1" customWidth="1"/>
    <col min="11274" max="11274" width="12.42578125" style="1801" bestFit="1" customWidth="1"/>
    <col min="11275" max="11275" width="11.42578125" style="1801" customWidth="1"/>
    <col min="11276" max="11276" width="12.7109375" style="1801" customWidth="1"/>
    <col min="11277" max="11277" width="15.28515625" style="1801" customWidth="1"/>
    <col min="11278" max="11278" width="1.42578125" style="1801" customWidth="1"/>
    <col min="11279" max="11279" width="10.42578125" style="1801" customWidth="1"/>
    <col min="11280" max="11280" width="12" style="1801" customWidth="1"/>
    <col min="11281" max="11281" width="19.42578125" style="1801" customWidth="1"/>
    <col min="11282" max="11282" width="19.140625" style="1801" customWidth="1"/>
    <col min="11283" max="11501" width="12" style="1801" customWidth="1"/>
    <col min="11502" max="11520" width="9.42578125" style="1801"/>
    <col min="11521" max="11521" width="12.140625" style="1801" bestFit="1" customWidth="1"/>
    <col min="11522" max="11522" width="11.42578125" style="1801" bestFit="1" customWidth="1"/>
    <col min="11523" max="11523" width="11" style="1801" customWidth="1"/>
    <col min="11524" max="11524" width="13.28515625" style="1801" customWidth="1"/>
    <col min="11525" max="11526" width="13.5703125" style="1801" customWidth="1"/>
    <col min="11527" max="11527" width="13.28515625" style="1801" customWidth="1"/>
    <col min="11528" max="11528" width="13" style="1801" customWidth="1"/>
    <col min="11529" max="11529" width="14.140625" style="1801" bestFit="1" customWidth="1"/>
    <col min="11530" max="11530" width="12.42578125" style="1801" bestFit="1" customWidth="1"/>
    <col min="11531" max="11531" width="11.42578125" style="1801" customWidth="1"/>
    <col min="11532" max="11532" width="12.7109375" style="1801" customWidth="1"/>
    <col min="11533" max="11533" width="15.28515625" style="1801" customWidth="1"/>
    <col min="11534" max="11534" width="1.42578125" style="1801" customWidth="1"/>
    <col min="11535" max="11535" width="10.42578125" style="1801" customWidth="1"/>
    <col min="11536" max="11536" width="12" style="1801" customWidth="1"/>
    <col min="11537" max="11537" width="19.42578125" style="1801" customWidth="1"/>
    <col min="11538" max="11538" width="19.140625" style="1801" customWidth="1"/>
    <col min="11539" max="11757" width="12" style="1801" customWidth="1"/>
    <col min="11758" max="11776" width="9.42578125" style="1801"/>
    <col min="11777" max="11777" width="12.140625" style="1801" bestFit="1" customWidth="1"/>
    <col min="11778" max="11778" width="11.42578125" style="1801" bestFit="1" customWidth="1"/>
    <col min="11779" max="11779" width="11" style="1801" customWidth="1"/>
    <col min="11780" max="11780" width="13.28515625" style="1801" customWidth="1"/>
    <col min="11781" max="11782" width="13.5703125" style="1801" customWidth="1"/>
    <col min="11783" max="11783" width="13.28515625" style="1801" customWidth="1"/>
    <col min="11784" max="11784" width="13" style="1801" customWidth="1"/>
    <col min="11785" max="11785" width="14.140625" style="1801" bestFit="1" customWidth="1"/>
    <col min="11786" max="11786" width="12.42578125" style="1801" bestFit="1" customWidth="1"/>
    <col min="11787" max="11787" width="11.42578125" style="1801" customWidth="1"/>
    <col min="11788" max="11788" width="12.7109375" style="1801" customWidth="1"/>
    <col min="11789" max="11789" width="15.28515625" style="1801" customWidth="1"/>
    <col min="11790" max="11790" width="1.42578125" style="1801" customWidth="1"/>
    <col min="11791" max="11791" width="10.42578125" style="1801" customWidth="1"/>
    <col min="11792" max="11792" width="12" style="1801" customWidth="1"/>
    <col min="11793" max="11793" width="19.42578125" style="1801" customWidth="1"/>
    <col min="11794" max="11794" width="19.140625" style="1801" customWidth="1"/>
    <col min="11795" max="12013" width="12" style="1801" customWidth="1"/>
    <col min="12014" max="12032" width="9.42578125" style="1801"/>
    <col min="12033" max="12033" width="12.140625" style="1801" bestFit="1" customWidth="1"/>
    <col min="12034" max="12034" width="11.42578125" style="1801" bestFit="1" customWidth="1"/>
    <col min="12035" max="12035" width="11" style="1801" customWidth="1"/>
    <col min="12036" max="12036" width="13.28515625" style="1801" customWidth="1"/>
    <col min="12037" max="12038" width="13.5703125" style="1801" customWidth="1"/>
    <col min="12039" max="12039" width="13.28515625" style="1801" customWidth="1"/>
    <col min="12040" max="12040" width="13" style="1801" customWidth="1"/>
    <col min="12041" max="12041" width="14.140625" style="1801" bestFit="1" customWidth="1"/>
    <col min="12042" max="12042" width="12.42578125" style="1801" bestFit="1" customWidth="1"/>
    <col min="12043" max="12043" width="11.42578125" style="1801" customWidth="1"/>
    <col min="12044" max="12044" width="12.7109375" style="1801" customWidth="1"/>
    <col min="12045" max="12045" width="15.28515625" style="1801" customWidth="1"/>
    <col min="12046" max="12046" width="1.42578125" style="1801" customWidth="1"/>
    <col min="12047" max="12047" width="10.42578125" style="1801" customWidth="1"/>
    <col min="12048" max="12048" width="12" style="1801" customWidth="1"/>
    <col min="12049" max="12049" width="19.42578125" style="1801" customWidth="1"/>
    <col min="12050" max="12050" width="19.140625" style="1801" customWidth="1"/>
    <col min="12051" max="12269" width="12" style="1801" customWidth="1"/>
    <col min="12270" max="12288" width="9.42578125" style="1801"/>
    <col min="12289" max="12289" width="12.140625" style="1801" bestFit="1" customWidth="1"/>
    <col min="12290" max="12290" width="11.42578125" style="1801" bestFit="1" customWidth="1"/>
    <col min="12291" max="12291" width="11" style="1801" customWidth="1"/>
    <col min="12292" max="12292" width="13.28515625" style="1801" customWidth="1"/>
    <col min="12293" max="12294" width="13.5703125" style="1801" customWidth="1"/>
    <col min="12295" max="12295" width="13.28515625" style="1801" customWidth="1"/>
    <col min="12296" max="12296" width="13" style="1801" customWidth="1"/>
    <col min="12297" max="12297" width="14.140625" style="1801" bestFit="1" customWidth="1"/>
    <col min="12298" max="12298" width="12.42578125" style="1801" bestFit="1" customWidth="1"/>
    <col min="12299" max="12299" width="11.42578125" style="1801" customWidth="1"/>
    <col min="12300" max="12300" width="12.7109375" style="1801" customWidth="1"/>
    <col min="12301" max="12301" width="15.28515625" style="1801" customWidth="1"/>
    <col min="12302" max="12302" width="1.42578125" style="1801" customWidth="1"/>
    <col min="12303" max="12303" width="10.42578125" style="1801" customWidth="1"/>
    <col min="12304" max="12304" width="12" style="1801" customWidth="1"/>
    <col min="12305" max="12305" width="19.42578125" style="1801" customWidth="1"/>
    <col min="12306" max="12306" width="19.140625" style="1801" customWidth="1"/>
    <col min="12307" max="12525" width="12" style="1801" customWidth="1"/>
    <col min="12526" max="12544" width="9.42578125" style="1801"/>
    <col min="12545" max="12545" width="12.140625" style="1801" bestFit="1" customWidth="1"/>
    <col min="12546" max="12546" width="11.42578125" style="1801" bestFit="1" customWidth="1"/>
    <col min="12547" max="12547" width="11" style="1801" customWidth="1"/>
    <col min="12548" max="12548" width="13.28515625" style="1801" customWidth="1"/>
    <col min="12549" max="12550" width="13.5703125" style="1801" customWidth="1"/>
    <col min="12551" max="12551" width="13.28515625" style="1801" customWidth="1"/>
    <col min="12552" max="12552" width="13" style="1801" customWidth="1"/>
    <col min="12553" max="12553" width="14.140625" style="1801" bestFit="1" customWidth="1"/>
    <col min="12554" max="12554" width="12.42578125" style="1801" bestFit="1" customWidth="1"/>
    <col min="12555" max="12555" width="11.42578125" style="1801" customWidth="1"/>
    <col min="12556" max="12556" width="12.7109375" style="1801" customWidth="1"/>
    <col min="12557" max="12557" width="15.28515625" style="1801" customWidth="1"/>
    <col min="12558" max="12558" width="1.42578125" style="1801" customWidth="1"/>
    <col min="12559" max="12559" width="10.42578125" style="1801" customWidth="1"/>
    <col min="12560" max="12560" width="12" style="1801" customWidth="1"/>
    <col min="12561" max="12561" width="19.42578125" style="1801" customWidth="1"/>
    <col min="12562" max="12562" width="19.140625" style="1801" customWidth="1"/>
    <col min="12563" max="12781" width="12" style="1801" customWidth="1"/>
    <col min="12782" max="12800" width="9.42578125" style="1801"/>
    <col min="12801" max="12801" width="12.140625" style="1801" bestFit="1" customWidth="1"/>
    <col min="12802" max="12802" width="11.42578125" style="1801" bestFit="1" customWidth="1"/>
    <col min="12803" max="12803" width="11" style="1801" customWidth="1"/>
    <col min="12804" max="12804" width="13.28515625" style="1801" customWidth="1"/>
    <col min="12805" max="12806" width="13.5703125" style="1801" customWidth="1"/>
    <col min="12807" max="12807" width="13.28515625" style="1801" customWidth="1"/>
    <col min="12808" max="12808" width="13" style="1801" customWidth="1"/>
    <col min="12809" max="12809" width="14.140625" style="1801" bestFit="1" customWidth="1"/>
    <col min="12810" max="12810" width="12.42578125" style="1801" bestFit="1" customWidth="1"/>
    <col min="12811" max="12811" width="11.42578125" style="1801" customWidth="1"/>
    <col min="12812" max="12812" width="12.7109375" style="1801" customWidth="1"/>
    <col min="12813" max="12813" width="15.28515625" style="1801" customWidth="1"/>
    <col min="12814" max="12814" width="1.42578125" style="1801" customWidth="1"/>
    <col min="12815" max="12815" width="10.42578125" style="1801" customWidth="1"/>
    <col min="12816" max="12816" width="12" style="1801" customWidth="1"/>
    <col min="12817" max="12817" width="19.42578125" style="1801" customWidth="1"/>
    <col min="12818" max="12818" width="19.140625" style="1801" customWidth="1"/>
    <col min="12819" max="13037" width="12" style="1801" customWidth="1"/>
    <col min="13038" max="13056" width="9.42578125" style="1801"/>
    <col min="13057" max="13057" width="12.140625" style="1801" bestFit="1" customWidth="1"/>
    <col min="13058" max="13058" width="11.42578125" style="1801" bestFit="1" customWidth="1"/>
    <col min="13059" max="13059" width="11" style="1801" customWidth="1"/>
    <col min="13060" max="13060" width="13.28515625" style="1801" customWidth="1"/>
    <col min="13061" max="13062" width="13.5703125" style="1801" customWidth="1"/>
    <col min="13063" max="13063" width="13.28515625" style="1801" customWidth="1"/>
    <col min="13064" max="13064" width="13" style="1801" customWidth="1"/>
    <col min="13065" max="13065" width="14.140625" style="1801" bestFit="1" customWidth="1"/>
    <col min="13066" max="13066" width="12.42578125" style="1801" bestFit="1" customWidth="1"/>
    <col min="13067" max="13067" width="11.42578125" style="1801" customWidth="1"/>
    <col min="13068" max="13068" width="12.7109375" style="1801" customWidth="1"/>
    <col min="13069" max="13069" width="15.28515625" style="1801" customWidth="1"/>
    <col min="13070" max="13070" width="1.42578125" style="1801" customWidth="1"/>
    <col min="13071" max="13071" width="10.42578125" style="1801" customWidth="1"/>
    <col min="13072" max="13072" width="12" style="1801" customWidth="1"/>
    <col min="13073" max="13073" width="19.42578125" style="1801" customWidth="1"/>
    <col min="13074" max="13074" width="19.140625" style="1801" customWidth="1"/>
    <col min="13075" max="13293" width="12" style="1801" customWidth="1"/>
    <col min="13294" max="13312" width="9.42578125" style="1801"/>
    <col min="13313" max="13313" width="12.140625" style="1801" bestFit="1" customWidth="1"/>
    <col min="13314" max="13314" width="11.42578125" style="1801" bestFit="1" customWidth="1"/>
    <col min="13315" max="13315" width="11" style="1801" customWidth="1"/>
    <col min="13316" max="13316" width="13.28515625" style="1801" customWidth="1"/>
    <col min="13317" max="13318" width="13.5703125" style="1801" customWidth="1"/>
    <col min="13319" max="13319" width="13.28515625" style="1801" customWidth="1"/>
    <col min="13320" max="13320" width="13" style="1801" customWidth="1"/>
    <col min="13321" max="13321" width="14.140625" style="1801" bestFit="1" customWidth="1"/>
    <col min="13322" max="13322" width="12.42578125" style="1801" bestFit="1" customWidth="1"/>
    <col min="13323" max="13323" width="11.42578125" style="1801" customWidth="1"/>
    <col min="13324" max="13324" width="12.7109375" style="1801" customWidth="1"/>
    <col min="13325" max="13325" width="15.28515625" style="1801" customWidth="1"/>
    <col min="13326" max="13326" width="1.42578125" style="1801" customWidth="1"/>
    <col min="13327" max="13327" width="10.42578125" style="1801" customWidth="1"/>
    <col min="13328" max="13328" width="12" style="1801" customWidth="1"/>
    <col min="13329" max="13329" width="19.42578125" style="1801" customWidth="1"/>
    <col min="13330" max="13330" width="19.140625" style="1801" customWidth="1"/>
    <col min="13331" max="13549" width="12" style="1801" customWidth="1"/>
    <col min="13550" max="13568" width="9.42578125" style="1801"/>
    <col min="13569" max="13569" width="12.140625" style="1801" bestFit="1" customWidth="1"/>
    <col min="13570" max="13570" width="11.42578125" style="1801" bestFit="1" customWidth="1"/>
    <col min="13571" max="13571" width="11" style="1801" customWidth="1"/>
    <col min="13572" max="13572" width="13.28515625" style="1801" customWidth="1"/>
    <col min="13573" max="13574" width="13.5703125" style="1801" customWidth="1"/>
    <col min="13575" max="13575" width="13.28515625" style="1801" customWidth="1"/>
    <col min="13576" max="13576" width="13" style="1801" customWidth="1"/>
    <col min="13577" max="13577" width="14.140625" style="1801" bestFit="1" customWidth="1"/>
    <col min="13578" max="13578" width="12.42578125" style="1801" bestFit="1" customWidth="1"/>
    <col min="13579" max="13579" width="11.42578125" style="1801" customWidth="1"/>
    <col min="13580" max="13580" width="12.7109375" style="1801" customWidth="1"/>
    <col min="13581" max="13581" width="15.28515625" style="1801" customWidth="1"/>
    <col min="13582" max="13582" width="1.42578125" style="1801" customWidth="1"/>
    <col min="13583" max="13583" width="10.42578125" style="1801" customWidth="1"/>
    <col min="13584" max="13584" width="12" style="1801" customWidth="1"/>
    <col min="13585" max="13585" width="19.42578125" style="1801" customWidth="1"/>
    <col min="13586" max="13586" width="19.140625" style="1801" customWidth="1"/>
    <col min="13587" max="13805" width="12" style="1801" customWidth="1"/>
    <col min="13806" max="13824" width="9.42578125" style="1801"/>
    <col min="13825" max="13825" width="12.140625" style="1801" bestFit="1" customWidth="1"/>
    <col min="13826" max="13826" width="11.42578125" style="1801" bestFit="1" customWidth="1"/>
    <col min="13827" max="13827" width="11" style="1801" customWidth="1"/>
    <col min="13828" max="13828" width="13.28515625" style="1801" customWidth="1"/>
    <col min="13829" max="13830" width="13.5703125" style="1801" customWidth="1"/>
    <col min="13831" max="13831" width="13.28515625" style="1801" customWidth="1"/>
    <col min="13832" max="13832" width="13" style="1801" customWidth="1"/>
    <col min="13833" max="13833" width="14.140625" style="1801" bestFit="1" customWidth="1"/>
    <col min="13834" max="13834" width="12.42578125" style="1801" bestFit="1" customWidth="1"/>
    <col min="13835" max="13835" width="11.42578125" style="1801" customWidth="1"/>
    <col min="13836" max="13836" width="12.7109375" style="1801" customWidth="1"/>
    <col min="13837" max="13837" width="15.28515625" style="1801" customWidth="1"/>
    <col min="13838" max="13838" width="1.42578125" style="1801" customWidth="1"/>
    <col min="13839" max="13839" width="10.42578125" style="1801" customWidth="1"/>
    <col min="13840" max="13840" width="12" style="1801" customWidth="1"/>
    <col min="13841" max="13841" width="19.42578125" style="1801" customWidth="1"/>
    <col min="13842" max="13842" width="19.140625" style="1801" customWidth="1"/>
    <col min="13843" max="14061" width="12" style="1801" customWidth="1"/>
    <col min="14062" max="14080" width="9.42578125" style="1801"/>
    <col min="14081" max="14081" width="12.140625" style="1801" bestFit="1" customWidth="1"/>
    <col min="14082" max="14082" width="11.42578125" style="1801" bestFit="1" customWidth="1"/>
    <col min="14083" max="14083" width="11" style="1801" customWidth="1"/>
    <col min="14084" max="14084" width="13.28515625" style="1801" customWidth="1"/>
    <col min="14085" max="14086" width="13.5703125" style="1801" customWidth="1"/>
    <col min="14087" max="14087" width="13.28515625" style="1801" customWidth="1"/>
    <col min="14088" max="14088" width="13" style="1801" customWidth="1"/>
    <col min="14089" max="14089" width="14.140625" style="1801" bestFit="1" customWidth="1"/>
    <col min="14090" max="14090" width="12.42578125" style="1801" bestFit="1" customWidth="1"/>
    <col min="14091" max="14091" width="11.42578125" style="1801" customWidth="1"/>
    <col min="14092" max="14092" width="12.7109375" style="1801" customWidth="1"/>
    <col min="14093" max="14093" width="15.28515625" style="1801" customWidth="1"/>
    <col min="14094" max="14094" width="1.42578125" style="1801" customWidth="1"/>
    <col min="14095" max="14095" width="10.42578125" style="1801" customWidth="1"/>
    <col min="14096" max="14096" width="12" style="1801" customWidth="1"/>
    <col min="14097" max="14097" width="19.42578125" style="1801" customWidth="1"/>
    <col min="14098" max="14098" width="19.140625" style="1801" customWidth="1"/>
    <col min="14099" max="14317" width="12" style="1801" customWidth="1"/>
    <col min="14318" max="14336" width="9.42578125" style="1801"/>
    <col min="14337" max="14337" width="12.140625" style="1801" bestFit="1" customWidth="1"/>
    <col min="14338" max="14338" width="11.42578125" style="1801" bestFit="1" customWidth="1"/>
    <col min="14339" max="14339" width="11" style="1801" customWidth="1"/>
    <col min="14340" max="14340" width="13.28515625" style="1801" customWidth="1"/>
    <col min="14341" max="14342" width="13.5703125" style="1801" customWidth="1"/>
    <col min="14343" max="14343" width="13.28515625" style="1801" customWidth="1"/>
    <col min="14344" max="14344" width="13" style="1801" customWidth="1"/>
    <col min="14345" max="14345" width="14.140625" style="1801" bestFit="1" customWidth="1"/>
    <col min="14346" max="14346" width="12.42578125" style="1801" bestFit="1" customWidth="1"/>
    <col min="14347" max="14347" width="11.42578125" style="1801" customWidth="1"/>
    <col min="14348" max="14348" width="12.7109375" style="1801" customWidth="1"/>
    <col min="14349" max="14349" width="15.28515625" style="1801" customWidth="1"/>
    <col min="14350" max="14350" width="1.42578125" style="1801" customWidth="1"/>
    <col min="14351" max="14351" width="10.42578125" style="1801" customWidth="1"/>
    <col min="14352" max="14352" width="12" style="1801" customWidth="1"/>
    <col min="14353" max="14353" width="19.42578125" style="1801" customWidth="1"/>
    <col min="14354" max="14354" width="19.140625" style="1801" customWidth="1"/>
    <col min="14355" max="14573" width="12" style="1801" customWidth="1"/>
    <col min="14574" max="14592" width="9.42578125" style="1801"/>
    <col min="14593" max="14593" width="12.140625" style="1801" bestFit="1" customWidth="1"/>
    <col min="14594" max="14594" width="11.42578125" style="1801" bestFit="1" customWidth="1"/>
    <col min="14595" max="14595" width="11" style="1801" customWidth="1"/>
    <col min="14596" max="14596" width="13.28515625" style="1801" customWidth="1"/>
    <col min="14597" max="14598" width="13.5703125" style="1801" customWidth="1"/>
    <col min="14599" max="14599" width="13.28515625" style="1801" customWidth="1"/>
    <col min="14600" max="14600" width="13" style="1801" customWidth="1"/>
    <col min="14601" max="14601" width="14.140625" style="1801" bestFit="1" customWidth="1"/>
    <col min="14602" max="14602" width="12.42578125" style="1801" bestFit="1" customWidth="1"/>
    <col min="14603" max="14603" width="11.42578125" style="1801" customWidth="1"/>
    <col min="14604" max="14604" width="12.7109375" style="1801" customWidth="1"/>
    <col min="14605" max="14605" width="15.28515625" style="1801" customWidth="1"/>
    <col min="14606" max="14606" width="1.42578125" style="1801" customWidth="1"/>
    <col min="14607" max="14607" width="10.42578125" style="1801" customWidth="1"/>
    <col min="14608" max="14608" width="12" style="1801" customWidth="1"/>
    <col min="14609" max="14609" width="19.42578125" style="1801" customWidth="1"/>
    <col min="14610" max="14610" width="19.140625" style="1801" customWidth="1"/>
    <col min="14611" max="14829" width="12" style="1801" customWidth="1"/>
    <col min="14830" max="14848" width="9.42578125" style="1801"/>
    <col min="14849" max="14849" width="12.140625" style="1801" bestFit="1" customWidth="1"/>
    <col min="14850" max="14850" width="11.42578125" style="1801" bestFit="1" customWidth="1"/>
    <col min="14851" max="14851" width="11" style="1801" customWidth="1"/>
    <col min="14852" max="14852" width="13.28515625" style="1801" customWidth="1"/>
    <col min="14853" max="14854" width="13.5703125" style="1801" customWidth="1"/>
    <col min="14855" max="14855" width="13.28515625" style="1801" customWidth="1"/>
    <col min="14856" max="14856" width="13" style="1801" customWidth="1"/>
    <col min="14857" max="14857" width="14.140625" style="1801" bestFit="1" customWidth="1"/>
    <col min="14858" max="14858" width="12.42578125" style="1801" bestFit="1" customWidth="1"/>
    <col min="14859" max="14859" width="11.42578125" style="1801" customWidth="1"/>
    <col min="14860" max="14860" width="12.7109375" style="1801" customWidth="1"/>
    <col min="14861" max="14861" width="15.28515625" style="1801" customWidth="1"/>
    <col min="14862" max="14862" width="1.42578125" style="1801" customWidth="1"/>
    <col min="14863" max="14863" width="10.42578125" style="1801" customWidth="1"/>
    <col min="14864" max="14864" width="12" style="1801" customWidth="1"/>
    <col min="14865" max="14865" width="19.42578125" style="1801" customWidth="1"/>
    <col min="14866" max="14866" width="19.140625" style="1801" customWidth="1"/>
    <col min="14867" max="15085" width="12" style="1801" customWidth="1"/>
    <col min="15086" max="15104" width="9.42578125" style="1801"/>
    <col min="15105" max="15105" width="12.140625" style="1801" bestFit="1" customWidth="1"/>
    <col min="15106" max="15106" width="11.42578125" style="1801" bestFit="1" customWidth="1"/>
    <col min="15107" max="15107" width="11" style="1801" customWidth="1"/>
    <col min="15108" max="15108" width="13.28515625" style="1801" customWidth="1"/>
    <col min="15109" max="15110" width="13.5703125" style="1801" customWidth="1"/>
    <col min="15111" max="15111" width="13.28515625" style="1801" customWidth="1"/>
    <col min="15112" max="15112" width="13" style="1801" customWidth="1"/>
    <col min="15113" max="15113" width="14.140625" style="1801" bestFit="1" customWidth="1"/>
    <col min="15114" max="15114" width="12.42578125" style="1801" bestFit="1" customWidth="1"/>
    <col min="15115" max="15115" width="11.42578125" style="1801" customWidth="1"/>
    <col min="15116" max="15116" width="12.7109375" style="1801" customWidth="1"/>
    <col min="15117" max="15117" width="15.28515625" style="1801" customWidth="1"/>
    <col min="15118" max="15118" width="1.42578125" style="1801" customWidth="1"/>
    <col min="15119" max="15119" width="10.42578125" style="1801" customWidth="1"/>
    <col min="15120" max="15120" width="12" style="1801" customWidth="1"/>
    <col min="15121" max="15121" width="19.42578125" style="1801" customWidth="1"/>
    <col min="15122" max="15122" width="19.140625" style="1801" customWidth="1"/>
    <col min="15123" max="15341" width="12" style="1801" customWidth="1"/>
    <col min="15342" max="15360" width="9.42578125" style="1801"/>
    <col min="15361" max="15361" width="12.140625" style="1801" bestFit="1" customWidth="1"/>
    <col min="15362" max="15362" width="11.42578125" style="1801" bestFit="1" customWidth="1"/>
    <col min="15363" max="15363" width="11" style="1801" customWidth="1"/>
    <col min="15364" max="15364" width="13.28515625" style="1801" customWidth="1"/>
    <col min="15365" max="15366" width="13.5703125" style="1801" customWidth="1"/>
    <col min="15367" max="15367" width="13.28515625" style="1801" customWidth="1"/>
    <col min="15368" max="15368" width="13" style="1801" customWidth="1"/>
    <col min="15369" max="15369" width="14.140625" style="1801" bestFit="1" customWidth="1"/>
    <col min="15370" max="15370" width="12.42578125" style="1801" bestFit="1" customWidth="1"/>
    <col min="15371" max="15371" width="11.42578125" style="1801" customWidth="1"/>
    <col min="15372" max="15372" width="12.7109375" style="1801" customWidth="1"/>
    <col min="15373" max="15373" width="15.28515625" style="1801" customWidth="1"/>
    <col min="15374" max="15374" width="1.42578125" style="1801" customWidth="1"/>
    <col min="15375" max="15375" width="10.42578125" style="1801" customWidth="1"/>
    <col min="15376" max="15376" width="12" style="1801" customWidth="1"/>
    <col min="15377" max="15377" width="19.42578125" style="1801" customWidth="1"/>
    <col min="15378" max="15378" width="19.140625" style="1801" customWidth="1"/>
    <col min="15379" max="15597" width="12" style="1801" customWidth="1"/>
    <col min="15598" max="15616" width="9.42578125" style="1801"/>
    <col min="15617" max="15617" width="12.140625" style="1801" bestFit="1" customWidth="1"/>
    <col min="15618" max="15618" width="11.42578125" style="1801" bestFit="1" customWidth="1"/>
    <col min="15619" max="15619" width="11" style="1801" customWidth="1"/>
    <col min="15620" max="15620" width="13.28515625" style="1801" customWidth="1"/>
    <col min="15621" max="15622" width="13.5703125" style="1801" customWidth="1"/>
    <col min="15623" max="15623" width="13.28515625" style="1801" customWidth="1"/>
    <col min="15624" max="15624" width="13" style="1801" customWidth="1"/>
    <col min="15625" max="15625" width="14.140625" style="1801" bestFit="1" customWidth="1"/>
    <col min="15626" max="15626" width="12.42578125" style="1801" bestFit="1" customWidth="1"/>
    <col min="15627" max="15627" width="11.42578125" style="1801" customWidth="1"/>
    <col min="15628" max="15628" width="12.7109375" style="1801" customWidth="1"/>
    <col min="15629" max="15629" width="15.28515625" style="1801" customWidth="1"/>
    <col min="15630" max="15630" width="1.42578125" style="1801" customWidth="1"/>
    <col min="15631" max="15631" width="10.42578125" style="1801" customWidth="1"/>
    <col min="15632" max="15632" width="12" style="1801" customWidth="1"/>
    <col min="15633" max="15633" width="19.42578125" style="1801" customWidth="1"/>
    <col min="15634" max="15634" width="19.140625" style="1801" customWidth="1"/>
    <col min="15635" max="15853" width="12" style="1801" customWidth="1"/>
    <col min="15854" max="15872" width="9.42578125" style="1801"/>
    <col min="15873" max="15873" width="12.140625" style="1801" bestFit="1" customWidth="1"/>
    <col min="15874" max="15874" width="11.42578125" style="1801" bestFit="1" customWidth="1"/>
    <col min="15875" max="15875" width="11" style="1801" customWidth="1"/>
    <col min="15876" max="15876" width="13.28515625" style="1801" customWidth="1"/>
    <col min="15877" max="15878" width="13.5703125" style="1801" customWidth="1"/>
    <col min="15879" max="15879" width="13.28515625" style="1801" customWidth="1"/>
    <col min="15880" max="15880" width="13" style="1801" customWidth="1"/>
    <col min="15881" max="15881" width="14.140625" style="1801" bestFit="1" customWidth="1"/>
    <col min="15882" max="15882" width="12.42578125" style="1801" bestFit="1" customWidth="1"/>
    <col min="15883" max="15883" width="11.42578125" style="1801" customWidth="1"/>
    <col min="15884" max="15884" width="12.7109375" style="1801" customWidth="1"/>
    <col min="15885" max="15885" width="15.28515625" style="1801" customWidth="1"/>
    <col min="15886" max="15886" width="1.42578125" style="1801" customWidth="1"/>
    <col min="15887" max="15887" width="10.42578125" style="1801" customWidth="1"/>
    <col min="15888" max="15888" width="12" style="1801" customWidth="1"/>
    <col min="15889" max="15889" width="19.42578125" style="1801" customWidth="1"/>
    <col min="15890" max="15890" width="19.140625" style="1801" customWidth="1"/>
    <col min="15891" max="16109" width="12" style="1801" customWidth="1"/>
    <col min="16110" max="16128" width="9.42578125" style="1801"/>
    <col min="16129" max="16129" width="12.140625" style="1801" bestFit="1" customWidth="1"/>
    <col min="16130" max="16130" width="11.42578125" style="1801" bestFit="1" customWidth="1"/>
    <col min="16131" max="16131" width="11" style="1801" customWidth="1"/>
    <col min="16132" max="16132" width="13.28515625" style="1801" customWidth="1"/>
    <col min="16133" max="16134" width="13.5703125" style="1801" customWidth="1"/>
    <col min="16135" max="16135" width="13.28515625" style="1801" customWidth="1"/>
    <col min="16136" max="16136" width="13" style="1801" customWidth="1"/>
    <col min="16137" max="16137" width="14.140625" style="1801" bestFit="1" customWidth="1"/>
    <col min="16138" max="16138" width="12.42578125" style="1801" bestFit="1" customWidth="1"/>
    <col min="16139" max="16139" width="11.42578125" style="1801" customWidth="1"/>
    <col min="16140" max="16140" width="12.7109375" style="1801" customWidth="1"/>
    <col min="16141" max="16141" width="15.28515625" style="1801" customWidth="1"/>
    <col min="16142" max="16142" width="1.42578125" style="1801" customWidth="1"/>
    <col min="16143" max="16143" width="10.42578125" style="1801" customWidth="1"/>
    <col min="16144" max="16144" width="12" style="1801" customWidth="1"/>
    <col min="16145" max="16145" width="19.42578125" style="1801" customWidth="1"/>
    <col min="16146" max="16146" width="19.140625" style="1801" customWidth="1"/>
    <col min="16147" max="16365" width="12" style="1801" customWidth="1"/>
    <col min="16366" max="16384" width="9.42578125" style="1801"/>
  </cols>
  <sheetData>
    <row r="1" spans="2:22" ht="28.35" customHeight="1">
      <c r="B1" s="1801"/>
      <c r="C1" s="1793"/>
      <c r="D1" s="1793"/>
      <c r="E1" s="1793"/>
      <c r="F1" s="1793"/>
      <c r="J1" s="2724"/>
      <c r="K1" s="2724"/>
      <c r="P1" s="2868"/>
      <c r="Q1" s="3269"/>
      <c r="R1" s="1804"/>
      <c r="S1" s="2868"/>
      <c r="T1" s="2868"/>
      <c r="U1" s="2868"/>
      <c r="V1" s="2868"/>
    </row>
    <row r="2" spans="2:22" ht="28.35" customHeight="1">
      <c r="B2" s="1809"/>
      <c r="C2" s="3209"/>
      <c r="D2" s="3209"/>
      <c r="E2" s="3209"/>
      <c r="F2" s="3209"/>
      <c r="G2" s="2724"/>
      <c r="H2" s="2724"/>
      <c r="J2" s="2724"/>
      <c r="K2" s="3172"/>
      <c r="P2" s="1809"/>
      <c r="Q2" s="3270"/>
      <c r="R2" s="2868"/>
      <c r="S2" s="2868"/>
      <c r="T2" s="2868"/>
      <c r="U2" s="2868"/>
    </row>
    <row r="3" spans="2:22" s="1846" customFormat="1" ht="28.35" customHeight="1">
      <c r="B3" s="3176"/>
      <c r="C3" s="4856" t="s">
        <v>1428</v>
      </c>
      <c r="D3" s="4856"/>
      <c r="E3" s="4856"/>
      <c r="F3" s="4856"/>
      <c r="G3" s="4856"/>
      <c r="H3" s="4856"/>
      <c r="I3" s="4856"/>
      <c r="J3" s="4856"/>
      <c r="K3" s="4856"/>
      <c r="L3" s="4856"/>
      <c r="M3" s="4856"/>
      <c r="N3" s="4856"/>
      <c r="O3" s="4856"/>
    </row>
    <row r="4" spans="2:22" s="3178" customFormat="1" ht="28.35" customHeight="1">
      <c r="B4" s="3179"/>
      <c r="C4" s="4713" t="s">
        <v>1429</v>
      </c>
      <c r="D4" s="4713"/>
      <c r="E4" s="4713"/>
      <c r="F4" s="4713"/>
      <c r="G4" s="4713"/>
      <c r="H4" s="4713"/>
      <c r="I4" s="4713"/>
      <c r="J4" s="4713"/>
      <c r="K4" s="4713"/>
      <c r="L4" s="4713"/>
      <c r="M4" s="4713"/>
      <c r="N4" s="4713"/>
      <c r="O4" s="4713"/>
    </row>
    <row r="5" spans="2:22" s="1857" customFormat="1" ht="17.100000000000001" customHeight="1">
      <c r="B5" s="3212"/>
      <c r="C5" s="3213" t="s">
        <v>1306</v>
      </c>
      <c r="D5" s="2159"/>
      <c r="E5" s="2159"/>
      <c r="F5" s="2159"/>
      <c r="G5" s="1318"/>
      <c r="H5" s="1318"/>
      <c r="I5" s="1318"/>
      <c r="J5" s="1318"/>
      <c r="K5" s="1318"/>
      <c r="L5" s="4935" t="s">
        <v>1307</v>
      </c>
      <c r="M5" s="4935"/>
      <c r="N5" s="4935"/>
      <c r="O5" s="4935"/>
    </row>
    <row r="6" spans="2:22" ht="4.3499999999999996" customHeight="1">
      <c r="B6" s="1809"/>
      <c r="C6" s="3214"/>
      <c r="D6" s="3214"/>
      <c r="E6" s="3213"/>
      <c r="F6" s="3213"/>
      <c r="G6" s="1323"/>
      <c r="H6" s="1323"/>
      <c r="I6" s="1323"/>
      <c r="J6" s="1323"/>
      <c r="K6" s="1323"/>
      <c r="L6" s="1323"/>
      <c r="M6" s="1323"/>
      <c r="N6" s="1323"/>
      <c r="O6" s="2279"/>
    </row>
    <row r="7" spans="2:22" ht="6.95" customHeight="1">
      <c r="B7" s="1809"/>
      <c r="C7" s="3271"/>
      <c r="D7" s="2589"/>
      <c r="E7" s="2589"/>
      <c r="F7" s="1730"/>
      <c r="G7" s="1730"/>
      <c r="H7" s="1730"/>
      <c r="I7" s="1730"/>
      <c r="J7" s="1730"/>
      <c r="K7" s="1730"/>
      <c r="L7" s="1730"/>
      <c r="M7" s="2048"/>
      <c r="N7" s="1278"/>
      <c r="O7" s="3272"/>
    </row>
    <row r="8" spans="2:22" ht="24" customHeight="1">
      <c r="B8" s="1809"/>
      <c r="C8" s="3273"/>
      <c r="D8" s="1387"/>
      <c r="E8" s="1387"/>
      <c r="F8" s="1731" t="s">
        <v>1371</v>
      </c>
      <c r="G8" s="1387"/>
      <c r="H8" s="1387"/>
      <c r="I8" s="1731" t="s">
        <v>1372</v>
      </c>
      <c r="J8" s="1387"/>
      <c r="K8" s="1387"/>
      <c r="L8" s="1387"/>
      <c r="M8" s="1387"/>
      <c r="N8" s="3070"/>
      <c r="O8" s="3274"/>
    </row>
    <row r="9" spans="2:22" ht="24" customHeight="1">
      <c r="B9" s="1809"/>
      <c r="C9" s="2642"/>
      <c r="D9" s="1387"/>
      <c r="E9" s="1387"/>
      <c r="F9" s="1731" t="s">
        <v>1373</v>
      </c>
      <c r="G9" s="1387"/>
      <c r="H9" s="1731" t="s">
        <v>1374</v>
      </c>
      <c r="I9" s="1731" t="s">
        <v>1375</v>
      </c>
      <c r="J9" s="1731" t="s">
        <v>1430</v>
      </c>
      <c r="K9" s="1387"/>
      <c r="L9" s="1731" t="s">
        <v>1317</v>
      </c>
      <c r="M9" s="1387"/>
      <c r="N9" s="3070"/>
      <c r="O9" s="3274"/>
    </row>
    <row r="10" spans="2:22" ht="24" customHeight="1">
      <c r="B10" s="1809"/>
      <c r="C10" s="2642"/>
      <c r="D10" s="1731"/>
      <c r="E10" s="1731" t="s">
        <v>1348</v>
      </c>
      <c r="F10" s="1731" t="s">
        <v>1377</v>
      </c>
      <c r="G10" s="1731"/>
      <c r="H10" s="1731" t="s">
        <v>1378</v>
      </c>
      <c r="I10" s="1731" t="s">
        <v>1379</v>
      </c>
      <c r="J10" s="1731" t="s">
        <v>1380</v>
      </c>
      <c r="K10" s="1731"/>
      <c r="L10" s="1731" t="s">
        <v>1381</v>
      </c>
      <c r="M10" s="3244"/>
      <c r="N10" s="3070"/>
      <c r="O10" s="3274"/>
    </row>
    <row r="11" spans="2:22" ht="24" customHeight="1">
      <c r="B11" s="1809"/>
      <c r="C11" s="2642"/>
      <c r="D11" s="1731" t="s">
        <v>1382</v>
      </c>
      <c r="E11" s="1731" t="s">
        <v>1349</v>
      </c>
      <c r="F11" s="1731" t="s">
        <v>1383</v>
      </c>
      <c r="G11" s="1731" t="s">
        <v>1317</v>
      </c>
      <c r="H11" s="1731" t="s">
        <v>1384</v>
      </c>
      <c r="I11" s="1731" t="s">
        <v>1375</v>
      </c>
      <c r="J11" s="1731" t="s">
        <v>1385</v>
      </c>
      <c r="K11" s="1731" t="s">
        <v>1386</v>
      </c>
      <c r="L11" s="1731" t="s">
        <v>1387</v>
      </c>
      <c r="M11" s="1242" t="s">
        <v>170</v>
      </c>
      <c r="N11" s="3070"/>
      <c r="O11" s="3274"/>
    </row>
    <row r="12" spans="2:22" ht="24" customHeight="1">
      <c r="B12" s="1809"/>
      <c r="C12" s="2642" t="s">
        <v>330</v>
      </c>
      <c r="D12" s="1731" t="s">
        <v>1388</v>
      </c>
      <c r="E12" s="1731" t="s">
        <v>668</v>
      </c>
      <c r="F12" s="1731" t="s">
        <v>1389</v>
      </c>
      <c r="G12" s="1731" t="s">
        <v>1390</v>
      </c>
      <c r="H12" s="1731" t="s">
        <v>1391</v>
      </c>
      <c r="I12" s="1731" t="s">
        <v>1392</v>
      </c>
      <c r="J12" s="1731" t="s">
        <v>1351</v>
      </c>
      <c r="K12" s="1731" t="s">
        <v>1393</v>
      </c>
      <c r="L12" s="1731" t="s">
        <v>1394</v>
      </c>
      <c r="M12" s="1242" t="s">
        <v>1353</v>
      </c>
      <c r="N12" s="4682"/>
      <c r="O12" s="4747"/>
    </row>
    <row r="13" spans="2:22" ht="4.5" customHeight="1">
      <c r="B13" s="1809"/>
      <c r="C13" s="3275"/>
      <c r="D13" s="3248"/>
      <c r="E13" s="3248"/>
      <c r="F13" s="3248"/>
      <c r="G13" s="3248"/>
      <c r="H13" s="3248"/>
      <c r="I13" s="3248"/>
      <c r="J13" s="3248"/>
      <c r="K13" s="3248"/>
      <c r="L13" s="3248"/>
      <c r="M13" s="1731"/>
      <c r="N13" s="3070"/>
      <c r="O13" s="2062"/>
    </row>
    <row r="14" spans="2:22" ht="21" customHeight="1">
      <c r="B14" s="1809"/>
      <c r="C14" s="3273"/>
      <c r="D14" s="1387"/>
      <c r="E14" s="1387"/>
      <c r="F14" s="1731" t="s">
        <v>1396</v>
      </c>
      <c r="G14" s="1387"/>
      <c r="H14" s="1387"/>
      <c r="I14" s="1731" t="s">
        <v>1397</v>
      </c>
      <c r="J14" s="1731" t="s">
        <v>1398</v>
      </c>
      <c r="K14" s="1387"/>
      <c r="L14" s="1387"/>
      <c r="M14" s="1387"/>
      <c r="N14" s="4682"/>
      <c r="O14" s="4747"/>
    </row>
    <row r="15" spans="2:22" ht="17.100000000000001" customHeight="1">
      <c r="B15" s="1809"/>
      <c r="C15" s="2642"/>
      <c r="D15" s="1731" t="s">
        <v>1431</v>
      </c>
      <c r="E15" s="1731" t="s">
        <v>1399</v>
      </c>
      <c r="F15" s="1731" t="s">
        <v>1400</v>
      </c>
      <c r="G15" s="1731"/>
      <c r="H15" s="1731" t="s">
        <v>1401</v>
      </c>
      <c r="I15" s="1731" t="s">
        <v>1402</v>
      </c>
      <c r="J15" s="1731" t="s">
        <v>1403</v>
      </c>
      <c r="K15" s="1387"/>
      <c r="L15" s="1731" t="s">
        <v>1404</v>
      </c>
      <c r="M15" s="1387"/>
      <c r="N15" s="3070"/>
      <c r="O15" s="1237"/>
    </row>
    <row r="16" spans="2:22" ht="17.100000000000001" customHeight="1">
      <c r="B16" s="1809"/>
      <c r="C16" s="2642"/>
      <c r="D16" s="1731" t="s">
        <v>1432</v>
      </c>
      <c r="E16" s="1731" t="s">
        <v>127</v>
      </c>
      <c r="F16" s="1731" t="s">
        <v>1329</v>
      </c>
      <c r="G16" s="1731"/>
      <c r="H16" s="1731" t="s">
        <v>1406</v>
      </c>
      <c r="I16" s="1731" t="s">
        <v>1407</v>
      </c>
      <c r="J16" s="1731" t="s">
        <v>1408</v>
      </c>
      <c r="K16" s="1731" t="s">
        <v>1409</v>
      </c>
      <c r="L16" s="1731" t="s">
        <v>127</v>
      </c>
      <c r="M16" s="1242"/>
      <c r="N16" s="3070"/>
      <c r="O16" s="1237"/>
    </row>
    <row r="17" spans="2:24" ht="17.100000000000001" customHeight="1">
      <c r="B17" s="1809"/>
      <c r="C17" s="2642"/>
      <c r="D17" s="1731" t="s">
        <v>1433</v>
      </c>
      <c r="E17" s="1731" t="s">
        <v>1411</v>
      </c>
      <c r="F17" s="1731" t="s">
        <v>1412</v>
      </c>
      <c r="G17" s="1731"/>
      <c r="H17" s="1731" t="s">
        <v>1413</v>
      </c>
      <c r="I17" s="1731" t="s">
        <v>1414</v>
      </c>
      <c r="J17" s="1731" t="s">
        <v>1415</v>
      </c>
      <c r="K17" s="1731" t="s">
        <v>127</v>
      </c>
      <c r="L17" s="1731" t="s">
        <v>1416</v>
      </c>
      <c r="M17" s="1242" t="s">
        <v>634</v>
      </c>
      <c r="N17" s="3070"/>
      <c r="O17" s="3274"/>
    </row>
    <row r="18" spans="2:24" ht="18.75" customHeight="1">
      <c r="B18" s="1809"/>
      <c r="C18" s="2644" t="s">
        <v>119</v>
      </c>
      <c r="D18" s="1732" t="s">
        <v>1417</v>
      </c>
      <c r="E18" s="1732" t="s">
        <v>1359</v>
      </c>
      <c r="F18" s="1732" t="s">
        <v>1418</v>
      </c>
      <c r="G18" s="1732" t="s">
        <v>1419</v>
      </c>
      <c r="H18" s="1732" t="s">
        <v>1420</v>
      </c>
      <c r="I18" s="1732" t="s">
        <v>1330</v>
      </c>
      <c r="J18" s="1732" t="s">
        <v>1360</v>
      </c>
      <c r="K18" s="1732" t="s">
        <v>1421</v>
      </c>
      <c r="L18" s="1732" t="s">
        <v>1422</v>
      </c>
      <c r="M18" s="2515" t="s">
        <v>187</v>
      </c>
      <c r="N18" s="3276"/>
      <c r="O18" s="3277"/>
    </row>
    <row r="19" spans="2:24" ht="6" customHeight="1">
      <c r="B19" s="1801"/>
      <c r="C19" s="3088"/>
      <c r="D19" s="2583"/>
      <c r="E19" s="2583"/>
      <c r="F19" s="2583"/>
      <c r="G19" s="2583"/>
      <c r="H19" s="2583"/>
      <c r="I19" s="2583"/>
      <c r="J19" s="2583"/>
      <c r="K19" s="2583"/>
      <c r="L19" s="2583"/>
      <c r="M19" s="3278"/>
      <c r="N19" s="3279"/>
      <c r="O19" s="3280"/>
    </row>
    <row r="20" spans="2:24" ht="21" customHeight="1">
      <c r="C20" s="1515">
        <v>3832</v>
      </c>
      <c r="D20" s="3281">
        <v>2718</v>
      </c>
      <c r="E20" s="3281">
        <v>10932</v>
      </c>
      <c r="F20" s="3281">
        <v>12901</v>
      </c>
      <c r="G20" s="3281">
        <v>2733</v>
      </c>
      <c r="H20" s="3281">
        <v>874</v>
      </c>
      <c r="I20" s="3281">
        <v>2758</v>
      </c>
      <c r="J20" s="3281">
        <v>2315</v>
      </c>
      <c r="K20" s="3281">
        <v>586</v>
      </c>
      <c r="L20" s="3281">
        <v>13909</v>
      </c>
      <c r="M20" s="1164">
        <f t="shared" ref="M20:M71" si="0">L20+K20+J20+I20+H20+G20+F20+E20+D20+C20</f>
        <v>53558</v>
      </c>
      <c r="N20" s="3282"/>
      <c r="O20" s="3283">
        <v>1964</v>
      </c>
      <c r="P20" s="3198"/>
      <c r="Q20" s="3198"/>
    </row>
    <row r="21" spans="2:24" ht="21" customHeight="1">
      <c r="C21" s="1492">
        <v>4527</v>
      </c>
      <c r="D21" s="1157">
        <v>2692</v>
      </c>
      <c r="E21" s="1157">
        <v>9796</v>
      </c>
      <c r="F21" s="1157">
        <v>14414</v>
      </c>
      <c r="G21" s="1157">
        <v>3028</v>
      </c>
      <c r="H21" s="1157">
        <v>1094</v>
      </c>
      <c r="I21" s="1157">
        <v>3232</v>
      </c>
      <c r="J21" s="1157">
        <v>2316</v>
      </c>
      <c r="K21" s="1157">
        <v>751</v>
      </c>
      <c r="L21" s="1157">
        <v>14202</v>
      </c>
      <c r="M21" s="1159">
        <f t="shared" si="0"/>
        <v>56052</v>
      </c>
      <c r="N21" s="1514"/>
      <c r="O21" s="1722">
        <v>1965</v>
      </c>
      <c r="P21" s="3198"/>
      <c r="Q21" s="3198"/>
      <c r="R21" s="1964"/>
      <c r="S21" s="1964"/>
      <c r="T21" s="1964"/>
      <c r="U21" s="1964"/>
      <c r="V21" s="1964"/>
      <c r="W21" s="1964"/>
      <c r="X21" s="1964"/>
    </row>
    <row r="22" spans="2:24" ht="21" customHeight="1">
      <c r="C22" s="1515">
        <v>7082</v>
      </c>
      <c r="D22" s="1162">
        <v>3069</v>
      </c>
      <c r="E22" s="3281">
        <v>11771</v>
      </c>
      <c r="F22" s="3281">
        <v>16541</v>
      </c>
      <c r="G22" s="3281">
        <v>3680</v>
      </c>
      <c r="H22" s="3281">
        <v>1278</v>
      </c>
      <c r="I22" s="3281">
        <v>3425</v>
      </c>
      <c r="J22" s="3281">
        <v>3052</v>
      </c>
      <c r="K22" s="3281">
        <v>776</v>
      </c>
      <c r="L22" s="3281">
        <v>17537</v>
      </c>
      <c r="M22" s="1164">
        <f t="shared" si="0"/>
        <v>68211</v>
      </c>
      <c r="N22" s="1516"/>
      <c r="O22" s="1517">
        <v>1966</v>
      </c>
      <c r="P22" s="3198"/>
      <c r="Q22" s="3198"/>
      <c r="R22" s="1964"/>
      <c r="S22" s="1964"/>
      <c r="T22" s="1964"/>
      <c r="U22" s="1964"/>
      <c r="V22" s="1964"/>
      <c r="W22" s="1964"/>
      <c r="X22" s="1964"/>
    </row>
    <row r="23" spans="2:24" ht="21" customHeight="1">
      <c r="C23" s="1492">
        <v>2682</v>
      </c>
      <c r="D23" s="1157">
        <v>2414</v>
      </c>
      <c r="E23" s="1157">
        <v>11327</v>
      </c>
      <c r="F23" s="1157">
        <v>14480</v>
      </c>
      <c r="G23" s="1157">
        <v>2880</v>
      </c>
      <c r="H23" s="1157">
        <v>939</v>
      </c>
      <c r="I23" s="1157">
        <v>2987</v>
      </c>
      <c r="J23" s="1157">
        <v>2604</v>
      </c>
      <c r="K23" s="1157">
        <v>1100</v>
      </c>
      <c r="L23" s="1157">
        <v>13635</v>
      </c>
      <c r="M23" s="1159">
        <f t="shared" si="0"/>
        <v>55048</v>
      </c>
      <c r="N23" s="1514"/>
      <c r="O23" s="1722">
        <v>1967</v>
      </c>
      <c r="P23" s="3198"/>
      <c r="Q23" s="3198"/>
      <c r="R23" s="1964"/>
      <c r="S23" s="1964"/>
      <c r="T23" s="1964"/>
      <c r="U23" s="1964"/>
      <c r="V23" s="1964"/>
      <c r="W23" s="1964"/>
      <c r="X23" s="1964"/>
    </row>
    <row r="24" spans="2:24" ht="21" customHeight="1">
      <c r="C24" s="1515">
        <v>3751</v>
      </c>
      <c r="D24" s="1162">
        <v>3153</v>
      </c>
      <c r="E24" s="3281">
        <v>11137</v>
      </c>
      <c r="F24" s="3281">
        <v>13353</v>
      </c>
      <c r="G24" s="3281">
        <v>3022</v>
      </c>
      <c r="H24" s="3281">
        <v>513</v>
      </c>
      <c r="I24" s="3281">
        <v>3217</v>
      </c>
      <c r="J24" s="3281">
        <v>2284</v>
      </c>
      <c r="K24" s="3281">
        <v>1317</v>
      </c>
      <c r="L24" s="3281">
        <v>15745</v>
      </c>
      <c r="M24" s="1164">
        <f t="shared" si="0"/>
        <v>57492</v>
      </c>
      <c r="N24" s="1516"/>
      <c r="O24" s="1517">
        <v>1968</v>
      </c>
      <c r="P24" s="3198"/>
      <c r="Q24" s="3198"/>
      <c r="R24" s="1964"/>
      <c r="S24" s="1964"/>
      <c r="T24" s="1964"/>
      <c r="U24" s="1964"/>
      <c r="V24" s="1964"/>
      <c r="W24" s="1964"/>
      <c r="X24" s="1964"/>
    </row>
    <row r="25" spans="2:24" ht="21" customHeight="1">
      <c r="C25" s="1492">
        <v>4033</v>
      </c>
      <c r="D25" s="1157">
        <v>3796</v>
      </c>
      <c r="E25" s="1157">
        <v>13036</v>
      </c>
      <c r="F25" s="1157">
        <v>17292</v>
      </c>
      <c r="G25" s="1157">
        <v>3412</v>
      </c>
      <c r="H25" s="1157">
        <v>537</v>
      </c>
      <c r="I25" s="1157">
        <v>3814</v>
      </c>
      <c r="J25" s="1157">
        <v>2753</v>
      </c>
      <c r="K25" s="1157">
        <v>1242</v>
      </c>
      <c r="L25" s="1157">
        <v>17837</v>
      </c>
      <c r="M25" s="1159">
        <f t="shared" si="0"/>
        <v>67752</v>
      </c>
      <c r="N25" s="1514"/>
      <c r="O25" s="1722">
        <v>1969</v>
      </c>
      <c r="P25" s="3198"/>
      <c r="Q25" s="3198"/>
      <c r="R25" s="1964"/>
      <c r="S25" s="1964"/>
      <c r="T25" s="1964"/>
      <c r="U25" s="1964"/>
      <c r="V25" s="1964"/>
      <c r="W25" s="1964"/>
      <c r="X25" s="1964"/>
    </row>
    <row r="26" spans="2:24" ht="21" customHeight="1">
      <c r="C26" s="1515">
        <v>6607</v>
      </c>
      <c r="D26" s="1162">
        <v>3609</v>
      </c>
      <c r="E26" s="3281">
        <v>10567</v>
      </c>
      <c r="F26" s="3281">
        <v>15466</v>
      </c>
      <c r="G26" s="3281">
        <v>3707</v>
      </c>
      <c r="H26" s="3281">
        <v>454</v>
      </c>
      <c r="I26" s="3281">
        <v>3692</v>
      </c>
      <c r="J26" s="3281">
        <v>2382</v>
      </c>
      <c r="K26" s="3281">
        <v>714</v>
      </c>
      <c r="L26" s="3281">
        <v>18684</v>
      </c>
      <c r="M26" s="1164">
        <f t="shared" si="0"/>
        <v>65882</v>
      </c>
      <c r="N26" s="1516"/>
      <c r="O26" s="1517">
        <v>1970</v>
      </c>
      <c r="P26" s="3198"/>
      <c r="Q26" s="3198"/>
      <c r="R26" s="1964"/>
      <c r="S26" s="1964"/>
      <c r="T26" s="1964"/>
      <c r="U26" s="1964"/>
      <c r="V26" s="1964"/>
      <c r="W26" s="1964"/>
      <c r="X26" s="1964"/>
    </row>
    <row r="27" spans="2:24" ht="21" customHeight="1">
      <c r="C27" s="1492">
        <v>11875</v>
      </c>
      <c r="D27" s="1157">
        <v>4176</v>
      </c>
      <c r="E27" s="1157">
        <v>16193</v>
      </c>
      <c r="F27" s="1157">
        <v>11916</v>
      </c>
      <c r="G27" s="1157">
        <v>3216</v>
      </c>
      <c r="H27" s="1157">
        <v>795</v>
      </c>
      <c r="I27" s="1157">
        <v>4844</v>
      </c>
      <c r="J27" s="1157">
        <v>2326</v>
      </c>
      <c r="K27" s="1157">
        <v>1161</v>
      </c>
      <c r="L27" s="1157">
        <v>20125</v>
      </c>
      <c r="M27" s="1159">
        <f t="shared" si="0"/>
        <v>76627</v>
      </c>
      <c r="N27" s="1514"/>
      <c r="O27" s="1722">
        <v>1971</v>
      </c>
      <c r="P27" s="3198"/>
      <c r="Q27" s="3198"/>
      <c r="R27" s="1964"/>
      <c r="S27" s="1964"/>
      <c r="T27" s="1964"/>
      <c r="U27" s="1964"/>
      <c r="V27" s="1964"/>
      <c r="W27" s="1964"/>
      <c r="X27" s="1964"/>
    </row>
    <row r="28" spans="2:24" ht="21" customHeight="1">
      <c r="C28" s="1515">
        <v>11612</v>
      </c>
      <c r="D28" s="1162">
        <v>6757</v>
      </c>
      <c r="E28" s="3281">
        <v>15589</v>
      </c>
      <c r="F28" s="3281">
        <v>19026</v>
      </c>
      <c r="G28" s="3281">
        <v>5362</v>
      </c>
      <c r="H28" s="3281">
        <v>1096</v>
      </c>
      <c r="I28" s="3281">
        <v>4566</v>
      </c>
      <c r="J28" s="3281">
        <v>2819</v>
      </c>
      <c r="K28" s="3281">
        <v>1187</v>
      </c>
      <c r="L28" s="3281">
        <v>27296</v>
      </c>
      <c r="M28" s="1164">
        <f t="shared" si="0"/>
        <v>95310</v>
      </c>
      <c r="N28" s="1516"/>
      <c r="O28" s="1517">
        <v>1972</v>
      </c>
      <c r="P28" s="3198"/>
      <c r="Q28" s="3198"/>
      <c r="R28" s="1964"/>
      <c r="S28" s="1964"/>
      <c r="T28" s="1964"/>
      <c r="U28" s="1964"/>
      <c r="V28" s="1964"/>
      <c r="W28" s="1964"/>
      <c r="X28" s="1964"/>
    </row>
    <row r="29" spans="2:24" ht="21" customHeight="1">
      <c r="C29" s="1492">
        <v>15230</v>
      </c>
      <c r="D29" s="1157">
        <v>6185</v>
      </c>
      <c r="E29" s="1157">
        <v>17193</v>
      </c>
      <c r="F29" s="1157">
        <v>23187</v>
      </c>
      <c r="G29" s="1157">
        <v>5718</v>
      </c>
      <c r="H29" s="1157">
        <v>1514</v>
      </c>
      <c r="I29" s="1157">
        <v>4160</v>
      </c>
      <c r="J29" s="1157">
        <v>3166</v>
      </c>
      <c r="K29" s="1157">
        <v>1081</v>
      </c>
      <c r="L29" s="1157">
        <v>30813</v>
      </c>
      <c r="M29" s="1159">
        <f t="shared" si="0"/>
        <v>108247</v>
      </c>
      <c r="N29" s="1514"/>
      <c r="O29" s="1722">
        <v>1973</v>
      </c>
      <c r="P29" s="3198"/>
      <c r="Q29" s="3198"/>
      <c r="R29" s="1964"/>
      <c r="S29" s="1964"/>
      <c r="T29" s="1964"/>
      <c r="U29" s="1964"/>
      <c r="V29" s="1964"/>
      <c r="W29" s="1964"/>
      <c r="X29" s="1964"/>
    </row>
    <row r="30" spans="2:24" ht="21" customHeight="1">
      <c r="C30" s="1515">
        <v>16145</v>
      </c>
      <c r="D30" s="1162">
        <v>8742</v>
      </c>
      <c r="E30" s="3281">
        <v>35339</v>
      </c>
      <c r="F30" s="3281">
        <v>33892</v>
      </c>
      <c r="G30" s="3281">
        <v>8058</v>
      </c>
      <c r="H30" s="3281">
        <v>1153</v>
      </c>
      <c r="I30" s="3281">
        <v>5214</v>
      </c>
      <c r="J30" s="3281">
        <v>4384</v>
      </c>
      <c r="K30" s="3281">
        <v>940</v>
      </c>
      <c r="L30" s="3281">
        <v>42740</v>
      </c>
      <c r="M30" s="1164">
        <f t="shared" si="0"/>
        <v>156607</v>
      </c>
      <c r="N30" s="1516"/>
      <c r="O30" s="1517">
        <v>1974</v>
      </c>
      <c r="P30" s="3198"/>
      <c r="Q30" s="3198"/>
      <c r="R30" s="1964"/>
      <c r="S30" s="1964"/>
      <c r="T30" s="1964"/>
      <c r="U30" s="1964"/>
      <c r="V30" s="1964"/>
      <c r="W30" s="1964"/>
      <c r="X30" s="1964"/>
    </row>
    <row r="31" spans="2:24" ht="21" customHeight="1">
      <c r="C31" s="1492">
        <v>3446</v>
      </c>
      <c r="D31" s="1157">
        <v>16789</v>
      </c>
      <c r="E31" s="1157">
        <v>74038</v>
      </c>
      <c r="F31" s="1157">
        <v>44838</v>
      </c>
      <c r="G31" s="1157">
        <v>12204</v>
      </c>
      <c r="H31" s="1157">
        <v>1255</v>
      </c>
      <c r="I31" s="1157">
        <v>24893</v>
      </c>
      <c r="J31" s="1157">
        <v>5865</v>
      </c>
      <c r="K31" s="1157">
        <v>1265</v>
      </c>
      <c r="L31" s="1157">
        <v>49420</v>
      </c>
      <c r="M31" s="1159">
        <f t="shared" si="0"/>
        <v>234013</v>
      </c>
      <c r="N31" s="1514"/>
      <c r="O31" s="1722">
        <v>1975</v>
      </c>
      <c r="P31" s="3198"/>
      <c r="Q31" s="3198"/>
      <c r="R31" s="1964"/>
      <c r="S31" s="1964"/>
      <c r="T31" s="1964"/>
      <c r="U31" s="1964"/>
      <c r="V31" s="1964"/>
      <c r="W31" s="1964"/>
      <c r="X31" s="1964"/>
    </row>
    <row r="32" spans="2:24" ht="21" customHeight="1">
      <c r="C32" s="1515">
        <f>1780+44</f>
        <v>1824</v>
      </c>
      <c r="D32" s="1162">
        <v>20101</v>
      </c>
      <c r="E32" s="3281">
        <v>101439</v>
      </c>
      <c r="F32" s="3281">
        <v>65889</v>
      </c>
      <c r="G32" s="3281">
        <v>16343</v>
      </c>
      <c r="H32" s="3281">
        <v>3108</v>
      </c>
      <c r="I32" s="3281">
        <v>37171</v>
      </c>
      <c r="J32" s="3281">
        <v>10182</v>
      </c>
      <c r="K32" s="3281">
        <v>2104</v>
      </c>
      <c r="L32" s="3281">
        <v>81378</v>
      </c>
      <c r="M32" s="1164">
        <f t="shared" si="0"/>
        <v>339539</v>
      </c>
      <c r="N32" s="1516"/>
      <c r="O32" s="1517">
        <v>1976</v>
      </c>
      <c r="P32" s="3198"/>
      <c r="Q32" s="3198"/>
      <c r="R32" s="1964"/>
      <c r="S32" s="1964"/>
      <c r="T32" s="1964"/>
      <c r="U32" s="1964"/>
      <c r="V32" s="1964"/>
      <c r="W32" s="1964"/>
      <c r="X32" s="1964"/>
    </row>
    <row r="33" spans="3:24" ht="21" customHeight="1">
      <c r="C33" s="1492">
        <v>2703</v>
      </c>
      <c r="D33" s="1157">
        <v>33329</v>
      </c>
      <c r="E33" s="1157">
        <v>156843</v>
      </c>
      <c r="F33" s="1157">
        <v>102318</v>
      </c>
      <c r="G33" s="1157">
        <v>23192</v>
      </c>
      <c r="H33" s="1157">
        <v>3066</v>
      </c>
      <c r="I33" s="1157">
        <v>43057</v>
      </c>
      <c r="J33" s="1157">
        <v>11080</v>
      </c>
      <c r="K33" s="1157">
        <v>3009</v>
      </c>
      <c r="L33" s="1157">
        <v>75921</v>
      </c>
      <c r="M33" s="1159">
        <f t="shared" si="0"/>
        <v>454518</v>
      </c>
      <c r="N33" s="1514"/>
      <c r="O33" s="1722">
        <v>1977</v>
      </c>
      <c r="P33" s="3198"/>
      <c r="Q33" s="3198"/>
      <c r="R33" s="1964"/>
      <c r="S33" s="1964"/>
      <c r="T33" s="1964"/>
      <c r="U33" s="1964"/>
      <c r="V33" s="1964"/>
      <c r="W33" s="1964"/>
      <c r="X33" s="1964"/>
    </row>
    <row r="34" spans="3:24" ht="21" customHeight="1">
      <c r="C34" s="1515">
        <f>4555-117</f>
        <v>4438</v>
      </c>
      <c r="D34" s="1162">
        <v>40079</v>
      </c>
      <c r="E34" s="3281">
        <v>138198</v>
      </c>
      <c r="F34" s="3281">
        <v>98425</v>
      </c>
      <c r="G34" s="3281">
        <v>21506</v>
      </c>
      <c r="H34" s="3281">
        <v>4140</v>
      </c>
      <c r="I34" s="3281">
        <v>46832</v>
      </c>
      <c r="J34" s="3281">
        <v>12835</v>
      </c>
      <c r="K34" s="3281">
        <v>4805</v>
      </c>
      <c r="L34" s="3281">
        <v>87568</v>
      </c>
      <c r="M34" s="1164">
        <f t="shared" si="0"/>
        <v>458826</v>
      </c>
      <c r="N34" s="1516"/>
      <c r="O34" s="1517">
        <v>1978</v>
      </c>
      <c r="P34" s="3198"/>
      <c r="Q34" s="1964"/>
      <c r="R34" s="1964"/>
      <c r="S34" s="1964"/>
      <c r="T34" s="1964"/>
      <c r="U34" s="1964"/>
      <c r="V34" s="1964"/>
      <c r="W34" s="1964"/>
      <c r="X34" s="1964"/>
    </row>
    <row r="35" spans="3:24" ht="21" customHeight="1">
      <c r="C35" s="1492">
        <f>1438+3857</f>
        <v>5295</v>
      </c>
      <c r="D35" s="1157">
        <v>48760</v>
      </c>
      <c r="E35" s="1157">
        <v>153929</v>
      </c>
      <c r="F35" s="1157">
        <v>141985</v>
      </c>
      <c r="G35" s="1157">
        <v>30327</v>
      </c>
      <c r="H35" s="1157">
        <v>3987</v>
      </c>
      <c r="I35" s="1157">
        <v>73950</v>
      </c>
      <c r="J35" s="1157">
        <v>17966</v>
      </c>
      <c r="K35" s="1157">
        <v>5044</v>
      </c>
      <c r="L35" s="1157">
        <v>108280</v>
      </c>
      <c r="M35" s="1159">
        <f t="shared" si="0"/>
        <v>589523</v>
      </c>
      <c r="N35" s="1514"/>
      <c r="O35" s="1722">
        <v>1979</v>
      </c>
      <c r="P35" s="3198"/>
      <c r="Q35" s="1964"/>
      <c r="R35" s="1964"/>
      <c r="S35" s="1964"/>
      <c r="T35" s="1964"/>
      <c r="U35" s="1964"/>
      <c r="V35" s="1964"/>
      <c r="W35" s="1964"/>
      <c r="X35" s="1964"/>
    </row>
    <row r="36" spans="3:24" ht="21" customHeight="1">
      <c r="C36" s="1515">
        <v>3749</v>
      </c>
      <c r="D36" s="1162">
        <v>58283</v>
      </c>
      <c r="E36" s="3281">
        <v>199971</v>
      </c>
      <c r="F36" s="3281">
        <v>147721</v>
      </c>
      <c r="G36" s="3281">
        <v>39238</v>
      </c>
      <c r="H36" s="3281">
        <v>4709</v>
      </c>
      <c r="I36" s="3281">
        <v>122167</v>
      </c>
      <c r="J36" s="3281">
        <v>16082</v>
      </c>
      <c r="K36" s="3281">
        <v>5268</v>
      </c>
      <c r="L36" s="3281">
        <v>118789</v>
      </c>
      <c r="M36" s="1164">
        <f t="shared" si="0"/>
        <v>715977</v>
      </c>
      <c r="N36" s="1516"/>
      <c r="O36" s="1517">
        <v>1980</v>
      </c>
      <c r="P36" s="3198"/>
      <c r="Q36" s="1964"/>
      <c r="R36" s="1964"/>
      <c r="S36" s="1964"/>
      <c r="T36" s="1964"/>
      <c r="U36" s="1964"/>
      <c r="V36" s="1964"/>
      <c r="W36" s="1964"/>
      <c r="X36" s="1964"/>
    </row>
    <row r="37" spans="3:24" ht="21" customHeight="1">
      <c r="C37" s="1492">
        <v>3169</v>
      </c>
      <c r="D37" s="1157">
        <v>91905</v>
      </c>
      <c r="E37" s="1157">
        <v>338045</v>
      </c>
      <c r="F37" s="1157">
        <v>176578</v>
      </c>
      <c r="G37" s="1157">
        <v>50434</v>
      </c>
      <c r="H37" s="1157">
        <v>2748</v>
      </c>
      <c r="I37" s="1157">
        <v>182319</v>
      </c>
      <c r="J37" s="1157">
        <v>29267</v>
      </c>
      <c r="K37" s="1157">
        <v>5110</v>
      </c>
      <c r="L37" s="1157">
        <v>167930</v>
      </c>
      <c r="M37" s="1159">
        <f t="shared" si="0"/>
        <v>1047505</v>
      </c>
      <c r="N37" s="1514"/>
      <c r="O37" s="1722">
        <v>1981</v>
      </c>
      <c r="P37" s="3198"/>
      <c r="Q37" s="1964"/>
      <c r="R37" s="1964"/>
      <c r="S37" s="1964"/>
      <c r="T37" s="1964"/>
      <c r="U37" s="1964"/>
      <c r="V37" s="1964"/>
      <c r="W37" s="1964"/>
      <c r="X37" s="1964"/>
    </row>
    <row r="38" spans="3:24" ht="21" customHeight="1">
      <c r="C38" s="1515">
        <v>13366</v>
      </c>
      <c r="D38" s="1162">
        <v>85637</v>
      </c>
      <c r="E38" s="3281">
        <v>319415</v>
      </c>
      <c r="F38" s="3281">
        <v>191742</v>
      </c>
      <c r="G38" s="3281">
        <v>54160</v>
      </c>
      <c r="H38" s="3281">
        <v>5835</v>
      </c>
      <c r="I38" s="3281">
        <v>240658</v>
      </c>
      <c r="J38" s="3281">
        <v>35111</v>
      </c>
      <c r="K38" s="3281">
        <v>4645</v>
      </c>
      <c r="L38" s="3281">
        <v>191924</v>
      </c>
      <c r="M38" s="1164">
        <f t="shared" si="0"/>
        <v>1142493</v>
      </c>
      <c r="N38" s="3284"/>
      <c r="O38" s="1517">
        <v>1982</v>
      </c>
      <c r="P38" s="3198"/>
      <c r="Q38" s="1964"/>
      <c r="R38" s="1964"/>
      <c r="S38" s="1964"/>
      <c r="T38" s="1964"/>
      <c r="U38" s="1964"/>
      <c r="V38" s="1964"/>
      <c r="W38" s="1964"/>
      <c r="X38" s="1964"/>
    </row>
    <row r="39" spans="3:24" ht="21" customHeight="1">
      <c r="C39" s="1492">
        <v>55750</v>
      </c>
      <c r="D39" s="1157">
        <v>92333</v>
      </c>
      <c r="E39" s="1157">
        <v>262035</v>
      </c>
      <c r="F39" s="1157">
        <v>198015</v>
      </c>
      <c r="G39" s="1157">
        <v>57783</v>
      </c>
      <c r="H39" s="1157">
        <v>4105</v>
      </c>
      <c r="I39" s="1157">
        <v>212720</v>
      </c>
      <c r="J39" s="1157">
        <v>31403</v>
      </c>
      <c r="K39" s="1157">
        <v>8800</v>
      </c>
      <c r="L39" s="1157">
        <v>180366</v>
      </c>
      <c r="M39" s="1159">
        <f t="shared" si="0"/>
        <v>1103310</v>
      </c>
      <c r="N39" s="1514"/>
      <c r="O39" s="1722">
        <v>1983</v>
      </c>
      <c r="P39" s="3198"/>
      <c r="Q39" s="1964"/>
      <c r="R39" s="1964"/>
      <c r="S39" s="1964"/>
      <c r="T39" s="1964"/>
      <c r="U39" s="1964"/>
      <c r="V39" s="1964"/>
      <c r="W39" s="1964"/>
      <c r="X39" s="1964"/>
    </row>
    <row r="40" spans="3:24" ht="21" customHeight="1">
      <c r="C40" s="1515">
        <v>67310</v>
      </c>
      <c r="D40" s="1162">
        <v>95927</v>
      </c>
      <c r="E40" s="3281">
        <v>215853</v>
      </c>
      <c r="F40" s="3281">
        <v>166435</v>
      </c>
      <c r="G40" s="3281">
        <v>79895</v>
      </c>
      <c r="H40" s="3281">
        <v>10479</v>
      </c>
      <c r="I40" s="3281">
        <v>213551</v>
      </c>
      <c r="J40" s="3281">
        <v>29890</v>
      </c>
      <c r="K40" s="3281">
        <v>7683</v>
      </c>
      <c r="L40" s="3281">
        <v>184317</v>
      </c>
      <c r="M40" s="1164">
        <f t="shared" si="0"/>
        <v>1071340</v>
      </c>
      <c r="N40" s="1516"/>
      <c r="O40" s="1517">
        <v>1984</v>
      </c>
      <c r="P40" s="3198"/>
      <c r="Q40" s="1964"/>
      <c r="R40" s="1964"/>
      <c r="S40" s="1964"/>
      <c r="T40" s="1964"/>
      <c r="U40" s="1964"/>
      <c r="V40" s="1964"/>
      <c r="W40" s="1964"/>
      <c r="X40" s="1964"/>
    </row>
    <row r="41" spans="3:24" ht="21" customHeight="1">
      <c r="C41" s="1492">
        <v>78347</v>
      </c>
      <c r="D41" s="1157">
        <v>105165</v>
      </c>
      <c r="E41" s="1157">
        <v>207385</v>
      </c>
      <c r="F41" s="1157">
        <v>169597</v>
      </c>
      <c r="G41" s="1157">
        <v>67639</v>
      </c>
      <c r="H41" s="1157">
        <v>10152</v>
      </c>
      <c r="I41" s="1157">
        <v>223270</v>
      </c>
      <c r="J41" s="1157">
        <v>33070</v>
      </c>
      <c r="K41" s="1157">
        <v>4036</v>
      </c>
      <c r="L41" s="1157">
        <v>175784</v>
      </c>
      <c r="M41" s="1159">
        <f t="shared" si="0"/>
        <v>1074445</v>
      </c>
      <c r="N41" s="1514"/>
      <c r="O41" s="1722">
        <v>1985</v>
      </c>
      <c r="P41" s="3198"/>
      <c r="S41" s="1964"/>
      <c r="T41" s="1964"/>
      <c r="U41" s="1964"/>
      <c r="V41" s="1964"/>
      <c r="W41" s="1964"/>
      <c r="X41" s="1964"/>
    </row>
    <row r="42" spans="3:24" ht="21" customHeight="1">
      <c r="C42" s="1515">
        <v>51137</v>
      </c>
      <c r="D42" s="1162">
        <v>79863</v>
      </c>
      <c r="E42" s="3281">
        <v>176604</v>
      </c>
      <c r="F42" s="3281">
        <v>140947</v>
      </c>
      <c r="G42" s="3281">
        <v>74865</v>
      </c>
      <c r="H42" s="3281">
        <v>9417</v>
      </c>
      <c r="I42" s="3281">
        <v>116480</v>
      </c>
      <c r="J42" s="3281">
        <v>28646</v>
      </c>
      <c r="K42" s="3281">
        <v>6672</v>
      </c>
      <c r="L42" s="3281">
        <v>165568</v>
      </c>
      <c r="M42" s="1164">
        <f t="shared" si="0"/>
        <v>850199</v>
      </c>
      <c r="N42" s="1516"/>
      <c r="O42" s="1517">
        <v>1986</v>
      </c>
      <c r="P42" s="3198"/>
      <c r="S42" s="1964"/>
      <c r="T42" s="1964"/>
      <c r="U42" s="1964"/>
      <c r="V42" s="1964"/>
      <c r="W42" s="1964"/>
      <c r="X42" s="1964"/>
    </row>
    <row r="43" spans="3:24" ht="21" customHeight="1">
      <c r="C43" s="1492">
        <v>24067</v>
      </c>
      <c r="D43" s="1157">
        <v>87734</v>
      </c>
      <c r="E43" s="1157">
        <v>186290</v>
      </c>
      <c r="F43" s="1157">
        <v>169391</v>
      </c>
      <c r="G43" s="1157">
        <v>91671</v>
      </c>
      <c r="H43" s="1157">
        <v>8018</v>
      </c>
      <c r="I43" s="1157">
        <v>156138</v>
      </c>
      <c r="J43" s="1157">
        <v>28528</v>
      </c>
      <c r="K43" s="1157">
        <v>7999</v>
      </c>
      <c r="L43" s="1157">
        <v>155719</v>
      </c>
      <c r="M43" s="1159">
        <f t="shared" si="0"/>
        <v>915555</v>
      </c>
      <c r="N43" s="1514"/>
      <c r="O43" s="1722">
        <v>1987</v>
      </c>
      <c r="P43" s="3198"/>
    </row>
    <row r="44" spans="3:24" ht="21" customHeight="1">
      <c r="C44" s="1515">
        <f>49009+801</f>
        <v>49810</v>
      </c>
      <c r="D44" s="1162">
        <v>75412</v>
      </c>
      <c r="E44" s="3281">
        <v>233671</v>
      </c>
      <c r="F44" s="3281">
        <v>177082</v>
      </c>
      <c r="G44" s="3281">
        <v>100501</v>
      </c>
      <c r="H44" s="3281">
        <v>10863</v>
      </c>
      <c r="I44" s="3281">
        <v>157808</v>
      </c>
      <c r="J44" s="3281">
        <v>37591</v>
      </c>
      <c r="K44" s="3281">
        <v>6822</v>
      </c>
      <c r="L44" s="3281">
        <v>172909</v>
      </c>
      <c r="M44" s="1164">
        <f t="shared" si="0"/>
        <v>1022469</v>
      </c>
      <c r="N44" s="1516"/>
      <c r="O44" s="1517">
        <v>1988</v>
      </c>
      <c r="P44" s="3198"/>
    </row>
    <row r="45" spans="3:24" ht="21" customHeight="1">
      <c r="C45" s="1492">
        <f>36871-132</f>
        <v>36739</v>
      </c>
      <c r="D45" s="1157">
        <v>84856</v>
      </c>
      <c r="E45" s="1157">
        <v>258736</v>
      </c>
      <c r="F45" s="1157">
        <v>225523</v>
      </c>
      <c r="G45" s="1157">
        <v>134314</v>
      </c>
      <c r="H45" s="1157">
        <v>7197</v>
      </c>
      <c r="I45" s="1157">
        <v>235435</v>
      </c>
      <c r="J45" s="1157">
        <v>40705</v>
      </c>
      <c r="K45" s="1157">
        <v>8855</v>
      </c>
      <c r="L45" s="1157">
        <v>197650</v>
      </c>
      <c r="M45" s="1159">
        <f t="shared" si="0"/>
        <v>1230010</v>
      </c>
      <c r="N45" s="1514"/>
      <c r="O45" s="1722">
        <v>1989</v>
      </c>
      <c r="P45" s="3198"/>
    </row>
    <row r="46" spans="3:24" ht="21" customHeight="1">
      <c r="C46" s="1515">
        <v>25668</v>
      </c>
      <c r="D46" s="1162">
        <v>92136</v>
      </c>
      <c r="E46" s="3281">
        <v>327206</v>
      </c>
      <c r="F46" s="3281">
        <v>299724</v>
      </c>
      <c r="G46" s="3281">
        <v>190205</v>
      </c>
      <c r="H46" s="3281">
        <v>21896</v>
      </c>
      <c r="I46" s="3281">
        <v>312110</v>
      </c>
      <c r="J46" s="3281">
        <v>43210</v>
      </c>
      <c r="K46" s="3281">
        <v>9777</v>
      </c>
      <c r="L46" s="3281">
        <v>403896</v>
      </c>
      <c r="M46" s="1164">
        <f t="shared" si="0"/>
        <v>1725828</v>
      </c>
      <c r="N46" s="1516"/>
      <c r="O46" s="1517">
        <v>1990</v>
      </c>
      <c r="P46" s="3198"/>
    </row>
    <row r="47" spans="3:24" ht="21" customHeight="1">
      <c r="C47" s="1492">
        <v>13589</v>
      </c>
      <c r="D47" s="1157">
        <v>93958</v>
      </c>
      <c r="E47" s="1157">
        <v>299085</v>
      </c>
      <c r="F47" s="1157">
        <v>327848</v>
      </c>
      <c r="G47" s="1157">
        <v>218764</v>
      </c>
      <c r="H47" s="1157">
        <v>23676</v>
      </c>
      <c r="I47" s="1157">
        <v>247454</v>
      </c>
      <c r="J47" s="1157">
        <v>58916</v>
      </c>
      <c r="K47" s="1157">
        <v>9505</v>
      </c>
      <c r="L47" s="1157">
        <v>417668</v>
      </c>
      <c r="M47" s="1159">
        <f t="shared" si="0"/>
        <v>1710463</v>
      </c>
      <c r="N47" s="1514"/>
      <c r="O47" s="1722">
        <v>1991</v>
      </c>
      <c r="P47" s="3198"/>
    </row>
    <row r="48" spans="3:24" ht="21" customHeight="1">
      <c r="C48" s="1515">
        <v>16765</v>
      </c>
      <c r="D48" s="1162">
        <v>151110</v>
      </c>
      <c r="E48" s="3281">
        <v>543781</v>
      </c>
      <c r="F48" s="3281">
        <v>444884</v>
      </c>
      <c r="G48" s="3281">
        <v>245544</v>
      </c>
      <c r="H48" s="3281">
        <v>37628</v>
      </c>
      <c r="I48" s="3281">
        <v>303425</v>
      </c>
      <c r="J48" s="3281">
        <v>45518</v>
      </c>
      <c r="K48" s="3281">
        <v>9324</v>
      </c>
      <c r="L48" s="3281">
        <v>416023</v>
      </c>
      <c r="M48" s="1164">
        <f t="shared" si="0"/>
        <v>2214002</v>
      </c>
      <c r="N48" s="1516"/>
      <c r="O48" s="1517">
        <v>1992</v>
      </c>
      <c r="P48" s="3198"/>
    </row>
    <row r="49" spans="2:18" ht="21" customHeight="1">
      <c r="C49" s="1492">
        <v>28991</v>
      </c>
      <c r="D49" s="1157">
        <v>150734</v>
      </c>
      <c r="E49" s="1157">
        <v>660862</v>
      </c>
      <c r="F49" s="1157">
        <v>506728</v>
      </c>
      <c r="G49" s="1157">
        <v>248566</v>
      </c>
      <c r="H49" s="1157">
        <v>42653</v>
      </c>
      <c r="I49" s="1157">
        <v>314785</v>
      </c>
      <c r="J49" s="1157">
        <v>55508</v>
      </c>
      <c r="K49" s="1157">
        <v>9652</v>
      </c>
      <c r="L49" s="1157">
        <v>435146</v>
      </c>
      <c r="M49" s="1159">
        <f t="shared" si="0"/>
        <v>2453625</v>
      </c>
      <c r="N49" s="1514"/>
      <c r="O49" s="1722">
        <v>1993</v>
      </c>
      <c r="P49" s="3198"/>
    </row>
    <row r="50" spans="2:18" ht="21" customHeight="1">
      <c r="C50" s="1515">
        <v>20241</v>
      </c>
      <c r="D50" s="1162">
        <v>151637</v>
      </c>
      <c r="E50" s="3281">
        <v>600334</v>
      </c>
      <c r="F50" s="3281">
        <v>432165</v>
      </c>
      <c r="G50" s="3281">
        <v>279917</v>
      </c>
      <c r="H50" s="3281">
        <v>82501</v>
      </c>
      <c r="I50" s="3281">
        <v>300657</v>
      </c>
      <c r="J50" s="3281">
        <v>71580</v>
      </c>
      <c r="K50" s="3281">
        <v>13878</v>
      </c>
      <c r="L50" s="3281">
        <v>409673</v>
      </c>
      <c r="M50" s="1164">
        <f t="shared" si="0"/>
        <v>2362583</v>
      </c>
      <c r="N50" s="1516"/>
      <c r="O50" s="1517">
        <v>1994</v>
      </c>
      <c r="P50" s="3198"/>
    </row>
    <row r="51" spans="2:18" ht="21" customHeight="1">
      <c r="C51" s="1492">
        <v>35358</v>
      </c>
      <c r="D51" s="1157">
        <v>147150</v>
      </c>
      <c r="E51" s="1157">
        <v>634710</v>
      </c>
      <c r="F51" s="1157">
        <v>503992</v>
      </c>
      <c r="G51" s="1157">
        <v>317697</v>
      </c>
      <c r="H51" s="1157">
        <v>94697</v>
      </c>
      <c r="I51" s="1157">
        <v>336360</v>
      </c>
      <c r="J51" s="1157">
        <v>91124</v>
      </c>
      <c r="K51" s="1157">
        <v>9930</v>
      </c>
      <c r="L51" s="1157">
        <v>419232</v>
      </c>
      <c r="M51" s="1159">
        <f t="shared" si="0"/>
        <v>2590250</v>
      </c>
      <c r="N51" s="1514"/>
      <c r="O51" s="1722">
        <v>1995</v>
      </c>
      <c r="P51" s="3198"/>
    </row>
    <row r="52" spans="2:18" ht="21" customHeight="1">
      <c r="C52" s="1515">
        <v>19235</v>
      </c>
      <c r="D52" s="1162">
        <v>156122</v>
      </c>
      <c r="E52" s="3281">
        <v>789855</v>
      </c>
      <c r="F52" s="3281">
        <v>512506</v>
      </c>
      <c r="G52" s="3281">
        <v>329053</v>
      </c>
      <c r="H52" s="3281">
        <v>73647</v>
      </c>
      <c r="I52" s="3281">
        <v>372501</v>
      </c>
      <c r="J52" s="3281">
        <v>92684</v>
      </c>
      <c r="K52" s="3281">
        <v>12036</v>
      </c>
      <c r="L52" s="3281">
        <v>685917</v>
      </c>
      <c r="M52" s="1164">
        <f t="shared" si="0"/>
        <v>3043556</v>
      </c>
      <c r="N52" s="1516"/>
      <c r="O52" s="1517">
        <v>1996</v>
      </c>
      <c r="P52" s="3198"/>
    </row>
    <row r="53" spans="2:18" ht="21" customHeight="1">
      <c r="C53" s="1492">
        <v>43394</v>
      </c>
      <c r="D53" s="1157">
        <v>148359</v>
      </c>
      <c r="E53" s="1157">
        <v>814142</v>
      </c>
      <c r="F53" s="1157">
        <v>443216</v>
      </c>
      <c r="G53" s="1157">
        <v>338327</v>
      </c>
      <c r="H53" s="1157">
        <v>96816</v>
      </c>
      <c r="I53" s="1157">
        <v>383907</v>
      </c>
      <c r="J53" s="1157">
        <v>83911</v>
      </c>
      <c r="K53" s="1157">
        <v>16466</v>
      </c>
      <c r="L53" s="1157">
        <v>539547</v>
      </c>
      <c r="M53" s="1159">
        <f t="shared" si="0"/>
        <v>2908085</v>
      </c>
      <c r="N53" s="1514"/>
      <c r="O53" s="1722">
        <v>1997</v>
      </c>
      <c r="P53" s="3198"/>
    </row>
    <row r="54" spans="2:18" ht="21" customHeight="1">
      <c r="C54" s="1515">
        <v>27259</v>
      </c>
      <c r="D54" s="1162">
        <v>175031</v>
      </c>
      <c r="E54" s="3281">
        <v>776835</v>
      </c>
      <c r="F54" s="3281">
        <v>435763</v>
      </c>
      <c r="G54" s="3281">
        <v>346172</v>
      </c>
      <c r="H54" s="3281">
        <v>57629</v>
      </c>
      <c r="I54" s="3281">
        <v>251850</v>
      </c>
      <c r="J54" s="3281">
        <v>88596</v>
      </c>
      <c r="K54" s="3281">
        <v>23056</v>
      </c>
      <c r="L54" s="3281">
        <v>532183</v>
      </c>
      <c r="M54" s="1164">
        <f t="shared" si="0"/>
        <v>2714374</v>
      </c>
      <c r="N54" s="1516"/>
      <c r="O54" s="1517">
        <v>1998</v>
      </c>
      <c r="P54" s="3198"/>
    </row>
    <row r="55" spans="2:18" ht="21" customHeight="1">
      <c r="C55" s="1492">
        <v>45055</v>
      </c>
      <c r="D55" s="1157">
        <v>180649</v>
      </c>
      <c r="E55" s="1157">
        <v>724876</v>
      </c>
      <c r="F55" s="1157">
        <v>391234</v>
      </c>
      <c r="G55" s="1157">
        <v>334216</v>
      </c>
      <c r="H55" s="1157">
        <v>44635</v>
      </c>
      <c r="I55" s="1157">
        <v>319046</v>
      </c>
      <c r="J55" s="1157">
        <v>84384</v>
      </c>
      <c r="K55" s="1157">
        <v>26979</v>
      </c>
      <c r="L55" s="1157">
        <v>484133</v>
      </c>
      <c r="M55" s="1159">
        <f t="shared" si="0"/>
        <v>2635207</v>
      </c>
      <c r="N55" s="1514"/>
      <c r="O55" s="1722">
        <v>1999</v>
      </c>
      <c r="P55" s="3198"/>
    </row>
    <row r="56" spans="2:18" ht="21" customHeight="1">
      <c r="B56" s="3199"/>
      <c r="C56" s="1515">
        <v>88749</v>
      </c>
      <c r="D56" s="1162">
        <v>180806</v>
      </c>
      <c r="E56" s="3281">
        <v>931114</v>
      </c>
      <c r="F56" s="3281">
        <v>493722</v>
      </c>
      <c r="G56" s="3281">
        <v>349603</v>
      </c>
      <c r="H56" s="3281">
        <v>39898</v>
      </c>
      <c r="I56" s="3281">
        <v>508811</v>
      </c>
      <c r="J56" s="3281">
        <v>103790</v>
      </c>
      <c r="K56" s="3281">
        <v>33016</v>
      </c>
      <c r="L56" s="3281">
        <v>529895</v>
      </c>
      <c r="M56" s="1164">
        <f t="shared" si="0"/>
        <v>3259404</v>
      </c>
      <c r="N56" s="1516"/>
      <c r="O56" s="1517">
        <v>2000</v>
      </c>
      <c r="P56" s="3198"/>
    </row>
    <row r="57" spans="2:18" ht="21" customHeight="1">
      <c r="B57" s="3199"/>
      <c r="C57" s="1492">
        <v>66208</v>
      </c>
      <c r="D57" s="1157">
        <v>204985</v>
      </c>
      <c r="E57" s="1157">
        <v>938668</v>
      </c>
      <c r="F57" s="1157">
        <v>666575</v>
      </c>
      <c r="G57" s="1157">
        <v>379414</v>
      </c>
      <c r="H57" s="1157">
        <v>39098</v>
      </c>
      <c r="I57" s="1157">
        <v>495376</v>
      </c>
      <c r="J57" s="1157">
        <v>106101</v>
      </c>
      <c r="K57" s="1157">
        <v>32981</v>
      </c>
      <c r="L57" s="1157">
        <v>524323</v>
      </c>
      <c r="M57" s="1159">
        <f t="shared" si="0"/>
        <v>3453729</v>
      </c>
      <c r="N57" s="1514"/>
      <c r="O57" s="1722">
        <v>2001</v>
      </c>
      <c r="P57" s="3198"/>
    </row>
    <row r="58" spans="2:18" ht="21" customHeight="1">
      <c r="B58" s="3199"/>
      <c r="C58" s="1515">
        <v>90262</v>
      </c>
      <c r="D58" s="1162">
        <v>247197</v>
      </c>
      <c r="E58" s="3281">
        <v>890610</v>
      </c>
      <c r="F58" s="3281">
        <v>689814</v>
      </c>
      <c r="G58" s="3281">
        <v>402384</v>
      </c>
      <c r="H58" s="3281">
        <v>58520</v>
      </c>
      <c r="I58" s="3281">
        <v>540290</v>
      </c>
      <c r="J58" s="3281">
        <v>106311</v>
      </c>
      <c r="K58" s="3281">
        <v>43593</v>
      </c>
      <c r="L58" s="3281">
        <v>530179</v>
      </c>
      <c r="M58" s="1164">
        <f t="shared" si="0"/>
        <v>3599160</v>
      </c>
      <c r="N58" s="1516"/>
      <c r="O58" s="1517">
        <v>2002</v>
      </c>
      <c r="P58" s="3198"/>
    </row>
    <row r="59" spans="2:18" ht="21" customHeight="1">
      <c r="B59" s="3199"/>
      <c r="C59" s="1492">
        <v>134143</v>
      </c>
      <c r="D59" s="1157">
        <v>247458</v>
      </c>
      <c r="E59" s="1157">
        <v>920445</v>
      </c>
      <c r="F59" s="1157">
        <v>802698</v>
      </c>
      <c r="G59" s="1157">
        <v>445237</v>
      </c>
      <c r="H59" s="1157">
        <v>72360</v>
      </c>
      <c r="I59" s="1157">
        <v>661421</v>
      </c>
      <c r="J59" s="1157">
        <v>98770</v>
      </c>
      <c r="K59" s="1157">
        <v>59138</v>
      </c>
      <c r="L59" s="1157">
        <v>630338</v>
      </c>
      <c r="M59" s="1159">
        <f>L59+K59+J59+I59+H59+G59+F59+E59+D59+C59</f>
        <v>4072008</v>
      </c>
      <c r="N59" s="1514"/>
      <c r="O59" s="1722">
        <v>2003</v>
      </c>
      <c r="P59" s="3198"/>
    </row>
    <row r="60" spans="2:18" ht="21" customHeight="1">
      <c r="B60" s="3199"/>
      <c r="C60" s="1515">
        <v>177178</v>
      </c>
      <c r="D60" s="1162">
        <v>378443</v>
      </c>
      <c r="E60" s="3281">
        <v>1315476</v>
      </c>
      <c r="F60" s="3281">
        <v>1162373</v>
      </c>
      <c r="G60" s="3281">
        <v>567499</v>
      </c>
      <c r="H60" s="3281">
        <v>147055</v>
      </c>
      <c r="I60" s="3281">
        <v>1110150</v>
      </c>
      <c r="J60" s="3281">
        <v>113900</v>
      </c>
      <c r="K60" s="3281">
        <v>65867</v>
      </c>
      <c r="L60" s="3281">
        <v>761300</v>
      </c>
      <c r="M60" s="1164">
        <f t="shared" si="0"/>
        <v>5799241</v>
      </c>
      <c r="N60" s="1516"/>
      <c r="O60" s="1517">
        <v>2004</v>
      </c>
      <c r="P60" s="3198"/>
    </row>
    <row r="61" spans="2:18" ht="21.95" customHeight="1">
      <c r="B61" s="1801"/>
      <c r="C61" s="1492">
        <v>186219</v>
      </c>
      <c r="D61" s="1157">
        <v>531725</v>
      </c>
      <c r="E61" s="1157">
        <v>1869355</v>
      </c>
      <c r="F61" s="1157">
        <v>1361305</v>
      </c>
      <c r="G61" s="1157">
        <v>654857</v>
      </c>
      <c r="H61" s="1157">
        <v>108686</v>
      </c>
      <c r="I61" s="1157">
        <v>1713695</v>
      </c>
      <c r="J61" s="1157">
        <v>122023</v>
      </c>
      <c r="K61" s="1157">
        <v>83787</v>
      </c>
      <c r="L61" s="1157">
        <v>811212</v>
      </c>
      <c r="M61" s="1159">
        <f t="shared" si="0"/>
        <v>7442864</v>
      </c>
      <c r="N61" s="1514"/>
      <c r="O61" s="1722">
        <v>2005</v>
      </c>
    </row>
    <row r="62" spans="2:18" ht="21.95" customHeight="1">
      <c r="B62" s="1801"/>
      <c r="C62" s="1515">
        <v>171157</v>
      </c>
      <c r="D62" s="1162">
        <v>593198</v>
      </c>
      <c r="E62" s="1162">
        <v>2000113</v>
      </c>
      <c r="F62" s="1162">
        <v>1536113</v>
      </c>
      <c r="G62" s="1162">
        <v>709572</v>
      </c>
      <c r="H62" s="1162">
        <v>91171</v>
      </c>
      <c r="I62" s="1162">
        <v>1933150</v>
      </c>
      <c r="J62" s="1162">
        <v>135878</v>
      </c>
      <c r="K62" s="1162">
        <v>89563</v>
      </c>
      <c r="L62" s="1162">
        <v>927810</v>
      </c>
      <c r="M62" s="1164">
        <f t="shared" si="0"/>
        <v>8187725</v>
      </c>
      <c r="N62" s="1516"/>
      <c r="O62" s="1517">
        <v>2006</v>
      </c>
      <c r="Q62" s="2086"/>
      <c r="R62" s="2086"/>
    </row>
    <row r="63" spans="2:18" ht="21.95" customHeight="1">
      <c r="C63" s="1492">
        <v>196436</v>
      </c>
      <c r="D63" s="1157">
        <v>660222</v>
      </c>
      <c r="E63" s="1157">
        <v>2513042</v>
      </c>
      <c r="F63" s="1157">
        <v>1746472</v>
      </c>
      <c r="G63" s="1157">
        <v>896561</v>
      </c>
      <c r="H63" s="1157">
        <v>81592</v>
      </c>
      <c r="I63" s="1157">
        <v>2055981</v>
      </c>
      <c r="J63" s="1157">
        <v>157663</v>
      </c>
      <c r="K63" s="1157">
        <v>92302</v>
      </c>
      <c r="L63" s="1157">
        <v>1321923</v>
      </c>
      <c r="M63" s="1159">
        <f t="shared" si="0"/>
        <v>9722194</v>
      </c>
      <c r="N63" s="1514"/>
      <c r="O63" s="1722">
        <v>2007</v>
      </c>
    </row>
    <row r="64" spans="2:18" s="2086" customFormat="1">
      <c r="B64" s="1191"/>
      <c r="C64" s="1515">
        <v>255871</v>
      </c>
      <c r="D64" s="1162">
        <v>794867</v>
      </c>
      <c r="E64" s="1162">
        <v>2840210</v>
      </c>
      <c r="F64" s="1162">
        <v>2167066</v>
      </c>
      <c r="G64" s="1162">
        <v>1167867</v>
      </c>
      <c r="H64" s="1162">
        <v>176959</v>
      </c>
      <c r="I64" s="1162">
        <v>2612914</v>
      </c>
      <c r="J64" s="1162">
        <v>215589</v>
      </c>
      <c r="K64" s="1162">
        <v>95024</v>
      </c>
      <c r="L64" s="1162">
        <v>1734528</v>
      </c>
      <c r="M64" s="1164">
        <f t="shared" si="0"/>
        <v>12060895</v>
      </c>
      <c r="N64" s="1516"/>
      <c r="O64" s="1517">
        <v>2008</v>
      </c>
      <c r="Q64" s="1801"/>
      <c r="R64" s="1801"/>
    </row>
    <row r="65" spans="2:15" ht="21.95" customHeight="1">
      <c r="C65" s="1492">
        <v>199775</v>
      </c>
      <c r="D65" s="1157">
        <v>755520</v>
      </c>
      <c r="E65" s="1157">
        <v>2644736</v>
      </c>
      <c r="F65" s="1157">
        <v>1751392</v>
      </c>
      <c r="G65" s="1157">
        <v>1070663</v>
      </c>
      <c r="H65" s="1157">
        <v>117768</v>
      </c>
      <c r="I65" s="1157">
        <v>1805315</v>
      </c>
      <c r="J65" s="1157">
        <v>171076</v>
      </c>
      <c r="K65" s="1157">
        <v>102668</v>
      </c>
      <c r="L65" s="1157">
        <v>1488783</v>
      </c>
      <c r="M65" s="1159">
        <f t="shared" si="0"/>
        <v>10107696</v>
      </c>
      <c r="N65" s="1514"/>
      <c r="O65" s="1722">
        <v>2009</v>
      </c>
    </row>
    <row r="66" spans="2:15" ht="21.95" customHeight="1">
      <c r="C66" s="1515">
        <v>181475</v>
      </c>
      <c r="D66" s="1162">
        <v>774719</v>
      </c>
      <c r="E66" s="1162">
        <v>2494371</v>
      </c>
      <c r="F66" s="1162">
        <v>1864849</v>
      </c>
      <c r="G66" s="1162">
        <v>1223859</v>
      </c>
      <c r="H66" s="1162">
        <v>90544</v>
      </c>
      <c r="I66" s="1162">
        <v>2441263</v>
      </c>
      <c r="J66" s="1162">
        <v>196753</v>
      </c>
      <c r="K66" s="1162">
        <v>100760</v>
      </c>
      <c r="L66" s="1162">
        <v>1681533</v>
      </c>
      <c r="M66" s="1164">
        <f t="shared" si="0"/>
        <v>11050126</v>
      </c>
      <c r="N66" s="1516"/>
      <c r="O66" s="1517">
        <v>2010</v>
      </c>
    </row>
    <row r="67" spans="2:15" ht="21.95" customHeight="1">
      <c r="C67" s="1492">
        <v>212126</v>
      </c>
      <c r="D67" s="1157">
        <v>867402</v>
      </c>
      <c r="E67" s="1157">
        <v>2412522</v>
      </c>
      <c r="F67" s="1157">
        <v>2048663</v>
      </c>
      <c r="G67" s="1157">
        <v>1426236</v>
      </c>
      <c r="H67" s="1157">
        <v>144114</v>
      </c>
      <c r="I67" s="1157">
        <v>3921397</v>
      </c>
      <c r="J67" s="1157">
        <v>245493</v>
      </c>
      <c r="K67" s="1157">
        <v>102683</v>
      </c>
      <c r="L67" s="1157">
        <v>2059579</v>
      </c>
      <c r="M67" s="1159">
        <f t="shared" si="0"/>
        <v>13440215</v>
      </c>
      <c r="N67" s="1514"/>
      <c r="O67" s="4479">
        <v>2011</v>
      </c>
    </row>
    <row r="68" spans="2:15" ht="21.95" customHeight="1">
      <c r="C68" s="1515">
        <v>250470</v>
      </c>
      <c r="D68" s="1162">
        <v>905518</v>
      </c>
      <c r="E68" s="1162">
        <v>2418451</v>
      </c>
      <c r="F68" s="1162">
        <v>2175028</v>
      </c>
      <c r="G68" s="1162">
        <v>1524553</v>
      </c>
      <c r="H68" s="1162">
        <v>141177</v>
      </c>
      <c r="I68" s="1162">
        <v>4692799</v>
      </c>
      <c r="J68" s="1162">
        <v>248920</v>
      </c>
      <c r="K68" s="1162">
        <v>101608</v>
      </c>
      <c r="L68" s="1162">
        <v>2275225</v>
      </c>
      <c r="M68" s="1164">
        <f t="shared" si="0"/>
        <v>14733749</v>
      </c>
      <c r="N68" s="1516"/>
      <c r="O68" s="1517">
        <v>2012</v>
      </c>
    </row>
    <row r="69" spans="2:15" ht="21.95" customHeight="1">
      <c r="C69" s="1492">
        <f>601691+215</f>
        <v>601906</v>
      </c>
      <c r="D69" s="1157">
        <v>1060598</v>
      </c>
      <c r="E69" s="1157">
        <v>2822365</v>
      </c>
      <c r="F69" s="1157">
        <v>2532846</v>
      </c>
      <c r="G69" s="1157">
        <v>1593605</v>
      </c>
      <c r="H69" s="1157">
        <v>128038</v>
      </c>
      <c r="I69" s="1157">
        <v>4134967</v>
      </c>
      <c r="J69" s="1157">
        <v>256039</v>
      </c>
      <c r="K69" s="1157">
        <v>129518</v>
      </c>
      <c r="L69" s="1157">
        <v>2407462</v>
      </c>
      <c r="M69" s="1159">
        <f t="shared" si="0"/>
        <v>15667344</v>
      </c>
      <c r="N69" s="1514"/>
      <c r="O69" s="4479">
        <v>2013</v>
      </c>
    </row>
    <row r="70" spans="2:15" ht="21.95" customHeight="1">
      <c r="C70" s="1515">
        <v>697904</v>
      </c>
      <c r="D70" s="1162">
        <v>1019014</v>
      </c>
      <c r="E70" s="1162">
        <v>2964083</v>
      </c>
      <c r="F70" s="1162">
        <v>2350378</v>
      </c>
      <c r="G70" s="1162">
        <v>1644063</v>
      </c>
      <c r="H70" s="1162">
        <v>127744</v>
      </c>
      <c r="I70" s="1162">
        <v>4414491</v>
      </c>
      <c r="J70" s="1162">
        <v>296661</v>
      </c>
      <c r="K70" s="1162">
        <v>135114</v>
      </c>
      <c r="L70" s="1162">
        <v>2630737</v>
      </c>
      <c r="M70" s="1164">
        <f t="shared" si="0"/>
        <v>16280189</v>
      </c>
      <c r="N70" s="1516"/>
      <c r="O70" s="1517">
        <v>2014</v>
      </c>
    </row>
    <row r="71" spans="2:15" ht="21.95" customHeight="1">
      <c r="C71" s="1492">
        <v>886956</v>
      </c>
      <c r="D71" s="1157">
        <v>1052205</v>
      </c>
      <c r="E71" s="1157">
        <v>3336567</v>
      </c>
      <c r="F71" s="1157">
        <v>2252986</v>
      </c>
      <c r="G71" s="1157">
        <v>1539401</v>
      </c>
      <c r="H71" s="1157">
        <v>116020</v>
      </c>
      <c r="I71" s="1157">
        <v>2508187</v>
      </c>
      <c r="J71" s="1157">
        <v>261346</v>
      </c>
      <c r="K71" s="1157">
        <v>145548</v>
      </c>
      <c r="L71" s="1157">
        <v>2437966</v>
      </c>
      <c r="M71" s="1159">
        <f t="shared" si="0"/>
        <v>14537182</v>
      </c>
      <c r="N71" s="1514"/>
      <c r="O71" s="4479">
        <v>2015</v>
      </c>
    </row>
    <row r="72" spans="2:15" ht="21.95" customHeight="1">
      <c r="C72" s="1515">
        <v>551452</v>
      </c>
      <c r="D72" s="1162">
        <v>1092407</v>
      </c>
      <c r="E72" s="1162">
        <v>3382819</v>
      </c>
      <c r="F72" s="1162">
        <v>2116446</v>
      </c>
      <c r="G72" s="1162">
        <v>1494698</v>
      </c>
      <c r="H72" s="1162">
        <v>124178</v>
      </c>
      <c r="I72" s="1162">
        <v>1989670</v>
      </c>
      <c r="J72" s="1162">
        <v>250765</v>
      </c>
      <c r="K72" s="1162">
        <v>144522</v>
      </c>
      <c r="L72" s="1162">
        <v>2573417</v>
      </c>
      <c r="M72" s="1164">
        <v>13720374</v>
      </c>
      <c r="N72" s="1516"/>
      <c r="O72" s="1657" t="s">
        <v>2618</v>
      </c>
    </row>
    <row r="73" spans="2:15" ht="21.95" customHeight="1">
      <c r="C73" s="1492">
        <v>616300</v>
      </c>
      <c r="D73" s="1157">
        <v>1063234</v>
      </c>
      <c r="E73" s="1157">
        <v>3946419</v>
      </c>
      <c r="F73" s="1157">
        <v>2072032</v>
      </c>
      <c r="G73" s="1157">
        <v>1479218</v>
      </c>
      <c r="H73" s="1157">
        <v>118437</v>
      </c>
      <c r="I73" s="1157">
        <v>2424982</v>
      </c>
      <c r="J73" s="1157">
        <v>229120</v>
      </c>
      <c r="K73" s="1157">
        <v>142213</v>
      </c>
      <c r="L73" s="1157">
        <v>2461765</v>
      </c>
      <c r="M73" s="1159">
        <v>14553720</v>
      </c>
      <c r="N73" s="1514"/>
      <c r="O73" s="3285" t="s">
        <v>2748</v>
      </c>
    </row>
    <row r="74" spans="2:15" ht="21.95" customHeight="1">
      <c r="C74" s="1515">
        <v>422992</v>
      </c>
      <c r="D74" s="1162">
        <v>971187</v>
      </c>
      <c r="E74" s="1162">
        <v>3289624</v>
      </c>
      <c r="F74" s="1162">
        <v>2233619</v>
      </c>
      <c r="G74" s="1162">
        <v>1576767</v>
      </c>
      <c r="H74" s="1162">
        <v>118571</v>
      </c>
      <c r="I74" s="1162">
        <v>2999588</v>
      </c>
      <c r="J74" s="1162">
        <v>251465</v>
      </c>
      <c r="K74" s="1162">
        <v>135687</v>
      </c>
      <c r="L74" s="1162">
        <v>2420527</v>
      </c>
      <c r="M74" s="1164">
        <v>14420027</v>
      </c>
      <c r="N74" s="1516"/>
      <c r="O74" s="1657" t="s">
        <v>2928</v>
      </c>
    </row>
    <row r="75" spans="2:15" ht="21.95" customHeight="1">
      <c r="C75" s="1492">
        <v>332064.78161999962</v>
      </c>
      <c r="D75" s="1157">
        <v>950185.35384</v>
      </c>
      <c r="E75" s="1157">
        <v>3172160.9109999998</v>
      </c>
      <c r="F75" s="1157">
        <v>2166682.0100000002</v>
      </c>
      <c r="G75" s="1157">
        <v>1550392.4640000002</v>
      </c>
      <c r="H75" s="1157">
        <v>108385.10400000002</v>
      </c>
      <c r="I75" s="1157">
        <v>2552437.5369999995</v>
      </c>
      <c r="J75" s="1157">
        <v>253118.43200000003</v>
      </c>
      <c r="K75" s="1157">
        <v>119985.58199999999</v>
      </c>
      <c r="L75" s="1157">
        <v>2405539.6389999995</v>
      </c>
      <c r="M75" s="1159">
        <v>13610951.814459998</v>
      </c>
      <c r="N75" s="1514"/>
      <c r="O75" s="3285" t="s">
        <v>3028</v>
      </c>
    </row>
    <row r="76" spans="2:15" ht="21.95" customHeight="1">
      <c r="C76" s="1515">
        <v>412099</v>
      </c>
      <c r="D76" s="1162">
        <v>871504</v>
      </c>
      <c r="E76" s="1162">
        <v>2571518</v>
      </c>
      <c r="F76" s="1162">
        <v>1924102</v>
      </c>
      <c r="G76" s="1162">
        <v>1647593</v>
      </c>
      <c r="H76" s="1162">
        <v>119466.08799999999</v>
      </c>
      <c r="I76" s="1162">
        <v>1669355</v>
      </c>
      <c r="J76" s="1162">
        <v>269468</v>
      </c>
      <c r="K76" s="1162">
        <v>157767</v>
      </c>
      <c r="L76" s="1162">
        <v>2592550</v>
      </c>
      <c r="M76" s="1164">
        <v>12235422.088</v>
      </c>
      <c r="N76" s="1516"/>
      <c r="O76" s="1657" t="s">
        <v>3101</v>
      </c>
    </row>
    <row r="77" spans="2:15" ht="24">
      <c r="C77" s="1492">
        <v>1082287</v>
      </c>
      <c r="D77" s="1157">
        <v>1171506</v>
      </c>
      <c r="E77" s="1157">
        <v>2928577</v>
      </c>
      <c r="F77" s="1157">
        <v>2286225</v>
      </c>
      <c r="G77" s="1157">
        <v>1958754</v>
      </c>
      <c r="H77" s="1157">
        <v>170234</v>
      </c>
      <c r="I77" s="1157">
        <v>2403888</v>
      </c>
      <c r="J77" s="1157">
        <v>313671</v>
      </c>
      <c r="K77" s="1157">
        <v>156963</v>
      </c>
      <c r="L77" s="1157">
        <v>2823024</v>
      </c>
      <c r="M77" s="1159">
        <v>15295129</v>
      </c>
      <c r="N77" s="1514"/>
      <c r="O77" s="3285" t="s">
        <v>3106</v>
      </c>
    </row>
    <row r="78" spans="2:15" ht="21.95" customHeight="1">
      <c r="C78" s="4546">
        <v>1810330.8</v>
      </c>
      <c r="D78" s="4547">
        <v>1320357.3</v>
      </c>
      <c r="E78" s="4547">
        <v>3180870.4</v>
      </c>
      <c r="F78" s="4547">
        <v>2850699.7</v>
      </c>
      <c r="G78" s="4547">
        <v>2272243.2000000002</v>
      </c>
      <c r="H78" s="4547">
        <v>228794</v>
      </c>
      <c r="I78" s="4547">
        <v>3575574.8</v>
      </c>
      <c r="J78" s="4547">
        <v>371654.2</v>
      </c>
      <c r="K78" s="4547">
        <v>159036.70000000001</v>
      </c>
      <c r="L78" s="4547">
        <v>3658919.4</v>
      </c>
      <c r="M78" s="4548">
        <v>19428480.5</v>
      </c>
      <c r="N78" s="4549"/>
      <c r="O78" s="4550" t="s">
        <v>3116</v>
      </c>
    </row>
    <row r="79" spans="2:15">
      <c r="C79" s="426" t="s">
        <v>1361</v>
      </c>
      <c r="D79" s="426"/>
      <c r="E79" s="1318"/>
      <c r="F79" s="3286"/>
      <c r="G79" s="1318"/>
      <c r="H79" s="1318"/>
      <c r="I79" s="1318"/>
      <c r="J79" s="1318"/>
      <c r="K79" s="1318"/>
      <c r="L79" s="1318"/>
      <c r="M79" s="2088"/>
      <c r="N79" s="1838"/>
      <c r="O79" s="3287" t="s">
        <v>1434</v>
      </c>
    </row>
    <row r="80" spans="2:15">
      <c r="B80" s="1192"/>
      <c r="C80" s="427" t="s">
        <v>1435</v>
      </c>
      <c r="D80" s="426"/>
      <c r="E80" s="1318"/>
      <c r="F80" s="1318"/>
      <c r="G80" s="1318"/>
      <c r="H80" s="1318"/>
      <c r="I80" s="1318"/>
      <c r="J80" s="1318"/>
      <c r="K80" s="1318"/>
      <c r="L80" s="1318"/>
      <c r="M80" s="1318"/>
      <c r="N80" s="4495"/>
      <c r="O80" s="3288" t="s">
        <v>1436</v>
      </c>
    </row>
    <row r="81" spans="2:15">
      <c r="C81" s="1793"/>
      <c r="D81" s="1793"/>
    </row>
    <row r="82" spans="2:15">
      <c r="C82" s="1793"/>
      <c r="D82" s="1793"/>
      <c r="O82" s="2160"/>
    </row>
    <row r="83" spans="2:15">
      <c r="C83" s="1793"/>
      <c r="D83" s="1793"/>
      <c r="O83" s="2160"/>
    </row>
    <row r="84" spans="2:15">
      <c r="B84" s="1801"/>
      <c r="C84" s="1793"/>
      <c r="D84" s="1793"/>
      <c r="E84" s="1793"/>
      <c r="F84" s="1793"/>
      <c r="G84" s="1793"/>
      <c r="H84" s="1793"/>
      <c r="I84" s="1793"/>
      <c r="J84" s="1793"/>
      <c r="K84" s="1793"/>
      <c r="L84" s="1793"/>
      <c r="M84" s="1793"/>
      <c r="N84" s="1793"/>
      <c r="O84" s="2160"/>
    </row>
    <row r="85" spans="2:15">
      <c r="B85" s="1801"/>
      <c r="C85" s="1793"/>
      <c r="D85" s="1793"/>
      <c r="E85" s="1793"/>
      <c r="F85" s="1793"/>
      <c r="G85" s="1793"/>
      <c r="H85" s="1793"/>
      <c r="I85" s="1793"/>
      <c r="J85" s="1793"/>
      <c r="K85" s="1793"/>
      <c r="L85" s="1793"/>
      <c r="M85" s="1793"/>
      <c r="N85" s="1793"/>
      <c r="O85" s="2160"/>
    </row>
    <row r="86" spans="2:15">
      <c r="B86" s="1801"/>
      <c r="C86" s="1793"/>
      <c r="D86" s="1793"/>
      <c r="E86" s="1793"/>
      <c r="F86" s="1793"/>
      <c r="G86" s="1793"/>
      <c r="H86" s="1793"/>
      <c r="I86" s="1793"/>
      <c r="J86" s="1793"/>
      <c r="K86" s="1793"/>
      <c r="L86" s="1793"/>
      <c r="M86" s="1793"/>
      <c r="N86" s="1793"/>
      <c r="O86" s="2160"/>
    </row>
    <row r="87" spans="2:15">
      <c r="B87" s="1801"/>
      <c r="C87" s="1793"/>
      <c r="D87" s="1793"/>
      <c r="E87" s="1793"/>
      <c r="F87" s="1793"/>
      <c r="G87" s="1793"/>
      <c r="H87" s="1793"/>
      <c r="I87" s="1793"/>
      <c r="J87" s="1793"/>
      <c r="K87" s="1793"/>
      <c r="L87" s="1793"/>
      <c r="M87" s="1793"/>
      <c r="N87" s="1793"/>
      <c r="O87" s="2160"/>
    </row>
    <row r="88" spans="2:15">
      <c r="B88" s="1801"/>
      <c r="C88" s="1793"/>
      <c r="D88" s="1793"/>
      <c r="E88" s="1793"/>
      <c r="F88" s="1793"/>
      <c r="G88" s="1793"/>
      <c r="H88" s="1793"/>
      <c r="I88" s="1793"/>
      <c r="J88" s="1793"/>
      <c r="K88" s="1793"/>
      <c r="L88" s="1793"/>
      <c r="M88" s="1793"/>
      <c r="N88" s="1793"/>
      <c r="O88" s="2160"/>
    </row>
    <row r="89" spans="2:15">
      <c r="B89" s="1801"/>
      <c r="C89" s="1793"/>
      <c r="D89" s="1793"/>
      <c r="E89" s="1793"/>
      <c r="F89" s="1793"/>
      <c r="G89" s="1793"/>
      <c r="H89" s="1793"/>
      <c r="I89" s="1793"/>
      <c r="J89" s="1793"/>
      <c r="K89" s="1793"/>
      <c r="L89" s="1793"/>
      <c r="M89" s="1793"/>
      <c r="N89" s="1793"/>
      <c r="O89" s="2160"/>
    </row>
    <row r="90" spans="2:15">
      <c r="B90" s="1801"/>
      <c r="C90" s="1793"/>
      <c r="D90" s="1793"/>
      <c r="E90" s="1793"/>
      <c r="F90" s="1793"/>
      <c r="G90" s="1793"/>
      <c r="H90" s="1793"/>
      <c r="I90" s="1793"/>
      <c r="J90" s="1793"/>
      <c r="K90" s="1793"/>
      <c r="L90" s="1793"/>
      <c r="M90" s="1793"/>
      <c r="N90" s="1793"/>
      <c r="O90" s="2160"/>
    </row>
    <row r="91" spans="2:15">
      <c r="B91" s="1801"/>
      <c r="C91" s="1793"/>
      <c r="D91" s="1793"/>
      <c r="E91" s="1793"/>
      <c r="F91" s="1793"/>
      <c r="G91" s="1793"/>
      <c r="H91" s="1793"/>
      <c r="I91" s="1793"/>
      <c r="J91" s="1793"/>
      <c r="K91" s="1793"/>
      <c r="L91" s="1793"/>
      <c r="M91" s="1793"/>
      <c r="N91" s="1793"/>
      <c r="O91" s="2160"/>
    </row>
    <row r="92" spans="2:15">
      <c r="B92" s="1801"/>
      <c r="C92" s="1793"/>
      <c r="D92" s="1793"/>
      <c r="E92" s="1793"/>
      <c r="F92" s="1793"/>
      <c r="G92" s="1793"/>
      <c r="H92" s="1793"/>
      <c r="I92" s="1793"/>
      <c r="J92" s="1793"/>
      <c r="K92" s="1793"/>
      <c r="L92" s="1793"/>
      <c r="M92" s="1793"/>
      <c r="N92" s="1793"/>
      <c r="O92" s="2160"/>
    </row>
    <row r="93" spans="2:15">
      <c r="B93" s="1801"/>
      <c r="C93" s="1793"/>
      <c r="D93" s="1793"/>
      <c r="E93" s="1793"/>
      <c r="F93" s="1793"/>
      <c r="G93" s="1793"/>
      <c r="H93" s="1793"/>
      <c r="I93" s="1793"/>
      <c r="J93" s="1793"/>
      <c r="K93" s="1793"/>
      <c r="L93" s="1793"/>
      <c r="M93" s="1793"/>
      <c r="N93" s="1793"/>
      <c r="O93" s="2160"/>
    </row>
    <row r="94" spans="2:15">
      <c r="B94" s="1801"/>
      <c r="C94" s="1793"/>
      <c r="D94" s="1793"/>
      <c r="E94" s="1793"/>
      <c r="F94" s="1793"/>
      <c r="G94" s="1793"/>
      <c r="H94" s="1793"/>
      <c r="I94" s="1793"/>
      <c r="J94" s="1793"/>
      <c r="K94" s="1793"/>
      <c r="L94" s="1793"/>
      <c r="M94" s="1793"/>
      <c r="N94" s="1793"/>
      <c r="O94" s="2160"/>
    </row>
    <row r="95" spans="2:15">
      <c r="B95" s="1801"/>
      <c r="C95" s="1793"/>
      <c r="D95" s="1793"/>
      <c r="E95" s="1793"/>
      <c r="F95" s="1793"/>
      <c r="G95" s="1793"/>
      <c r="H95" s="1793"/>
      <c r="I95" s="1793"/>
      <c r="J95" s="1793"/>
      <c r="K95" s="1793"/>
      <c r="L95" s="1793"/>
      <c r="M95" s="1793"/>
      <c r="N95" s="1793"/>
      <c r="O95" s="2160"/>
    </row>
    <row r="96" spans="2:15">
      <c r="B96" s="1801"/>
      <c r="C96" s="1793"/>
      <c r="D96" s="1793"/>
      <c r="E96" s="1793"/>
      <c r="F96" s="1793"/>
      <c r="G96" s="1793"/>
      <c r="H96" s="1793"/>
      <c r="I96" s="1793"/>
      <c r="J96" s="1793"/>
      <c r="K96" s="1793"/>
      <c r="L96" s="1793"/>
      <c r="M96" s="1793"/>
      <c r="N96" s="1793"/>
      <c r="O96" s="2160"/>
    </row>
    <row r="97" spans="2:18">
      <c r="B97" s="1801"/>
      <c r="C97" s="1793"/>
      <c r="D97" s="1793"/>
      <c r="E97" s="1793"/>
      <c r="F97" s="1793"/>
      <c r="G97" s="1793"/>
      <c r="H97" s="1793"/>
      <c r="I97" s="1793"/>
      <c r="J97" s="1793"/>
      <c r="K97" s="1793"/>
      <c r="L97" s="1793"/>
      <c r="M97" s="1793"/>
      <c r="N97" s="1793"/>
      <c r="O97" s="2160"/>
    </row>
    <row r="98" spans="2:18">
      <c r="B98" s="1801"/>
      <c r="C98" s="1793"/>
      <c r="D98" s="1793"/>
      <c r="E98" s="1793"/>
      <c r="F98" s="1793"/>
      <c r="G98" s="1793"/>
      <c r="H98" s="1793"/>
      <c r="I98" s="1793"/>
      <c r="J98" s="1793"/>
      <c r="K98" s="1793"/>
      <c r="L98" s="1793"/>
      <c r="M98" s="1793"/>
      <c r="N98" s="1793"/>
      <c r="O98" s="2160"/>
    </row>
    <row r="99" spans="2:18">
      <c r="B99" s="1801"/>
      <c r="C99" s="1793"/>
      <c r="D99" s="1793"/>
      <c r="E99" s="1793"/>
      <c r="F99" s="1793"/>
      <c r="G99" s="1793"/>
      <c r="H99" s="1793"/>
      <c r="I99" s="1793"/>
      <c r="J99" s="1793"/>
      <c r="K99" s="1793"/>
      <c r="L99" s="1793"/>
      <c r="M99" s="1793"/>
      <c r="N99" s="1793"/>
      <c r="O99" s="2160"/>
    </row>
    <row r="100" spans="2:18">
      <c r="B100" s="1801"/>
      <c r="C100" s="1793"/>
      <c r="D100" s="1793"/>
      <c r="E100" s="1793"/>
      <c r="F100" s="1793"/>
      <c r="G100" s="1793"/>
      <c r="H100" s="1793"/>
      <c r="I100" s="1793"/>
      <c r="J100" s="1793"/>
      <c r="K100" s="1793"/>
      <c r="L100" s="1793"/>
      <c r="M100" s="1793"/>
      <c r="N100" s="1793"/>
      <c r="O100" s="2160"/>
    </row>
    <row r="101" spans="2:18">
      <c r="B101" s="1801"/>
      <c r="C101" s="1793"/>
      <c r="D101" s="1793"/>
      <c r="E101" s="1793"/>
      <c r="F101" s="1793"/>
      <c r="G101" s="1793"/>
      <c r="H101" s="1793"/>
      <c r="I101" s="1793"/>
      <c r="J101" s="1793"/>
      <c r="K101" s="1793"/>
      <c r="L101" s="1793"/>
      <c r="M101" s="1793"/>
      <c r="N101" s="1793"/>
      <c r="O101" s="2160"/>
    </row>
    <row r="102" spans="2:18">
      <c r="B102" s="1801"/>
      <c r="C102" s="1793"/>
      <c r="D102" s="1793"/>
      <c r="E102" s="1793"/>
      <c r="F102" s="1793"/>
      <c r="G102" s="1793"/>
      <c r="H102" s="1793"/>
      <c r="I102" s="1793"/>
      <c r="J102" s="1793"/>
      <c r="K102" s="1793"/>
      <c r="L102" s="1793"/>
      <c r="M102" s="1793"/>
      <c r="N102" s="1793"/>
      <c r="O102" s="2160"/>
    </row>
    <row r="103" spans="2:18">
      <c r="B103" s="1801"/>
      <c r="C103" s="1793"/>
      <c r="D103" s="1793"/>
      <c r="E103" s="1793"/>
      <c r="F103" s="1793"/>
      <c r="G103" s="1793"/>
      <c r="H103" s="1793"/>
      <c r="I103" s="1793"/>
      <c r="J103" s="1793"/>
      <c r="K103" s="1793"/>
      <c r="L103" s="1793"/>
      <c r="M103" s="1793"/>
      <c r="N103" s="1793"/>
      <c r="O103" s="2160"/>
    </row>
    <row r="104" spans="2:18">
      <c r="B104" s="1801"/>
      <c r="C104" s="1793"/>
      <c r="D104" s="1793"/>
      <c r="E104" s="1793"/>
      <c r="F104" s="1793"/>
      <c r="G104" s="1793"/>
      <c r="H104" s="1793"/>
      <c r="I104" s="1793"/>
      <c r="J104" s="1793"/>
      <c r="K104" s="1793"/>
      <c r="L104" s="1793"/>
      <c r="M104" s="1793"/>
      <c r="N104" s="1793"/>
      <c r="O104" s="2160"/>
    </row>
    <row r="105" spans="2:18">
      <c r="B105" s="1801"/>
      <c r="C105" s="1793"/>
      <c r="D105" s="1793"/>
      <c r="E105" s="1793"/>
      <c r="F105" s="1793"/>
      <c r="G105" s="1793"/>
      <c r="H105" s="1793"/>
      <c r="I105" s="1793"/>
      <c r="J105" s="1793"/>
      <c r="K105" s="1793"/>
      <c r="L105" s="1793"/>
      <c r="M105" s="1793"/>
      <c r="N105" s="1793"/>
      <c r="O105" s="2160"/>
    </row>
    <row r="106" spans="2:18">
      <c r="B106" s="1801"/>
      <c r="C106" s="1793"/>
      <c r="D106" s="1793"/>
      <c r="E106" s="1793"/>
      <c r="F106" s="1793"/>
      <c r="G106" s="1793"/>
      <c r="H106" s="1793"/>
      <c r="I106" s="1793"/>
      <c r="J106" s="1793"/>
      <c r="K106" s="1793"/>
      <c r="L106" s="1793"/>
      <c r="M106" s="1793"/>
      <c r="N106" s="1793"/>
      <c r="O106" s="2160"/>
    </row>
    <row r="107" spans="2:18">
      <c r="B107" s="1801"/>
      <c r="C107" s="1793"/>
      <c r="D107" s="1793"/>
      <c r="E107" s="1793"/>
      <c r="F107" s="1793"/>
      <c r="G107" s="1793"/>
      <c r="H107" s="1793"/>
      <c r="I107" s="1793"/>
      <c r="J107" s="1793"/>
      <c r="K107" s="1793"/>
      <c r="L107" s="1793"/>
      <c r="M107" s="1793"/>
      <c r="N107" s="1793"/>
      <c r="O107" s="2160"/>
    </row>
    <row r="108" spans="2:18">
      <c r="B108" s="1801"/>
      <c r="C108" s="1793"/>
      <c r="D108" s="1793"/>
      <c r="E108" s="1793"/>
      <c r="F108" s="1793"/>
      <c r="G108" s="1793"/>
      <c r="H108" s="1793"/>
      <c r="I108" s="1793"/>
      <c r="J108" s="1793"/>
      <c r="K108" s="1793"/>
      <c r="L108" s="1793"/>
      <c r="M108" s="1793"/>
      <c r="N108" s="1793"/>
      <c r="O108" s="2160"/>
    </row>
    <row r="109" spans="2:18">
      <c r="B109" s="1801"/>
      <c r="C109" s="1793"/>
      <c r="D109" s="1793"/>
      <c r="E109" s="1793"/>
      <c r="F109" s="1793"/>
      <c r="G109" s="1793"/>
      <c r="H109" s="1793"/>
      <c r="I109" s="1793"/>
      <c r="J109" s="1793"/>
      <c r="K109" s="1793"/>
      <c r="L109" s="1793"/>
      <c r="M109" s="1793"/>
      <c r="N109" s="1793"/>
      <c r="O109" s="2160"/>
      <c r="Q109" s="1964"/>
      <c r="R109" s="1964"/>
    </row>
    <row r="110" spans="2:18">
      <c r="B110" s="1801"/>
      <c r="C110" s="1793"/>
      <c r="D110" s="1793"/>
      <c r="E110" s="1793"/>
      <c r="F110" s="1793"/>
      <c r="G110" s="1793"/>
      <c r="H110" s="1793"/>
      <c r="I110" s="1793"/>
      <c r="J110" s="1793"/>
      <c r="K110" s="1793"/>
      <c r="L110" s="1793"/>
      <c r="M110" s="1793"/>
      <c r="N110" s="1793"/>
      <c r="O110" s="2160"/>
      <c r="Q110" s="1964"/>
      <c r="R110" s="1964"/>
    </row>
    <row r="111" spans="2:18">
      <c r="B111" s="1801"/>
      <c r="C111" s="1793"/>
      <c r="D111" s="1793"/>
      <c r="E111" s="1793"/>
      <c r="F111" s="1793"/>
      <c r="G111" s="1793"/>
      <c r="H111" s="1793"/>
      <c r="I111" s="1793"/>
      <c r="J111" s="1793"/>
      <c r="K111" s="1793"/>
      <c r="L111" s="1793"/>
      <c r="M111" s="1793"/>
      <c r="N111" s="1793"/>
      <c r="O111" s="2160"/>
      <c r="Q111" s="1964"/>
      <c r="R111" s="1964"/>
    </row>
    <row r="112" spans="2:18">
      <c r="B112" s="1801"/>
      <c r="C112" s="1793"/>
      <c r="D112" s="1793"/>
      <c r="E112" s="1793"/>
      <c r="F112" s="1793"/>
      <c r="G112" s="1793"/>
      <c r="H112" s="1793"/>
      <c r="I112" s="1793"/>
      <c r="J112" s="1793"/>
      <c r="K112" s="1793"/>
      <c r="L112" s="1793"/>
      <c r="M112" s="1793"/>
      <c r="N112" s="1793"/>
      <c r="O112" s="2160"/>
      <c r="Q112" s="1964"/>
      <c r="R112" s="1964"/>
    </row>
    <row r="113" spans="2:18">
      <c r="B113" s="1801"/>
      <c r="C113" s="1793"/>
      <c r="D113" s="1793"/>
      <c r="E113" s="1793"/>
      <c r="F113" s="1793"/>
      <c r="G113" s="1793"/>
      <c r="H113" s="1793"/>
      <c r="I113" s="1793"/>
      <c r="J113" s="1793"/>
      <c r="K113" s="1793"/>
      <c r="L113" s="1793"/>
      <c r="M113" s="1793"/>
      <c r="N113" s="1793"/>
      <c r="O113" s="2160"/>
      <c r="Q113" s="1964"/>
      <c r="R113" s="1964"/>
    </row>
    <row r="114" spans="2:18">
      <c r="B114" s="1801"/>
      <c r="C114" s="1793"/>
      <c r="D114" s="1793"/>
      <c r="E114" s="1793"/>
      <c r="F114" s="1793"/>
      <c r="G114" s="1793"/>
      <c r="H114" s="1793"/>
      <c r="I114" s="1793"/>
      <c r="J114" s="1793"/>
      <c r="K114" s="1793"/>
      <c r="L114" s="1793"/>
      <c r="M114" s="1793"/>
      <c r="N114" s="1793"/>
      <c r="O114" s="2160"/>
      <c r="Q114" s="1964"/>
      <c r="R114" s="1964"/>
    </row>
    <row r="115" spans="2:18">
      <c r="B115" s="1801"/>
      <c r="C115" s="1793"/>
      <c r="D115" s="1793"/>
      <c r="E115" s="1793"/>
      <c r="F115" s="1793"/>
      <c r="G115" s="1793"/>
      <c r="H115" s="1793"/>
      <c r="I115" s="1793"/>
      <c r="J115" s="1793"/>
      <c r="K115" s="1793"/>
      <c r="L115" s="1793"/>
      <c r="M115" s="1793"/>
      <c r="N115" s="1793"/>
      <c r="O115" s="2160"/>
      <c r="Q115" s="1964"/>
      <c r="R115" s="1964"/>
    </row>
    <row r="116" spans="2:18">
      <c r="B116" s="1801"/>
      <c r="C116" s="1793"/>
      <c r="D116" s="1793"/>
      <c r="E116" s="1793"/>
      <c r="F116" s="1793"/>
      <c r="G116" s="1793"/>
      <c r="H116" s="1793"/>
      <c r="I116" s="1793"/>
      <c r="J116" s="1793"/>
      <c r="K116" s="1793"/>
      <c r="L116" s="1793"/>
      <c r="M116" s="1793"/>
      <c r="N116" s="1793"/>
      <c r="O116" s="2160"/>
    </row>
    <row r="117" spans="2:18">
      <c r="B117" s="1801"/>
      <c r="C117" s="1793"/>
      <c r="D117" s="1793"/>
      <c r="E117" s="1793"/>
      <c r="F117" s="1793"/>
      <c r="G117" s="1793"/>
      <c r="H117" s="1793"/>
      <c r="I117" s="1793"/>
      <c r="J117" s="1793"/>
      <c r="K117" s="1793"/>
      <c r="L117" s="1793"/>
      <c r="M117" s="1793"/>
      <c r="N117" s="1793"/>
      <c r="O117" s="2160"/>
    </row>
    <row r="118" spans="2:18">
      <c r="B118" s="1801"/>
      <c r="C118" s="1793"/>
      <c r="D118" s="1793"/>
      <c r="E118" s="1793"/>
      <c r="F118" s="1793"/>
      <c r="G118" s="1793"/>
      <c r="H118" s="1793"/>
      <c r="I118" s="1793"/>
      <c r="J118" s="1793"/>
      <c r="K118" s="1793"/>
      <c r="L118" s="1793"/>
      <c r="M118" s="1793"/>
      <c r="N118" s="1793"/>
      <c r="O118" s="2160"/>
    </row>
    <row r="119" spans="2:18">
      <c r="B119" s="1801"/>
      <c r="C119" s="1793"/>
      <c r="D119" s="1793"/>
      <c r="E119" s="1793"/>
      <c r="F119" s="1793"/>
      <c r="G119" s="1793"/>
      <c r="H119" s="1793"/>
      <c r="I119" s="1793"/>
      <c r="J119" s="1793"/>
      <c r="K119" s="1793"/>
      <c r="L119" s="1793"/>
      <c r="M119" s="1793"/>
      <c r="N119" s="1793"/>
      <c r="O119" s="2160"/>
    </row>
    <row r="120" spans="2:18">
      <c r="B120" s="1801"/>
      <c r="C120" s="1793"/>
      <c r="D120" s="1793"/>
      <c r="E120" s="1793"/>
      <c r="F120" s="1793"/>
      <c r="G120" s="1793"/>
      <c r="H120" s="1793"/>
      <c r="I120" s="1793"/>
      <c r="J120" s="1793"/>
      <c r="K120" s="1793"/>
      <c r="L120" s="1793"/>
      <c r="M120" s="1793"/>
      <c r="N120" s="1793"/>
      <c r="O120" s="2160"/>
    </row>
    <row r="121" spans="2:18">
      <c r="B121" s="1801"/>
      <c r="C121" s="1793"/>
      <c r="D121" s="1793"/>
      <c r="E121" s="1793"/>
      <c r="F121" s="1793"/>
      <c r="G121" s="1793"/>
      <c r="H121" s="1793"/>
      <c r="I121" s="1793"/>
      <c r="J121" s="1793"/>
      <c r="K121" s="1793"/>
      <c r="L121" s="1793"/>
      <c r="M121" s="1793"/>
      <c r="N121" s="1793"/>
      <c r="O121" s="2160"/>
    </row>
    <row r="122" spans="2:18">
      <c r="B122" s="1801"/>
      <c r="C122" s="1793"/>
      <c r="D122" s="1793"/>
      <c r="E122" s="1793"/>
      <c r="F122" s="1793"/>
      <c r="G122" s="1793"/>
      <c r="H122" s="1793"/>
      <c r="I122" s="1793"/>
      <c r="J122" s="1793"/>
      <c r="K122" s="1793"/>
      <c r="L122" s="1793"/>
      <c r="M122" s="1793"/>
      <c r="N122" s="1793"/>
      <c r="O122" s="2160"/>
    </row>
    <row r="123" spans="2:18">
      <c r="B123" s="1801"/>
      <c r="C123" s="1793"/>
      <c r="D123" s="1793"/>
      <c r="E123" s="1793"/>
      <c r="F123" s="1793"/>
      <c r="G123" s="1793"/>
      <c r="H123" s="1793"/>
      <c r="I123" s="1793"/>
      <c r="J123" s="1793"/>
      <c r="K123" s="1793"/>
      <c r="L123" s="1793"/>
      <c r="M123" s="1793"/>
      <c r="N123" s="1793"/>
      <c r="O123" s="2160"/>
    </row>
    <row r="124" spans="2:18">
      <c r="B124" s="1801"/>
      <c r="C124" s="1793"/>
      <c r="D124" s="1793"/>
      <c r="E124" s="1793"/>
      <c r="F124" s="1793"/>
      <c r="G124" s="1793"/>
      <c r="H124" s="1793"/>
      <c r="I124" s="1793"/>
      <c r="J124" s="1793"/>
      <c r="K124" s="1793"/>
      <c r="L124" s="1793"/>
      <c r="M124" s="1793"/>
      <c r="N124" s="1793"/>
      <c r="O124" s="2160"/>
    </row>
    <row r="125" spans="2:18">
      <c r="B125" s="1801"/>
      <c r="C125" s="1793"/>
      <c r="D125" s="1793"/>
      <c r="E125" s="1793"/>
      <c r="F125" s="1793"/>
      <c r="G125" s="1793"/>
      <c r="H125" s="1793"/>
      <c r="I125" s="1793"/>
      <c r="J125" s="1793"/>
      <c r="K125" s="1793"/>
      <c r="L125" s="1793"/>
      <c r="M125" s="1793"/>
      <c r="N125" s="1793"/>
      <c r="O125" s="2160"/>
    </row>
    <row r="126" spans="2:18">
      <c r="B126" s="1801"/>
      <c r="C126" s="1793"/>
      <c r="D126" s="1793"/>
      <c r="E126" s="1793"/>
      <c r="F126" s="1793"/>
      <c r="G126" s="1793"/>
      <c r="H126" s="1793"/>
      <c r="I126" s="1793"/>
      <c r="J126" s="1793"/>
      <c r="K126" s="1793"/>
      <c r="L126" s="1793"/>
      <c r="M126" s="1793"/>
      <c r="N126" s="1793"/>
      <c r="O126" s="2160"/>
    </row>
    <row r="127" spans="2:18">
      <c r="B127" s="1801"/>
      <c r="C127" s="1793"/>
      <c r="D127" s="1793"/>
      <c r="E127" s="1793"/>
      <c r="F127" s="1793"/>
      <c r="G127" s="1793"/>
      <c r="H127" s="1793"/>
      <c r="I127" s="1793"/>
      <c r="J127" s="1793"/>
      <c r="K127" s="1793"/>
      <c r="L127" s="1793"/>
      <c r="M127" s="1793"/>
      <c r="N127" s="1793"/>
      <c r="O127" s="2160"/>
    </row>
    <row r="128" spans="2:18">
      <c r="B128" s="1801"/>
      <c r="C128" s="1793"/>
      <c r="D128" s="1793"/>
      <c r="E128" s="1793"/>
      <c r="F128" s="1793"/>
      <c r="G128" s="1793"/>
      <c r="H128" s="1793"/>
      <c r="I128" s="1793"/>
      <c r="J128" s="1793"/>
      <c r="K128" s="1793"/>
      <c r="L128" s="1793"/>
      <c r="M128" s="1793"/>
      <c r="N128" s="1793"/>
      <c r="O128" s="2160"/>
    </row>
    <row r="129" spans="2:15">
      <c r="B129" s="1801"/>
      <c r="C129" s="1793"/>
      <c r="D129" s="1793"/>
      <c r="E129" s="1793"/>
      <c r="F129" s="1793"/>
      <c r="G129" s="1793"/>
      <c r="H129" s="1793"/>
      <c r="I129" s="1793"/>
      <c r="J129" s="1793"/>
      <c r="K129" s="1793"/>
      <c r="L129" s="1793"/>
      <c r="M129" s="1793"/>
      <c r="N129" s="1793"/>
      <c r="O129" s="2160"/>
    </row>
    <row r="130" spans="2:15">
      <c r="B130" s="1801"/>
      <c r="C130" s="1793"/>
      <c r="D130" s="1793"/>
      <c r="E130" s="1793"/>
      <c r="F130" s="1793"/>
      <c r="G130" s="1793"/>
      <c r="H130" s="1793"/>
      <c r="I130" s="1793"/>
      <c r="J130" s="1793"/>
      <c r="K130" s="1793"/>
      <c r="L130" s="1793"/>
      <c r="M130" s="1793"/>
      <c r="N130" s="1793"/>
      <c r="O130" s="2160"/>
    </row>
    <row r="131" spans="2:15">
      <c r="B131" s="1801"/>
      <c r="C131" s="1793"/>
      <c r="D131" s="1793"/>
      <c r="E131" s="1793"/>
      <c r="F131" s="1793"/>
      <c r="G131" s="1793"/>
      <c r="H131" s="1793"/>
      <c r="I131" s="1793"/>
      <c r="J131" s="1793"/>
      <c r="K131" s="1793"/>
      <c r="L131" s="1793"/>
      <c r="M131" s="1793"/>
      <c r="N131" s="1793"/>
      <c r="O131" s="2160"/>
    </row>
    <row r="132" spans="2:15">
      <c r="B132" s="1801"/>
      <c r="C132" s="1793"/>
      <c r="D132" s="1793"/>
      <c r="E132" s="1793"/>
      <c r="F132" s="1793"/>
      <c r="G132" s="1793"/>
      <c r="H132" s="1793"/>
      <c r="I132" s="1793"/>
      <c r="J132" s="1793"/>
      <c r="K132" s="1793"/>
      <c r="L132" s="1793"/>
      <c r="M132" s="1793"/>
      <c r="N132" s="1793"/>
      <c r="O132" s="2160"/>
    </row>
  </sheetData>
  <mergeCells count="5">
    <mergeCell ref="C3:O3"/>
    <mergeCell ref="C4:O4"/>
    <mergeCell ref="L5:O5"/>
    <mergeCell ref="N12:O12"/>
    <mergeCell ref="N14:O14"/>
  </mergeCells>
  <printOptions horizontalCentered="1"/>
  <pageMargins left="0.62992125984252001" right="0.62992125984252001" top="0.78740157480314998" bottom="0.98425196850393704" header="0.511811023622047" footer="0.511811023622047"/>
  <pageSetup paperSize="9" scale="52" orientation="portrait" r:id="rId1"/>
  <headerFooter alignWithMargins="0">
    <oddFooter>&amp;C&amp;"+,Regular"&amp;22-50-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213"/>
  <sheetViews>
    <sheetView topLeftCell="A61" zoomScale="75" zoomScaleNormal="75" workbookViewId="0">
      <selection activeCell="C73" sqref="C73"/>
    </sheetView>
  </sheetViews>
  <sheetFormatPr defaultColWidth="8.28515625" defaultRowHeight="17.100000000000001" customHeight="1"/>
  <cols>
    <col min="1" max="2" width="13.85546875" style="1986" customWidth="1"/>
    <col min="3" max="3" width="14.42578125" style="1307" customWidth="1"/>
    <col min="4" max="4" width="13.7109375" style="1307" customWidth="1"/>
    <col min="5" max="5" width="14.7109375" style="1262" customWidth="1"/>
    <col min="6" max="6" width="13.7109375" style="1307" customWidth="1"/>
    <col min="7" max="7" width="16.5703125" style="1262" customWidth="1"/>
    <col min="8" max="9" width="13.7109375" style="1262" customWidth="1"/>
    <col min="10" max="10" width="14.42578125" style="1262" customWidth="1"/>
    <col min="11" max="11" width="15.7109375" style="1350" bestFit="1" customWidth="1"/>
    <col min="12" max="12" width="1.5703125" style="1262" customWidth="1"/>
    <col min="13" max="13" width="8.42578125" style="1264" customWidth="1"/>
    <col min="14" max="14" width="1.5703125" style="3315" customWidth="1"/>
    <col min="15" max="15" width="8.28515625" style="1986" customWidth="1"/>
    <col min="16" max="16" width="18.140625" style="1986" customWidth="1"/>
    <col min="17" max="17" width="15.5703125" style="1986" customWidth="1"/>
    <col min="18" max="18" width="7.5703125" style="1986" customWidth="1"/>
    <col min="19" max="256" width="8.28515625" style="1986"/>
    <col min="257" max="258" width="13.85546875" style="1986" customWidth="1"/>
    <col min="259" max="266" width="13.7109375" style="1986" customWidth="1"/>
    <col min="267" max="267" width="15.7109375" style="1986" bestFit="1" customWidth="1"/>
    <col min="268" max="268" width="1.5703125" style="1986" customWidth="1"/>
    <col min="269" max="269" width="7.42578125" style="1986" customWidth="1"/>
    <col min="270" max="270" width="1.5703125" style="1986" customWidth="1"/>
    <col min="271" max="271" width="8.28515625" style="1986" customWidth="1"/>
    <col min="272" max="272" width="18.140625" style="1986" customWidth="1"/>
    <col min="273" max="273" width="15.5703125" style="1986" customWidth="1"/>
    <col min="274" max="274" width="7.5703125" style="1986" customWidth="1"/>
    <col min="275" max="512" width="8.28515625" style="1986"/>
    <col min="513" max="514" width="13.85546875" style="1986" customWidth="1"/>
    <col min="515" max="522" width="13.7109375" style="1986" customWidth="1"/>
    <col min="523" max="523" width="15.7109375" style="1986" bestFit="1" customWidth="1"/>
    <col min="524" max="524" width="1.5703125" style="1986" customWidth="1"/>
    <col min="525" max="525" width="7.42578125" style="1986" customWidth="1"/>
    <col min="526" max="526" width="1.5703125" style="1986" customWidth="1"/>
    <col min="527" max="527" width="8.28515625" style="1986" customWidth="1"/>
    <col min="528" max="528" width="18.140625" style="1986" customWidth="1"/>
    <col min="529" max="529" width="15.5703125" style="1986" customWidth="1"/>
    <col min="530" max="530" width="7.5703125" style="1986" customWidth="1"/>
    <col min="531" max="768" width="8.28515625" style="1986"/>
    <col min="769" max="770" width="13.85546875" style="1986" customWidth="1"/>
    <col min="771" max="778" width="13.7109375" style="1986" customWidth="1"/>
    <col min="779" max="779" width="15.7109375" style="1986" bestFit="1" customWidth="1"/>
    <col min="780" max="780" width="1.5703125" style="1986" customWidth="1"/>
    <col min="781" max="781" width="7.42578125" style="1986" customWidth="1"/>
    <col min="782" max="782" width="1.5703125" style="1986" customWidth="1"/>
    <col min="783" max="783" width="8.28515625" style="1986" customWidth="1"/>
    <col min="784" max="784" width="18.140625" style="1986" customWidth="1"/>
    <col min="785" max="785" width="15.5703125" style="1986" customWidth="1"/>
    <col min="786" max="786" width="7.5703125" style="1986" customWidth="1"/>
    <col min="787" max="1024" width="8.28515625" style="1986"/>
    <col min="1025" max="1026" width="13.85546875" style="1986" customWidth="1"/>
    <col min="1027" max="1034" width="13.7109375" style="1986" customWidth="1"/>
    <col min="1035" max="1035" width="15.7109375" style="1986" bestFit="1" customWidth="1"/>
    <col min="1036" max="1036" width="1.5703125" style="1986" customWidth="1"/>
    <col min="1037" max="1037" width="7.42578125" style="1986" customWidth="1"/>
    <col min="1038" max="1038" width="1.5703125" style="1986" customWidth="1"/>
    <col min="1039" max="1039" width="8.28515625" style="1986" customWidth="1"/>
    <col min="1040" max="1040" width="18.140625" style="1986" customWidth="1"/>
    <col min="1041" max="1041" width="15.5703125" style="1986" customWidth="1"/>
    <col min="1042" max="1042" width="7.5703125" style="1986" customWidth="1"/>
    <col min="1043" max="1280" width="8.28515625" style="1986"/>
    <col min="1281" max="1282" width="13.85546875" style="1986" customWidth="1"/>
    <col min="1283" max="1290" width="13.7109375" style="1986" customWidth="1"/>
    <col min="1291" max="1291" width="15.7109375" style="1986" bestFit="1" customWidth="1"/>
    <col min="1292" max="1292" width="1.5703125" style="1986" customWidth="1"/>
    <col min="1293" max="1293" width="7.42578125" style="1986" customWidth="1"/>
    <col min="1294" max="1294" width="1.5703125" style="1986" customWidth="1"/>
    <col min="1295" max="1295" width="8.28515625" style="1986" customWidth="1"/>
    <col min="1296" max="1296" width="18.140625" style="1986" customWidth="1"/>
    <col min="1297" max="1297" width="15.5703125" style="1986" customWidth="1"/>
    <col min="1298" max="1298" width="7.5703125" style="1986" customWidth="1"/>
    <col min="1299" max="1536" width="8.28515625" style="1986"/>
    <col min="1537" max="1538" width="13.85546875" style="1986" customWidth="1"/>
    <col min="1539" max="1546" width="13.7109375" style="1986" customWidth="1"/>
    <col min="1547" max="1547" width="15.7109375" style="1986" bestFit="1" customWidth="1"/>
    <col min="1548" max="1548" width="1.5703125" style="1986" customWidth="1"/>
    <col min="1549" max="1549" width="7.42578125" style="1986" customWidth="1"/>
    <col min="1550" max="1550" width="1.5703125" style="1986" customWidth="1"/>
    <col min="1551" max="1551" width="8.28515625" style="1986" customWidth="1"/>
    <col min="1552" max="1552" width="18.140625" style="1986" customWidth="1"/>
    <col min="1553" max="1553" width="15.5703125" style="1986" customWidth="1"/>
    <col min="1554" max="1554" width="7.5703125" style="1986" customWidth="1"/>
    <col min="1555" max="1792" width="8.28515625" style="1986"/>
    <col min="1793" max="1794" width="13.85546875" style="1986" customWidth="1"/>
    <col min="1795" max="1802" width="13.7109375" style="1986" customWidth="1"/>
    <col min="1803" max="1803" width="15.7109375" style="1986" bestFit="1" customWidth="1"/>
    <col min="1804" max="1804" width="1.5703125" style="1986" customWidth="1"/>
    <col min="1805" max="1805" width="7.42578125" style="1986" customWidth="1"/>
    <col min="1806" max="1806" width="1.5703125" style="1986" customWidth="1"/>
    <col min="1807" max="1807" width="8.28515625" style="1986" customWidth="1"/>
    <col min="1808" max="1808" width="18.140625" style="1986" customWidth="1"/>
    <col min="1809" max="1809" width="15.5703125" style="1986" customWidth="1"/>
    <col min="1810" max="1810" width="7.5703125" style="1986" customWidth="1"/>
    <col min="1811" max="2048" width="8.28515625" style="1986"/>
    <col min="2049" max="2050" width="13.85546875" style="1986" customWidth="1"/>
    <col min="2051" max="2058" width="13.7109375" style="1986" customWidth="1"/>
    <col min="2059" max="2059" width="15.7109375" style="1986" bestFit="1" customWidth="1"/>
    <col min="2060" max="2060" width="1.5703125" style="1986" customWidth="1"/>
    <col min="2061" max="2061" width="7.42578125" style="1986" customWidth="1"/>
    <col min="2062" max="2062" width="1.5703125" style="1986" customWidth="1"/>
    <col min="2063" max="2063" width="8.28515625" style="1986" customWidth="1"/>
    <col min="2064" max="2064" width="18.140625" style="1986" customWidth="1"/>
    <col min="2065" max="2065" width="15.5703125" style="1986" customWidth="1"/>
    <col min="2066" max="2066" width="7.5703125" style="1986" customWidth="1"/>
    <col min="2067" max="2304" width="8.28515625" style="1986"/>
    <col min="2305" max="2306" width="13.85546875" style="1986" customWidth="1"/>
    <col min="2307" max="2314" width="13.7109375" style="1986" customWidth="1"/>
    <col min="2315" max="2315" width="15.7109375" style="1986" bestFit="1" customWidth="1"/>
    <col min="2316" max="2316" width="1.5703125" style="1986" customWidth="1"/>
    <col min="2317" max="2317" width="7.42578125" style="1986" customWidth="1"/>
    <col min="2318" max="2318" width="1.5703125" style="1986" customWidth="1"/>
    <col min="2319" max="2319" width="8.28515625" style="1986" customWidth="1"/>
    <col min="2320" max="2320" width="18.140625" style="1986" customWidth="1"/>
    <col min="2321" max="2321" width="15.5703125" style="1986" customWidth="1"/>
    <col min="2322" max="2322" width="7.5703125" style="1986" customWidth="1"/>
    <col min="2323" max="2560" width="8.28515625" style="1986"/>
    <col min="2561" max="2562" width="13.85546875" style="1986" customWidth="1"/>
    <col min="2563" max="2570" width="13.7109375" style="1986" customWidth="1"/>
    <col min="2571" max="2571" width="15.7109375" style="1986" bestFit="1" customWidth="1"/>
    <col min="2572" max="2572" width="1.5703125" style="1986" customWidth="1"/>
    <col min="2573" max="2573" width="7.42578125" style="1986" customWidth="1"/>
    <col min="2574" max="2574" width="1.5703125" style="1986" customWidth="1"/>
    <col min="2575" max="2575" width="8.28515625" style="1986" customWidth="1"/>
    <col min="2576" max="2576" width="18.140625" style="1986" customWidth="1"/>
    <col min="2577" max="2577" width="15.5703125" style="1986" customWidth="1"/>
    <col min="2578" max="2578" width="7.5703125" style="1986" customWidth="1"/>
    <col min="2579" max="2816" width="8.28515625" style="1986"/>
    <col min="2817" max="2818" width="13.85546875" style="1986" customWidth="1"/>
    <col min="2819" max="2826" width="13.7109375" style="1986" customWidth="1"/>
    <col min="2827" max="2827" width="15.7109375" style="1986" bestFit="1" customWidth="1"/>
    <col min="2828" max="2828" width="1.5703125" style="1986" customWidth="1"/>
    <col min="2829" max="2829" width="7.42578125" style="1986" customWidth="1"/>
    <col min="2830" max="2830" width="1.5703125" style="1986" customWidth="1"/>
    <col min="2831" max="2831" width="8.28515625" style="1986" customWidth="1"/>
    <col min="2832" max="2832" width="18.140625" style="1986" customWidth="1"/>
    <col min="2833" max="2833" width="15.5703125" style="1986" customWidth="1"/>
    <col min="2834" max="2834" width="7.5703125" style="1986" customWidth="1"/>
    <col min="2835" max="3072" width="8.28515625" style="1986"/>
    <col min="3073" max="3074" width="13.85546875" style="1986" customWidth="1"/>
    <col min="3075" max="3082" width="13.7109375" style="1986" customWidth="1"/>
    <col min="3083" max="3083" width="15.7109375" style="1986" bestFit="1" customWidth="1"/>
    <col min="3084" max="3084" width="1.5703125" style="1986" customWidth="1"/>
    <col min="3085" max="3085" width="7.42578125" style="1986" customWidth="1"/>
    <col min="3086" max="3086" width="1.5703125" style="1986" customWidth="1"/>
    <col min="3087" max="3087" width="8.28515625" style="1986" customWidth="1"/>
    <col min="3088" max="3088" width="18.140625" style="1986" customWidth="1"/>
    <col min="3089" max="3089" width="15.5703125" style="1986" customWidth="1"/>
    <col min="3090" max="3090" width="7.5703125" style="1986" customWidth="1"/>
    <col min="3091" max="3328" width="8.28515625" style="1986"/>
    <col min="3329" max="3330" width="13.85546875" style="1986" customWidth="1"/>
    <col min="3331" max="3338" width="13.7109375" style="1986" customWidth="1"/>
    <col min="3339" max="3339" width="15.7109375" style="1986" bestFit="1" customWidth="1"/>
    <col min="3340" max="3340" width="1.5703125" style="1986" customWidth="1"/>
    <col min="3341" max="3341" width="7.42578125" style="1986" customWidth="1"/>
    <col min="3342" max="3342" width="1.5703125" style="1986" customWidth="1"/>
    <col min="3343" max="3343" width="8.28515625" style="1986" customWidth="1"/>
    <col min="3344" max="3344" width="18.140625" style="1986" customWidth="1"/>
    <col min="3345" max="3345" width="15.5703125" style="1986" customWidth="1"/>
    <col min="3346" max="3346" width="7.5703125" style="1986" customWidth="1"/>
    <col min="3347" max="3584" width="8.28515625" style="1986"/>
    <col min="3585" max="3586" width="13.85546875" style="1986" customWidth="1"/>
    <col min="3587" max="3594" width="13.7109375" style="1986" customWidth="1"/>
    <col min="3595" max="3595" width="15.7109375" style="1986" bestFit="1" customWidth="1"/>
    <col min="3596" max="3596" width="1.5703125" style="1986" customWidth="1"/>
    <col min="3597" max="3597" width="7.42578125" style="1986" customWidth="1"/>
    <col min="3598" max="3598" width="1.5703125" style="1986" customWidth="1"/>
    <col min="3599" max="3599" width="8.28515625" style="1986" customWidth="1"/>
    <col min="3600" max="3600" width="18.140625" style="1986" customWidth="1"/>
    <col min="3601" max="3601" width="15.5703125" style="1986" customWidth="1"/>
    <col min="3602" max="3602" width="7.5703125" style="1986" customWidth="1"/>
    <col min="3603" max="3840" width="8.28515625" style="1986"/>
    <col min="3841" max="3842" width="13.85546875" style="1986" customWidth="1"/>
    <col min="3843" max="3850" width="13.7109375" style="1986" customWidth="1"/>
    <col min="3851" max="3851" width="15.7109375" style="1986" bestFit="1" customWidth="1"/>
    <col min="3852" max="3852" width="1.5703125" style="1986" customWidth="1"/>
    <col min="3853" max="3853" width="7.42578125" style="1986" customWidth="1"/>
    <col min="3854" max="3854" width="1.5703125" style="1986" customWidth="1"/>
    <col min="3855" max="3855" width="8.28515625" style="1986" customWidth="1"/>
    <col min="3856" max="3856" width="18.140625" style="1986" customWidth="1"/>
    <col min="3857" max="3857" width="15.5703125" style="1986" customWidth="1"/>
    <col min="3858" max="3858" width="7.5703125" style="1986" customWidth="1"/>
    <col min="3859" max="4096" width="8.28515625" style="1986"/>
    <col min="4097" max="4098" width="13.85546875" style="1986" customWidth="1"/>
    <col min="4099" max="4106" width="13.7109375" style="1986" customWidth="1"/>
    <col min="4107" max="4107" width="15.7109375" style="1986" bestFit="1" customWidth="1"/>
    <col min="4108" max="4108" width="1.5703125" style="1986" customWidth="1"/>
    <col min="4109" max="4109" width="7.42578125" style="1986" customWidth="1"/>
    <col min="4110" max="4110" width="1.5703125" style="1986" customWidth="1"/>
    <col min="4111" max="4111" width="8.28515625" style="1986" customWidth="1"/>
    <col min="4112" max="4112" width="18.140625" style="1986" customWidth="1"/>
    <col min="4113" max="4113" width="15.5703125" style="1986" customWidth="1"/>
    <col min="4114" max="4114" width="7.5703125" style="1986" customWidth="1"/>
    <col min="4115" max="4352" width="8.28515625" style="1986"/>
    <col min="4353" max="4354" width="13.85546875" style="1986" customWidth="1"/>
    <col min="4355" max="4362" width="13.7109375" style="1986" customWidth="1"/>
    <col min="4363" max="4363" width="15.7109375" style="1986" bestFit="1" customWidth="1"/>
    <col min="4364" max="4364" width="1.5703125" style="1986" customWidth="1"/>
    <col min="4365" max="4365" width="7.42578125" style="1986" customWidth="1"/>
    <col min="4366" max="4366" width="1.5703125" style="1986" customWidth="1"/>
    <col min="4367" max="4367" width="8.28515625" style="1986" customWidth="1"/>
    <col min="4368" max="4368" width="18.140625" style="1986" customWidth="1"/>
    <col min="4369" max="4369" width="15.5703125" style="1986" customWidth="1"/>
    <col min="4370" max="4370" width="7.5703125" style="1986" customWidth="1"/>
    <col min="4371" max="4608" width="8.28515625" style="1986"/>
    <col min="4609" max="4610" width="13.85546875" style="1986" customWidth="1"/>
    <col min="4611" max="4618" width="13.7109375" style="1986" customWidth="1"/>
    <col min="4619" max="4619" width="15.7109375" style="1986" bestFit="1" customWidth="1"/>
    <col min="4620" max="4620" width="1.5703125" style="1986" customWidth="1"/>
    <col min="4621" max="4621" width="7.42578125" style="1986" customWidth="1"/>
    <col min="4622" max="4622" width="1.5703125" style="1986" customWidth="1"/>
    <col min="4623" max="4623" width="8.28515625" style="1986" customWidth="1"/>
    <col min="4624" max="4624" width="18.140625" style="1986" customWidth="1"/>
    <col min="4625" max="4625" width="15.5703125" style="1986" customWidth="1"/>
    <col min="4626" max="4626" width="7.5703125" style="1986" customWidth="1"/>
    <col min="4627" max="4864" width="8.28515625" style="1986"/>
    <col min="4865" max="4866" width="13.85546875" style="1986" customWidth="1"/>
    <col min="4867" max="4874" width="13.7109375" style="1986" customWidth="1"/>
    <col min="4875" max="4875" width="15.7109375" style="1986" bestFit="1" customWidth="1"/>
    <col min="4876" max="4876" width="1.5703125" style="1986" customWidth="1"/>
    <col min="4877" max="4877" width="7.42578125" style="1986" customWidth="1"/>
    <col min="4878" max="4878" width="1.5703125" style="1986" customWidth="1"/>
    <col min="4879" max="4879" width="8.28515625" style="1986" customWidth="1"/>
    <col min="4880" max="4880" width="18.140625" style="1986" customWidth="1"/>
    <col min="4881" max="4881" width="15.5703125" style="1986" customWidth="1"/>
    <col min="4882" max="4882" width="7.5703125" style="1986" customWidth="1"/>
    <col min="4883" max="5120" width="8.28515625" style="1986"/>
    <col min="5121" max="5122" width="13.85546875" style="1986" customWidth="1"/>
    <col min="5123" max="5130" width="13.7109375" style="1986" customWidth="1"/>
    <col min="5131" max="5131" width="15.7109375" style="1986" bestFit="1" customWidth="1"/>
    <col min="5132" max="5132" width="1.5703125" style="1986" customWidth="1"/>
    <col min="5133" max="5133" width="7.42578125" style="1986" customWidth="1"/>
    <col min="5134" max="5134" width="1.5703125" style="1986" customWidth="1"/>
    <col min="5135" max="5135" width="8.28515625" style="1986" customWidth="1"/>
    <col min="5136" max="5136" width="18.140625" style="1986" customWidth="1"/>
    <col min="5137" max="5137" width="15.5703125" style="1986" customWidth="1"/>
    <col min="5138" max="5138" width="7.5703125" style="1986" customWidth="1"/>
    <col min="5139" max="5376" width="8.28515625" style="1986"/>
    <col min="5377" max="5378" width="13.85546875" style="1986" customWidth="1"/>
    <col min="5379" max="5386" width="13.7109375" style="1986" customWidth="1"/>
    <col min="5387" max="5387" width="15.7109375" style="1986" bestFit="1" customWidth="1"/>
    <col min="5388" max="5388" width="1.5703125" style="1986" customWidth="1"/>
    <col min="5389" max="5389" width="7.42578125" style="1986" customWidth="1"/>
    <col min="5390" max="5390" width="1.5703125" style="1986" customWidth="1"/>
    <col min="5391" max="5391" width="8.28515625" style="1986" customWidth="1"/>
    <col min="5392" max="5392" width="18.140625" style="1986" customWidth="1"/>
    <col min="5393" max="5393" width="15.5703125" style="1986" customWidth="1"/>
    <col min="5394" max="5394" width="7.5703125" style="1986" customWidth="1"/>
    <col min="5395" max="5632" width="8.28515625" style="1986"/>
    <col min="5633" max="5634" width="13.85546875" style="1986" customWidth="1"/>
    <col min="5635" max="5642" width="13.7109375" style="1986" customWidth="1"/>
    <col min="5643" max="5643" width="15.7109375" style="1986" bestFit="1" customWidth="1"/>
    <col min="5644" max="5644" width="1.5703125" style="1986" customWidth="1"/>
    <col min="5645" max="5645" width="7.42578125" style="1986" customWidth="1"/>
    <col min="5646" max="5646" width="1.5703125" style="1986" customWidth="1"/>
    <col min="5647" max="5647" width="8.28515625" style="1986" customWidth="1"/>
    <col min="5648" max="5648" width="18.140625" style="1986" customWidth="1"/>
    <col min="5649" max="5649" width="15.5703125" style="1986" customWidth="1"/>
    <col min="5650" max="5650" width="7.5703125" style="1986" customWidth="1"/>
    <col min="5651" max="5888" width="8.28515625" style="1986"/>
    <col min="5889" max="5890" width="13.85546875" style="1986" customWidth="1"/>
    <col min="5891" max="5898" width="13.7109375" style="1986" customWidth="1"/>
    <col min="5899" max="5899" width="15.7109375" style="1986" bestFit="1" customWidth="1"/>
    <col min="5900" max="5900" width="1.5703125" style="1986" customWidth="1"/>
    <col min="5901" max="5901" width="7.42578125" style="1986" customWidth="1"/>
    <col min="5902" max="5902" width="1.5703125" style="1986" customWidth="1"/>
    <col min="5903" max="5903" width="8.28515625" style="1986" customWidth="1"/>
    <col min="5904" max="5904" width="18.140625" style="1986" customWidth="1"/>
    <col min="5905" max="5905" width="15.5703125" style="1986" customWidth="1"/>
    <col min="5906" max="5906" width="7.5703125" style="1986" customWidth="1"/>
    <col min="5907" max="6144" width="8.28515625" style="1986"/>
    <col min="6145" max="6146" width="13.85546875" style="1986" customWidth="1"/>
    <col min="6147" max="6154" width="13.7109375" style="1986" customWidth="1"/>
    <col min="6155" max="6155" width="15.7109375" style="1986" bestFit="1" customWidth="1"/>
    <col min="6156" max="6156" width="1.5703125" style="1986" customWidth="1"/>
    <col min="6157" max="6157" width="7.42578125" style="1986" customWidth="1"/>
    <col min="6158" max="6158" width="1.5703125" style="1986" customWidth="1"/>
    <col min="6159" max="6159" width="8.28515625" style="1986" customWidth="1"/>
    <col min="6160" max="6160" width="18.140625" style="1986" customWidth="1"/>
    <col min="6161" max="6161" width="15.5703125" style="1986" customWidth="1"/>
    <col min="6162" max="6162" width="7.5703125" style="1986" customWidth="1"/>
    <col min="6163" max="6400" width="8.28515625" style="1986"/>
    <col min="6401" max="6402" width="13.85546875" style="1986" customWidth="1"/>
    <col min="6403" max="6410" width="13.7109375" style="1986" customWidth="1"/>
    <col min="6411" max="6411" width="15.7109375" style="1986" bestFit="1" customWidth="1"/>
    <col min="6412" max="6412" width="1.5703125" style="1986" customWidth="1"/>
    <col min="6413" max="6413" width="7.42578125" style="1986" customWidth="1"/>
    <col min="6414" max="6414" width="1.5703125" style="1986" customWidth="1"/>
    <col min="6415" max="6415" width="8.28515625" style="1986" customWidth="1"/>
    <col min="6416" max="6416" width="18.140625" style="1986" customWidth="1"/>
    <col min="6417" max="6417" width="15.5703125" style="1986" customWidth="1"/>
    <col min="6418" max="6418" width="7.5703125" style="1986" customWidth="1"/>
    <col min="6419" max="6656" width="8.28515625" style="1986"/>
    <col min="6657" max="6658" width="13.85546875" style="1986" customWidth="1"/>
    <col min="6659" max="6666" width="13.7109375" style="1986" customWidth="1"/>
    <col min="6667" max="6667" width="15.7109375" style="1986" bestFit="1" customWidth="1"/>
    <col min="6668" max="6668" width="1.5703125" style="1986" customWidth="1"/>
    <col min="6669" max="6669" width="7.42578125" style="1986" customWidth="1"/>
    <col min="6670" max="6670" width="1.5703125" style="1986" customWidth="1"/>
    <col min="6671" max="6671" width="8.28515625" style="1986" customWidth="1"/>
    <col min="6672" max="6672" width="18.140625" style="1986" customWidth="1"/>
    <col min="6673" max="6673" width="15.5703125" style="1986" customWidth="1"/>
    <col min="6674" max="6674" width="7.5703125" style="1986" customWidth="1"/>
    <col min="6675" max="6912" width="8.28515625" style="1986"/>
    <col min="6913" max="6914" width="13.85546875" style="1986" customWidth="1"/>
    <col min="6915" max="6922" width="13.7109375" style="1986" customWidth="1"/>
    <col min="6923" max="6923" width="15.7109375" style="1986" bestFit="1" customWidth="1"/>
    <col min="6924" max="6924" width="1.5703125" style="1986" customWidth="1"/>
    <col min="6925" max="6925" width="7.42578125" style="1986" customWidth="1"/>
    <col min="6926" max="6926" width="1.5703125" style="1986" customWidth="1"/>
    <col min="6927" max="6927" width="8.28515625" style="1986" customWidth="1"/>
    <col min="6928" max="6928" width="18.140625" style="1986" customWidth="1"/>
    <col min="6929" max="6929" width="15.5703125" style="1986" customWidth="1"/>
    <col min="6930" max="6930" width="7.5703125" style="1986" customWidth="1"/>
    <col min="6931" max="7168" width="8.28515625" style="1986"/>
    <col min="7169" max="7170" width="13.85546875" style="1986" customWidth="1"/>
    <col min="7171" max="7178" width="13.7109375" style="1986" customWidth="1"/>
    <col min="7179" max="7179" width="15.7109375" style="1986" bestFit="1" customWidth="1"/>
    <col min="7180" max="7180" width="1.5703125" style="1986" customWidth="1"/>
    <col min="7181" max="7181" width="7.42578125" style="1986" customWidth="1"/>
    <col min="7182" max="7182" width="1.5703125" style="1986" customWidth="1"/>
    <col min="7183" max="7183" width="8.28515625" style="1986" customWidth="1"/>
    <col min="7184" max="7184" width="18.140625" style="1986" customWidth="1"/>
    <col min="7185" max="7185" width="15.5703125" style="1986" customWidth="1"/>
    <col min="7186" max="7186" width="7.5703125" style="1986" customWidth="1"/>
    <col min="7187" max="7424" width="8.28515625" style="1986"/>
    <col min="7425" max="7426" width="13.85546875" style="1986" customWidth="1"/>
    <col min="7427" max="7434" width="13.7109375" style="1986" customWidth="1"/>
    <col min="7435" max="7435" width="15.7109375" style="1986" bestFit="1" customWidth="1"/>
    <col min="7436" max="7436" width="1.5703125" style="1986" customWidth="1"/>
    <col min="7437" max="7437" width="7.42578125" style="1986" customWidth="1"/>
    <col min="7438" max="7438" width="1.5703125" style="1986" customWidth="1"/>
    <col min="7439" max="7439" width="8.28515625" style="1986" customWidth="1"/>
    <col min="7440" max="7440" width="18.140625" style="1986" customWidth="1"/>
    <col min="7441" max="7441" width="15.5703125" style="1986" customWidth="1"/>
    <col min="7442" max="7442" width="7.5703125" style="1986" customWidth="1"/>
    <col min="7443" max="7680" width="8.28515625" style="1986"/>
    <col min="7681" max="7682" width="13.85546875" style="1986" customWidth="1"/>
    <col min="7683" max="7690" width="13.7109375" style="1986" customWidth="1"/>
    <col min="7691" max="7691" width="15.7109375" style="1986" bestFit="1" customWidth="1"/>
    <col min="7692" max="7692" width="1.5703125" style="1986" customWidth="1"/>
    <col min="7693" max="7693" width="7.42578125" style="1986" customWidth="1"/>
    <col min="7694" max="7694" width="1.5703125" style="1986" customWidth="1"/>
    <col min="7695" max="7695" width="8.28515625" style="1986" customWidth="1"/>
    <col min="7696" max="7696" width="18.140625" style="1986" customWidth="1"/>
    <col min="7697" max="7697" width="15.5703125" style="1986" customWidth="1"/>
    <col min="7698" max="7698" width="7.5703125" style="1986" customWidth="1"/>
    <col min="7699" max="7936" width="8.28515625" style="1986"/>
    <col min="7937" max="7938" width="13.85546875" style="1986" customWidth="1"/>
    <col min="7939" max="7946" width="13.7109375" style="1986" customWidth="1"/>
    <col min="7947" max="7947" width="15.7109375" style="1986" bestFit="1" customWidth="1"/>
    <col min="7948" max="7948" width="1.5703125" style="1986" customWidth="1"/>
    <col min="7949" max="7949" width="7.42578125" style="1986" customWidth="1"/>
    <col min="7950" max="7950" width="1.5703125" style="1986" customWidth="1"/>
    <col min="7951" max="7951" width="8.28515625" style="1986" customWidth="1"/>
    <col min="7952" max="7952" width="18.140625" style="1986" customWidth="1"/>
    <col min="7953" max="7953" width="15.5703125" style="1986" customWidth="1"/>
    <col min="7954" max="7954" width="7.5703125" style="1986" customWidth="1"/>
    <col min="7955" max="8192" width="8.28515625" style="1986"/>
    <col min="8193" max="8194" width="13.85546875" style="1986" customWidth="1"/>
    <col min="8195" max="8202" width="13.7109375" style="1986" customWidth="1"/>
    <col min="8203" max="8203" width="15.7109375" style="1986" bestFit="1" customWidth="1"/>
    <col min="8204" max="8204" width="1.5703125" style="1986" customWidth="1"/>
    <col min="8205" max="8205" width="7.42578125" style="1986" customWidth="1"/>
    <col min="8206" max="8206" width="1.5703125" style="1986" customWidth="1"/>
    <col min="8207" max="8207" width="8.28515625" style="1986" customWidth="1"/>
    <col min="8208" max="8208" width="18.140625" style="1986" customWidth="1"/>
    <col min="8209" max="8209" width="15.5703125" style="1986" customWidth="1"/>
    <col min="8210" max="8210" width="7.5703125" style="1986" customWidth="1"/>
    <col min="8211" max="8448" width="8.28515625" style="1986"/>
    <col min="8449" max="8450" width="13.85546875" style="1986" customWidth="1"/>
    <col min="8451" max="8458" width="13.7109375" style="1986" customWidth="1"/>
    <col min="8459" max="8459" width="15.7109375" style="1986" bestFit="1" customWidth="1"/>
    <col min="8460" max="8460" width="1.5703125" style="1986" customWidth="1"/>
    <col min="8461" max="8461" width="7.42578125" style="1986" customWidth="1"/>
    <col min="8462" max="8462" width="1.5703125" style="1986" customWidth="1"/>
    <col min="8463" max="8463" width="8.28515625" style="1986" customWidth="1"/>
    <col min="8464" max="8464" width="18.140625" style="1986" customWidth="1"/>
    <col min="8465" max="8465" width="15.5703125" style="1986" customWidth="1"/>
    <col min="8466" max="8466" width="7.5703125" style="1986" customWidth="1"/>
    <col min="8467" max="8704" width="8.28515625" style="1986"/>
    <col min="8705" max="8706" width="13.85546875" style="1986" customWidth="1"/>
    <col min="8707" max="8714" width="13.7109375" style="1986" customWidth="1"/>
    <col min="8715" max="8715" width="15.7109375" style="1986" bestFit="1" customWidth="1"/>
    <col min="8716" max="8716" width="1.5703125" style="1986" customWidth="1"/>
    <col min="8717" max="8717" width="7.42578125" style="1986" customWidth="1"/>
    <col min="8718" max="8718" width="1.5703125" style="1986" customWidth="1"/>
    <col min="8719" max="8719" width="8.28515625" style="1986" customWidth="1"/>
    <col min="8720" max="8720" width="18.140625" style="1986" customWidth="1"/>
    <col min="8721" max="8721" width="15.5703125" style="1986" customWidth="1"/>
    <col min="8722" max="8722" width="7.5703125" style="1986" customWidth="1"/>
    <col min="8723" max="8960" width="8.28515625" style="1986"/>
    <col min="8961" max="8962" width="13.85546875" style="1986" customWidth="1"/>
    <col min="8963" max="8970" width="13.7109375" style="1986" customWidth="1"/>
    <col min="8971" max="8971" width="15.7109375" style="1986" bestFit="1" customWidth="1"/>
    <col min="8972" max="8972" width="1.5703125" style="1986" customWidth="1"/>
    <col min="8973" max="8973" width="7.42578125" style="1986" customWidth="1"/>
    <col min="8974" max="8974" width="1.5703125" style="1986" customWidth="1"/>
    <col min="8975" max="8975" width="8.28515625" style="1986" customWidth="1"/>
    <col min="8976" max="8976" width="18.140625" style="1986" customWidth="1"/>
    <col min="8977" max="8977" width="15.5703125" style="1986" customWidth="1"/>
    <col min="8978" max="8978" width="7.5703125" style="1986" customWidth="1"/>
    <col min="8979" max="9216" width="8.28515625" style="1986"/>
    <col min="9217" max="9218" width="13.85546875" style="1986" customWidth="1"/>
    <col min="9219" max="9226" width="13.7109375" style="1986" customWidth="1"/>
    <col min="9227" max="9227" width="15.7109375" style="1986" bestFit="1" customWidth="1"/>
    <col min="9228" max="9228" width="1.5703125" style="1986" customWidth="1"/>
    <col min="9229" max="9229" width="7.42578125" style="1986" customWidth="1"/>
    <col min="9230" max="9230" width="1.5703125" style="1986" customWidth="1"/>
    <col min="9231" max="9231" width="8.28515625" style="1986" customWidth="1"/>
    <col min="9232" max="9232" width="18.140625" style="1986" customWidth="1"/>
    <col min="9233" max="9233" width="15.5703125" style="1986" customWidth="1"/>
    <col min="9234" max="9234" width="7.5703125" style="1986" customWidth="1"/>
    <col min="9235" max="9472" width="8.28515625" style="1986"/>
    <col min="9473" max="9474" width="13.85546875" style="1986" customWidth="1"/>
    <col min="9475" max="9482" width="13.7109375" style="1986" customWidth="1"/>
    <col min="9483" max="9483" width="15.7109375" style="1986" bestFit="1" customWidth="1"/>
    <col min="9484" max="9484" width="1.5703125" style="1986" customWidth="1"/>
    <col min="9485" max="9485" width="7.42578125" style="1986" customWidth="1"/>
    <col min="9486" max="9486" width="1.5703125" style="1986" customWidth="1"/>
    <col min="9487" max="9487" width="8.28515625" style="1986" customWidth="1"/>
    <col min="9488" max="9488" width="18.140625" style="1986" customWidth="1"/>
    <col min="9489" max="9489" width="15.5703125" style="1986" customWidth="1"/>
    <col min="9490" max="9490" width="7.5703125" style="1986" customWidth="1"/>
    <col min="9491" max="9728" width="8.28515625" style="1986"/>
    <col min="9729" max="9730" width="13.85546875" style="1986" customWidth="1"/>
    <col min="9731" max="9738" width="13.7109375" style="1986" customWidth="1"/>
    <col min="9739" max="9739" width="15.7109375" style="1986" bestFit="1" customWidth="1"/>
    <col min="9740" max="9740" width="1.5703125" style="1986" customWidth="1"/>
    <col min="9741" max="9741" width="7.42578125" style="1986" customWidth="1"/>
    <col min="9742" max="9742" width="1.5703125" style="1986" customWidth="1"/>
    <col min="9743" max="9743" width="8.28515625" style="1986" customWidth="1"/>
    <col min="9744" max="9744" width="18.140625" style="1986" customWidth="1"/>
    <col min="9745" max="9745" width="15.5703125" style="1986" customWidth="1"/>
    <col min="9746" max="9746" width="7.5703125" style="1986" customWidth="1"/>
    <col min="9747" max="9984" width="8.28515625" style="1986"/>
    <col min="9985" max="9986" width="13.85546875" style="1986" customWidth="1"/>
    <col min="9987" max="9994" width="13.7109375" style="1986" customWidth="1"/>
    <col min="9995" max="9995" width="15.7109375" style="1986" bestFit="1" customWidth="1"/>
    <col min="9996" max="9996" width="1.5703125" style="1986" customWidth="1"/>
    <col min="9997" max="9997" width="7.42578125" style="1986" customWidth="1"/>
    <col min="9998" max="9998" width="1.5703125" style="1986" customWidth="1"/>
    <col min="9999" max="9999" width="8.28515625" style="1986" customWidth="1"/>
    <col min="10000" max="10000" width="18.140625" style="1986" customWidth="1"/>
    <col min="10001" max="10001" width="15.5703125" style="1986" customWidth="1"/>
    <col min="10002" max="10002" width="7.5703125" style="1986" customWidth="1"/>
    <col min="10003" max="10240" width="8.28515625" style="1986"/>
    <col min="10241" max="10242" width="13.85546875" style="1986" customWidth="1"/>
    <col min="10243" max="10250" width="13.7109375" style="1986" customWidth="1"/>
    <col min="10251" max="10251" width="15.7109375" style="1986" bestFit="1" customWidth="1"/>
    <col min="10252" max="10252" width="1.5703125" style="1986" customWidth="1"/>
    <col min="10253" max="10253" width="7.42578125" style="1986" customWidth="1"/>
    <col min="10254" max="10254" width="1.5703125" style="1986" customWidth="1"/>
    <col min="10255" max="10255" width="8.28515625" style="1986" customWidth="1"/>
    <col min="10256" max="10256" width="18.140625" style="1986" customWidth="1"/>
    <col min="10257" max="10257" width="15.5703125" style="1986" customWidth="1"/>
    <col min="10258" max="10258" width="7.5703125" style="1986" customWidth="1"/>
    <col min="10259" max="10496" width="8.28515625" style="1986"/>
    <col min="10497" max="10498" width="13.85546875" style="1986" customWidth="1"/>
    <col min="10499" max="10506" width="13.7109375" style="1986" customWidth="1"/>
    <col min="10507" max="10507" width="15.7109375" style="1986" bestFit="1" customWidth="1"/>
    <col min="10508" max="10508" width="1.5703125" style="1986" customWidth="1"/>
    <col min="10509" max="10509" width="7.42578125" style="1986" customWidth="1"/>
    <col min="10510" max="10510" width="1.5703125" style="1986" customWidth="1"/>
    <col min="10511" max="10511" width="8.28515625" style="1986" customWidth="1"/>
    <col min="10512" max="10512" width="18.140625" style="1986" customWidth="1"/>
    <col min="10513" max="10513" width="15.5703125" style="1986" customWidth="1"/>
    <col min="10514" max="10514" width="7.5703125" style="1986" customWidth="1"/>
    <col min="10515" max="10752" width="8.28515625" style="1986"/>
    <col min="10753" max="10754" width="13.85546875" style="1986" customWidth="1"/>
    <col min="10755" max="10762" width="13.7109375" style="1986" customWidth="1"/>
    <col min="10763" max="10763" width="15.7109375" style="1986" bestFit="1" customWidth="1"/>
    <col min="10764" max="10764" width="1.5703125" style="1986" customWidth="1"/>
    <col min="10765" max="10765" width="7.42578125" style="1986" customWidth="1"/>
    <col min="10766" max="10766" width="1.5703125" style="1986" customWidth="1"/>
    <col min="10767" max="10767" width="8.28515625" style="1986" customWidth="1"/>
    <col min="10768" max="10768" width="18.140625" style="1986" customWidth="1"/>
    <col min="10769" max="10769" width="15.5703125" style="1986" customWidth="1"/>
    <col min="10770" max="10770" width="7.5703125" style="1986" customWidth="1"/>
    <col min="10771" max="11008" width="8.28515625" style="1986"/>
    <col min="11009" max="11010" width="13.85546875" style="1986" customWidth="1"/>
    <col min="11011" max="11018" width="13.7109375" style="1986" customWidth="1"/>
    <col min="11019" max="11019" width="15.7109375" style="1986" bestFit="1" customWidth="1"/>
    <col min="11020" max="11020" width="1.5703125" style="1986" customWidth="1"/>
    <col min="11021" max="11021" width="7.42578125" style="1986" customWidth="1"/>
    <col min="11022" max="11022" width="1.5703125" style="1986" customWidth="1"/>
    <col min="11023" max="11023" width="8.28515625" style="1986" customWidth="1"/>
    <col min="11024" max="11024" width="18.140625" style="1986" customWidth="1"/>
    <col min="11025" max="11025" width="15.5703125" style="1986" customWidth="1"/>
    <col min="11026" max="11026" width="7.5703125" style="1986" customWidth="1"/>
    <col min="11027" max="11264" width="8.28515625" style="1986"/>
    <col min="11265" max="11266" width="13.85546875" style="1986" customWidth="1"/>
    <col min="11267" max="11274" width="13.7109375" style="1986" customWidth="1"/>
    <col min="11275" max="11275" width="15.7109375" style="1986" bestFit="1" customWidth="1"/>
    <col min="11276" max="11276" width="1.5703125" style="1986" customWidth="1"/>
    <col min="11277" max="11277" width="7.42578125" style="1986" customWidth="1"/>
    <col min="11278" max="11278" width="1.5703125" style="1986" customWidth="1"/>
    <col min="11279" max="11279" width="8.28515625" style="1986" customWidth="1"/>
    <col min="11280" max="11280" width="18.140625" style="1986" customWidth="1"/>
    <col min="11281" max="11281" width="15.5703125" style="1986" customWidth="1"/>
    <col min="11282" max="11282" width="7.5703125" style="1986" customWidth="1"/>
    <col min="11283" max="11520" width="8.28515625" style="1986"/>
    <col min="11521" max="11522" width="13.85546875" style="1986" customWidth="1"/>
    <col min="11523" max="11530" width="13.7109375" style="1986" customWidth="1"/>
    <col min="11531" max="11531" width="15.7109375" style="1986" bestFit="1" customWidth="1"/>
    <col min="11532" max="11532" width="1.5703125" style="1986" customWidth="1"/>
    <col min="11533" max="11533" width="7.42578125" style="1986" customWidth="1"/>
    <col min="11534" max="11534" width="1.5703125" style="1986" customWidth="1"/>
    <col min="11535" max="11535" width="8.28515625" style="1986" customWidth="1"/>
    <col min="11536" max="11536" width="18.140625" style="1986" customWidth="1"/>
    <col min="11537" max="11537" width="15.5703125" style="1986" customWidth="1"/>
    <col min="11538" max="11538" width="7.5703125" style="1986" customWidth="1"/>
    <col min="11539" max="11776" width="8.28515625" style="1986"/>
    <col min="11777" max="11778" width="13.85546875" style="1986" customWidth="1"/>
    <col min="11779" max="11786" width="13.7109375" style="1986" customWidth="1"/>
    <col min="11787" max="11787" width="15.7109375" style="1986" bestFit="1" customWidth="1"/>
    <col min="11788" max="11788" width="1.5703125" style="1986" customWidth="1"/>
    <col min="11789" max="11789" width="7.42578125" style="1986" customWidth="1"/>
    <col min="11790" max="11790" width="1.5703125" style="1986" customWidth="1"/>
    <col min="11791" max="11791" width="8.28515625" style="1986" customWidth="1"/>
    <col min="11792" max="11792" width="18.140625" style="1986" customWidth="1"/>
    <col min="11793" max="11793" width="15.5703125" style="1986" customWidth="1"/>
    <col min="11794" max="11794" width="7.5703125" style="1986" customWidth="1"/>
    <col min="11795" max="12032" width="8.28515625" style="1986"/>
    <col min="12033" max="12034" width="13.85546875" style="1986" customWidth="1"/>
    <col min="12035" max="12042" width="13.7109375" style="1986" customWidth="1"/>
    <col min="12043" max="12043" width="15.7109375" style="1986" bestFit="1" customWidth="1"/>
    <col min="12044" max="12044" width="1.5703125" style="1986" customWidth="1"/>
    <col min="12045" max="12045" width="7.42578125" style="1986" customWidth="1"/>
    <col min="12046" max="12046" width="1.5703125" style="1986" customWidth="1"/>
    <col min="12047" max="12047" width="8.28515625" style="1986" customWidth="1"/>
    <col min="12048" max="12048" width="18.140625" style="1986" customWidth="1"/>
    <col min="12049" max="12049" width="15.5703125" style="1986" customWidth="1"/>
    <col min="12050" max="12050" width="7.5703125" style="1986" customWidth="1"/>
    <col min="12051" max="12288" width="8.28515625" style="1986"/>
    <col min="12289" max="12290" width="13.85546875" style="1986" customWidth="1"/>
    <col min="12291" max="12298" width="13.7109375" style="1986" customWidth="1"/>
    <col min="12299" max="12299" width="15.7109375" style="1986" bestFit="1" customWidth="1"/>
    <col min="12300" max="12300" width="1.5703125" style="1986" customWidth="1"/>
    <col min="12301" max="12301" width="7.42578125" style="1986" customWidth="1"/>
    <col min="12302" max="12302" width="1.5703125" style="1986" customWidth="1"/>
    <col min="12303" max="12303" width="8.28515625" style="1986" customWidth="1"/>
    <col min="12304" max="12304" width="18.140625" style="1986" customWidth="1"/>
    <col min="12305" max="12305" width="15.5703125" style="1986" customWidth="1"/>
    <col min="12306" max="12306" width="7.5703125" style="1986" customWidth="1"/>
    <col min="12307" max="12544" width="8.28515625" style="1986"/>
    <col min="12545" max="12546" width="13.85546875" style="1986" customWidth="1"/>
    <col min="12547" max="12554" width="13.7109375" style="1986" customWidth="1"/>
    <col min="12555" max="12555" width="15.7109375" style="1986" bestFit="1" customWidth="1"/>
    <col min="12556" max="12556" width="1.5703125" style="1986" customWidth="1"/>
    <col min="12557" max="12557" width="7.42578125" style="1986" customWidth="1"/>
    <col min="12558" max="12558" width="1.5703125" style="1986" customWidth="1"/>
    <col min="12559" max="12559" width="8.28515625" style="1986" customWidth="1"/>
    <col min="12560" max="12560" width="18.140625" style="1986" customWidth="1"/>
    <col min="12561" max="12561" width="15.5703125" style="1986" customWidth="1"/>
    <col min="12562" max="12562" width="7.5703125" style="1986" customWidth="1"/>
    <col min="12563" max="12800" width="8.28515625" style="1986"/>
    <col min="12801" max="12802" width="13.85546875" style="1986" customWidth="1"/>
    <col min="12803" max="12810" width="13.7109375" style="1986" customWidth="1"/>
    <col min="12811" max="12811" width="15.7109375" style="1986" bestFit="1" customWidth="1"/>
    <col min="12812" max="12812" width="1.5703125" style="1986" customWidth="1"/>
    <col min="12813" max="12813" width="7.42578125" style="1986" customWidth="1"/>
    <col min="12814" max="12814" width="1.5703125" style="1986" customWidth="1"/>
    <col min="12815" max="12815" width="8.28515625" style="1986" customWidth="1"/>
    <col min="12816" max="12816" width="18.140625" style="1986" customWidth="1"/>
    <col min="12817" max="12817" width="15.5703125" style="1986" customWidth="1"/>
    <col min="12818" max="12818" width="7.5703125" style="1986" customWidth="1"/>
    <col min="12819" max="13056" width="8.28515625" style="1986"/>
    <col min="13057" max="13058" width="13.85546875" style="1986" customWidth="1"/>
    <col min="13059" max="13066" width="13.7109375" style="1986" customWidth="1"/>
    <col min="13067" max="13067" width="15.7109375" style="1986" bestFit="1" customWidth="1"/>
    <col min="13068" max="13068" width="1.5703125" style="1986" customWidth="1"/>
    <col min="13069" max="13069" width="7.42578125" style="1986" customWidth="1"/>
    <col min="13070" max="13070" width="1.5703125" style="1986" customWidth="1"/>
    <col min="13071" max="13071" width="8.28515625" style="1986" customWidth="1"/>
    <col min="13072" max="13072" width="18.140625" style="1986" customWidth="1"/>
    <col min="13073" max="13073" width="15.5703125" style="1986" customWidth="1"/>
    <col min="13074" max="13074" width="7.5703125" style="1986" customWidth="1"/>
    <col min="13075" max="13312" width="8.28515625" style="1986"/>
    <col min="13313" max="13314" width="13.85546875" style="1986" customWidth="1"/>
    <col min="13315" max="13322" width="13.7109375" style="1986" customWidth="1"/>
    <col min="13323" max="13323" width="15.7109375" style="1986" bestFit="1" customWidth="1"/>
    <col min="13324" max="13324" width="1.5703125" style="1986" customWidth="1"/>
    <col min="13325" max="13325" width="7.42578125" style="1986" customWidth="1"/>
    <col min="13326" max="13326" width="1.5703125" style="1986" customWidth="1"/>
    <col min="13327" max="13327" width="8.28515625" style="1986" customWidth="1"/>
    <col min="13328" max="13328" width="18.140625" style="1986" customWidth="1"/>
    <col min="13329" max="13329" width="15.5703125" style="1986" customWidth="1"/>
    <col min="13330" max="13330" width="7.5703125" style="1986" customWidth="1"/>
    <col min="13331" max="13568" width="8.28515625" style="1986"/>
    <col min="13569" max="13570" width="13.85546875" style="1986" customWidth="1"/>
    <col min="13571" max="13578" width="13.7109375" style="1986" customWidth="1"/>
    <col min="13579" max="13579" width="15.7109375" style="1986" bestFit="1" customWidth="1"/>
    <col min="13580" max="13580" width="1.5703125" style="1986" customWidth="1"/>
    <col min="13581" max="13581" width="7.42578125" style="1986" customWidth="1"/>
    <col min="13582" max="13582" width="1.5703125" style="1986" customWidth="1"/>
    <col min="13583" max="13583" width="8.28515625" style="1986" customWidth="1"/>
    <col min="13584" max="13584" width="18.140625" style="1986" customWidth="1"/>
    <col min="13585" max="13585" width="15.5703125" style="1986" customWidth="1"/>
    <col min="13586" max="13586" width="7.5703125" style="1986" customWidth="1"/>
    <col min="13587" max="13824" width="8.28515625" style="1986"/>
    <col min="13825" max="13826" width="13.85546875" style="1986" customWidth="1"/>
    <col min="13827" max="13834" width="13.7109375" style="1986" customWidth="1"/>
    <col min="13835" max="13835" width="15.7109375" style="1986" bestFit="1" customWidth="1"/>
    <col min="13836" max="13836" width="1.5703125" style="1986" customWidth="1"/>
    <col min="13837" max="13837" width="7.42578125" style="1986" customWidth="1"/>
    <col min="13838" max="13838" width="1.5703125" style="1986" customWidth="1"/>
    <col min="13839" max="13839" width="8.28515625" style="1986" customWidth="1"/>
    <col min="13840" max="13840" width="18.140625" style="1986" customWidth="1"/>
    <col min="13841" max="13841" width="15.5703125" style="1986" customWidth="1"/>
    <col min="13842" max="13842" width="7.5703125" style="1986" customWidth="1"/>
    <col min="13843" max="14080" width="8.28515625" style="1986"/>
    <col min="14081" max="14082" width="13.85546875" style="1986" customWidth="1"/>
    <col min="14083" max="14090" width="13.7109375" style="1986" customWidth="1"/>
    <col min="14091" max="14091" width="15.7109375" style="1986" bestFit="1" customWidth="1"/>
    <col min="14092" max="14092" width="1.5703125" style="1986" customWidth="1"/>
    <col min="14093" max="14093" width="7.42578125" style="1986" customWidth="1"/>
    <col min="14094" max="14094" width="1.5703125" style="1986" customWidth="1"/>
    <col min="14095" max="14095" width="8.28515625" style="1986" customWidth="1"/>
    <col min="14096" max="14096" width="18.140625" style="1986" customWidth="1"/>
    <col min="14097" max="14097" width="15.5703125" style="1986" customWidth="1"/>
    <col min="14098" max="14098" width="7.5703125" style="1986" customWidth="1"/>
    <col min="14099" max="14336" width="8.28515625" style="1986"/>
    <col min="14337" max="14338" width="13.85546875" style="1986" customWidth="1"/>
    <col min="14339" max="14346" width="13.7109375" style="1986" customWidth="1"/>
    <col min="14347" max="14347" width="15.7109375" style="1986" bestFit="1" customWidth="1"/>
    <col min="14348" max="14348" width="1.5703125" style="1986" customWidth="1"/>
    <col min="14349" max="14349" width="7.42578125" style="1986" customWidth="1"/>
    <col min="14350" max="14350" width="1.5703125" style="1986" customWidth="1"/>
    <col min="14351" max="14351" width="8.28515625" style="1986" customWidth="1"/>
    <col min="14352" max="14352" width="18.140625" style="1986" customWidth="1"/>
    <col min="14353" max="14353" width="15.5703125" style="1986" customWidth="1"/>
    <col min="14354" max="14354" width="7.5703125" style="1986" customWidth="1"/>
    <col min="14355" max="14592" width="8.28515625" style="1986"/>
    <col min="14593" max="14594" width="13.85546875" style="1986" customWidth="1"/>
    <col min="14595" max="14602" width="13.7109375" style="1986" customWidth="1"/>
    <col min="14603" max="14603" width="15.7109375" style="1986" bestFit="1" customWidth="1"/>
    <col min="14604" max="14604" width="1.5703125" style="1986" customWidth="1"/>
    <col min="14605" max="14605" width="7.42578125" style="1986" customWidth="1"/>
    <col min="14606" max="14606" width="1.5703125" style="1986" customWidth="1"/>
    <col min="14607" max="14607" width="8.28515625" style="1986" customWidth="1"/>
    <col min="14608" max="14608" width="18.140625" style="1986" customWidth="1"/>
    <col min="14609" max="14609" width="15.5703125" style="1986" customWidth="1"/>
    <col min="14610" max="14610" width="7.5703125" style="1986" customWidth="1"/>
    <col min="14611" max="14848" width="8.28515625" style="1986"/>
    <col min="14849" max="14850" width="13.85546875" style="1986" customWidth="1"/>
    <col min="14851" max="14858" width="13.7109375" style="1986" customWidth="1"/>
    <col min="14859" max="14859" width="15.7109375" style="1986" bestFit="1" customWidth="1"/>
    <col min="14860" max="14860" width="1.5703125" style="1986" customWidth="1"/>
    <col min="14861" max="14861" width="7.42578125" style="1986" customWidth="1"/>
    <col min="14862" max="14862" width="1.5703125" style="1986" customWidth="1"/>
    <col min="14863" max="14863" width="8.28515625" style="1986" customWidth="1"/>
    <col min="14864" max="14864" width="18.140625" style="1986" customWidth="1"/>
    <col min="14865" max="14865" width="15.5703125" style="1986" customWidth="1"/>
    <col min="14866" max="14866" width="7.5703125" style="1986" customWidth="1"/>
    <col min="14867" max="15104" width="8.28515625" style="1986"/>
    <col min="15105" max="15106" width="13.85546875" style="1986" customWidth="1"/>
    <col min="15107" max="15114" width="13.7109375" style="1986" customWidth="1"/>
    <col min="15115" max="15115" width="15.7109375" style="1986" bestFit="1" customWidth="1"/>
    <col min="15116" max="15116" width="1.5703125" style="1986" customWidth="1"/>
    <col min="15117" max="15117" width="7.42578125" style="1986" customWidth="1"/>
    <col min="15118" max="15118" width="1.5703125" style="1986" customWidth="1"/>
    <col min="15119" max="15119" width="8.28515625" style="1986" customWidth="1"/>
    <col min="15120" max="15120" width="18.140625" style="1986" customWidth="1"/>
    <col min="15121" max="15121" width="15.5703125" style="1986" customWidth="1"/>
    <col min="15122" max="15122" width="7.5703125" style="1986" customWidth="1"/>
    <col min="15123" max="15360" width="8.28515625" style="1986"/>
    <col min="15361" max="15362" width="13.85546875" style="1986" customWidth="1"/>
    <col min="15363" max="15370" width="13.7109375" style="1986" customWidth="1"/>
    <col min="15371" max="15371" width="15.7109375" style="1986" bestFit="1" customWidth="1"/>
    <col min="15372" max="15372" width="1.5703125" style="1986" customWidth="1"/>
    <col min="15373" max="15373" width="7.42578125" style="1986" customWidth="1"/>
    <col min="15374" max="15374" width="1.5703125" style="1986" customWidth="1"/>
    <col min="15375" max="15375" width="8.28515625" style="1986" customWidth="1"/>
    <col min="15376" max="15376" width="18.140625" style="1986" customWidth="1"/>
    <col min="15377" max="15377" width="15.5703125" style="1986" customWidth="1"/>
    <col min="15378" max="15378" width="7.5703125" style="1986" customWidth="1"/>
    <col min="15379" max="15616" width="8.28515625" style="1986"/>
    <col min="15617" max="15618" width="13.85546875" style="1986" customWidth="1"/>
    <col min="15619" max="15626" width="13.7109375" style="1986" customWidth="1"/>
    <col min="15627" max="15627" width="15.7109375" style="1986" bestFit="1" customWidth="1"/>
    <col min="15628" max="15628" width="1.5703125" style="1986" customWidth="1"/>
    <col min="15629" max="15629" width="7.42578125" style="1986" customWidth="1"/>
    <col min="15630" max="15630" width="1.5703125" style="1986" customWidth="1"/>
    <col min="15631" max="15631" width="8.28515625" style="1986" customWidth="1"/>
    <col min="15632" max="15632" width="18.140625" style="1986" customWidth="1"/>
    <col min="15633" max="15633" width="15.5703125" style="1986" customWidth="1"/>
    <col min="15634" max="15634" width="7.5703125" style="1986" customWidth="1"/>
    <col min="15635" max="15872" width="8.28515625" style="1986"/>
    <col min="15873" max="15874" width="13.85546875" style="1986" customWidth="1"/>
    <col min="15875" max="15882" width="13.7109375" style="1986" customWidth="1"/>
    <col min="15883" max="15883" width="15.7109375" style="1986" bestFit="1" customWidth="1"/>
    <col min="15884" max="15884" width="1.5703125" style="1986" customWidth="1"/>
    <col min="15885" max="15885" width="7.42578125" style="1986" customWidth="1"/>
    <col min="15886" max="15886" width="1.5703125" style="1986" customWidth="1"/>
    <col min="15887" max="15887" width="8.28515625" style="1986" customWidth="1"/>
    <col min="15888" max="15888" width="18.140625" style="1986" customWidth="1"/>
    <col min="15889" max="15889" width="15.5703125" style="1986" customWidth="1"/>
    <col min="15890" max="15890" width="7.5703125" style="1986" customWidth="1"/>
    <col min="15891" max="16128" width="8.28515625" style="1986"/>
    <col min="16129" max="16130" width="13.85546875" style="1986" customWidth="1"/>
    <col min="16131" max="16138" width="13.7109375" style="1986" customWidth="1"/>
    <col min="16139" max="16139" width="15.7109375" style="1986" bestFit="1" customWidth="1"/>
    <col min="16140" max="16140" width="1.5703125" style="1986" customWidth="1"/>
    <col min="16141" max="16141" width="7.42578125" style="1986" customWidth="1"/>
    <col min="16142" max="16142" width="1.5703125" style="1986" customWidth="1"/>
    <col min="16143" max="16143" width="8.28515625" style="1986" customWidth="1"/>
    <col min="16144" max="16144" width="18.140625" style="1986" customWidth="1"/>
    <col min="16145" max="16145" width="15.5703125" style="1986" customWidth="1"/>
    <col min="16146" max="16146" width="7.5703125" style="1986" customWidth="1"/>
    <col min="16147" max="16384" width="8.28515625" style="1986"/>
  </cols>
  <sheetData>
    <row r="1" spans="3:23" ht="28.35" customHeight="1">
      <c r="N1" s="1307"/>
      <c r="O1" s="1999"/>
    </row>
    <row r="2" spans="3:23" ht="28.35" customHeight="1">
      <c r="H2" s="1192"/>
      <c r="N2" s="1307"/>
      <c r="O2" s="1999"/>
    </row>
    <row r="3" spans="3:23" s="2848" customFormat="1" ht="28.35" customHeight="1">
      <c r="C3" s="4856" t="s">
        <v>1437</v>
      </c>
      <c r="D3" s="4856"/>
      <c r="E3" s="4856"/>
      <c r="F3" s="4856"/>
      <c r="G3" s="4856"/>
      <c r="H3" s="4856"/>
      <c r="I3" s="4856"/>
      <c r="J3" s="4856"/>
      <c r="K3" s="4856"/>
      <c r="L3" s="4856"/>
      <c r="M3" s="4856"/>
      <c r="N3" s="4856"/>
      <c r="O3" s="2849"/>
    </row>
    <row r="4" spans="3:23" s="2366" customFormat="1" ht="28.35" customHeight="1">
      <c r="C4" s="4713" t="s">
        <v>1438</v>
      </c>
      <c r="D4" s="4713"/>
      <c r="E4" s="4713"/>
      <c r="F4" s="4713"/>
      <c r="G4" s="4713"/>
      <c r="H4" s="4713"/>
      <c r="I4" s="4713"/>
      <c r="J4" s="4713"/>
      <c r="K4" s="4713"/>
      <c r="L4" s="4713"/>
      <c r="M4" s="4713"/>
      <c r="N4" s="4713"/>
    </row>
    <row r="5" spans="3:23" s="2362" customFormat="1" ht="17.100000000000001" customHeight="1">
      <c r="C5" s="1224" t="s">
        <v>1306</v>
      </c>
      <c r="D5" s="1265"/>
      <c r="E5" s="1274"/>
      <c r="F5" s="1275"/>
      <c r="G5" s="1274"/>
      <c r="H5" s="1274"/>
      <c r="I5" s="1274"/>
      <c r="J5" s="1274"/>
      <c r="K5" s="1274"/>
      <c r="L5" s="1265"/>
      <c r="M5" s="1175"/>
      <c r="N5" s="1276" t="s">
        <v>1343</v>
      </c>
      <c r="O5" s="2355"/>
    </row>
    <row r="6" spans="3:23" ht="4.3499999999999996" customHeight="1">
      <c r="C6" s="1220"/>
      <c r="D6" s="1220"/>
      <c r="E6" s="1220"/>
      <c r="F6" s="1220"/>
      <c r="G6" s="1220"/>
      <c r="H6" s="1220"/>
      <c r="I6" s="1220"/>
      <c r="J6" s="1222"/>
      <c r="K6" s="1222"/>
      <c r="L6" s="1222"/>
      <c r="M6" s="1223"/>
      <c r="N6" s="1224"/>
      <c r="O6" s="1999"/>
    </row>
    <row r="7" spans="3:23" s="2390" customFormat="1" ht="5.25" customHeight="1">
      <c r="C7" s="3289"/>
      <c r="D7" s="2509"/>
      <c r="E7" s="2509"/>
      <c r="F7" s="2509"/>
      <c r="G7" s="2509"/>
      <c r="H7" s="1328"/>
      <c r="I7" s="2509"/>
      <c r="J7" s="2509"/>
      <c r="K7" s="2509"/>
      <c r="L7" s="1748"/>
      <c r="M7" s="2546"/>
      <c r="N7" s="3290"/>
    </row>
    <row r="8" spans="3:23" s="2390" customFormat="1" ht="42" customHeight="1">
      <c r="C8" s="3291"/>
      <c r="D8" s="1731"/>
      <c r="E8" s="1731"/>
      <c r="F8" s="2271"/>
      <c r="G8" s="1731" t="s">
        <v>1439</v>
      </c>
      <c r="H8" s="1731" t="s">
        <v>1440</v>
      </c>
      <c r="I8" s="1731" t="s">
        <v>1441</v>
      </c>
      <c r="J8" s="1731"/>
      <c r="K8" s="1242"/>
      <c r="L8" s="1749"/>
      <c r="M8" s="1997"/>
      <c r="N8" s="3292"/>
    </row>
    <row r="9" spans="3:23" s="2390" customFormat="1" ht="24" customHeight="1">
      <c r="C9" s="3291" t="s">
        <v>1442</v>
      </c>
      <c r="D9" s="1731"/>
      <c r="E9" s="1731"/>
      <c r="F9" s="1731" t="s">
        <v>1443</v>
      </c>
      <c r="G9" s="1731" t="s">
        <v>1444</v>
      </c>
      <c r="H9" s="1731" t="s">
        <v>1445</v>
      </c>
      <c r="I9" s="2271" t="s">
        <v>34</v>
      </c>
      <c r="J9" s="1731" t="s">
        <v>1440</v>
      </c>
      <c r="K9" s="1242" t="s">
        <v>170</v>
      </c>
      <c r="L9" s="1749"/>
      <c r="M9" s="1997"/>
      <c r="N9" s="3292"/>
    </row>
    <row r="10" spans="3:23" s="2390" customFormat="1" ht="24" customHeight="1">
      <c r="C10" s="3291" t="s">
        <v>98</v>
      </c>
      <c r="D10" s="1731" t="s">
        <v>1446</v>
      </c>
      <c r="E10" s="1731" t="s">
        <v>1447</v>
      </c>
      <c r="F10" s="2271" t="s">
        <v>1448</v>
      </c>
      <c r="G10" s="1731" t="s">
        <v>1449</v>
      </c>
      <c r="H10" s="2271" t="s">
        <v>98</v>
      </c>
      <c r="I10" s="1731" t="s">
        <v>1450</v>
      </c>
      <c r="J10" s="1731" t="s">
        <v>1451</v>
      </c>
      <c r="K10" s="1242" t="s">
        <v>395</v>
      </c>
      <c r="L10" s="4682"/>
      <c r="M10" s="4682"/>
      <c r="N10" s="4940"/>
    </row>
    <row r="11" spans="3:23" s="2390" customFormat="1" ht="30" customHeight="1">
      <c r="C11" s="3293"/>
      <c r="D11" s="1242"/>
      <c r="E11" s="1242"/>
      <c r="F11" s="1242"/>
      <c r="G11" s="1242"/>
      <c r="H11" s="2594"/>
      <c r="I11" s="3294"/>
      <c r="J11" s="1242"/>
      <c r="K11" s="1242"/>
      <c r="L11" s="1749"/>
      <c r="M11" s="1997"/>
      <c r="N11" s="3292"/>
    </row>
    <row r="12" spans="3:23" s="2390" customFormat="1" ht="24" customHeight="1">
      <c r="C12" s="3291"/>
      <c r="D12" s="1731"/>
      <c r="E12" s="1731"/>
      <c r="F12" s="1731"/>
      <c r="G12" s="1731"/>
      <c r="H12" s="1731" t="s">
        <v>119</v>
      </c>
      <c r="I12" s="1731" t="s">
        <v>1452</v>
      </c>
      <c r="J12" s="1731"/>
      <c r="K12" s="1242"/>
      <c r="L12" s="4682"/>
      <c r="M12" s="4682"/>
      <c r="N12" s="4940"/>
    </row>
    <row r="13" spans="3:23" s="2399" customFormat="1" ht="24.75" customHeight="1">
      <c r="C13" s="3291" t="s">
        <v>119</v>
      </c>
      <c r="D13" s="1731"/>
      <c r="E13" s="1731"/>
      <c r="F13" s="1731"/>
      <c r="G13" s="1731"/>
      <c r="H13" s="1731" t="s">
        <v>1452</v>
      </c>
      <c r="I13" s="1731" t="s">
        <v>56</v>
      </c>
      <c r="J13" s="1731" t="s">
        <v>46</v>
      </c>
      <c r="K13" s="1242" t="s">
        <v>634</v>
      </c>
      <c r="L13" s="1749"/>
      <c r="M13" s="1283"/>
      <c r="N13" s="3292"/>
    </row>
    <row r="14" spans="3:23" s="2390" customFormat="1" ht="20.25">
      <c r="C14" s="3295" t="s">
        <v>1453</v>
      </c>
      <c r="D14" s="1732" t="s">
        <v>946</v>
      </c>
      <c r="E14" s="1732" t="s">
        <v>1454</v>
      </c>
      <c r="F14" s="1732" t="s">
        <v>1455</v>
      </c>
      <c r="G14" s="1732" t="s">
        <v>1456</v>
      </c>
      <c r="H14" s="1732" t="s">
        <v>1453</v>
      </c>
      <c r="I14" s="1732" t="s">
        <v>1453</v>
      </c>
      <c r="J14" s="1732" t="s">
        <v>1453</v>
      </c>
      <c r="K14" s="2515" t="s">
        <v>187</v>
      </c>
      <c r="L14" s="1819"/>
      <c r="M14" s="2287"/>
      <c r="N14" s="3296"/>
    </row>
    <row r="15" spans="3:23" s="1999" customFormat="1" ht="21.95" customHeight="1">
      <c r="C15" s="1515">
        <v>460</v>
      </c>
      <c r="D15" s="1162">
        <v>136</v>
      </c>
      <c r="E15" s="3281">
        <v>510</v>
      </c>
      <c r="F15" s="1162">
        <v>0</v>
      </c>
      <c r="G15" s="3281">
        <v>24</v>
      </c>
      <c r="H15" s="1162">
        <v>1039</v>
      </c>
      <c r="I15" s="3281">
        <v>179</v>
      </c>
      <c r="J15" s="3281">
        <v>4664</v>
      </c>
      <c r="K15" s="3297">
        <f t="shared" ref="K15:K57" si="0">J15+I15+H15+G15+F15+E15+D15+C15</f>
        <v>7012</v>
      </c>
      <c r="L15" s="1474"/>
      <c r="M15" s="1475">
        <v>1964</v>
      </c>
      <c r="N15" s="1518"/>
      <c r="P15" s="3298"/>
      <c r="Q15" s="3298"/>
      <c r="R15" s="3298"/>
      <c r="S15" s="3298"/>
      <c r="T15" s="3298"/>
      <c r="U15" s="3298"/>
      <c r="V15" s="3298"/>
      <c r="W15" s="3298"/>
    </row>
    <row r="16" spans="3:23" s="1999" customFormat="1" ht="21.95" customHeight="1">
      <c r="C16" s="1492">
        <v>212</v>
      </c>
      <c r="D16" s="1157">
        <v>135</v>
      </c>
      <c r="E16" s="1157">
        <v>612</v>
      </c>
      <c r="F16" s="1157">
        <v>0</v>
      </c>
      <c r="G16" s="1157">
        <v>28</v>
      </c>
      <c r="H16" s="1157">
        <v>1091</v>
      </c>
      <c r="I16" s="1157">
        <v>325</v>
      </c>
      <c r="J16" s="1157">
        <v>5350</v>
      </c>
      <c r="K16" s="1159">
        <f t="shared" si="0"/>
        <v>7753</v>
      </c>
      <c r="L16" s="1196"/>
      <c r="M16" s="1728">
        <v>1965</v>
      </c>
      <c r="N16" s="1261"/>
      <c r="P16" s="3298"/>
      <c r="Q16" s="3298"/>
    </row>
    <row r="17" spans="3:17" s="1999" customFormat="1" ht="21.95" customHeight="1">
      <c r="C17" s="1515">
        <v>114</v>
      </c>
      <c r="D17" s="1162">
        <v>0</v>
      </c>
      <c r="E17" s="3281">
        <v>1337</v>
      </c>
      <c r="F17" s="1162">
        <v>123</v>
      </c>
      <c r="G17" s="3281">
        <v>37</v>
      </c>
      <c r="H17" s="1162">
        <v>1059</v>
      </c>
      <c r="I17" s="3281">
        <v>442</v>
      </c>
      <c r="J17" s="3281">
        <v>5647</v>
      </c>
      <c r="K17" s="1164">
        <f t="shared" si="0"/>
        <v>8759</v>
      </c>
      <c r="L17" s="1474"/>
      <c r="M17" s="1475">
        <v>1966</v>
      </c>
      <c r="N17" s="1518"/>
      <c r="P17" s="3298"/>
      <c r="Q17" s="3298"/>
    </row>
    <row r="18" spans="3:17" s="1999" customFormat="1" ht="21.95" customHeight="1">
      <c r="C18" s="1492">
        <v>383</v>
      </c>
      <c r="D18" s="1157">
        <v>31</v>
      </c>
      <c r="E18" s="1157">
        <v>1428</v>
      </c>
      <c r="F18" s="1157">
        <v>74</v>
      </c>
      <c r="G18" s="1157">
        <v>13</v>
      </c>
      <c r="H18" s="1157">
        <v>802</v>
      </c>
      <c r="I18" s="1157">
        <v>765</v>
      </c>
      <c r="J18" s="1157">
        <v>6488</v>
      </c>
      <c r="K18" s="1159">
        <f t="shared" si="0"/>
        <v>9984</v>
      </c>
      <c r="L18" s="1196"/>
      <c r="M18" s="1728">
        <v>1967</v>
      </c>
      <c r="N18" s="1261"/>
      <c r="P18" s="3298"/>
      <c r="Q18" s="3298"/>
    </row>
    <row r="19" spans="3:17" s="1999" customFormat="1" ht="21.95" customHeight="1">
      <c r="C19" s="1515">
        <v>758</v>
      </c>
      <c r="D19" s="1162">
        <v>102</v>
      </c>
      <c r="E19" s="3281">
        <v>1889</v>
      </c>
      <c r="F19" s="1162">
        <v>179</v>
      </c>
      <c r="G19" s="3281">
        <v>3</v>
      </c>
      <c r="H19" s="1162">
        <v>1011</v>
      </c>
      <c r="I19" s="3281">
        <v>56</v>
      </c>
      <c r="J19" s="3281">
        <v>8174</v>
      </c>
      <c r="K19" s="1164">
        <f t="shared" si="0"/>
        <v>12172</v>
      </c>
      <c r="L19" s="1474"/>
      <c r="M19" s="1475">
        <v>1968</v>
      </c>
      <c r="N19" s="1518"/>
      <c r="P19" s="3298"/>
      <c r="Q19" s="3298"/>
    </row>
    <row r="20" spans="3:17" s="1999" customFormat="1" ht="21.95" customHeight="1">
      <c r="C20" s="1492">
        <v>473</v>
      </c>
      <c r="D20" s="1157">
        <v>35</v>
      </c>
      <c r="E20" s="1157">
        <v>1482</v>
      </c>
      <c r="F20" s="1157">
        <v>215</v>
      </c>
      <c r="G20" s="1157">
        <v>6</v>
      </c>
      <c r="H20" s="1157">
        <v>1195</v>
      </c>
      <c r="I20" s="1157">
        <v>2</v>
      </c>
      <c r="J20" s="1157">
        <v>8508</v>
      </c>
      <c r="K20" s="1159">
        <f t="shared" si="0"/>
        <v>11916</v>
      </c>
      <c r="L20" s="1196"/>
      <c r="M20" s="1728">
        <v>1969</v>
      </c>
      <c r="N20" s="1261"/>
      <c r="P20" s="3298"/>
      <c r="Q20" s="3298"/>
    </row>
    <row r="21" spans="3:17" s="1999" customFormat="1" ht="21.95" customHeight="1">
      <c r="C21" s="1515">
        <v>668</v>
      </c>
      <c r="D21" s="1162">
        <v>17</v>
      </c>
      <c r="E21" s="3281">
        <v>253</v>
      </c>
      <c r="F21" s="1162">
        <v>201</v>
      </c>
      <c r="G21" s="3281">
        <v>2</v>
      </c>
      <c r="H21" s="1162">
        <v>1005</v>
      </c>
      <c r="I21" s="3281">
        <v>3</v>
      </c>
      <c r="J21" s="3281">
        <v>7171</v>
      </c>
      <c r="K21" s="1164">
        <f t="shared" si="0"/>
        <v>9320</v>
      </c>
      <c r="L21" s="1474"/>
      <c r="M21" s="1475">
        <v>1970</v>
      </c>
      <c r="N21" s="1518"/>
      <c r="P21" s="3298"/>
      <c r="Q21" s="3298"/>
    </row>
    <row r="22" spans="3:17" s="1999" customFormat="1" ht="21.95" customHeight="1">
      <c r="C22" s="1492">
        <v>373</v>
      </c>
      <c r="D22" s="1157">
        <v>173</v>
      </c>
      <c r="E22" s="1157">
        <v>956</v>
      </c>
      <c r="F22" s="1157">
        <v>0</v>
      </c>
      <c r="G22" s="1157">
        <v>3</v>
      </c>
      <c r="H22" s="1157">
        <v>627</v>
      </c>
      <c r="I22" s="1157">
        <v>3</v>
      </c>
      <c r="J22" s="1157">
        <v>6682</v>
      </c>
      <c r="K22" s="1159">
        <f t="shared" si="0"/>
        <v>8817</v>
      </c>
      <c r="L22" s="1196"/>
      <c r="M22" s="1728">
        <v>1971</v>
      </c>
      <c r="N22" s="1261"/>
      <c r="P22" s="3298"/>
      <c r="Q22" s="3298"/>
    </row>
    <row r="23" spans="3:17" s="1999" customFormat="1" ht="21.95" customHeight="1">
      <c r="C23" s="1515">
        <v>957</v>
      </c>
      <c r="D23" s="1162">
        <v>625</v>
      </c>
      <c r="E23" s="3281">
        <v>1405</v>
      </c>
      <c r="F23" s="1162">
        <v>0</v>
      </c>
      <c r="G23" s="3281">
        <v>1</v>
      </c>
      <c r="H23" s="1162">
        <v>413</v>
      </c>
      <c r="I23" s="3281">
        <v>50</v>
      </c>
      <c r="J23" s="3281">
        <v>9155</v>
      </c>
      <c r="K23" s="1164">
        <f t="shared" si="0"/>
        <v>12606</v>
      </c>
      <c r="L23" s="1474"/>
      <c r="M23" s="1475">
        <v>1972</v>
      </c>
      <c r="N23" s="1518"/>
      <c r="P23" s="3298"/>
      <c r="Q23" s="3298"/>
    </row>
    <row r="24" spans="3:17" s="1999" customFormat="1" ht="21.95" customHeight="1">
      <c r="C24" s="1492">
        <v>1667</v>
      </c>
      <c r="D24" s="1157">
        <v>704</v>
      </c>
      <c r="E24" s="1157">
        <v>1191</v>
      </c>
      <c r="F24" s="1157">
        <v>0</v>
      </c>
      <c r="G24" s="1157">
        <v>1</v>
      </c>
      <c r="H24" s="1157">
        <v>349</v>
      </c>
      <c r="I24" s="1157">
        <v>20</v>
      </c>
      <c r="J24" s="1157">
        <v>10078</v>
      </c>
      <c r="K24" s="1159">
        <f t="shared" si="0"/>
        <v>14010</v>
      </c>
      <c r="L24" s="1196"/>
      <c r="M24" s="1728">
        <v>1973</v>
      </c>
      <c r="N24" s="1261"/>
      <c r="P24" s="3298"/>
      <c r="Q24" s="3298"/>
    </row>
    <row r="25" spans="3:17" s="1999" customFormat="1" ht="21.95" customHeight="1">
      <c r="C25" s="1515">
        <v>8532</v>
      </c>
      <c r="D25" s="1162">
        <v>3790</v>
      </c>
      <c r="E25" s="3281">
        <v>6576</v>
      </c>
      <c r="F25" s="1162">
        <v>0</v>
      </c>
      <c r="G25" s="3281">
        <v>9</v>
      </c>
      <c r="H25" s="1162">
        <v>2040</v>
      </c>
      <c r="I25" s="3281">
        <v>63</v>
      </c>
      <c r="J25" s="3281">
        <v>18428</v>
      </c>
      <c r="K25" s="1164">
        <f t="shared" si="0"/>
        <v>39438</v>
      </c>
      <c r="L25" s="1474"/>
      <c r="M25" s="1475">
        <v>1974</v>
      </c>
      <c r="N25" s="1518"/>
      <c r="P25" s="3298"/>
      <c r="Q25" s="3298"/>
    </row>
    <row r="26" spans="3:17" s="1999" customFormat="1" ht="21.95" customHeight="1">
      <c r="C26" s="1492">
        <v>10910</v>
      </c>
      <c r="D26" s="1157">
        <v>1909</v>
      </c>
      <c r="E26" s="1157">
        <v>1973</v>
      </c>
      <c r="F26" s="1157">
        <v>0</v>
      </c>
      <c r="G26" s="1157">
        <v>30</v>
      </c>
      <c r="H26" s="1157">
        <v>6392</v>
      </c>
      <c r="I26" s="1157">
        <v>2030</v>
      </c>
      <c r="J26" s="1157">
        <v>16895</v>
      </c>
      <c r="K26" s="1159">
        <f t="shared" si="0"/>
        <v>40139</v>
      </c>
      <c r="L26" s="1196"/>
      <c r="M26" s="1728">
        <v>1975</v>
      </c>
      <c r="N26" s="1261"/>
      <c r="P26" s="3298"/>
      <c r="Q26" s="3298"/>
    </row>
    <row r="27" spans="3:17" s="1999" customFormat="1" ht="21.95" customHeight="1">
      <c r="C27" s="1515">
        <v>12178</v>
      </c>
      <c r="D27" s="1162">
        <v>1915</v>
      </c>
      <c r="E27" s="3281">
        <v>1712</v>
      </c>
      <c r="F27" s="1162">
        <v>0</v>
      </c>
      <c r="G27" s="3281">
        <v>20</v>
      </c>
      <c r="H27" s="1162">
        <v>7293</v>
      </c>
      <c r="I27" s="3281">
        <v>2527</v>
      </c>
      <c r="J27" s="3281">
        <v>23907</v>
      </c>
      <c r="K27" s="1164">
        <f t="shared" si="0"/>
        <v>49552</v>
      </c>
      <c r="L27" s="1474"/>
      <c r="M27" s="1475">
        <v>1976</v>
      </c>
      <c r="N27" s="1518"/>
      <c r="P27" s="3298"/>
      <c r="Q27" s="3298"/>
    </row>
    <row r="28" spans="3:17" s="1999" customFormat="1" ht="21.95" customHeight="1">
      <c r="C28" s="1492">
        <f>12625-36</f>
        <v>12589</v>
      </c>
      <c r="D28" s="1157">
        <v>2628</v>
      </c>
      <c r="E28" s="1157">
        <v>3891</v>
      </c>
      <c r="F28" s="1157">
        <v>0</v>
      </c>
      <c r="G28" s="1157">
        <v>20</v>
      </c>
      <c r="H28" s="1157">
        <v>4188</v>
      </c>
      <c r="I28" s="1157">
        <v>872</v>
      </c>
      <c r="J28" s="1157">
        <v>36065</v>
      </c>
      <c r="K28" s="1159">
        <f t="shared" si="0"/>
        <v>60253</v>
      </c>
      <c r="L28" s="1196"/>
      <c r="M28" s="1728">
        <v>1977</v>
      </c>
      <c r="N28" s="1261"/>
      <c r="P28" s="3298"/>
      <c r="Q28" s="3298"/>
    </row>
    <row r="29" spans="3:17" s="1999" customFormat="1" ht="21.95" customHeight="1">
      <c r="C29" s="1515">
        <v>8382</v>
      </c>
      <c r="D29" s="1162">
        <v>1808</v>
      </c>
      <c r="E29" s="3281">
        <v>3531</v>
      </c>
      <c r="F29" s="1162">
        <v>780</v>
      </c>
      <c r="G29" s="3281">
        <v>4</v>
      </c>
      <c r="H29" s="1162">
        <v>5669</v>
      </c>
      <c r="I29" s="3281">
        <v>1340</v>
      </c>
      <c r="J29" s="3281">
        <v>42616</v>
      </c>
      <c r="K29" s="1164">
        <f t="shared" si="0"/>
        <v>64130</v>
      </c>
      <c r="L29" s="1474"/>
      <c r="M29" s="1475">
        <v>1978</v>
      </c>
      <c r="N29" s="1518"/>
      <c r="P29" s="3298"/>
      <c r="Q29" s="3298"/>
    </row>
    <row r="30" spans="3:17" s="1999" customFormat="1" ht="21.95" customHeight="1">
      <c r="C30" s="1492">
        <v>11308</v>
      </c>
      <c r="D30" s="1157">
        <v>2863</v>
      </c>
      <c r="E30" s="1157">
        <v>6136</v>
      </c>
      <c r="F30" s="1157">
        <v>936</v>
      </c>
      <c r="G30" s="1157">
        <v>36</v>
      </c>
      <c r="H30" s="1157">
        <v>4400</v>
      </c>
      <c r="I30" s="1157">
        <v>1138</v>
      </c>
      <c r="J30" s="1157">
        <v>55742</v>
      </c>
      <c r="K30" s="1159">
        <f t="shared" si="0"/>
        <v>82559</v>
      </c>
      <c r="L30" s="1196"/>
      <c r="M30" s="1728">
        <v>1979</v>
      </c>
      <c r="N30" s="1261"/>
      <c r="P30" s="3298"/>
      <c r="Q30" s="3298"/>
    </row>
    <row r="31" spans="3:17" s="1999" customFormat="1" ht="21.95" customHeight="1">
      <c r="C31" s="1515">
        <v>17956</v>
      </c>
      <c r="D31" s="1162">
        <v>3951</v>
      </c>
      <c r="E31" s="3281">
        <v>8037</v>
      </c>
      <c r="F31" s="1162">
        <v>2114</v>
      </c>
      <c r="G31" s="3281">
        <v>1</v>
      </c>
      <c r="H31" s="1162">
        <v>13039</v>
      </c>
      <c r="I31" s="3281">
        <v>2096</v>
      </c>
      <c r="J31" s="3281">
        <v>72913</v>
      </c>
      <c r="K31" s="1164">
        <f t="shared" si="0"/>
        <v>120107</v>
      </c>
      <c r="L31" s="1474"/>
      <c r="M31" s="1475">
        <v>1980</v>
      </c>
      <c r="N31" s="1518"/>
      <c r="P31" s="3298"/>
      <c r="Q31" s="3298"/>
    </row>
    <row r="32" spans="3:17" s="1999" customFormat="1" ht="21.95" customHeight="1">
      <c r="C32" s="1492">
        <v>18103</v>
      </c>
      <c r="D32" s="1157">
        <v>3845</v>
      </c>
      <c r="E32" s="1157">
        <v>10323</v>
      </c>
      <c r="F32" s="1157">
        <v>913</v>
      </c>
      <c r="G32" s="1157">
        <v>44</v>
      </c>
      <c r="H32" s="1157">
        <v>18565</v>
      </c>
      <c r="I32" s="1157">
        <v>2760</v>
      </c>
      <c r="J32" s="1157">
        <v>114473</v>
      </c>
      <c r="K32" s="1159">
        <f t="shared" si="0"/>
        <v>169026</v>
      </c>
      <c r="L32" s="1196"/>
      <c r="M32" s="1728">
        <v>1981</v>
      </c>
      <c r="N32" s="1261"/>
      <c r="P32" s="3298"/>
      <c r="Q32" s="3298"/>
    </row>
    <row r="33" spans="3:17" s="1999" customFormat="1" ht="21.95" customHeight="1">
      <c r="C33" s="1515">
        <v>12896</v>
      </c>
      <c r="D33" s="1162">
        <v>3777</v>
      </c>
      <c r="E33" s="3281">
        <v>16557</v>
      </c>
      <c r="F33" s="1162">
        <v>1396</v>
      </c>
      <c r="G33" s="3281">
        <v>9</v>
      </c>
      <c r="H33" s="1162">
        <v>24018</v>
      </c>
      <c r="I33" s="3281">
        <f>3618+3</f>
        <v>3621</v>
      </c>
      <c r="J33" s="3281">
        <v>123307</v>
      </c>
      <c r="K33" s="1164">
        <f t="shared" si="0"/>
        <v>185581</v>
      </c>
      <c r="L33" s="1474"/>
      <c r="M33" s="1475">
        <v>1982</v>
      </c>
      <c r="N33" s="1518"/>
      <c r="P33" s="3298"/>
      <c r="Q33" s="3298"/>
    </row>
    <row r="34" spans="3:17" s="1999" customFormat="1" ht="21.95" customHeight="1">
      <c r="C34" s="1492">
        <v>25121</v>
      </c>
      <c r="D34" s="1157">
        <v>3398</v>
      </c>
      <c r="E34" s="1157">
        <v>13745</v>
      </c>
      <c r="F34" s="1157">
        <v>3247</v>
      </c>
      <c r="G34" s="1157">
        <v>7</v>
      </c>
      <c r="H34" s="1157">
        <v>18050</v>
      </c>
      <c r="I34" s="1157">
        <f>8134+1326</f>
        <v>9460</v>
      </c>
      <c r="J34" s="1157">
        <v>87057</v>
      </c>
      <c r="K34" s="1159">
        <f t="shared" si="0"/>
        <v>160085</v>
      </c>
      <c r="L34" s="1196"/>
      <c r="M34" s="1728">
        <v>1983</v>
      </c>
      <c r="N34" s="1261"/>
      <c r="P34" s="3298"/>
      <c r="Q34" s="3298"/>
    </row>
    <row r="35" spans="3:17" s="1999" customFormat="1" ht="21.95" customHeight="1">
      <c r="C35" s="1515">
        <v>43751</v>
      </c>
      <c r="D35" s="1162">
        <v>5547</v>
      </c>
      <c r="E35" s="3281">
        <v>34109</v>
      </c>
      <c r="F35" s="1162">
        <v>8848</v>
      </c>
      <c r="G35" s="3281">
        <v>15</v>
      </c>
      <c r="H35" s="1162">
        <v>23938</v>
      </c>
      <c r="I35" s="3281">
        <f>10428+1857</f>
        <v>12285</v>
      </c>
      <c r="J35" s="3281">
        <v>132562</v>
      </c>
      <c r="K35" s="1164">
        <f t="shared" si="0"/>
        <v>261055</v>
      </c>
      <c r="L35" s="1474"/>
      <c r="M35" s="1475">
        <v>1984</v>
      </c>
      <c r="N35" s="1518"/>
      <c r="P35" s="3298"/>
      <c r="Q35" s="3298"/>
    </row>
    <row r="36" spans="3:17" s="1999" customFormat="1" ht="21.95" customHeight="1">
      <c r="C36" s="1492">
        <v>39356</v>
      </c>
      <c r="D36" s="1157">
        <v>5815</v>
      </c>
      <c r="E36" s="1157">
        <v>45310</v>
      </c>
      <c r="F36" s="1157">
        <v>2278</v>
      </c>
      <c r="G36" s="1157">
        <v>87</v>
      </c>
      <c r="H36" s="1157">
        <v>19226</v>
      </c>
      <c r="I36" s="1157">
        <f>11392+356</f>
        <v>11748</v>
      </c>
      <c r="J36" s="1157">
        <v>131526</v>
      </c>
      <c r="K36" s="1159">
        <f t="shared" si="0"/>
        <v>255346</v>
      </c>
      <c r="L36" s="1196"/>
      <c r="M36" s="1728">
        <v>1985</v>
      </c>
      <c r="N36" s="1261"/>
      <c r="O36" s="3298"/>
      <c r="P36" s="3298"/>
      <c r="Q36" s="3298"/>
    </row>
    <row r="37" spans="3:17" s="1999" customFormat="1" ht="21.95" customHeight="1">
      <c r="C37" s="1515">
        <v>35476</v>
      </c>
      <c r="D37" s="1162">
        <v>5690</v>
      </c>
      <c r="E37" s="3281">
        <v>34126</v>
      </c>
      <c r="F37" s="1162">
        <v>7570</v>
      </c>
      <c r="G37" s="3281">
        <v>305</v>
      </c>
      <c r="H37" s="1162">
        <v>20805</v>
      </c>
      <c r="I37" s="3281">
        <f>18833+754</f>
        <v>19587</v>
      </c>
      <c r="J37" s="3281">
        <v>102056</v>
      </c>
      <c r="K37" s="1164">
        <f t="shared" si="0"/>
        <v>225615</v>
      </c>
      <c r="L37" s="1474"/>
      <c r="M37" s="1475">
        <v>1986</v>
      </c>
      <c r="N37" s="1518"/>
      <c r="P37" s="3298"/>
      <c r="Q37" s="3298"/>
    </row>
    <row r="38" spans="3:17" s="1999" customFormat="1" ht="21.95" customHeight="1">
      <c r="C38" s="1492">
        <v>39963</v>
      </c>
      <c r="D38" s="1157">
        <v>7435</v>
      </c>
      <c r="E38" s="1157">
        <v>22034</v>
      </c>
      <c r="F38" s="1157">
        <v>10044</v>
      </c>
      <c r="G38" s="1157">
        <v>937</v>
      </c>
      <c r="H38" s="1157">
        <v>21219</v>
      </c>
      <c r="I38" s="1157">
        <f>17083+220</f>
        <v>17303</v>
      </c>
      <c r="J38" s="1157">
        <v>129838</v>
      </c>
      <c r="K38" s="1159">
        <f t="shared" si="0"/>
        <v>248773</v>
      </c>
      <c r="L38" s="1196"/>
      <c r="M38" s="1728">
        <v>1987</v>
      </c>
      <c r="N38" s="1261"/>
      <c r="P38" s="3298"/>
      <c r="Q38" s="3298"/>
    </row>
    <row r="39" spans="3:17" ht="21.95" customHeight="1">
      <c r="C39" s="1515">
        <f>59717-929</f>
        <v>58788</v>
      </c>
      <c r="D39" s="1162">
        <v>6635</v>
      </c>
      <c r="E39" s="3281">
        <v>55426</v>
      </c>
      <c r="F39" s="1162">
        <v>15939</v>
      </c>
      <c r="G39" s="3281">
        <v>1209</v>
      </c>
      <c r="H39" s="1162">
        <v>24746</v>
      </c>
      <c r="I39" s="3281">
        <f>25447+483</f>
        <v>25930</v>
      </c>
      <c r="J39" s="3281">
        <v>136116</v>
      </c>
      <c r="K39" s="1164">
        <f t="shared" si="0"/>
        <v>324789</v>
      </c>
      <c r="L39" s="1474"/>
      <c r="M39" s="1475">
        <v>1988</v>
      </c>
      <c r="N39" s="1518"/>
      <c r="P39" s="3298"/>
      <c r="Q39" s="3298"/>
    </row>
    <row r="40" spans="3:17" ht="21.95" customHeight="1">
      <c r="C40" s="1492">
        <v>97596</v>
      </c>
      <c r="D40" s="1157">
        <v>18162</v>
      </c>
      <c r="E40" s="1157">
        <v>94933</v>
      </c>
      <c r="F40" s="1157">
        <v>10972</v>
      </c>
      <c r="G40" s="1157">
        <v>2816</v>
      </c>
      <c r="H40" s="1157">
        <v>42700</v>
      </c>
      <c r="I40" s="1157">
        <f>25050+50</f>
        <v>25100</v>
      </c>
      <c r="J40" s="1157">
        <v>241880</v>
      </c>
      <c r="K40" s="1159">
        <f t="shared" si="0"/>
        <v>534159</v>
      </c>
      <c r="L40" s="1196"/>
      <c r="M40" s="1728">
        <v>1989</v>
      </c>
      <c r="N40" s="1261"/>
      <c r="O40" s="3299"/>
      <c r="P40" s="3298"/>
      <c r="Q40" s="3298"/>
    </row>
    <row r="41" spans="3:17" ht="21.95" customHeight="1">
      <c r="C41" s="1515">
        <v>143027</v>
      </c>
      <c r="D41" s="1162">
        <v>12968</v>
      </c>
      <c r="E41" s="3281">
        <v>129083</v>
      </c>
      <c r="F41" s="1162">
        <v>18044</v>
      </c>
      <c r="G41" s="3281">
        <v>3516</v>
      </c>
      <c r="H41" s="1162">
        <v>24489</v>
      </c>
      <c r="I41" s="3281">
        <f>22102+156</f>
        <v>22258</v>
      </c>
      <c r="J41" s="3281">
        <v>258868</v>
      </c>
      <c r="K41" s="1164">
        <f t="shared" si="0"/>
        <v>612253</v>
      </c>
      <c r="L41" s="1474"/>
      <c r="M41" s="1475">
        <v>1990</v>
      </c>
      <c r="N41" s="1518"/>
      <c r="P41" s="3298"/>
      <c r="Q41" s="3298"/>
    </row>
    <row r="42" spans="3:17" ht="21.95" customHeight="1">
      <c r="C42" s="1492">
        <v>223853</v>
      </c>
      <c r="D42" s="1157">
        <v>10640</v>
      </c>
      <c r="E42" s="1157">
        <v>109646</v>
      </c>
      <c r="F42" s="1157">
        <v>32567</v>
      </c>
      <c r="G42" s="1157">
        <v>2271</v>
      </c>
      <c r="H42" s="1157">
        <v>27836</v>
      </c>
      <c r="I42" s="1157">
        <v>18686</v>
      </c>
      <c r="J42" s="1157">
        <v>173128</v>
      </c>
      <c r="K42" s="1159">
        <f t="shared" si="0"/>
        <v>598627</v>
      </c>
      <c r="L42" s="1196"/>
      <c r="M42" s="1728">
        <v>1991</v>
      </c>
      <c r="N42" s="1261"/>
      <c r="P42" s="3298"/>
      <c r="Q42" s="3298"/>
    </row>
    <row r="43" spans="3:17" ht="21.95" customHeight="1">
      <c r="C43" s="1515">
        <v>249797</v>
      </c>
      <c r="D43" s="1162">
        <v>12050</v>
      </c>
      <c r="E43" s="3281">
        <v>96372</v>
      </c>
      <c r="F43" s="1162">
        <v>14005</v>
      </c>
      <c r="G43" s="3281">
        <v>4176</v>
      </c>
      <c r="H43" s="1162">
        <v>15625</v>
      </c>
      <c r="I43" s="3281">
        <v>19314</v>
      </c>
      <c r="J43" s="3281">
        <v>222416</v>
      </c>
      <c r="K43" s="1164">
        <f t="shared" si="0"/>
        <v>633755</v>
      </c>
      <c r="L43" s="1474"/>
      <c r="M43" s="1475">
        <v>1992</v>
      </c>
      <c r="N43" s="1518"/>
      <c r="P43" s="3298"/>
      <c r="Q43" s="3298"/>
    </row>
    <row r="44" spans="3:17" ht="21.95" customHeight="1">
      <c r="C44" s="1492">
        <v>245325</v>
      </c>
      <c r="D44" s="1157">
        <v>9839</v>
      </c>
      <c r="E44" s="1157">
        <v>65891</v>
      </c>
      <c r="F44" s="1157">
        <v>16472</v>
      </c>
      <c r="G44" s="1157">
        <v>7265</v>
      </c>
      <c r="H44" s="1157">
        <v>32869</v>
      </c>
      <c r="I44" s="1157">
        <v>28271</v>
      </c>
      <c r="J44" s="1157">
        <v>285350</v>
      </c>
      <c r="K44" s="1159">
        <f t="shared" si="0"/>
        <v>691282</v>
      </c>
      <c r="L44" s="1196"/>
      <c r="M44" s="1728">
        <v>1993</v>
      </c>
      <c r="N44" s="1261"/>
      <c r="P44" s="3298"/>
      <c r="Q44" s="3298"/>
    </row>
    <row r="45" spans="3:17" ht="21.95" customHeight="1">
      <c r="C45" s="1515">
        <v>284824</v>
      </c>
      <c r="D45" s="1162">
        <v>12562</v>
      </c>
      <c r="E45" s="3281">
        <v>88058</v>
      </c>
      <c r="F45" s="1162">
        <v>8210</v>
      </c>
      <c r="G45" s="3281">
        <v>8920</v>
      </c>
      <c r="H45" s="1162">
        <v>13546</v>
      </c>
      <c r="I45" s="3281">
        <v>40824</v>
      </c>
      <c r="J45" s="3281">
        <v>336975</v>
      </c>
      <c r="K45" s="1164">
        <f t="shared" si="0"/>
        <v>793919</v>
      </c>
      <c r="L45" s="1474"/>
      <c r="M45" s="1475">
        <v>1994</v>
      </c>
      <c r="N45" s="1518"/>
      <c r="P45" s="3298"/>
      <c r="Q45" s="3298"/>
    </row>
    <row r="46" spans="3:17" ht="21.95" customHeight="1">
      <c r="C46" s="1492">
        <v>315535</v>
      </c>
      <c r="D46" s="1157">
        <v>13121</v>
      </c>
      <c r="E46" s="1157">
        <v>114110</v>
      </c>
      <c r="F46" s="1157">
        <v>13331</v>
      </c>
      <c r="G46" s="1157">
        <v>14676</v>
      </c>
      <c r="H46" s="1157">
        <v>19177</v>
      </c>
      <c r="I46" s="1157">
        <v>63011</v>
      </c>
      <c r="J46" s="1157">
        <v>451573</v>
      </c>
      <c r="K46" s="1159">
        <f t="shared" si="0"/>
        <v>1004534</v>
      </c>
      <c r="L46" s="1196"/>
      <c r="M46" s="1728">
        <v>1995</v>
      </c>
      <c r="N46" s="1261"/>
      <c r="P46" s="3298"/>
      <c r="Q46" s="3298"/>
    </row>
    <row r="47" spans="3:17" ht="21.95" customHeight="1">
      <c r="C47" s="1515">
        <f>330799+1313</f>
        <v>332112</v>
      </c>
      <c r="D47" s="1162">
        <v>12300</v>
      </c>
      <c r="E47" s="3281">
        <v>81700</v>
      </c>
      <c r="F47" s="1162">
        <v>9572</v>
      </c>
      <c r="G47" s="3281">
        <v>13774</v>
      </c>
      <c r="H47" s="1162">
        <v>18751</v>
      </c>
      <c r="I47" s="3281">
        <v>86247</v>
      </c>
      <c r="J47" s="3281">
        <v>485345</v>
      </c>
      <c r="K47" s="1164">
        <f t="shared" si="0"/>
        <v>1039801</v>
      </c>
      <c r="L47" s="1474"/>
      <c r="M47" s="1475">
        <v>1996</v>
      </c>
      <c r="N47" s="1518"/>
      <c r="P47" s="3298"/>
      <c r="Q47" s="3298"/>
    </row>
    <row r="48" spans="3:17" ht="21.95" customHeight="1">
      <c r="C48" s="1492">
        <v>292507</v>
      </c>
      <c r="D48" s="1157">
        <v>12732</v>
      </c>
      <c r="E48" s="1157">
        <v>98571</v>
      </c>
      <c r="F48" s="1157">
        <v>13592</v>
      </c>
      <c r="G48" s="1157">
        <v>4911</v>
      </c>
      <c r="H48" s="1157">
        <v>12815</v>
      </c>
      <c r="I48" s="1157">
        <v>77752</v>
      </c>
      <c r="J48" s="1157">
        <v>554284</v>
      </c>
      <c r="K48" s="1159">
        <f t="shared" si="0"/>
        <v>1067164</v>
      </c>
      <c r="L48" s="1196"/>
      <c r="M48" s="1728">
        <v>1997</v>
      </c>
      <c r="N48" s="1261"/>
      <c r="P48" s="3300"/>
      <c r="Q48" s="3300"/>
    </row>
    <row r="49" spans="1:17" ht="21.95" customHeight="1">
      <c r="A49" s="3299"/>
      <c r="C49" s="1515">
        <v>357050</v>
      </c>
      <c r="D49" s="1162">
        <v>10063</v>
      </c>
      <c r="E49" s="3281">
        <v>116982</v>
      </c>
      <c r="F49" s="1162">
        <v>11551</v>
      </c>
      <c r="G49" s="3281">
        <v>5598</v>
      </c>
      <c r="H49" s="1162">
        <v>9684</v>
      </c>
      <c r="I49" s="3281">
        <v>69032</v>
      </c>
      <c r="J49" s="3281">
        <v>466422</v>
      </c>
      <c r="K49" s="1164">
        <f t="shared" si="0"/>
        <v>1046382</v>
      </c>
      <c r="L49" s="1474"/>
      <c r="M49" s="1475">
        <v>1998</v>
      </c>
      <c r="N49" s="1518"/>
      <c r="Q49" s="3300"/>
    </row>
    <row r="50" spans="1:17" ht="21.95" customHeight="1">
      <c r="A50" s="3299"/>
      <c r="C50" s="1492">
        <v>330427</v>
      </c>
      <c r="D50" s="1157">
        <v>10623</v>
      </c>
      <c r="E50" s="1157">
        <v>180547</v>
      </c>
      <c r="F50" s="1157">
        <v>25243</v>
      </c>
      <c r="G50" s="1157">
        <v>9319</v>
      </c>
      <c r="H50" s="1157">
        <v>7573</v>
      </c>
      <c r="I50" s="1157">
        <v>60921</v>
      </c>
      <c r="J50" s="1157">
        <v>426700</v>
      </c>
      <c r="K50" s="1159">
        <f t="shared" si="0"/>
        <v>1051353</v>
      </c>
      <c r="L50" s="1196"/>
      <c r="M50" s="1728">
        <v>1999</v>
      </c>
      <c r="N50" s="1261"/>
      <c r="P50" s="3301"/>
      <c r="Q50" s="3302"/>
    </row>
    <row r="51" spans="1:17" ht="21.95" customHeight="1">
      <c r="A51" s="3299"/>
      <c r="B51" s="3299"/>
      <c r="C51" s="1515">
        <v>349241</v>
      </c>
      <c r="D51" s="1162">
        <v>9277</v>
      </c>
      <c r="E51" s="3281">
        <v>172240</v>
      </c>
      <c r="F51" s="1162">
        <v>32999</v>
      </c>
      <c r="G51" s="3281">
        <v>44848</v>
      </c>
      <c r="H51" s="1162">
        <v>5450</v>
      </c>
      <c r="I51" s="3281">
        <v>35475</v>
      </c>
      <c r="J51" s="3281">
        <v>431287</v>
      </c>
      <c r="K51" s="1164">
        <f t="shared" si="0"/>
        <v>1080817</v>
      </c>
      <c r="L51" s="1474"/>
      <c r="M51" s="1475">
        <v>2000</v>
      </c>
      <c r="N51" s="1518"/>
      <c r="P51" s="3301"/>
      <c r="Q51" s="3302"/>
    </row>
    <row r="52" spans="1:17" ht="21.95" customHeight="1">
      <c r="A52" s="3299"/>
      <c r="B52" s="3299"/>
      <c r="C52" s="1492">
        <f>165367-164552+3495+357074+83690-145322-9105-29547</f>
        <v>261100</v>
      </c>
      <c r="D52" s="1157">
        <v>9105</v>
      </c>
      <c r="E52" s="1157">
        <v>145322</v>
      </c>
      <c r="F52" s="1157">
        <v>29547</v>
      </c>
      <c r="G52" s="1157">
        <v>164552</v>
      </c>
      <c r="H52" s="1157">
        <v>7911</v>
      </c>
      <c r="I52" s="1157">
        <v>53970</v>
      </c>
      <c r="J52" s="1157">
        <v>680864</v>
      </c>
      <c r="K52" s="1159">
        <f t="shared" si="0"/>
        <v>1352371</v>
      </c>
      <c r="L52" s="1196"/>
      <c r="M52" s="1728">
        <v>2001</v>
      </c>
      <c r="N52" s="1261"/>
      <c r="P52" s="3301"/>
      <c r="Q52" s="3302"/>
    </row>
    <row r="53" spans="1:17" ht="21.95" customHeight="1">
      <c r="A53" s="3299"/>
      <c r="B53" s="3299"/>
      <c r="C53" s="1515">
        <f>305707-304393+1896+381230+70087-159744-8433-32438</f>
        <v>253912</v>
      </c>
      <c r="D53" s="1162">
        <v>8433</v>
      </c>
      <c r="E53" s="3281">
        <v>159744</v>
      </c>
      <c r="F53" s="1162">
        <v>32438</v>
      </c>
      <c r="G53" s="3281">
        <v>304393</v>
      </c>
      <c r="H53" s="1162">
        <v>6788</v>
      </c>
      <c r="I53" s="3281">
        <v>50246</v>
      </c>
      <c r="J53" s="3281">
        <v>740794</v>
      </c>
      <c r="K53" s="1164">
        <f t="shared" si="0"/>
        <v>1556748</v>
      </c>
      <c r="L53" s="1474"/>
      <c r="M53" s="1475">
        <v>2002</v>
      </c>
      <c r="N53" s="1518"/>
      <c r="P53" s="3301"/>
      <c r="Q53" s="3302"/>
    </row>
    <row r="54" spans="1:17" ht="21.95" customHeight="1">
      <c r="A54" s="3299"/>
      <c r="B54" s="3299"/>
      <c r="C54" s="1492">
        <f>470885-468564+1455+355209+75431-141025-9576-25530</f>
        <v>258285</v>
      </c>
      <c r="D54" s="1157">
        <v>9576</v>
      </c>
      <c r="E54" s="1157">
        <v>141025</v>
      </c>
      <c r="F54" s="1157">
        <v>25530</v>
      </c>
      <c r="G54" s="1157">
        <v>468564</v>
      </c>
      <c r="H54" s="1157">
        <v>5274</v>
      </c>
      <c r="I54" s="1157">
        <v>74954</v>
      </c>
      <c r="J54" s="1157">
        <v>691867</v>
      </c>
      <c r="K54" s="1159">
        <f>J54+I54+H54+G54+F54+E54+D54+C54</f>
        <v>1675075</v>
      </c>
      <c r="L54" s="1196"/>
      <c r="M54" s="1728">
        <v>2003</v>
      </c>
      <c r="N54" s="1261"/>
      <c r="P54" s="3301"/>
      <c r="Q54" s="3302"/>
    </row>
    <row r="55" spans="1:17" ht="21.95" customHeight="1">
      <c r="A55" s="3299"/>
      <c r="B55" s="3299"/>
      <c r="C55" s="1515">
        <f>724969-722203+2064+422127+103745-178393-12154-24307</f>
        <v>315848</v>
      </c>
      <c r="D55" s="1162">
        <v>12154</v>
      </c>
      <c r="E55" s="3281">
        <v>178393</v>
      </c>
      <c r="F55" s="1162">
        <v>24307</v>
      </c>
      <c r="G55" s="3281">
        <v>722203</v>
      </c>
      <c r="H55" s="1162">
        <v>26786</v>
      </c>
      <c r="I55" s="3281">
        <v>80639</v>
      </c>
      <c r="J55" s="3281">
        <v>946296</v>
      </c>
      <c r="K55" s="1164">
        <f t="shared" si="0"/>
        <v>2306626</v>
      </c>
      <c r="L55" s="1474"/>
      <c r="M55" s="1475">
        <v>2004</v>
      </c>
      <c r="N55" s="1518"/>
      <c r="P55" s="3301"/>
      <c r="Q55" s="3302"/>
    </row>
    <row r="56" spans="1:17" ht="21.95" customHeight="1">
      <c r="A56" s="3303"/>
      <c r="C56" s="1492">
        <f>796001-790204+3940+490004+72972-246368-18638-28755</f>
        <v>278952</v>
      </c>
      <c r="D56" s="1157">
        <v>18638</v>
      </c>
      <c r="E56" s="1157">
        <v>246368</v>
      </c>
      <c r="F56" s="1157">
        <v>28756</v>
      </c>
      <c r="G56" s="1157">
        <v>790204</v>
      </c>
      <c r="H56" s="1157">
        <v>11208</v>
      </c>
      <c r="I56" s="1157">
        <v>100299</v>
      </c>
      <c r="J56" s="1157">
        <v>1095797</v>
      </c>
      <c r="K56" s="1159">
        <f t="shared" si="0"/>
        <v>2570222</v>
      </c>
      <c r="L56" s="1196"/>
      <c r="M56" s="1728">
        <v>2005</v>
      </c>
      <c r="N56" s="1261"/>
      <c r="P56" s="3301"/>
      <c r="Q56" s="3302"/>
    </row>
    <row r="57" spans="1:17" ht="21.95" customHeight="1">
      <c r="A57" s="2863"/>
      <c r="C57" s="1515">
        <f>915892-907768+6269+571770+67000-279961-29836-24517</f>
        <v>318849</v>
      </c>
      <c r="D57" s="1162">
        <v>29836</v>
      </c>
      <c r="E57" s="1162">
        <v>279961</v>
      </c>
      <c r="F57" s="1162">
        <v>24517</v>
      </c>
      <c r="G57" s="1162">
        <v>907768</v>
      </c>
      <c r="H57" s="1162">
        <v>11877</v>
      </c>
      <c r="I57" s="1162">
        <v>107731</v>
      </c>
      <c r="J57" s="1162">
        <v>1248771</v>
      </c>
      <c r="K57" s="1164">
        <f t="shared" si="0"/>
        <v>2929310</v>
      </c>
      <c r="L57" s="1474"/>
      <c r="M57" s="1475">
        <v>2006</v>
      </c>
      <c r="N57" s="1518"/>
      <c r="P57" s="3301"/>
      <c r="Q57" s="3302"/>
    </row>
    <row r="58" spans="1:17" s="1999" customFormat="1" ht="21.95" customHeight="1">
      <c r="C58" s="1492">
        <f>884723-G58+9915+678380-E58-D58-F58+93170</f>
        <v>360386</v>
      </c>
      <c r="D58" s="1157">
        <v>47234</v>
      </c>
      <c r="E58" s="1157">
        <v>332515</v>
      </c>
      <c r="F58" s="1157">
        <v>51082</v>
      </c>
      <c r="G58" s="1157">
        <v>874971</v>
      </c>
      <c r="H58" s="1157">
        <v>13486</v>
      </c>
      <c r="I58" s="1157">
        <v>110539</v>
      </c>
      <c r="J58" s="1157">
        <v>1393494</v>
      </c>
      <c r="K58" s="1159">
        <f>J58+I58+H58+G58+F58+E58+D58+C58</f>
        <v>3183707</v>
      </c>
      <c r="L58" s="1196"/>
      <c r="M58" s="1728">
        <v>2007</v>
      </c>
      <c r="N58" s="1261"/>
      <c r="P58" s="3301"/>
      <c r="Q58" s="3302"/>
    </row>
    <row r="59" spans="1:17" s="2254" customFormat="1" ht="22.5">
      <c r="A59" s="1999"/>
      <c r="B59" s="1999"/>
      <c r="C59" s="1515">
        <f>4431113-D59-E59-F59-G59-H59-I59-J59</f>
        <v>534097</v>
      </c>
      <c r="D59" s="1162">
        <v>111732</v>
      </c>
      <c r="E59" s="1162">
        <v>916076</v>
      </c>
      <c r="F59" s="1162">
        <v>78191</v>
      </c>
      <c r="G59" s="1162">
        <v>736156</v>
      </c>
      <c r="H59" s="1162">
        <v>23392</v>
      </c>
      <c r="I59" s="1162">
        <v>182164</v>
      </c>
      <c r="J59" s="1162">
        <v>1849305</v>
      </c>
      <c r="K59" s="1164">
        <f>J59+I59+H59+G59+F59+E59+D59+C59</f>
        <v>4431113</v>
      </c>
      <c r="L59" s="1474"/>
      <c r="M59" s="1475">
        <v>2008</v>
      </c>
      <c r="N59" s="1518"/>
      <c r="O59" s="2491"/>
      <c r="Q59" s="3300"/>
    </row>
    <row r="60" spans="1:17" s="2491" customFormat="1" ht="24">
      <c r="A60" s="1999"/>
      <c r="B60" s="1999"/>
      <c r="C60" s="1492">
        <f>3579166-J60-I60-H60-G60-F60-D60-E60</f>
        <v>377948</v>
      </c>
      <c r="D60" s="1157">
        <v>105248</v>
      </c>
      <c r="E60" s="1157">
        <v>484069</v>
      </c>
      <c r="F60" s="1157">
        <v>27428</v>
      </c>
      <c r="G60" s="1157">
        <v>612019</v>
      </c>
      <c r="H60" s="1157">
        <v>18869</v>
      </c>
      <c r="I60" s="1157">
        <v>107014</v>
      </c>
      <c r="J60" s="1157">
        <v>1846571</v>
      </c>
      <c r="K60" s="1159">
        <f>J60+I60+H60+G60+F60+E60+D60+C60</f>
        <v>3579166</v>
      </c>
      <c r="L60" s="1196"/>
      <c r="M60" s="1728">
        <v>2009</v>
      </c>
      <c r="N60" s="1261"/>
      <c r="P60" s="3301"/>
      <c r="Q60" s="3302"/>
    </row>
    <row r="61" spans="1:17" s="2491" customFormat="1" ht="24">
      <c r="A61" s="1999"/>
      <c r="B61" s="1999"/>
      <c r="C61" s="1515">
        <f>4216949-J61-I61-H61-G61-F61-D61-E61</f>
        <v>538885</v>
      </c>
      <c r="D61" s="1162">
        <v>40698</v>
      </c>
      <c r="E61" s="1162">
        <v>550935</v>
      </c>
      <c r="F61" s="1162">
        <v>78610</v>
      </c>
      <c r="G61" s="1162">
        <v>655850</v>
      </c>
      <c r="H61" s="1162">
        <v>68640</v>
      </c>
      <c r="I61" s="1162">
        <v>155616</v>
      </c>
      <c r="J61" s="1162">
        <v>2127715</v>
      </c>
      <c r="K61" s="1164">
        <f>J61+I61+H61+G61+F61+E61+D61+C61</f>
        <v>4216949</v>
      </c>
      <c r="L61" s="1474"/>
      <c r="M61" s="1475">
        <v>2010</v>
      </c>
      <c r="N61" s="1518"/>
      <c r="P61" s="3301"/>
      <c r="Q61" s="3302"/>
    </row>
    <row r="62" spans="1:17" s="2491" customFormat="1" ht="24">
      <c r="A62" s="1999"/>
      <c r="B62" s="1999"/>
      <c r="C62" s="1492">
        <f>4805873-J62-I62-H62-G62-F62-D62-E62</f>
        <v>725281</v>
      </c>
      <c r="D62" s="1157">
        <v>33522</v>
      </c>
      <c r="E62" s="1157">
        <v>645949</v>
      </c>
      <c r="F62" s="1157">
        <v>141323</v>
      </c>
      <c r="G62" s="1157">
        <v>733785</v>
      </c>
      <c r="H62" s="1157">
        <v>43747</v>
      </c>
      <c r="I62" s="1157">
        <v>220067</v>
      </c>
      <c r="J62" s="1157">
        <v>2262199</v>
      </c>
      <c r="K62" s="1159">
        <f>J62+I62+H62+G62+F62+E62+D62+C62</f>
        <v>4805873</v>
      </c>
      <c r="L62" s="1196"/>
      <c r="M62" s="4480">
        <v>2011</v>
      </c>
      <c r="N62" s="1261"/>
      <c r="P62" s="3301"/>
      <c r="Q62" s="3302"/>
    </row>
    <row r="63" spans="1:17" s="2491" customFormat="1" ht="24">
      <c r="A63" s="1999"/>
      <c r="B63" s="1999"/>
      <c r="C63" s="1515">
        <f>4749569-J63-I63-H63-G63-F63-D63-E63</f>
        <v>725467</v>
      </c>
      <c r="D63" s="1162">
        <v>28591</v>
      </c>
      <c r="E63" s="1162">
        <v>510460</v>
      </c>
      <c r="F63" s="1162">
        <v>132372</v>
      </c>
      <c r="G63" s="1162">
        <v>788540</v>
      </c>
      <c r="H63" s="1162">
        <v>41280</v>
      </c>
      <c r="I63" s="1162">
        <v>215828</v>
      </c>
      <c r="J63" s="1162">
        <v>2307031</v>
      </c>
      <c r="K63" s="1164">
        <v>4749570</v>
      </c>
      <c r="L63" s="1474"/>
      <c r="M63" s="1475">
        <v>2012</v>
      </c>
      <c r="N63" s="1518"/>
      <c r="P63" s="3301"/>
      <c r="Q63" s="3302"/>
    </row>
    <row r="64" spans="1:17" s="2491" customFormat="1" ht="24">
      <c r="A64" s="1999"/>
      <c r="B64" s="1999"/>
      <c r="C64" s="1492">
        <f>877364-847551+9234+906242-350930-28744-73634+245607</f>
        <v>737588</v>
      </c>
      <c r="D64" s="1157">
        <v>28744</v>
      </c>
      <c r="E64" s="1157">
        <v>350930</v>
      </c>
      <c r="F64" s="1157">
        <v>73634</v>
      </c>
      <c r="G64" s="1157">
        <v>847551</v>
      </c>
      <c r="H64" s="1157">
        <v>23644</v>
      </c>
      <c r="I64" s="1157">
        <v>171426</v>
      </c>
      <c r="J64" s="1157">
        <v>2571718</v>
      </c>
      <c r="K64" s="1159">
        <v>4805234</v>
      </c>
      <c r="L64" s="1196"/>
      <c r="M64" s="4480">
        <v>2013</v>
      </c>
      <c r="N64" s="1261"/>
      <c r="P64" s="3301"/>
      <c r="Q64" s="3302"/>
    </row>
    <row r="65" spans="1:17" s="2491" customFormat="1" ht="24">
      <c r="A65" s="1999"/>
      <c r="B65" s="1999"/>
      <c r="C65" s="1515">
        <f>5163030-J65-I65-H65-G65-F65-D65-E65</f>
        <v>725535</v>
      </c>
      <c r="D65" s="1162">
        <v>22966</v>
      </c>
      <c r="E65" s="1162">
        <v>459849</v>
      </c>
      <c r="F65" s="1162">
        <v>131272</v>
      </c>
      <c r="G65" s="1162">
        <v>929944</v>
      </c>
      <c r="H65" s="1162">
        <v>20606</v>
      </c>
      <c r="I65" s="1162">
        <v>216488</v>
      </c>
      <c r="J65" s="1162">
        <v>2656370</v>
      </c>
      <c r="K65" s="1164">
        <v>5163029</v>
      </c>
      <c r="L65" s="1474"/>
      <c r="M65" s="1475">
        <v>2014</v>
      </c>
      <c r="N65" s="1518"/>
      <c r="P65" s="3301"/>
      <c r="Q65" s="3302"/>
    </row>
    <row r="66" spans="1:17" s="2491" customFormat="1" ht="24">
      <c r="A66" s="1999"/>
      <c r="B66" s="1999"/>
      <c r="C66" s="1492">
        <f>4797583-J66-I66-H66-G66-F66-D66-E66</f>
        <v>622321</v>
      </c>
      <c r="D66" s="1157">
        <v>16169</v>
      </c>
      <c r="E66" s="1157">
        <v>418129</v>
      </c>
      <c r="F66" s="1157">
        <v>149673</v>
      </c>
      <c r="G66" s="1157">
        <v>1002055</v>
      </c>
      <c r="H66" s="1157">
        <v>23737</v>
      </c>
      <c r="I66" s="1157">
        <v>121465</v>
      </c>
      <c r="J66" s="1157">
        <v>2444034</v>
      </c>
      <c r="K66" s="1159">
        <v>4797583</v>
      </c>
      <c r="L66" s="1196"/>
      <c r="M66" s="4480">
        <v>2015</v>
      </c>
      <c r="N66" s="1261"/>
      <c r="P66" s="3301"/>
      <c r="Q66" s="3302"/>
    </row>
    <row r="67" spans="1:17" s="2491" customFormat="1" ht="24">
      <c r="A67" s="1999"/>
      <c r="B67" s="1999"/>
      <c r="C67" s="1515">
        <v>629942</v>
      </c>
      <c r="D67" s="1162">
        <v>16142</v>
      </c>
      <c r="E67" s="1162">
        <v>347067</v>
      </c>
      <c r="F67" s="1162">
        <v>87271</v>
      </c>
      <c r="G67" s="1162">
        <v>1041193</v>
      </c>
      <c r="H67" s="1162">
        <v>16253</v>
      </c>
      <c r="I67" s="1162">
        <v>116741</v>
      </c>
      <c r="J67" s="1162">
        <v>2141905</v>
      </c>
      <c r="K67" s="1164">
        <v>4396514</v>
      </c>
      <c r="L67" s="1474"/>
      <c r="M67" s="1658" t="s">
        <v>2618</v>
      </c>
      <c r="N67" s="1518"/>
      <c r="P67" s="3301"/>
      <c r="Q67" s="3302"/>
    </row>
    <row r="68" spans="1:17" s="2491" customFormat="1" ht="24">
      <c r="A68" s="1999"/>
      <c r="B68" s="1999"/>
      <c r="C68" s="1492">
        <v>675840</v>
      </c>
      <c r="D68" s="1157">
        <v>19053</v>
      </c>
      <c r="E68" s="1157">
        <v>382749</v>
      </c>
      <c r="F68" s="1157">
        <v>97318</v>
      </c>
      <c r="G68" s="1157">
        <v>1112562</v>
      </c>
      <c r="H68" s="1157">
        <v>17397</v>
      </c>
      <c r="I68" s="1157">
        <v>124135</v>
      </c>
      <c r="J68" s="1157">
        <v>2075170</v>
      </c>
      <c r="K68" s="1159">
        <v>4504224</v>
      </c>
      <c r="L68" s="1196"/>
      <c r="M68" s="4501" t="s">
        <v>2748</v>
      </c>
      <c r="N68" s="1261"/>
      <c r="P68" s="3301"/>
      <c r="Q68" s="3302"/>
    </row>
    <row r="69" spans="1:17" s="2491" customFormat="1" ht="24">
      <c r="A69" s="1999"/>
      <c r="B69" s="1999"/>
      <c r="C69" s="1515">
        <v>678619</v>
      </c>
      <c r="D69" s="1162">
        <v>23521</v>
      </c>
      <c r="E69" s="1162">
        <v>485695</v>
      </c>
      <c r="F69" s="1162">
        <v>74289</v>
      </c>
      <c r="G69" s="1162">
        <v>1228544</v>
      </c>
      <c r="H69" s="1162">
        <v>11947</v>
      </c>
      <c r="I69" s="1162">
        <v>141700</v>
      </c>
      <c r="J69" s="1162">
        <v>2030391</v>
      </c>
      <c r="K69" s="1164">
        <v>4674706</v>
      </c>
      <c r="L69" s="1474"/>
      <c r="M69" s="1658" t="s">
        <v>2928</v>
      </c>
      <c r="N69" s="1518"/>
      <c r="P69" s="3301"/>
      <c r="Q69" s="3302"/>
    </row>
    <row r="70" spans="1:17" s="2491" customFormat="1" ht="24">
      <c r="A70" s="1999"/>
      <c r="B70" s="1999"/>
      <c r="C70" s="1492">
        <v>697656.27629099949</v>
      </c>
      <c r="D70" s="1157">
        <v>16809.259999999998</v>
      </c>
      <c r="E70" s="1157">
        <v>496097.73354199994</v>
      </c>
      <c r="F70" s="1157">
        <v>141594.55158299999</v>
      </c>
      <c r="G70" s="1157">
        <v>1381936.0409200001</v>
      </c>
      <c r="H70" s="1157">
        <v>38396.214736000002</v>
      </c>
      <c r="I70" s="1157">
        <v>144581.23605000001</v>
      </c>
      <c r="J70" s="1157">
        <v>2078613.6868780002</v>
      </c>
      <c r="K70" s="1159">
        <v>4995685</v>
      </c>
      <c r="L70" s="1196"/>
      <c r="M70" s="4501" t="s">
        <v>3028</v>
      </c>
      <c r="N70" s="1261"/>
      <c r="P70" s="3301"/>
      <c r="Q70" s="3302"/>
    </row>
    <row r="71" spans="1:17" s="2491" customFormat="1" ht="24">
      <c r="A71" s="1999"/>
      <c r="B71" s="1999"/>
      <c r="C71" s="1515">
        <v>731271</v>
      </c>
      <c r="D71" s="1162">
        <v>15622</v>
      </c>
      <c r="E71" s="1162">
        <v>613507</v>
      </c>
      <c r="F71" s="1162">
        <v>114777</v>
      </c>
      <c r="G71" s="1162">
        <v>1220478</v>
      </c>
      <c r="H71" s="1162">
        <v>179245</v>
      </c>
      <c r="I71" s="1162">
        <v>153334</v>
      </c>
      <c r="J71" s="1162">
        <v>2015874</v>
      </c>
      <c r="K71" s="1164">
        <v>5044108</v>
      </c>
      <c r="L71" s="1474"/>
      <c r="M71" s="1658" t="s">
        <v>3101</v>
      </c>
      <c r="N71" s="1518"/>
      <c r="P71" s="3301"/>
      <c r="Q71" s="3302"/>
    </row>
    <row r="72" spans="1:17" ht="18.95" customHeight="1">
      <c r="A72" s="1999"/>
      <c r="B72" s="1999"/>
      <c r="C72" s="1492">
        <v>928928</v>
      </c>
      <c r="D72" s="1157">
        <v>22773</v>
      </c>
      <c r="E72" s="1157">
        <v>906552</v>
      </c>
      <c r="F72" s="1157">
        <v>72132</v>
      </c>
      <c r="G72" s="1157">
        <v>1586531</v>
      </c>
      <c r="H72" s="1157">
        <v>54239</v>
      </c>
      <c r="I72" s="1157">
        <v>197298</v>
      </c>
      <c r="J72" s="1157">
        <v>2270371</v>
      </c>
      <c r="K72" s="1159">
        <v>6038824</v>
      </c>
      <c r="L72" s="1196"/>
      <c r="M72" s="4529" t="s">
        <v>3106</v>
      </c>
      <c r="N72" s="1261"/>
      <c r="O72" s="1999"/>
      <c r="Q72" s="3307"/>
    </row>
    <row r="73" spans="1:17" s="2491" customFormat="1" ht="24">
      <c r="A73" s="1999"/>
      <c r="B73" s="1999"/>
      <c r="C73" s="4546">
        <v>1643269</v>
      </c>
      <c r="D73" s="4547">
        <v>61683.6</v>
      </c>
      <c r="E73" s="4547">
        <v>1272770.3999999999</v>
      </c>
      <c r="F73" s="4547">
        <v>190646.6</v>
      </c>
      <c r="G73" s="4547">
        <v>1954448.6</v>
      </c>
      <c r="H73" s="4547">
        <v>12087.5</v>
      </c>
      <c r="I73" s="4547">
        <v>489910.7</v>
      </c>
      <c r="J73" s="4547">
        <v>2740714</v>
      </c>
      <c r="K73" s="4548">
        <v>8365530.4000000004</v>
      </c>
      <c r="L73" s="4551"/>
      <c r="M73" s="4552" t="s">
        <v>3116</v>
      </c>
      <c r="N73" s="4553"/>
      <c r="P73" s="3301"/>
      <c r="Q73" s="3302"/>
    </row>
    <row r="74" spans="1:17" ht="18.95" customHeight="1">
      <c r="C74" s="4491" t="s">
        <v>3107</v>
      </c>
      <c r="D74" s="1318"/>
      <c r="E74" s="1266"/>
      <c r="F74" s="1468"/>
      <c r="G74" s="1266"/>
      <c r="H74" s="3304"/>
      <c r="I74" s="3304"/>
      <c r="J74" s="3304"/>
      <c r="K74" s="4506"/>
      <c r="L74" s="3304"/>
      <c r="M74" s="4490" t="s">
        <v>1457</v>
      </c>
      <c r="N74" s="4507"/>
      <c r="O74" s="1999"/>
      <c r="P74" s="3309"/>
      <c r="Q74" s="3310"/>
    </row>
    <row r="75" spans="1:17" ht="18.95" customHeight="1">
      <c r="C75" s="428" t="s">
        <v>1458</v>
      </c>
      <c r="D75" s="1265"/>
      <c r="E75" s="1274"/>
      <c r="F75" s="1468"/>
      <c r="G75" s="1274"/>
      <c r="H75" s="3305"/>
      <c r="I75" s="3305"/>
      <c r="J75" s="3305"/>
      <c r="K75" s="3306"/>
      <c r="L75" s="4495"/>
      <c r="M75" s="3288" t="s">
        <v>1459</v>
      </c>
      <c r="N75" s="1308"/>
      <c r="O75" s="1999"/>
      <c r="P75" s="3309"/>
      <c r="Q75" s="3310"/>
    </row>
    <row r="76" spans="1:17" ht="17.100000000000001" customHeight="1">
      <c r="C76" s="4491" t="s">
        <v>1460</v>
      </c>
      <c r="D76" s="1265"/>
      <c r="E76" s="1274"/>
      <c r="F76" s="1265"/>
      <c r="G76" s="1274"/>
      <c r="H76" s="3305"/>
      <c r="I76" s="3305"/>
      <c r="J76" s="3305"/>
      <c r="K76" s="3306"/>
      <c r="L76" s="3305"/>
      <c r="M76" s="4496" t="s">
        <v>1461</v>
      </c>
      <c r="N76" s="3308"/>
      <c r="O76" s="1999"/>
      <c r="P76" s="3312"/>
      <c r="Q76" s="3313"/>
    </row>
    <row r="77" spans="1:17" ht="28.5" customHeight="1">
      <c r="C77" s="4938" t="s">
        <v>3108</v>
      </c>
      <c r="D77" s="4938"/>
      <c r="E77" s="4938"/>
      <c r="F77" s="4938"/>
      <c r="G77" s="4938"/>
      <c r="H77" s="3311"/>
      <c r="I77" s="4939" t="s">
        <v>3109</v>
      </c>
      <c r="J77" s="4939"/>
      <c r="K77" s="4939"/>
      <c r="L77" s="4939"/>
      <c r="M77" s="4939"/>
      <c r="N77" s="1999"/>
      <c r="O77" s="1999"/>
      <c r="Q77" s="3310"/>
    </row>
    <row r="78" spans="1:17" ht="17.100000000000001" customHeight="1">
      <c r="N78" s="1999"/>
      <c r="O78" s="1999"/>
      <c r="P78" s="3312"/>
      <c r="Q78" s="3313"/>
    </row>
    <row r="79" spans="1:17" ht="17.100000000000001" customHeight="1">
      <c r="N79" s="1307"/>
      <c r="O79" s="1999"/>
      <c r="P79" s="3309"/>
      <c r="Q79" s="3310"/>
    </row>
    <row r="80" spans="1:17" ht="17.100000000000001" customHeight="1">
      <c r="N80" s="1307"/>
      <c r="O80" s="1999"/>
      <c r="P80" s="3314"/>
      <c r="Q80" s="3307"/>
    </row>
    <row r="81" spans="14:17" ht="17.100000000000001" customHeight="1">
      <c r="N81" s="1307"/>
      <c r="O81" s="1999"/>
      <c r="Q81" s="3310"/>
    </row>
    <row r="82" spans="14:17" ht="17.100000000000001" customHeight="1">
      <c r="N82" s="1307"/>
      <c r="O82" s="1999"/>
      <c r="P82" s="3309"/>
      <c r="Q82" s="3310"/>
    </row>
    <row r="83" spans="14:17" ht="17.100000000000001" customHeight="1">
      <c r="N83" s="1307"/>
      <c r="O83" s="1999"/>
      <c r="P83" s="3301"/>
      <c r="Q83" s="3302"/>
    </row>
    <row r="84" spans="14:17" ht="17.100000000000001" customHeight="1">
      <c r="N84" s="1307"/>
      <c r="O84" s="1999"/>
      <c r="P84" s="3309"/>
      <c r="Q84" s="3310"/>
    </row>
    <row r="85" spans="14:17" ht="17.100000000000001" customHeight="1">
      <c r="N85" s="1307"/>
      <c r="O85" s="1999"/>
      <c r="P85" s="3309"/>
      <c r="Q85" s="3310"/>
    </row>
    <row r="86" spans="14:17" ht="17.100000000000001" customHeight="1">
      <c r="N86" s="1307"/>
      <c r="O86" s="1999"/>
      <c r="P86" s="3309"/>
      <c r="Q86" s="3310"/>
    </row>
    <row r="87" spans="14:17" ht="17.100000000000001" customHeight="1">
      <c r="N87" s="1307"/>
      <c r="O87" s="1999"/>
      <c r="P87" s="3309"/>
      <c r="Q87" s="3310"/>
    </row>
    <row r="88" spans="14:17" ht="17.100000000000001" customHeight="1">
      <c r="N88" s="1307"/>
      <c r="O88" s="1999"/>
      <c r="P88" s="3309"/>
      <c r="Q88" s="3310"/>
    </row>
    <row r="89" spans="14:17" ht="17.100000000000001" customHeight="1">
      <c r="N89" s="1307"/>
      <c r="O89" s="1999"/>
      <c r="Q89" s="3310"/>
    </row>
    <row r="90" spans="14:17" ht="17.100000000000001" customHeight="1">
      <c r="N90" s="1307"/>
      <c r="O90" s="1999"/>
      <c r="P90" s="3309"/>
      <c r="Q90" s="3310"/>
    </row>
    <row r="91" spans="14:17" ht="17.100000000000001" customHeight="1">
      <c r="N91" s="1307"/>
      <c r="O91" s="1999"/>
      <c r="Q91" s="3302"/>
    </row>
    <row r="92" spans="14:17" ht="17.100000000000001" customHeight="1">
      <c r="N92" s="1307"/>
      <c r="O92" s="1999"/>
      <c r="P92" s="3301"/>
      <c r="Q92" s="3302"/>
    </row>
    <row r="93" spans="14:17" ht="17.100000000000001" customHeight="1">
      <c r="N93" s="1307"/>
      <c r="O93" s="1999"/>
      <c r="P93" s="3314"/>
      <c r="Q93" s="3307"/>
    </row>
    <row r="94" spans="14:17" ht="17.100000000000001" customHeight="1">
      <c r="N94" s="1307"/>
      <c r="O94" s="1999"/>
    </row>
    <row r="95" spans="14:17" ht="17.100000000000001" customHeight="1">
      <c r="N95" s="1307"/>
      <c r="O95" s="1999"/>
    </row>
    <row r="96" spans="14:17" ht="17.100000000000001" customHeight="1">
      <c r="N96" s="1307"/>
      <c r="O96" s="1999"/>
    </row>
    <row r="97" spans="14:15" ht="17.100000000000001" customHeight="1">
      <c r="N97" s="1307"/>
      <c r="O97" s="1999"/>
    </row>
    <row r="98" spans="14:15" ht="17.100000000000001" customHeight="1">
      <c r="N98" s="1307"/>
      <c r="O98" s="1999"/>
    </row>
    <row r="99" spans="14:15" ht="17.100000000000001" customHeight="1">
      <c r="N99" s="1307"/>
      <c r="O99" s="1999"/>
    </row>
    <row r="100" spans="14:15" ht="17.100000000000001" customHeight="1">
      <c r="N100" s="1307"/>
      <c r="O100" s="1999"/>
    </row>
    <row r="101" spans="14:15" ht="17.100000000000001" customHeight="1">
      <c r="N101" s="1307"/>
      <c r="O101" s="1999"/>
    </row>
    <row r="102" spans="14:15" ht="17.100000000000001" customHeight="1">
      <c r="N102" s="1307"/>
      <c r="O102" s="1999"/>
    </row>
    <row r="103" spans="14:15" ht="17.100000000000001" customHeight="1">
      <c r="N103" s="1307"/>
      <c r="O103" s="1999"/>
    </row>
    <row r="104" spans="14:15" ht="17.100000000000001" customHeight="1">
      <c r="N104" s="1307"/>
      <c r="O104" s="1999"/>
    </row>
    <row r="105" spans="14:15" ht="17.100000000000001" customHeight="1">
      <c r="N105" s="1307"/>
      <c r="O105" s="1999"/>
    </row>
    <row r="106" spans="14:15" ht="17.100000000000001" customHeight="1">
      <c r="N106" s="1307"/>
      <c r="O106" s="1999"/>
    </row>
    <row r="107" spans="14:15" ht="17.100000000000001" customHeight="1">
      <c r="N107" s="1307"/>
      <c r="O107" s="1999"/>
    </row>
    <row r="108" spans="14:15" ht="17.100000000000001" customHeight="1">
      <c r="N108" s="1307"/>
      <c r="O108" s="1999"/>
    </row>
    <row r="109" spans="14:15" ht="17.100000000000001" customHeight="1">
      <c r="N109" s="1307"/>
      <c r="O109" s="1999"/>
    </row>
    <row r="110" spans="14:15" ht="17.100000000000001" customHeight="1">
      <c r="N110" s="1307"/>
      <c r="O110" s="1999"/>
    </row>
    <row r="111" spans="14:15" ht="17.100000000000001" customHeight="1">
      <c r="N111" s="1307"/>
      <c r="O111" s="1999"/>
    </row>
    <row r="112" spans="14:15" ht="17.100000000000001" customHeight="1">
      <c r="N112" s="1307"/>
      <c r="O112" s="1999"/>
    </row>
    <row r="113" spans="14:15" ht="17.100000000000001" customHeight="1">
      <c r="N113" s="1307"/>
      <c r="O113" s="1999"/>
    </row>
    <row r="114" spans="14:15" ht="17.100000000000001" customHeight="1">
      <c r="N114" s="1307"/>
      <c r="O114" s="1999"/>
    </row>
    <row r="115" spans="14:15" ht="17.100000000000001" customHeight="1">
      <c r="N115" s="1307"/>
      <c r="O115" s="1999"/>
    </row>
    <row r="116" spans="14:15" ht="17.100000000000001" customHeight="1">
      <c r="N116" s="1307"/>
      <c r="O116" s="1999"/>
    </row>
    <row r="117" spans="14:15" ht="17.100000000000001" customHeight="1">
      <c r="N117" s="1307"/>
      <c r="O117" s="1999"/>
    </row>
    <row r="118" spans="14:15" ht="17.100000000000001" customHeight="1">
      <c r="N118" s="1307"/>
      <c r="O118" s="1999"/>
    </row>
    <row r="119" spans="14:15" ht="17.100000000000001" customHeight="1">
      <c r="N119" s="1307"/>
      <c r="O119" s="1999"/>
    </row>
    <row r="120" spans="14:15" ht="17.100000000000001" customHeight="1">
      <c r="N120" s="1307"/>
      <c r="O120" s="1999"/>
    </row>
    <row r="121" spans="14:15" ht="17.100000000000001" customHeight="1">
      <c r="N121" s="1307"/>
      <c r="O121" s="1999"/>
    </row>
    <row r="122" spans="14:15" ht="17.100000000000001" customHeight="1">
      <c r="N122" s="1307"/>
      <c r="O122" s="1999"/>
    </row>
    <row r="123" spans="14:15" ht="17.100000000000001" customHeight="1">
      <c r="N123" s="1307"/>
      <c r="O123" s="1999"/>
    </row>
    <row r="124" spans="14:15" ht="17.100000000000001" customHeight="1">
      <c r="N124" s="1307"/>
      <c r="O124" s="1999"/>
    </row>
    <row r="125" spans="14:15" ht="17.100000000000001" customHeight="1">
      <c r="N125" s="1307"/>
      <c r="O125" s="1999"/>
    </row>
    <row r="126" spans="14:15" ht="17.100000000000001" customHeight="1">
      <c r="N126" s="1307"/>
      <c r="O126" s="1999"/>
    </row>
    <row r="127" spans="14:15" ht="17.100000000000001" customHeight="1">
      <c r="N127" s="1307"/>
      <c r="O127" s="1999"/>
    </row>
    <row r="128" spans="14:15" ht="17.100000000000001" customHeight="1">
      <c r="N128" s="1307"/>
      <c r="O128" s="1999"/>
    </row>
    <row r="129" spans="14:15" ht="17.100000000000001" customHeight="1">
      <c r="N129" s="1307"/>
      <c r="O129" s="1999"/>
    </row>
    <row r="130" spans="14:15" ht="17.100000000000001" customHeight="1">
      <c r="N130" s="1307"/>
      <c r="O130" s="1999"/>
    </row>
    <row r="131" spans="14:15" ht="17.100000000000001" customHeight="1">
      <c r="N131" s="1307"/>
      <c r="O131" s="1999"/>
    </row>
    <row r="132" spans="14:15" ht="17.100000000000001" customHeight="1">
      <c r="N132" s="1307"/>
      <c r="O132" s="1999"/>
    </row>
    <row r="133" spans="14:15" ht="17.100000000000001" customHeight="1">
      <c r="N133" s="1307"/>
      <c r="O133" s="1999"/>
    </row>
    <row r="134" spans="14:15" ht="17.100000000000001" customHeight="1">
      <c r="N134" s="1307"/>
      <c r="O134" s="1999"/>
    </row>
    <row r="135" spans="14:15" ht="17.100000000000001" customHeight="1">
      <c r="N135" s="1307"/>
      <c r="O135" s="1999"/>
    </row>
    <row r="136" spans="14:15" ht="17.100000000000001" customHeight="1">
      <c r="N136" s="1307"/>
      <c r="O136" s="1999"/>
    </row>
    <row r="137" spans="14:15" ht="17.100000000000001" customHeight="1">
      <c r="N137" s="1307"/>
      <c r="O137" s="1999"/>
    </row>
    <row r="138" spans="14:15" ht="17.100000000000001" customHeight="1">
      <c r="N138" s="1307"/>
      <c r="O138" s="1999"/>
    </row>
    <row r="139" spans="14:15" ht="17.100000000000001" customHeight="1">
      <c r="N139" s="1307"/>
      <c r="O139" s="1999"/>
    </row>
    <row r="140" spans="14:15" ht="17.100000000000001" customHeight="1">
      <c r="N140" s="1307"/>
      <c r="O140" s="1999"/>
    </row>
    <row r="141" spans="14:15" ht="17.100000000000001" customHeight="1">
      <c r="N141" s="1307"/>
      <c r="O141" s="1999"/>
    </row>
    <row r="142" spans="14:15" ht="17.100000000000001" customHeight="1">
      <c r="N142" s="1307"/>
      <c r="O142" s="1999"/>
    </row>
    <row r="143" spans="14:15" ht="17.100000000000001" customHeight="1">
      <c r="N143" s="1307"/>
      <c r="O143" s="1999"/>
    </row>
    <row r="144" spans="14:15" ht="17.100000000000001" customHeight="1">
      <c r="N144" s="1307"/>
      <c r="O144" s="1999"/>
    </row>
    <row r="145" spans="14:15" ht="17.100000000000001" customHeight="1">
      <c r="N145" s="1307"/>
      <c r="O145" s="1999"/>
    </row>
    <row r="146" spans="14:15" ht="17.100000000000001" customHeight="1">
      <c r="N146" s="1307"/>
      <c r="O146" s="1999"/>
    </row>
    <row r="147" spans="14:15" ht="17.100000000000001" customHeight="1">
      <c r="N147" s="1307"/>
      <c r="O147" s="1999"/>
    </row>
    <row r="148" spans="14:15" ht="17.100000000000001" customHeight="1">
      <c r="N148" s="1307"/>
      <c r="O148" s="1999"/>
    </row>
    <row r="149" spans="14:15" ht="17.100000000000001" customHeight="1">
      <c r="N149" s="1307"/>
      <c r="O149" s="1999"/>
    </row>
    <row r="150" spans="14:15" ht="17.100000000000001" customHeight="1">
      <c r="N150" s="1307"/>
      <c r="O150" s="1999"/>
    </row>
    <row r="151" spans="14:15" ht="17.100000000000001" customHeight="1">
      <c r="N151" s="1307"/>
      <c r="O151" s="1999"/>
    </row>
    <row r="152" spans="14:15" ht="17.100000000000001" customHeight="1">
      <c r="N152" s="1307"/>
      <c r="O152" s="1999"/>
    </row>
    <row r="153" spans="14:15" ht="17.100000000000001" customHeight="1">
      <c r="N153" s="1307"/>
      <c r="O153" s="1999"/>
    </row>
    <row r="154" spans="14:15" ht="17.100000000000001" customHeight="1">
      <c r="N154" s="1307"/>
      <c r="O154" s="1999"/>
    </row>
    <row r="155" spans="14:15" ht="17.100000000000001" customHeight="1">
      <c r="N155" s="1307"/>
      <c r="O155" s="1999"/>
    </row>
    <row r="156" spans="14:15" ht="17.100000000000001" customHeight="1">
      <c r="N156" s="1307"/>
      <c r="O156" s="1999"/>
    </row>
    <row r="157" spans="14:15" ht="17.100000000000001" customHeight="1">
      <c r="N157" s="1307"/>
      <c r="O157" s="1999"/>
    </row>
    <row r="158" spans="14:15" ht="17.100000000000001" customHeight="1">
      <c r="N158" s="1307"/>
      <c r="O158" s="1999"/>
    </row>
    <row r="159" spans="14:15" ht="17.100000000000001" customHeight="1">
      <c r="N159" s="1307"/>
      <c r="O159" s="1999"/>
    </row>
    <row r="160" spans="14:15" ht="17.100000000000001" customHeight="1">
      <c r="N160" s="1307"/>
      <c r="O160" s="1999"/>
    </row>
    <row r="161" spans="14:15" ht="17.100000000000001" customHeight="1">
      <c r="N161" s="1307"/>
      <c r="O161" s="1999"/>
    </row>
    <row r="162" spans="14:15" ht="17.100000000000001" customHeight="1">
      <c r="N162" s="1307"/>
      <c r="O162" s="1999"/>
    </row>
    <row r="163" spans="14:15" ht="17.100000000000001" customHeight="1">
      <c r="N163" s="1307"/>
      <c r="O163" s="1999"/>
    </row>
    <row r="164" spans="14:15" ht="17.100000000000001" customHeight="1">
      <c r="N164" s="1307"/>
      <c r="O164" s="1999"/>
    </row>
    <row r="165" spans="14:15" ht="17.100000000000001" customHeight="1">
      <c r="N165" s="1307"/>
      <c r="O165" s="1999"/>
    </row>
    <row r="166" spans="14:15" ht="17.100000000000001" customHeight="1">
      <c r="N166" s="1307"/>
      <c r="O166" s="1999"/>
    </row>
    <row r="167" spans="14:15" ht="17.100000000000001" customHeight="1">
      <c r="N167" s="1307"/>
      <c r="O167" s="1999"/>
    </row>
    <row r="168" spans="14:15" ht="17.100000000000001" customHeight="1">
      <c r="N168" s="1307"/>
      <c r="O168" s="1999"/>
    </row>
    <row r="169" spans="14:15" ht="17.100000000000001" customHeight="1">
      <c r="N169" s="1307"/>
      <c r="O169" s="1999"/>
    </row>
    <row r="170" spans="14:15" ht="17.100000000000001" customHeight="1">
      <c r="N170" s="1307"/>
      <c r="O170" s="1999"/>
    </row>
    <row r="171" spans="14:15" ht="17.100000000000001" customHeight="1">
      <c r="N171" s="1307"/>
      <c r="O171" s="1999"/>
    </row>
    <row r="172" spans="14:15" ht="17.100000000000001" customHeight="1">
      <c r="N172" s="1307"/>
      <c r="O172" s="1999"/>
    </row>
    <row r="173" spans="14:15" ht="17.100000000000001" customHeight="1">
      <c r="N173" s="1307"/>
      <c r="O173" s="1999"/>
    </row>
    <row r="174" spans="14:15" ht="17.100000000000001" customHeight="1">
      <c r="N174" s="1307"/>
      <c r="O174" s="1999"/>
    </row>
    <row r="175" spans="14:15" ht="17.100000000000001" customHeight="1">
      <c r="N175" s="1307"/>
      <c r="O175" s="1999"/>
    </row>
    <row r="176" spans="14:15" ht="17.100000000000001" customHeight="1">
      <c r="N176" s="1307"/>
      <c r="O176" s="1999"/>
    </row>
    <row r="177" spans="14:15" ht="17.100000000000001" customHeight="1">
      <c r="N177" s="1307"/>
      <c r="O177" s="1999"/>
    </row>
    <row r="178" spans="14:15" ht="17.100000000000001" customHeight="1">
      <c r="N178" s="1307"/>
      <c r="O178" s="1999"/>
    </row>
    <row r="179" spans="14:15" ht="17.100000000000001" customHeight="1">
      <c r="N179" s="1307"/>
      <c r="O179" s="1999"/>
    </row>
    <row r="180" spans="14:15" ht="17.100000000000001" customHeight="1">
      <c r="N180" s="1307"/>
      <c r="O180" s="1999"/>
    </row>
    <row r="181" spans="14:15" ht="17.100000000000001" customHeight="1">
      <c r="N181" s="1307"/>
      <c r="O181" s="1999"/>
    </row>
    <row r="182" spans="14:15" ht="17.100000000000001" customHeight="1">
      <c r="N182" s="1307"/>
      <c r="O182" s="1999"/>
    </row>
    <row r="183" spans="14:15" ht="17.100000000000001" customHeight="1">
      <c r="N183" s="1307"/>
      <c r="O183" s="1999"/>
    </row>
    <row r="184" spans="14:15" ht="17.100000000000001" customHeight="1">
      <c r="N184" s="1307"/>
      <c r="O184" s="1999"/>
    </row>
    <row r="185" spans="14:15" ht="17.100000000000001" customHeight="1">
      <c r="N185" s="1307"/>
      <c r="O185" s="1999"/>
    </row>
    <row r="186" spans="14:15" ht="17.100000000000001" customHeight="1">
      <c r="N186" s="1307"/>
      <c r="O186" s="1999"/>
    </row>
    <row r="187" spans="14:15" ht="17.100000000000001" customHeight="1">
      <c r="N187" s="1307"/>
      <c r="O187" s="1999"/>
    </row>
    <row r="188" spans="14:15" ht="17.100000000000001" customHeight="1">
      <c r="N188" s="1307"/>
      <c r="O188" s="1999"/>
    </row>
    <row r="189" spans="14:15" ht="17.100000000000001" customHeight="1">
      <c r="N189" s="1307"/>
      <c r="O189" s="1999"/>
    </row>
    <row r="190" spans="14:15" ht="17.100000000000001" customHeight="1">
      <c r="N190" s="1307"/>
      <c r="O190" s="1999"/>
    </row>
    <row r="191" spans="14:15" ht="17.100000000000001" customHeight="1">
      <c r="N191" s="1307"/>
      <c r="O191" s="1999"/>
    </row>
    <row r="192" spans="14:15" ht="17.100000000000001" customHeight="1">
      <c r="N192" s="1307"/>
      <c r="O192" s="1999"/>
    </row>
    <row r="193" spans="14:15" ht="17.100000000000001" customHeight="1">
      <c r="N193" s="1307"/>
      <c r="O193" s="1999"/>
    </row>
    <row r="194" spans="14:15" ht="17.100000000000001" customHeight="1">
      <c r="N194" s="1307"/>
      <c r="O194" s="1999"/>
    </row>
    <row r="195" spans="14:15" ht="17.100000000000001" customHeight="1">
      <c r="N195" s="1307"/>
      <c r="O195" s="1999"/>
    </row>
    <row r="196" spans="14:15" ht="17.100000000000001" customHeight="1">
      <c r="N196" s="1307"/>
      <c r="O196" s="1999"/>
    </row>
    <row r="197" spans="14:15" ht="17.100000000000001" customHeight="1">
      <c r="N197" s="1307"/>
      <c r="O197" s="1999"/>
    </row>
    <row r="198" spans="14:15" ht="17.100000000000001" customHeight="1">
      <c r="N198" s="1307"/>
      <c r="O198" s="1999"/>
    </row>
    <row r="199" spans="14:15" ht="17.100000000000001" customHeight="1">
      <c r="N199" s="1307"/>
      <c r="O199" s="1999"/>
    </row>
    <row r="200" spans="14:15" ht="17.100000000000001" customHeight="1">
      <c r="N200" s="1307"/>
      <c r="O200" s="1999"/>
    </row>
    <row r="201" spans="14:15" ht="17.100000000000001" customHeight="1">
      <c r="N201" s="1307"/>
      <c r="O201" s="1999"/>
    </row>
    <row r="202" spans="14:15" ht="17.100000000000001" customHeight="1">
      <c r="N202" s="1307"/>
      <c r="O202" s="1999"/>
    </row>
    <row r="203" spans="14:15" ht="17.100000000000001" customHeight="1">
      <c r="N203" s="1307"/>
      <c r="O203" s="1999"/>
    </row>
    <row r="204" spans="14:15" ht="17.100000000000001" customHeight="1">
      <c r="N204" s="1307"/>
      <c r="O204" s="1999"/>
    </row>
    <row r="205" spans="14:15" ht="17.100000000000001" customHeight="1">
      <c r="N205" s="1307"/>
      <c r="O205" s="1999"/>
    </row>
    <row r="206" spans="14:15" ht="17.100000000000001" customHeight="1">
      <c r="N206" s="1307"/>
      <c r="O206" s="1999"/>
    </row>
    <row r="207" spans="14:15" ht="17.100000000000001" customHeight="1">
      <c r="N207" s="1307"/>
      <c r="O207" s="1999"/>
    </row>
    <row r="208" spans="14:15" ht="17.100000000000001" customHeight="1">
      <c r="N208" s="1307"/>
      <c r="O208" s="1999"/>
    </row>
    <row r="209" spans="14:15" ht="17.100000000000001" customHeight="1">
      <c r="N209" s="1307"/>
      <c r="O209" s="1999"/>
    </row>
    <row r="210" spans="14:15" ht="17.100000000000001" customHeight="1">
      <c r="N210" s="1307"/>
      <c r="O210" s="1999"/>
    </row>
    <row r="211" spans="14:15" ht="17.100000000000001" customHeight="1">
      <c r="N211" s="1307"/>
      <c r="O211" s="1999"/>
    </row>
    <row r="212" spans="14:15" ht="17.100000000000001" customHeight="1">
      <c r="N212" s="1307"/>
      <c r="O212" s="1999"/>
    </row>
    <row r="213" spans="14:15" ht="17.100000000000001" customHeight="1">
      <c r="N213" s="1307"/>
      <c r="O213" s="1999"/>
    </row>
    <row r="214" spans="14:15" ht="17.100000000000001" customHeight="1">
      <c r="N214" s="1307"/>
      <c r="O214" s="1999"/>
    </row>
    <row r="215" spans="14:15" ht="17.100000000000001" customHeight="1">
      <c r="N215" s="1307"/>
      <c r="O215" s="1999"/>
    </row>
    <row r="216" spans="14:15" ht="17.100000000000001" customHeight="1">
      <c r="N216" s="1307"/>
      <c r="O216" s="1999"/>
    </row>
    <row r="217" spans="14:15" ht="17.100000000000001" customHeight="1">
      <c r="N217" s="1307"/>
      <c r="O217" s="1999"/>
    </row>
    <row r="218" spans="14:15" ht="17.100000000000001" customHeight="1">
      <c r="N218" s="1307"/>
      <c r="O218" s="1999"/>
    </row>
    <row r="219" spans="14:15" ht="17.100000000000001" customHeight="1">
      <c r="N219" s="1307"/>
      <c r="O219" s="1999"/>
    </row>
    <row r="220" spans="14:15" ht="17.100000000000001" customHeight="1">
      <c r="N220" s="1307"/>
      <c r="O220" s="1999"/>
    </row>
    <row r="221" spans="14:15" ht="17.100000000000001" customHeight="1">
      <c r="N221" s="1307"/>
      <c r="O221" s="1999"/>
    </row>
    <row r="222" spans="14:15" ht="17.100000000000001" customHeight="1">
      <c r="N222" s="1307"/>
      <c r="O222" s="1999"/>
    </row>
    <row r="223" spans="14:15" ht="17.100000000000001" customHeight="1">
      <c r="N223" s="1307"/>
      <c r="O223" s="1999"/>
    </row>
    <row r="224" spans="14:15" ht="17.100000000000001" customHeight="1">
      <c r="N224" s="1307"/>
      <c r="O224" s="1999"/>
    </row>
    <row r="225" spans="14:15" ht="17.100000000000001" customHeight="1">
      <c r="N225" s="1307"/>
      <c r="O225" s="1999"/>
    </row>
    <row r="226" spans="14:15" ht="17.100000000000001" customHeight="1">
      <c r="N226" s="1307"/>
      <c r="O226" s="1999"/>
    </row>
    <row r="227" spans="14:15" ht="17.100000000000001" customHeight="1">
      <c r="N227" s="1307"/>
      <c r="O227" s="1999"/>
    </row>
    <row r="228" spans="14:15" ht="17.100000000000001" customHeight="1">
      <c r="N228" s="1307"/>
      <c r="O228" s="1999"/>
    </row>
    <row r="229" spans="14:15" ht="17.100000000000001" customHeight="1">
      <c r="N229" s="1307"/>
      <c r="O229" s="1999"/>
    </row>
    <row r="230" spans="14:15" ht="17.100000000000001" customHeight="1">
      <c r="N230" s="1307"/>
      <c r="O230" s="1999"/>
    </row>
    <row r="231" spans="14:15" ht="17.100000000000001" customHeight="1">
      <c r="N231" s="1307"/>
      <c r="O231" s="1999"/>
    </row>
    <row r="232" spans="14:15" ht="17.100000000000001" customHeight="1">
      <c r="N232" s="1307"/>
      <c r="O232" s="1999"/>
    </row>
    <row r="233" spans="14:15" ht="17.100000000000001" customHeight="1">
      <c r="N233" s="1307"/>
      <c r="O233" s="1999"/>
    </row>
    <row r="234" spans="14:15" ht="17.100000000000001" customHeight="1">
      <c r="N234" s="1307"/>
      <c r="O234" s="1999"/>
    </row>
    <row r="235" spans="14:15" ht="17.100000000000001" customHeight="1">
      <c r="N235" s="1307"/>
      <c r="O235" s="1999"/>
    </row>
    <row r="236" spans="14:15" ht="17.100000000000001" customHeight="1">
      <c r="N236" s="1307"/>
      <c r="O236" s="1999"/>
    </row>
    <row r="237" spans="14:15" ht="17.100000000000001" customHeight="1">
      <c r="N237" s="1307"/>
      <c r="O237" s="1999"/>
    </row>
    <row r="238" spans="14:15" ht="17.100000000000001" customHeight="1">
      <c r="N238" s="1307"/>
      <c r="O238" s="1999"/>
    </row>
    <row r="239" spans="14:15" ht="17.100000000000001" customHeight="1">
      <c r="N239" s="1307"/>
      <c r="O239" s="1999"/>
    </row>
    <row r="240" spans="14:15" ht="17.100000000000001" customHeight="1">
      <c r="N240" s="1307"/>
      <c r="O240" s="1999"/>
    </row>
    <row r="241" spans="14:15" ht="17.100000000000001" customHeight="1">
      <c r="N241" s="1307"/>
      <c r="O241" s="1999"/>
    </row>
    <row r="242" spans="14:15" ht="17.100000000000001" customHeight="1">
      <c r="N242" s="1307"/>
      <c r="O242" s="1999"/>
    </row>
    <row r="243" spans="14:15" ht="17.100000000000001" customHeight="1">
      <c r="N243" s="1307"/>
      <c r="O243" s="1999"/>
    </row>
    <row r="244" spans="14:15" ht="17.100000000000001" customHeight="1">
      <c r="N244" s="1307"/>
      <c r="O244" s="1999"/>
    </row>
    <row r="245" spans="14:15" ht="17.100000000000001" customHeight="1">
      <c r="N245" s="1307"/>
      <c r="O245" s="1999"/>
    </row>
    <row r="246" spans="14:15" ht="17.100000000000001" customHeight="1">
      <c r="N246" s="1307"/>
      <c r="O246" s="1999"/>
    </row>
    <row r="247" spans="14:15" ht="17.100000000000001" customHeight="1">
      <c r="N247" s="1307"/>
      <c r="O247" s="1999"/>
    </row>
    <row r="248" spans="14:15" ht="17.100000000000001" customHeight="1">
      <c r="N248" s="1307"/>
      <c r="O248" s="1999"/>
    </row>
    <row r="249" spans="14:15" ht="17.100000000000001" customHeight="1">
      <c r="N249" s="1307"/>
      <c r="O249" s="1999"/>
    </row>
    <row r="250" spans="14:15" ht="17.100000000000001" customHeight="1">
      <c r="N250" s="1307"/>
      <c r="O250" s="1999"/>
    </row>
    <row r="251" spans="14:15" ht="17.100000000000001" customHeight="1">
      <c r="N251" s="1307"/>
      <c r="O251" s="1999"/>
    </row>
    <row r="252" spans="14:15" ht="17.100000000000001" customHeight="1">
      <c r="N252" s="1307"/>
      <c r="O252" s="1999"/>
    </row>
    <row r="253" spans="14:15" ht="17.100000000000001" customHeight="1">
      <c r="N253" s="1307"/>
      <c r="O253" s="1999"/>
    </row>
    <row r="254" spans="14:15" ht="17.100000000000001" customHeight="1">
      <c r="N254" s="1307"/>
      <c r="O254" s="1999"/>
    </row>
    <row r="255" spans="14:15" ht="17.100000000000001" customHeight="1">
      <c r="N255" s="1307"/>
      <c r="O255" s="1999"/>
    </row>
    <row r="256" spans="14:15" ht="17.100000000000001" customHeight="1">
      <c r="N256" s="1307"/>
      <c r="O256" s="1999"/>
    </row>
    <row r="257" spans="14:15" ht="17.100000000000001" customHeight="1">
      <c r="N257" s="1307"/>
      <c r="O257" s="1999"/>
    </row>
    <row r="258" spans="14:15" ht="17.100000000000001" customHeight="1">
      <c r="N258" s="1307"/>
      <c r="O258" s="1999"/>
    </row>
    <row r="259" spans="14:15" ht="17.100000000000001" customHeight="1">
      <c r="N259" s="1307"/>
      <c r="O259" s="1999"/>
    </row>
    <row r="260" spans="14:15" ht="17.100000000000001" customHeight="1">
      <c r="N260" s="1307"/>
      <c r="O260" s="1999"/>
    </row>
    <row r="261" spans="14:15" ht="17.100000000000001" customHeight="1">
      <c r="N261" s="1307"/>
      <c r="O261" s="1999"/>
    </row>
    <row r="262" spans="14:15" ht="17.100000000000001" customHeight="1">
      <c r="N262" s="1307"/>
      <c r="O262" s="1999"/>
    </row>
    <row r="263" spans="14:15" ht="17.100000000000001" customHeight="1">
      <c r="N263" s="1307"/>
      <c r="O263" s="1999"/>
    </row>
    <row r="264" spans="14:15" ht="17.100000000000001" customHeight="1">
      <c r="N264" s="1307"/>
      <c r="O264" s="1999"/>
    </row>
    <row r="265" spans="14:15" ht="17.100000000000001" customHeight="1">
      <c r="N265" s="1307"/>
      <c r="O265" s="1999"/>
    </row>
    <row r="266" spans="14:15" ht="17.100000000000001" customHeight="1">
      <c r="N266" s="1307"/>
      <c r="O266" s="1999"/>
    </row>
    <row r="267" spans="14:15" ht="17.100000000000001" customHeight="1">
      <c r="N267" s="1307"/>
      <c r="O267" s="1999"/>
    </row>
    <row r="268" spans="14:15" ht="17.100000000000001" customHeight="1">
      <c r="N268" s="1307"/>
      <c r="O268" s="1999"/>
    </row>
    <row r="269" spans="14:15" ht="17.100000000000001" customHeight="1">
      <c r="N269" s="1307"/>
      <c r="O269" s="1999"/>
    </row>
    <row r="270" spans="14:15" ht="17.100000000000001" customHeight="1">
      <c r="N270" s="1307"/>
      <c r="O270" s="1999"/>
    </row>
    <row r="271" spans="14:15" ht="17.100000000000001" customHeight="1">
      <c r="N271" s="1307"/>
      <c r="O271" s="1999"/>
    </row>
    <row r="272" spans="14:15" ht="17.100000000000001" customHeight="1">
      <c r="N272" s="1307"/>
      <c r="O272" s="1999"/>
    </row>
    <row r="273" spans="14:15" ht="17.100000000000001" customHeight="1">
      <c r="N273" s="1307"/>
      <c r="O273" s="1999"/>
    </row>
    <row r="274" spans="14:15" ht="17.100000000000001" customHeight="1">
      <c r="N274" s="1307"/>
      <c r="O274" s="1999"/>
    </row>
    <row r="275" spans="14:15" ht="17.100000000000001" customHeight="1">
      <c r="N275" s="1307"/>
      <c r="O275" s="1999"/>
    </row>
    <row r="276" spans="14:15" ht="17.100000000000001" customHeight="1">
      <c r="N276" s="1307"/>
      <c r="O276" s="1999"/>
    </row>
    <row r="277" spans="14:15" ht="17.100000000000001" customHeight="1">
      <c r="N277" s="1307"/>
      <c r="O277" s="1999"/>
    </row>
    <row r="278" spans="14:15" ht="17.100000000000001" customHeight="1">
      <c r="N278" s="1307"/>
      <c r="O278" s="1999"/>
    </row>
    <row r="279" spans="14:15" ht="17.100000000000001" customHeight="1">
      <c r="N279" s="1307"/>
      <c r="O279" s="1999"/>
    </row>
    <row r="280" spans="14:15" ht="17.100000000000001" customHeight="1">
      <c r="N280" s="1307"/>
      <c r="O280" s="1999"/>
    </row>
    <row r="281" spans="14:15" ht="17.100000000000001" customHeight="1">
      <c r="N281" s="1307"/>
      <c r="O281" s="1999"/>
    </row>
    <row r="282" spans="14:15" ht="17.100000000000001" customHeight="1">
      <c r="N282" s="1307"/>
      <c r="O282" s="1999"/>
    </row>
    <row r="283" spans="14:15" ht="17.100000000000001" customHeight="1">
      <c r="N283" s="1307"/>
      <c r="O283" s="1999"/>
    </row>
    <row r="284" spans="14:15" ht="17.100000000000001" customHeight="1">
      <c r="N284" s="1307"/>
      <c r="O284" s="1999"/>
    </row>
    <row r="285" spans="14:15" ht="17.100000000000001" customHeight="1">
      <c r="N285" s="1307"/>
      <c r="O285" s="1999"/>
    </row>
    <row r="286" spans="14:15" ht="17.100000000000001" customHeight="1">
      <c r="N286" s="1307"/>
      <c r="O286" s="1999"/>
    </row>
    <row r="287" spans="14:15" ht="17.100000000000001" customHeight="1">
      <c r="N287" s="1307"/>
      <c r="O287" s="1999"/>
    </row>
    <row r="288" spans="14:15" ht="17.100000000000001" customHeight="1">
      <c r="N288" s="1307"/>
      <c r="O288" s="1999"/>
    </row>
    <row r="289" spans="14:15" ht="17.100000000000001" customHeight="1">
      <c r="N289" s="1307"/>
      <c r="O289" s="1999"/>
    </row>
    <row r="290" spans="14:15" ht="17.100000000000001" customHeight="1">
      <c r="N290" s="1307"/>
      <c r="O290" s="1999"/>
    </row>
    <row r="291" spans="14:15" ht="17.100000000000001" customHeight="1">
      <c r="N291" s="1307"/>
      <c r="O291" s="1999"/>
    </row>
    <row r="292" spans="14:15" ht="17.100000000000001" customHeight="1">
      <c r="N292" s="1307"/>
      <c r="O292" s="1999"/>
    </row>
    <row r="293" spans="14:15" ht="17.100000000000001" customHeight="1">
      <c r="N293" s="1307"/>
      <c r="O293" s="1999"/>
    </row>
    <row r="294" spans="14:15" ht="17.100000000000001" customHeight="1">
      <c r="N294" s="1307"/>
      <c r="O294" s="1999"/>
    </row>
    <row r="295" spans="14:15" ht="17.100000000000001" customHeight="1">
      <c r="N295" s="1307"/>
      <c r="O295" s="1999"/>
    </row>
    <row r="296" spans="14:15" ht="17.100000000000001" customHeight="1">
      <c r="N296" s="1307"/>
      <c r="O296" s="1999"/>
    </row>
    <row r="297" spans="14:15" ht="17.100000000000001" customHeight="1">
      <c r="N297" s="1307"/>
      <c r="O297" s="1999"/>
    </row>
    <row r="298" spans="14:15" ht="17.100000000000001" customHeight="1">
      <c r="N298" s="1307"/>
      <c r="O298" s="1999"/>
    </row>
    <row r="299" spans="14:15" ht="17.100000000000001" customHeight="1">
      <c r="N299" s="1307"/>
      <c r="O299" s="1999"/>
    </row>
    <row r="300" spans="14:15" ht="17.100000000000001" customHeight="1">
      <c r="N300" s="1307"/>
      <c r="O300" s="1999"/>
    </row>
    <row r="301" spans="14:15" ht="17.100000000000001" customHeight="1">
      <c r="N301" s="1307"/>
      <c r="O301" s="1999"/>
    </row>
    <row r="302" spans="14:15" ht="17.100000000000001" customHeight="1">
      <c r="N302" s="1307"/>
      <c r="O302" s="1999"/>
    </row>
    <row r="303" spans="14:15" ht="17.100000000000001" customHeight="1">
      <c r="N303" s="1307"/>
      <c r="O303" s="1999"/>
    </row>
    <row r="304" spans="14:15" ht="17.100000000000001" customHeight="1">
      <c r="N304" s="1307"/>
      <c r="O304" s="1999"/>
    </row>
    <row r="305" spans="14:15" ht="17.100000000000001" customHeight="1">
      <c r="N305" s="1307"/>
      <c r="O305" s="1999"/>
    </row>
    <row r="306" spans="14:15" ht="17.100000000000001" customHeight="1">
      <c r="N306" s="1307"/>
      <c r="O306" s="1999"/>
    </row>
    <row r="307" spans="14:15" ht="17.100000000000001" customHeight="1">
      <c r="N307" s="1307"/>
      <c r="O307" s="1999"/>
    </row>
    <row r="308" spans="14:15" ht="17.100000000000001" customHeight="1">
      <c r="N308" s="1307"/>
      <c r="O308" s="1999"/>
    </row>
    <row r="309" spans="14:15" ht="17.100000000000001" customHeight="1">
      <c r="N309" s="1307"/>
      <c r="O309" s="1999"/>
    </row>
    <row r="310" spans="14:15" ht="17.100000000000001" customHeight="1">
      <c r="N310" s="1307"/>
      <c r="O310" s="1999"/>
    </row>
    <row r="311" spans="14:15" ht="17.100000000000001" customHeight="1">
      <c r="N311" s="1307"/>
      <c r="O311" s="1999"/>
    </row>
    <row r="312" spans="14:15" ht="17.100000000000001" customHeight="1">
      <c r="N312" s="1307"/>
      <c r="O312" s="1999"/>
    </row>
    <row r="313" spans="14:15" ht="17.100000000000001" customHeight="1">
      <c r="N313" s="1307"/>
      <c r="O313" s="1999"/>
    </row>
    <row r="314" spans="14:15" ht="17.100000000000001" customHeight="1">
      <c r="N314" s="1307"/>
      <c r="O314" s="1999"/>
    </row>
    <row r="315" spans="14:15" ht="17.100000000000001" customHeight="1">
      <c r="N315" s="1307"/>
      <c r="O315" s="1999"/>
    </row>
    <row r="316" spans="14:15" ht="17.100000000000001" customHeight="1">
      <c r="N316" s="1307"/>
      <c r="O316" s="1999"/>
    </row>
    <row r="317" spans="14:15" ht="17.100000000000001" customHeight="1">
      <c r="N317" s="1307"/>
      <c r="O317" s="1999"/>
    </row>
    <row r="318" spans="14:15" ht="17.100000000000001" customHeight="1">
      <c r="N318" s="1307"/>
      <c r="O318" s="1999"/>
    </row>
    <row r="319" spans="14:15" ht="17.100000000000001" customHeight="1">
      <c r="N319" s="1307"/>
      <c r="O319" s="1999"/>
    </row>
    <row r="320" spans="14:15" ht="17.100000000000001" customHeight="1">
      <c r="N320" s="1307"/>
      <c r="O320" s="1999"/>
    </row>
    <row r="321" spans="14:15" ht="17.100000000000001" customHeight="1">
      <c r="N321" s="1307"/>
      <c r="O321" s="1999"/>
    </row>
    <row r="322" spans="14:15" ht="17.100000000000001" customHeight="1">
      <c r="N322" s="1307"/>
      <c r="O322" s="1999"/>
    </row>
    <row r="323" spans="14:15" ht="17.100000000000001" customHeight="1">
      <c r="N323" s="1307"/>
      <c r="O323" s="1999"/>
    </row>
    <row r="324" spans="14:15" ht="17.100000000000001" customHeight="1">
      <c r="N324" s="1307"/>
      <c r="O324" s="1999"/>
    </row>
    <row r="325" spans="14:15" ht="17.100000000000001" customHeight="1">
      <c r="N325" s="1307"/>
      <c r="O325" s="1999"/>
    </row>
    <row r="326" spans="14:15" ht="17.100000000000001" customHeight="1">
      <c r="N326" s="1307"/>
      <c r="O326" s="1999"/>
    </row>
    <row r="327" spans="14:15" ht="17.100000000000001" customHeight="1">
      <c r="N327" s="1307"/>
      <c r="O327" s="1999"/>
    </row>
    <row r="328" spans="14:15" ht="17.100000000000001" customHeight="1">
      <c r="N328" s="1307"/>
      <c r="O328" s="1999"/>
    </row>
    <row r="329" spans="14:15" ht="17.100000000000001" customHeight="1">
      <c r="N329" s="1307"/>
      <c r="O329" s="1999"/>
    </row>
    <row r="330" spans="14:15" ht="17.100000000000001" customHeight="1">
      <c r="N330" s="1307"/>
      <c r="O330" s="1999"/>
    </row>
    <row r="331" spans="14:15" ht="17.100000000000001" customHeight="1">
      <c r="N331" s="1307"/>
      <c r="O331" s="1999"/>
    </row>
    <row r="332" spans="14:15" ht="17.100000000000001" customHeight="1">
      <c r="N332" s="1307"/>
      <c r="O332" s="1999"/>
    </row>
    <row r="333" spans="14:15" ht="17.100000000000001" customHeight="1">
      <c r="N333" s="1307"/>
      <c r="O333" s="1999"/>
    </row>
    <row r="334" spans="14:15" ht="17.100000000000001" customHeight="1">
      <c r="N334" s="1307"/>
      <c r="O334" s="1999"/>
    </row>
    <row r="335" spans="14:15" ht="17.100000000000001" customHeight="1">
      <c r="N335" s="1307"/>
      <c r="O335" s="1999"/>
    </row>
    <row r="336" spans="14:15" ht="17.100000000000001" customHeight="1">
      <c r="N336" s="1307"/>
      <c r="O336" s="1999"/>
    </row>
    <row r="337" spans="14:15" ht="17.100000000000001" customHeight="1">
      <c r="N337" s="1307"/>
      <c r="O337" s="1999"/>
    </row>
    <row r="338" spans="14:15" ht="17.100000000000001" customHeight="1">
      <c r="N338" s="1307"/>
      <c r="O338" s="1999"/>
    </row>
    <row r="339" spans="14:15" ht="17.100000000000001" customHeight="1">
      <c r="N339" s="1307"/>
      <c r="O339" s="1999"/>
    </row>
    <row r="340" spans="14:15" ht="17.100000000000001" customHeight="1">
      <c r="N340" s="1307"/>
      <c r="O340" s="1999"/>
    </row>
    <row r="341" spans="14:15" ht="17.100000000000001" customHeight="1">
      <c r="N341" s="1307"/>
      <c r="O341" s="1999"/>
    </row>
    <row r="342" spans="14:15" ht="17.100000000000001" customHeight="1">
      <c r="N342" s="1307"/>
      <c r="O342" s="1999"/>
    </row>
    <row r="343" spans="14:15" ht="17.100000000000001" customHeight="1">
      <c r="N343" s="1307"/>
      <c r="O343" s="1999"/>
    </row>
    <row r="344" spans="14:15" ht="17.100000000000001" customHeight="1">
      <c r="N344" s="1307"/>
      <c r="O344" s="1999"/>
    </row>
    <row r="345" spans="14:15" ht="17.100000000000001" customHeight="1">
      <c r="N345" s="1307"/>
      <c r="O345" s="1999"/>
    </row>
    <row r="346" spans="14:15" ht="17.100000000000001" customHeight="1">
      <c r="N346" s="1307"/>
      <c r="O346" s="1999"/>
    </row>
    <row r="347" spans="14:15" ht="17.100000000000001" customHeight="1">
      <c r="N347" s="1307"/>
      <c r="O347" s="1999"/>
    </row>
    <row r="348" spans="14:15" ht="17.100000000000001" customHeight="1">
      <c r="N348" s="1307"/>
      <c r="O348" s="1999"/>
    </row>
    <row r="349" spans="14:15" ht="17.100000000000001" customHeight="1">
      <c r="N349" s="1307"/>
      <c r="O349" s="1999"/>
    </row>
    <row r="350" spans="14:15" ht="17.100000000000001" customHeight="1">
      <c r="N350" s="1307"/>
      <c r="O350" s="1999"/>
    </row>
    <row r="351" spans="14:15" ht="17.100000000000001" customHeight="1">
      <c r="N351" s="1307"/>
      <c r="O351" s="1999"/>
    </row>
    <row r="352" spans="14:15" ht="17.100000000000001" customHeight="1">
      <c r="N352" s="1307"/>
      <c r="O352" s="1999"/>
    </row>
    <row r="353" spans="14:15" ht="17.100000000000001" customHeight="1">
      <c r="N353" s="1307"/>
      <c r="O353" s="1999"/>
    </row>
    <row r="354" spans="14:15" ht="17.100000000000001" customHeight="1">
      <c r="N354" s="1307"/>
      <c r="O354" s="1999"/>
    </row>
    <row r="355" spans="14:15" ht="17.100000000000001" customHeight="1">
      <c r="N355" s="1307"/>
      <c r="O355" s="1999"/>
    </row>
    <row r="356" spans="14:15" ht="17.100000000000001" customHeight="1">
      <c r="N356" s="1307"/>
      <c r="O356" s="1999"/>
    </row>
    <row r="357" spans="14:15" ht="17.100000000000001" customHeight="1">
      <c r="N357" s="1307"/>
      <c r="O357" s="1999"/>
    </row>
    <row r="358" spans="14:15" ht="17.100000000000001" customHeight="1">
      <c r="N358" s="1307"/>
      <c r="O358" s="1999"/>
    </row>
    <row r="359" spans="14:15" ht="17.100000000000001" customHeight="1">
      <c r="N359" s="1307"/>
      <c r="O359" s="1999"/>
    </row>
    <row r="360" spans="14:15" ht="17.100000000000001" customHeight="1">
      <c r="N360" s="1307"/>
      <c r="O360" s="1999"/>
    </row>
    <row r="361" spans="14:15" ht="17.100000000000001" customHeight="1">
      <c r="N361" s="1307"/>
      <c r="O361" s="1999"/>
    </row>
    <row r="362" spans="14:15" ht="17.100000000000001" customHeight="1">
      <c r="N362" s="1307"/>
      <c r="O362" s="1999"/>
    </row>
    <row r="363" spans="14:15" ht="17.100000000000001" customHeight="1">
      <c r="N363" s="1307"/>
      <c r="O363" s="1999"/>
    </row>
    <row r="364" spans="14:15" ht="17.100000000000001" customHeight="1">
      <c r="N364" s="1307"/>
      <c r="O364" s="1999"/>
    </row>
    <row r="365" spans="14:15" ht="17.100000000000001" customHeight="1">
      <c r="N365" s="1307"/>
      <c r="O365" s="1999"/>
    </row>
    <row r="366" spans="14:15" ht="17.100000000000001" customHeight="1">
      <c r="N366" s="1307"/>
      <c r="O366" s="1999"/>
    </row>
    <row r="367" spans="14:15" ht="17.100000000000001" customHeight="1">
      <c r="N367" s="1307"/>
      <c r="O367" s="1999"/>
    </row>
    <row r="368" spans="14:15" ht="17.100000000000001" customHeight="1">
      <c r="N368" s="1307"/>
      <c r="O368" s="1999"/>
    </row>
    <row r="369" spans="14:15" ht="17.100000000000001" customHeight="1">
      <c r="N369" s="1307"/>
      <c r="O369" s="1999"/>
    </row>
    <row r="370" spans="14:15" ht="17.100000000000001" customHeight="1">
      <c r="N370" s="1307"/>
      <c r="O370" s="1999"/>
    </row>
    <row r="371" spans="14:15" ht="17.100000000000001" customHeight="1">
      <c r="N371" s="1307"/>
      <c r="O371" s="1999"/>
    </row>
    <row r="372" spans="14:15" ht="17.100000000000001" customHeight="1">
      <c r="N372" s="1307"/>
      <c r="O372" s="1999"/>
    </row>
    <row r="373" spans="14:15" ht="17.100000000000001" customHeight="1">
      <c r="N373" s="1307"/>
      <c r="O373" s="1999"/>
    </row>
    <row r="374" spans="14:15" ht="17.100000000000001" customHeight="1">
      <c r="N374" s="1307"/>
      <c r="O374" s="1999"/>
    </row>
    <row r="375" spans="14:15" ht="17.100000000000001" customHeight="1">
      <c r="N375" s="1307"/>
      <c r="O375" s="1999"/>
    </row>
    <row r="376" spans="14:15" ht="17.100000000000001" customHeight="1">
      <c r="N376" s="1307"/>
      <c r="O376" s="1999"/>
    </row>
    <row r="377" spans="14:15" ht="17.100000000000001" customHeight="1">
      <c r="N377" s="1307"/>
      <c r="O377" s="1999"/>
    </row>
    <row r="378" spans="14:15" ht="17.100000000000001" customHeight="1">
      <c r="N378" s="1307"/>
      <c r="O378" s="1999"/>
    </row>
    <row r="379" spans="14:15" ht="17.100000000000001" customHeight="1">
      <c r="N379" s="1307"/>
      <c r="O379" s="1999"/>
    </row>
    <row r="380" spans="14:15" ht="17.100000000000001" customHeight="1">
      <c r="N380" s="1307"/>
      <c r="O380" s="1999"/>
    </row>
    <row r="381" spans="14:15" ht="17.100000000000001" customHeight="1">
      <c r="N381" s="1307"/>
      <c r="O381" s="1999"/>
    </row>
    <row r="382" spans="14:15" ht="17.100000000000001" customHeight="1">
      <c r="N382" s="1307"/>
      <c r="O382" s="1999"/>
    </row>
    <row r="383" spans="14:15" ht="17.100000000000001" customHeight="1">
      <c r="N383" s="1307"/>
      <c r="O383" s="1999"/>
    </row>
    <row r="384" spans="14:15" ht="17.100000000000001" customHeight="1">
      <c r="N384" s="1307"/>
      <c r="O384" s="1999"/>
    </row>
    <row r="385" spans="14:15" ht="17.100000000000001" customHeight="1">
      <c r="N385" s="1307"/>
      <c r="O385" s="1999"/>
    </row>
    <row r="386" spans="14:15" ht="17.100000000000001" customHeight="1">
      <c r="N386" s="1307"/>
      <c r="O386" s="1999"/>
    </row>
    <row r="387" spans="14:15" ht="17.100000000000001" customHeight="1">
      <c r="N387" s="1307"/>
      <c r="O387" s="1999"/>
    </row>
    <row r="388" spans="14:15" ht="17.100000000000001" customHeight="1">
      <c r="N388" s="1307"/>
      <c r="O388" s="1999"/>
    </row>
    <row r="389" spans="14:15" ht="17.100000000000001" customHeight="1">
      <c r="N389" s="1307"/>
      <c r="O389" s="1999"/>
    </row>
    <row r="390" spans="14:15" ht="17.100000000000001" customHeight="1">
      <c r="N390" s="1307"/>
      <c r="O390" s="1999"/>
    </row>
    <row r="391" spans="14:15" ht="17.100000000000001" customHeight="1">
      <c r="N391" s="1307"/>
      <c r="O391" s="1999"/>
    </row>
    <row r="392" spans="14:15" ht="17.100000000000001" customHeight="1">
      <c r="N392" s="1307"/>
      <c r="O392" s="1999"/>
    </row>
    <row r="393" spans="14:15" ht="17.100000000000001" customHeight="1">
      <c r="N393" s="1307"/>
      <c r="O393" s="1999"/>
    </row>
    <row r="394" spans="14:15" ht="17.100000000000001" customHeight="1">
      <c r="N394" s="1307"/>
      <c r="O394" s="1999"/>
    </row>
    <row r="395" spans="14:15" ht="17.100000000000001" customHeight="1">
      <c r="N395" s="1307"/>
      <c r="O395" s="1999"/>
    </row>
    <row r="396" spans="14:15" ht="17.100000000000001" customHeight="1">
      <c r="N396" s="1307"/>
      <c r="O396" s="1999"/>
    </row>
    <row r="397" spans="14:15" ht="17.100000000000001" customHeight="1">
      <c r="N397" s="1307"/>
      <c r="O397" s="1999"/>
    </row>
    <row r="398" spans="14:15" ht="17.100000000000001" customHeight="1">
      <c r="N398" s="1307"/>
      <c r="O398" s="1999"/>
    </row>
    <row r="399" spans="14:15" ht="17.100000000000001" customHeight="1">
      <c r="N399" s="1307"/>
      <c r="O399" s="1999"/>
    </row>
    <row r="400" spans="14:15" ht="17.100000000000001" customHeight="1">
      <c r="N400" s="1307"/>
      <c r="O400" s="1999"/>
    </row>
    <row r="401" spans="14:15" ht="17.100000000000001" customHeight="1">
      <c r="N401" s="1307"/>
      <c r="O401" s="1999"/>
    </row>
    <row r="402" spans="14:15" ht="17.100000000000001" customHeight="1">
      <c r="N402" s="1307"/>
      <c r="O402" s="1999"/>
    </row>
    <row r="403" spans="14:15" ht="17.100000000000001" customHeight="1">
      <c r="N403" s="1307"/>
      <c r="O403" s="1999"/>
    </row>
    <row r="404" spans="14:15" ht="17.100000000000001" customHeight="1">
      <c r="N404" s="1307"/>
      <c r="O404" s="1999"/>
    </row>
    <row r="405" spans="14:15" ht="17.100000000000001" customHeight="1">
      <c r="N405" s="1307"/>
      <c r="O405" s="1999"/>
    </row>
    <row r="406" spans="14:15" ht="17.100000000000001" customHeight="1">
      <c r="N406" s="1307"/>
      <c r="O406" s="1999"/>
    </row>
    <row r="407" spans="14:15" ht="17.100000000000001" customHeight="1">
      <c r="N407" s="1307"/>
      <c r="O407" s="1999"/>
    </row>
    <row r="408" spans="14:15" ht="17.100000000000001" customHeight="1">
      <c r="N408" s="1307"/>
      <c r="O408" s="1999"/>
    </row>
    <row r="409" spans="14:15" ht="17.100000000000001" customHeight="1">
      <c r="N409" s="1307"/>
      <c r="O409" s="1999"/>
    </row>
    <row r="410" spans="14:15" ht="17.100000000000001" customHeight="1">
      <c r="N410" s="1307"/>
      <c r="O410" s="1999"/>
    </row>
    <row r="411" spans="14:15" ht="17.100000000000001" customHeight="1">
      <c r="N411" s="1307"/>
      <c r="O411" s="1999"/>
    </row>
    <row r="412" spans="14:15" ht="17.100000000000001" customHeight="1">
      <c r="N412" s="1307"/>
      <c r="O412" s="1999"/>
    </row>
    <row r="413" spans="14:15" ht="17.100000000000001" customHeight="1">
      <c r="N413" s="1307"/>
      <c r="O413" s="1999"/>
    </row>
    <row r="414" spans="14:15" ht="17.100000000000001" customHeight="1">
      <c r="N414" s="1307"/>
      <c r="O414" s="1999"/>
    </row>
    <row r="415" spans="14:15" ht="17.100000000000001" customHeight="1">
      <c r="N415" s="1307"/>
      <c r="O415" s="1999"/>
    </row>
    <row r="416" spans="14:15" ht="17.100000000000001" customHeight="1">
      <c r="N416" s="1307"/>
      <c r="O416" s="1999"/>
    </row>
    <row r="417" spans="14:15" ht="17.100000000000001" customHeight="1">
      <c r="N417" s="1307"/>
      <c r="O417" s="1999"/>
    </row>
    <row r="418" spans="14:15" ht="17.100000000000001" customHeight="1">
      <c r="N418" s="1307"/>
      <c r="O418" s="1999"/>
    </row>
    <row r="419" spans="14:15" ht="17.100000000000001" customHeight="1">
      <c r="N419" s="1307"/>
      <c r="O419" s="1999"/>
    </row>
    <row r="420" spans="14:15" ht="17.100000000000001" customHeight="1">
      <c r="N420" s="1307"/>
      <c r="O420" s="1999"/>
    </row>
    <row r="421" spans="14:15" ht="17.100000000000001" customHeight="1">
      <c r="N421" s="1307"/>
      <c r="O421" s="1999"/>
    </row>
    <row r="422" spans="14:15" ht="17.100000000000001" customHeight="1">
      <c r="N422" s="1307"/>
      <c r="O422" s="1999"/>
    </row>
    <row r="423" spans="14:15" ht="17.100000000000001" customHeight="1">
      <c r="N423" s="1307"/>
      <c r="O423" s="1999"/>
    </row>
    <row r="424" spans="14:15" ht="17.100000000000001" customHeight="1">
      <c r="N424" s="1307"/>
      <c r="O424" s="1999"/>
    </row>
    <row r="425" spans="14:15" ht="17.100000000000001" customHeight="1">
      <c r="N425" s="1307"/>
      <c r="O425" s="1999"/>
    </row>
    <row r="426" spans="14:15" ht="17.100000000000001" customHeight="1">
      <c r="N426" s="1307"/>
      <c r="O426" s="1999"/>
    </row>
    <row r="427" spans="14:15" ht="17.100000000000001" customHeight="1">
      <c r="N427" s="1307"/>
      <c r="O427" s="1999"/>
    </row>
    <row r="428" spans="14:15" ht="17.100000000000001" customHeight="1">
      <c r="N428" s="1307"/>
      <c r="O428" s="1999"/>
    </row>
    <row r="429" spans="14:15" ht="17.100000000000001" customHeight="1">
      <c r="N429" s="1307"/>
      <c r="O429" s="1999"/>
    </row>
    <row r="430" spans="14:15" ht="17.100000000000001" customHeight="1">
      <c r="N430" s="1307"/>
      <c r="O430" s="1999"/>
    </row>
    <row r="431" spans="14:15" ht="17.100000000000001" customHeight="1">
      <c r="N431" s="1307"/>
      <c r="O431" s="1999"/>
    </row>
    <row r="432" spans="14:15" ht="17.100000000000001" customHeight="1">
      <c r="N432" s="1307"/>
      <c r="O432" s="1999"/>
    </row>
    <row r="433" spans="14:15" ht="17.100000000000001" customHeight="1">
      <c r="N433" s="1307"/>
      <c r="O433" s="1999"/>
    </row>
    <row r="434" spans="14:15" ht="17.100000000000001" customHeight="1">
      <c r="N434" s="1307"/>
      <c r="O434" s="1999"/>
    </row>
    <row r="435" spans="14:15" ht="17.100000000000001" customHeight="1">
      <c r="N435" s="1307"/>
      <c r="O435" s="1999"/>
    </row>
    <row r="436" spans="14:15" ht="17.100000000000001" customHeight="1">
      <c r="N436" s="1307"/>
      <c r="O436" s="1999"/>
    </row>
    <row r="437" spans="14:15" ht="17.100000000000001" customHeight="1">
      <c r="N437" s="1307"/>
      <c r="O437" s="1999"/>
    </row>
    <row r="438" spans="14:15" ht="17.100000000000001" customHeight="1">
      <c r="N438" s="1307"/>
      <c r="O438" s="1999"/>
    </row>
    <row r="439" spans="14:15" ht="17.100000000000001" customHeight="1">
      <c r="N439" s="1307"/>
      <c r="O439" s="1999"/>
    </row>
    <row r="440" spans="14:15" ht="17.100000000000001" customHeight="1">
      <c r="N440" s="1307"/>
      <c r="O440" s="1999"/>
    </row>
    <row r="441" spans="14:15" ht="17.100000000000001" customHeight="1">
      <c r="N441" s="1307"/>
      <c r="O441" s="1999"/>
    </row>
    <row r="442" spans="14:15" ht="17.100000000000001" customHeight="1">
      <c r="N442" s="1307"/>
      <c r="O442" s="1999"/>
    </row>
    <row r="443" spans="14:15" ht="17.100000000000001" customHeight="1">
      <c r="N443" s="1307"/>
      <c r="O443" s="1999"/>
    </row>
    <row r="444" spans="14:15" ht="17.100000000000001" customHeight="1">
      <c r="N444" s="1307"/>
      <c r="O444" s="1999"/>
    </row>
    <row r="445" spans="14:15" ht="17.100000000000001" customHeight="1">
      <c r="N445" s="1307"/>
      <c r="O445" s="1999"/>
    </row>
    <row r="446" spans="14:15" ht="17.100000000000001" customHeight="1">
      <c r="N446" s="1307"/>
      <c r="O446" s="1999"/>
    </row>
    <row r="447" spans="14:15" ht="17.100000000000001" customHeight="1">
      <c r="N447" s="1307"/>
      <c r="O447" s="1999"/>
    </row>
    <row r="448" spans="14:15" ht="17.100000000000001" customHeight="1">
      <c r="N448" s="1307"/>
      <c r="O448" s="1999"/>
    </row>
    <row r="449" spans="14:15" ht="17.100000000000001" customHeight="1">
      <c r="N449" s="1307"/>
      <c r="O449" s="1999"/>
    </row>
    <row r="450" spans="14:15" ht="17.100000000000001" customHeight="1">
      <c r="N450" s="1307"/>
      <c r="O450" s="1999"/>
    </row>
    <row r="451" spans="14:15" ht="17.100000000000001" customHeight="1">
      <c r="N451" s="1307"/>
      <c r="O451" s="1999"/>
    </row>
    <row r="452" spans="14:15" ht="17.100000000000001" customHeight="1">
      <c r="N452" s="1307"/>
      <c r="O452" s="1999"/>
    </row>
    <row r="453" spans="14:15" ht="17.100000000000001" customHeight="1">
      <c r="N453" s="1307"/>
      <c r="O453" s="1999"/>
    </row>
    <row r="454" spans="14:15" ht="17.100000000000001" customHeight="1">
      <c r="N454" s="1307"/>
      <c r="O454" s="1999"/>
    </row>
    <row r="455" spans="14:15" ht="17.100000000000001" customHeight="1">
      <c r="N455" s="1307"/>
      <c r="O455" s="1999"/>
    </row>
    <row r="456" spans="14:15" ht="17.100000000000001" customHeight="1">
      <c r="N456" s="1307"/>
      <c r="O456" s="1999"/>
    </row>
    <row r="457" spans="14:15" ht="17.100000000000001" customHeight="1">
      <c r="N457" s="1307"/>
      <c r="O457" s="1999"/>
    </row>
    <row r="458" spans="14:15" ht="17.100000000000001" customHeight="1">
      <c r="N458" s="1307"/>
      <c r="O458" s="1999"/>
    </row>
    <row r="459" spans="14:15" ht="17.100000000000001" customHeight="1">
      <c r="N459" s="1307"/>
      <c r="O459" s="1999"/>
    </row>
    <row r="460" spans="14:15" ht="17.100000000000001" customHeight="1">
      <c r="N460" s="1307"/>
      <c r="O460" s="1999"/>
    </row>
    <row r="461" spans="14:15" ht="17.100000000000001" customHeight="1">
      <c r="N461" s="1307"/>
      <c r="O461" s="1999"/>
    </row>
    <row r="462" spans="14:15" ht="17.100000000000001" customHeight="1">
      <c r="N462" s="1307"/>
      <c r="O462" s="1999"/>
    </row>
    <row r="463" spans="14:15" ht="17.100000000000001" customHeight="1">
      <c r="N463" s="1307"/>
      <c r="O463" s="1999"/>
    </row>
    <row r="464" spans="14:15" ht="17.100000000000001" customHeight="1">
      <c r="N464" s="1307"/>
      <c r="O464" s="1999"/>
    </row>
    <row r="465" spans="14:15" ht="17.100000000000001" customHeight="1">
      <c r="N465" s="1307"/>
      <c r="O465" s="1999"/>
    </row>
    <row r="466" spans="14:15" ht="17.100000000000001" customHeight="1">
      <c r="N466" s="1307"/>
      <c r="O466" s="1999"/>
    </row>
    <row r="467" spans="14:15" ht="17.100000000000001" customHeight="1">
      <c r="N467" s="1307"/>
      <c r="O467" s="1999"/>
    </row>
    <row r="468" spans="14:15" ht="17.100000000000001" customHeight="1">
      <c r="N468" s="1307"/>
      <c r="O468" s="1999"/>
    </row>
    <row r="469" spans="14:15" ht="17.100000000000001" customHeight="1">
      <c r="N469" s="1307"/>
      <c r="O469" s="1999"/>
    </row>
    <row r="470" spans="14:15" ht="17.100000000000001" customHeight="1">
      <c r="N470" s="1307"/>
      <c r="O470" s="1999"/>
    </row>
    <row r="471" spans="14:15" ht="17.100000000000001" customHeight="1">
      <c r="N471" s="1307"/>
      <c r="O471" s="1999"/>
    </row>
    <row r="472" spans="14:15" ht="17.100000000000001" customHeight="1">
      <c r="N472" s="1307"/>
      <c r="O472" s="1999"/>
    </row>
    <row r="473" spans="14:15" ht="17.100000000000001" customHeight="1">
      <c r="N473" s="1307"/>
      <c r="O473" s="1999"/>
    </row>
    <row r="474" spans="14:15" ht="17.100000000000001" customHeight="1">
      <c r="N474" s="1307"/>
      <c r="O474" s="1999"/>
    </row>
    <row r="475" spans="14:15" ht="17.100000000000001" customHeight="1">
      <c r="N475" s="1307"/>
      <c r="O475" s="1999"/>
    </row>
    <row r="476" spans="14:15" ht="17.100000000000001" customHeight="1">
      <c r="N476" s="1307"/>
      <c r="O476" s="1999"/>
    </row>
    <row r="477" spans="14:15" ht="17.100000000000001" customHeight="1">
      <c r="N477" s="1307"/>
      <c r="O477" s="1999"/>
    </row>
    <row r="478" spans="14:15" ht="17.100000000000001" customHeight="1">
      <c r="N478" s="1307"/>
      <c r="O478" s="1999"/>
    </row>
    <row r="479" spans="14:15" ht="17.100000000000001" customHeight="1">
      <c r="N479" s="1307"/>
      <c r="O479" s="1999"/>
    </row>
    <row r="480" spans="14:15" ht="17.100000000000001" customHeight="1">
      <c r="N480" s="1307"/>
      <c r="O480" s="1999"/>
    </row>
    <row r="481" spans="14:15" ht="17.100000000000001" customHeight="1">
      <c r="N481" s="1307"/>
      <c r="O481" s="1999"/>
    </row>
    <row r="482" spans="14:15" ht="17.100000000000001" customHeight="1">
      <c r="N482" s="1307"/>
      <c r="O482" s="1999"/>
    </row>
    <row r="483" spans="14:15" ht="17.100000000000001" customHeight="1">
      <c r="N483" s="1307"/>
      <c r="O483" s="1999"/>
    </row>
    <row r="484" spans="14:15" ht="17.100000000000001" customHeight="1">
      <c r="N484" s="1307"/>
      <c r="O484" s="1999"/>
    </row>
    <row r="485" spans="14:15" ht="17.100000000000001" customHeight="1">
      <c r="N485" s="1307"/>
      <c r="O485" s="1999"/>
    </row>
    <row r="486" spans="14:15" ht="17.100000000000001" customHeight="1">
      <c r="N486" s="1307"/>
      <c r="O486" s="1999"/>
    </row>
    <row r="487" spans="14:15" ht="17.100000000000001" customHeight="1">
      <c r="N487" s="1307"/>
      <c r="O487" s="1999"/>
    </row>
    <row r="488" spans="14:15" ht="17.100000000000001" customHeight="1">
      <c r="N488" s="1307"/>
      <c r="O488" s="1999"/>
    </row>
    <row r="489" spans="14:15" ht="17.100000000000001" customHeight="1">
      <c r="N489" s="1307"/>
      <c r="O489" s="1999"/>
    </row>
    <row r="490" spans="14:15" ht="17.100000000000001" customHeight="1">
      <c r="N490" s="1307"/>
      <c r="O490" s="1999"/>
    </row>
    <row r="491" spans="14:15" ht="17.100000000000001" customHeight="1">
      <c r="N491" s="1307"/>
      <c r="O491" s="1999"/>
    </row>
    <row r="492" spans="14:15" ht="17.100000000000001" customHeight="1">
      <c r="N492" s="1307"/>
      <c r="O492" s="1999"/>
    </row>
    <row r="493" spans="14:15" ht="17.100000000000001" customHeight="1">
      <c r="N493" s="1307"/>
      <c r="O493" s="1999"/>
    </row>
    <row r="494" spans="14:15" ht="17.100000000000001" customHeight="1">
      <c r="N494" s="1307"/>
      <c r="O494" s="1999"/>
    </row>
    <row r="495" spans="14:15" ht="17.100000000000001" customHeight="1">
      <c r="N495" s="1307"/>
      <c r="O495" s="1999"/>
    </row>
    <row r="496" spans="14:15" ht="17.100000000000001" customHeight="1">
      <c r="N496" s="1307"/>
      <c r="O496" s="1999"/>
    </row>
    <row r="497" spans="14:15" ht="17.100000000000001" customHeight="1">
      <c r="N497" s="1307"/>
      <c r="O497" s="1999"/>
    </row>
    <row r="498" spans="14:15" ht="17.100000000000001" customHeight="1">
      <c r="N498" s="1307"/>
      <c r="O498" s="1999"/>
    </row>
    <row r="499" spans="14:15" ht="17.100000000000001" customHeight="1">
      <c r="N499" s="1307"/>
      <c r="O499" s="1999"/>
    </row>
    <row r="500" spans="14:15" ht="17.100000000000001" customHeight="1">
      <c r="N500" s="1307"/>
      <c r="O500" s="1999"/>
    </row>
    <row r="501" spans="14:15" ht="17.100000000000001" customHeight="1">
      <c r="N501" s="1307"/>
      <c r="O501" s="1999"/>
    </row>
    <row r="502" spans="14:15" ht="17.100000000000001" customHeight="1">
      <c r="N502" s="1307"/>
      <c r="O502" s="1999"/>
    </row>
    <row r="503" spans="14:15" ht="17.100000000000001" customHeight="1">
      <c r="N503" s="1307"/>
      <c r="O503" s="1999"/>
    </row>
    <row r="504" spans="14:15" ht="17.100000000000001" customHeight="1">
      <c r="N504" s="1307"/>
      <c r="O504" s="1999"/>
    </row>
    <row r="505" spans="14:15" ht="17.100000000000001" customHeight="1">
      <c r="N505" s="1307"/>
      <c r="O505" s="1999"/>
    </row>
    <row r="506" spans="14:15" ht="17.100000000000001" customHeight="1">
      <c r="N506" s="1307"/>
      <c r="O506" s="1999"/>
    </row>
    <row r="507" spans="14:15" ht="17.100000000000001" customHeight="1">
      <c r="N507" s="1307"/>
      <c r="O507" s="1999"/>
    </row>
    <row r="508" spans="14:15" ht="17.100000000000001" customHeight="1">
      <c r="N508" s="1307"/>
      <c r="O508" s="1999"/>
    </row>
    <row r="509" spans="14:15" ht="17.100000000000001" customHeight="1">
      <c r="N509" s="1307"/>
      <c r="O509" s="1999"/>
    </row>
    <row r="510" spans="14:15" ht="17.100000000000001" customHeight="1">
      <c r="N510" s="1307"/>
      <c r="O510" s="1999"/>
    </row>
    <row r="511" spans="14:15" ht="17.100000000000001" customHeight="1">
      <c r="N511" s="1307"/>
      <c r="O511" s="1999"/>
    </row>
    <row r="512" spans="14:15" ht="17.100000000000001" customHeight="1">
      <c r="N512" s="1307"/>
      <c r="O512" s="1999"/>
    </row>
    <row r="513" spans="14:15" ht="17.100000000000001" customHeight="1">
      <c r="N513" s="1307"/>
      <c r="O513" s="1999"/>
    </row>
    <row r="514" spans="14:15" ht="17.100000000000001" customHeight="1">
      <c r="N514" s="1307"/>
      <c r="O514" s="1999"/>
    </row>
    <row r="515" spans="14:15" ht="17.100000000000001" customHeight="1">
      <c r="N515" s="1307"/>
      <c r="O515" s="1999"/>
    </row>
    <row r="516" spans="14:15" ht="17.100000000000001" customHeight="1">
      <c r="N516" s="1307"/>
      <c r="O516" s="1999"/>
    </row>
    <row r="517" spans="14:15" ht="17.100000000000001" customHeight="1">
      <c r="N517" s="1307"/>
      <c r="O517" s="1999"/>
    </row>
    <row r="518" spans="14:15" ht="17.100000000000001" customHeight="1">
      <c r="N518" s="1307"/>
      <c r="O518" s="1999"/>
    </row>
    <row r="519" spans="14:15" ht="17.100000000000001" customHeight="1">
      <c r="N519" s="1307"/>
      <c r="O519" s="1999"/>
    </row>
    <row r="520" spans="14:15" ht="17.100000000000001" customHeight="1">
      <c r="N520" s="1307"/>
      <c r="O520" s="1999"/>
    </row>
    <row r="521" spans="14:15" ht="17.100000000000001" customHeight="1">
      <c r="N521" s="1307"/>
      <c r="O521" s="1999"/>
    </row>
    <row r="522" spans="14:15" ht="17.100000000000001" customHeight="1">
      <c r="N522" s="1307"/>
      <c r="O522" s="1999"/>
    </row>
    <row r="523" spans="14:15" ht="17.100000000000001" customHeight="1">
      <c r="N523" s="1307"/>
      <c r="O523" s="1999"/>
    </row>
    <row r="524" spans="14:15" ht="17.100000000000001" customHeight="1">
      <c r="N524" s="1307"/>
      <c r="O524" s="1999"/>
    </row>
    <row r="525" spans="14:15" ht="17.100000000000001" customHeight="1">
      <c r="N525" s="1307"/>
      <c r="O525" s="1999"/>
    </row>
    <row r="526" spans="14:15" ht="17.100000000000001" customHeight="1">
      <c r="N526" s="1307"/>
      <c r="O526" s="1999"/>
    </row>
    <row r="527" spans="14:15" ht="17.100000000000001" customHeight="1">
      <c r="N527" s="1307"/>
      <c r="O527" s="1999"/>
    </row>
    <row r="528" spans="14:15" ht="17.100000000000001" customHeight="1">
      <c r="N528" s="1307"/>
      <c r="O528" s="1999"/>
    </row>
    <row r="529" spans="14:15" ht="17.100000000000001" customHeight="1">
      <c r="N529" s="1307"/>
      <c r="O529" s="1999"/>
    </row>
    <row r="530" spans="14:15" ht="17.100000000000001" customHeight="1">
      <c r="N530" s="1307"/>
      <c r="O530" s="1999"/>
    </row>
    <row r="531" spans="14:15" ht="17.100000000000001" customHeight="1">
      <c r="N531" s="1307"/>
      <c r="O531" s="1999"/>
    </row>
    <row r="532" spans="14:15" ht="17.100000000000001" customHeight="1">
      <c r="N532" s="1307"/>
      <c r="O532" s="1999"/>
    </row>
    <row r="533" spans="14:15" ht="17.100000000000001" customHeight="1">
      <c r="N533" s="1307"/>
      <c r="O533" s="1999"/>
    </row>
    <row r="534" spans="14:15" ht="17.100000000000001" customHeight="1">
      <c r="N534" s="1307"/>
      <c r="O534" s="1999"/>
    </row>
    <row r="535" spans="14:15" ht="17.100000000000001" customHeight="1">
      <c r="N535" s="1307"/>
      <c r="O535" s="1999"/>
    </row>
    <row r="536" spans="14:15" ht="17.100000000000001" customHeight="1">
      <c r="N536" s="1307"/>
      <c r="O536" s="1999"/>
    </row>
    <row r="537" spans="14:15" ht="17.100000000000001" customHeight="1">
      <c r="N537" s="1307"/>
      <c r="O537" s="1999"/>
    </row>
    <row r="538" spans="14:15" ht="17.100000000000001" customHeight="1">
      <c r="N538" s="1307"/>
      <c r="O538" s="1999"/>
    </row>
    <row r="539" spans="14:15" ht="17.100000000000001" customHeight="1">
      <c r="N539" s="1307"/>
      <c r="O539" s="1999"/>
    </row>
    <row r="540" spans="14:15" ht="17.100000000000001" customHeight="1">
      <c r="N540" s="1307"/>
      <c r="O540" s="1999"/>
    </row>
    <row r="541" spans="14:15" ht="17.100000000000001" customHeight="1">
      <c r="N541" s="1307"/>
      <c r="O541" s="1999"/>
    </row>
    <row r="542" spans="14:15" ht="17.100000000000001" customHeight="1">
      <c r="N542" s="1307"/>
      <c r="O542" s="1999"/>
    </row>
    <row r="543" spans="14:15" ht="17.100000000000001" customHeight="1">
      <c r="N543" s="1307"/>
      <c r="O543" s="1999"/>
    </row>
    <row r="544" spans="14:15" ht="17.100000000000001" customHeight="1">
      <c r="N544" s="1307"/>
      <c r="O544" s="1999"/>
    </row>
    <row r="545" spans="14:15" ht="17.100000000000001" customHeight="1">
      <c r="N545" s="1307"/>
      <c r="O545" s="1999"/>
    </row>
    <row r="546" spans="14:15" ht="17.100000000000001" customHeight="1">
      <c r="N546" s="1307"/>
      <c r="O546" s="1999"/>
    </row>
    <row r="547" spans="14:15" ht="17.100000000000001" customHeight="1">
      <c r="N547" s="1307"/>
      <c r="O547" s="1999"/>
    </row>
    <row r="548" spans="14:15" ht="17.100000000000001" customHeight="1">
      <c r="N548" s="1307"/>
      <c r="O548" s="1999"/>
    </row>
    <row r="549" spans="14:15" ht="17.100000000000001" customHeight="1">
      <c r="N549" s="1307"/>
      <c r="O549" s="1999"/>
    </row>
    <row r="550" spans="14:15" ht="17.100000000000001" customHeight="1">
      <c r="N550" s="1307"/>
      <c r="O550" s="1999"/>
    </row>
    <row r="551" spans="14:15" ht="17.100000000000001" customHeight="1">
      <c r="N551" s="1307"/>
      <c r="O551" s="1999"/>
    </row>
    <row r="552" spans="14:15" ht="17.100000000000001" customHeight="1">
      <c r="N552" s="1307"/>
      <c r="O552" s="1999"/>
    </row>
    <row r="553" spans="14:15" ht="17.100000000000001" customHeight="1">
      <c r="N553" s="1307"/>
      <c r="O553" s="1999"/>
    </row>
    <row r="554" spans="14:15" ht="17.100000000000001" customHeight="1">
      <c r="N554" s="1307"/>
      <c r="O554" s="1999"/>
    </row>
    <row r="555" spans="14:15" ht="17.100000000000001" customHeight="1">
      <c r="N555" s="1307"/>
      <c r="O555" s="1999"/>
    </row>
    <row r="556" spans="14:15" ht="17.100000000000001" customHeight="1">
      <c r="N556" s="1307"/>
      <c r="O556" s="1999"/>
    </row>
    <row r="557" spans="14:15" ht="17.100000000000001" customHeight="1">
      <c r="N557" s="1307"/>
      <c r="O557" s="1999"/>
    </row>
    <row r="558" spans="14:15" ht="17.100000000000001" customHeight="1">
      <c r="N558" s="1307"/>
      <c r="O558" s="1999"/>
    </row>
    <row r="559" spans="14:15" ht="17.100000000000001" customHeight="1">
      <c r="N559" s="1307"/>
      <c r="O559" s="1999"/>
    </row>
    <row r="560" spans="14:15" ht="17.100000000000001" customHeight="1">
      <c r="N560" s="1307"/>
      <c r="O560" s="1999"/>
    </row>
    <row r="561" spans="14:15" ht="17.100000000000001" customHeight="1">
      <c r="N561" s="1307"/>
      <c r="O561" s="1999"/>
    </row>
    <row r="562" spans="14:15" ht="17.100000000000001" customHeight="1">
      <c r="N562" s="1307"/>
      <c r="O562" s="1999"/>
    </row>
    <row r="563" spans="14:15" ht="17.100000000000001" customHeight="1">
      <c r="N563" s="1307"/>
      <c r="O563" s="1999"/>
    </row>
    <row r="564" spans="14:15" ht="17.100000000000001" customHeight="1">
      <c r="N564" s="1307"/>
      <c r="O564" s="1999"/>
    </row>
    <row r="565" spans="14:15" ht="17.100000000000001" customHeight="1">
      <c r="N565" s="1307"/>
      <c r="O565" s="1999"/>
    </row>
    <row r="566" spans="14:15" ht="17.100000000000001" customHeight="1">
      <c r="N566" s="1307"/>
      <c r="O566" s="1999"/>
    </row>
    <row r="567" spans="14:15" ht="17.100000000000001" customHeight="1">
      <c r="N567" s="1307"/>
      <c r="O567" s="1999"/>
    </row>
    <row r="568" spans="14:15" ht="17.100000000000001" customHeight="1">
      <c r="N568" s="1307"/>
      <c r="O568" s="1999"/>
    </row>
    <row r="569" spans="14:15" ht="17.100000000000001" customHeight="1">
      <c r="N569" s="1307"/>
      <c r="O569" s="1999"/>
    </row>
    <row r="570" spans="14:15" ht="17.100000000000001" customHeight="1">
      <c r="N570" s="1307"/>
      <c r="O570" s="1999"/>
    </row>
    <row r="571" spans="14:15" ht="17.100000000000001" customHeight="1">
      <c r="N571" s="1307"/>
      <c r="O571" s="1999"/>
    </row>
    <row r="572" spans="14:15" ht="17.100000000000001" customHeight="1">
      <c r="N572" s="1307"/>
      <c r="O572" s="1999"/>
    </row>
    <row r="573" spans="14:15" ht="17.100000000000001" customHeight="1">
      <c r="N573" s="1307"/>
      <c r="O573" s="1999"/>
    </row>
    <row r="574" spans="14:15" ht="17.100000000000001" customHeight="1">
      <c r="N574" s="1307"/>
      <c r="O574" s="1999"/>
    </row>
    <row r="575" spans="14:15" ht="17.100000000000001" customHeight="1">
      <c r="N575" s="1307"/>
      <c r="O575" s="1999"/>
    </row>
    <row r="576" spans="14:15" ht="17.100000000000001" customHeight="1">
      <c r="N576" s="1307"/>
      <c r="O576" s="1999"/>
    </row>
    <row r="577" spans="14:15" ht="17.100000000000001" customHeight="1">
      <c r="N577" s="1307"/>
      <c r="O577" s="1999"/>
    </row>
    <row r="578" spans="14:15" ht="17.100000000000001" customHeight="1">
      <c r="N578" s="1307"/>
      <c r="O578" s="1999"/>
    </row>
    <row r="579" spans="14:15" ht="17.100000000000001" customHeight="1">
      <c r="N579" s="1307"/>
      <c r="O579" s="1999"/>
    </row>
    <row r="580" spans="14:15" ht="17.100000000000001" customHeight="1">
      <c r="N580" s="1307"/>
      <c r="O580" s="1999"/>
    </row>
    <row r="581" spans="14:15" ht="17.100000000000001" customHeight="1">
      <c r="N581" s="1307"/>
      <c r="O581" s="1999"/>
    </row>
    <row r="582" spans="14:15" ht="17.100000000000001" customHeight="1">
      <c r="N582" s="1307"/>
      <c r="O582" s="1999"/>
    </row>
    <row r="583" spans="14:15" ht="17.100000000000001" customHeight="1">
      <c r="N583" s="1307"/>
      <c r="O583" s="1999"/>
    </row>
    <row r="584" spans="14:15" ht="17.100000000000001" customHeight="1">
      <c r="N584" s="1307"/>
      <c r="O584" s="1999"/>
    </row>
    <row r="585" spans="14:15" ht="17.100000000000001" customHeight="1">
      <c r="N585" s="1307"/>
      <c r="O585" s="1999"/>
    </row>
    <row r="586" spans="14:15" ht="17.100000000000001" customHeight="1">
      <c r="N586" s="1307"/>
      <c r="O586" s="1999"/>
    </row>
    <row r="587" spans="14:15" ht="17.100000000000001" customHeight="1">
      <c r="N587" s="1307"/>
      <c r="O587" s="1999"/>
    </row>
    <row r="588" spans="14:15" ht="17.100000000000001" customHeight="1">
      <c r="N588" s="1307"/>
      <c r="O588" s="1999"/>
    </row>
    <row r="589" spans="14:15" ht="17.100000000000001" customHeight="1">
      <c r="N589" s="1307"/>
      <c r="O589" s="1999"/>
    </row>
    <row r="590" spans="14:15" ht="17.100000000000001" customHeight="1">
      <c r="N590" s="1307"/>
      <c r="O590" s="1999"/>
    </row>
    <row r="591" spans="14:15" ht="17.100000000000001" customHeight="1">
      <c r="N591" s="1307"/>
      <c r="O591" s="1999"/>
    </row>
    <row r="592" spans="14:15" ht="17.100000000000001" customHeight="1">
      <c r="N592" s="1307"/>
      <c r="O592" s="1999"/>
    </row>
    <row r="593" spans="14:15" ht="17.100000000000001" customHeight="1">
      <c r="N593" s="1307"/>
      <c r="O593" s="1999"/>
    </row>
    <row r="594" spans="14:15" ht="17.100000000000001" customHeight="1">
      <c r="N594" s="1307"/>
      <c r="O594" s="1999"/>
    </row>
    <row r="595" spans="14:15" ht="17.100000000000001" customHeight="1">
      <c r="N595" s="1307"/>
      <c r="O595" s="1999"/>
    </row>
    <row r="596" spans="14:15" ht="17.100000000000001" customHeight="1">
      <c r="N596" s="1307"/>
      <c r="O596" s="1999"/>
    </row>
    <row r="597" spans="14:15" ht="17.100000000000001" customHeight="1">
      <c r="N597" s="1307"/>
      <c r="O597" s="1999"/>
    </row>
    <row r="598" spans="14:15" ht="17.100000000000001" customHeight="1">
      <c r="N598" s="1307"/>
      <c r="O598" s="1999"/>
    </row>
    <row r="599" spans="14:15" ht="17.100000000000001" customHeight="1">
      <c r="N599" s="1307"/>
      <c r="O599" s="1999"/>
    </row>
    <row r="600" spans="14:15" ht="17.100000000000001" customHeight="1">
      <c r="N600" s="1307"/>
      <c r="O600" s="1999"/>
    </row>
    <row r="601" spans="14:15" ht="17.100000000000001" customHeight="1">
      <c r="N601" s="1307"/>
      <c r="O601" s="1999"/>
    </row>
    <row r="602" spans="14:15" ht="17.100000000000001" customHeight="1">
      <c r="N602" s="1307"/>
      <c r="O602" s="1999"/>
    </row>
    <row r="603" spans="14:15" ht="17.100000000000001" customHeight="1">
      <c r="N603" s="1307"/>
      <c r="O603" s="1999"/>
    </row>
    <row r="604" spans="14:15" ht="17.100000000000001" customHeight="1">
      <c r="N604" s="1307"/>
      <c r="O604" s="1999"/>
    </row>
    <row r="605" spans="14:15" ht="17.100000000000001" customHeight="1">
      <c r="N605" s="1307"/>
      <c r="O605" s="1999"/>
    </row>
    <row r="606" spans="14:15" ht="17.100000000000001" customHeight="1">
      <c r="N606" s="1307"/>
      <c r="O606" s="1999"/>
    </row>
    <row r="607" spans="14:15" ht="17.100000000000001" customHeight="1">
      <c r="N607" s="1307"/>
      <c r="O607" s="1999"/>
    </row>
    <row r="608" spans="14:15" ht="17.100000000000001" customHeight="1">
      <c r="N608" s="1307"/>
      <c r="O608" s="1999"/>
    </row>
    <row r="609" spans="14:15" ht="17.100000000000001" customHeight="1">
      <c r="N609" s="1307"/>
      <c r="O609" s="1999"/>
    </row>
    <row r="610" spans="14:15" ht="17.100000000000001" customHeight="1">
      <c r="N610" s="1307"/>
      <c r="O610" s="1999"/>
    </row>
    <row r="611" spans="14:15" ht="17.100000000000001" customHeight="1">
      <c r="N611" s="1307"/>
      <c r="O611" s="1999"/>
    </row>
    <row r="612" spans="14:15" ht="17.100000000000001" customHeight="1">
      <c r="N612" s="1307"/>
      <c r="O612" s="1999"/>
    </row>
    <row r="613" spans="14:15" ht="17.100000000000001" customHeight="1">
      <c r="N613" s="1307"/>
      <c r="O613" s="1999"/>
    </row>
    <row r="614" spans="14:15" ht="17.100000000000001" customHeight="1">
      <c r="N614" s="1307"/>
      <c r="O614" s="1999"/>
    </row>
    <row r="615" spans="14:15" ht="17.100000000000001" customHeight="1">
      <c r="N615" s="1307"/>
      <c r="O615" s="1999"/>
    </row>
    <row r="616" spans="14:15" ht="17.100000000000001" customHeight="1">
      <c r="N616" s="1307"/>
      <c r="O616" s="1999"/>
    </row>
    <row r="617" spans="14:15" ht="17.100000000000001" customHeight="1">
      <c r="N617" s="1307"/>
      <c r="O617" s="1999"/>
    </row>
    <row r="618" spans="14:15" ht="17.100000000000001" customHeight="1">
      <c r="N618" s="1307"/>
      <c r="O618" s="1999"/>
    </row>
    <row r="619" spans="14:15" ht="17.100000000000001" customHeight="1">
      <c r="N619" s="1307"/>
      <c r="O619" s="1999"/>
    </row>
    <row r="620" spans="14:15" ht="17.100000000000001" customHeight="1">
      <c r="N620" s="1307"/>
      <c r="O620" s="1999"/>
    </row>
    <row r="621" spans="14:15" ht="17.100000000000001" customHeight="1">
      <c r="N621" s="1307"/>
      <c r="O621" s="1999"/>
    </row>
    <row r="622" spans="14:15" ht="17.100000000000001" customHeight="1">
      <c r="N622" s="1307"/>
      <c r="O622" s="1999"/>
    </row>
    <row r="623" spans="14:15" ht="17.100000000000001" customHeight="1">
      <c r="N623" s="1307"/>
      <c r="O623" s="1999"/>
    </row>
    <row r="624" spans="14:15" ht="17.100000000000001" customHeight="1">
      <c r="N624" s="1307"/>
      <c r="O624" s="1999"/>
    </row>
    <row r="625" spans="14:15" ht="17.100000000000001" customHeight="1">
      <c r="N625" s="1307"/>
      <c r="O625" s="1999"/>
    </row>
    <row r="626" spans="14:15" ht="17.100000000000001" customHeight="1">
      <c r="N626" s="1307"/>
      <c r="O626" s="1999"/>
    </row>
    <row r="627" spans="14:15" ht="17.100000000000001" customHeight="1">
      <c r="N627" s="1307"/>
      <c r="O627" s="1999"/>
    </row>
    <row r="628" spans="14:15" ht="17.100000000000001" customHeight="1">
      <c r="N628" s="1307"/>
      <c r="O628" s="1999"/>
    </row>
    <row r="629" spans="14:15" ht="17.100000000000001" customHeight="1">
      <c r="N629" s="1307"/>
      <c r="O629" s="1999"/>
    </row>
    <row r="630" spans="14:15" ht="17.100000000000001" customHeight="1">
      <c r="N630" s="1307"/>
      <c r="O630" s="1999"/>
    </row>
    <row r="631" spans="14:15" ht="17.100000000000001" customHeight="1">
      <c r="N631" s="1307"/>
      <c r="O631" s="1999"/>
    </row>
    <row r="632" spans="14:15" ht="17.100000000000001" customHeight="1">
      <c r="N632" s="1307"/>
      <c r="O632" s="1999"/>
    </row>
    <row r="633" spans="14:15" ht="17.100000000000001" customHeight="1">
      <c r="N633" s="1307"/>
      <c r="O633" s="1999"/>
    </row>
    <row r="634" spans="14:15" ht="17.100000000000001" customHeight="1">
      <c r="N634" s="1307"/>
      <c r="O634" s="1999"/>
    </row>
    <row r="635" spans="14:15" ht="17.100000000000001" customHeight="1">
      <c r="N635" s="1307"/>
      <c r="O635" s="1999"/>
    </row>
    <row r="636" spans="14:15" ht="17.100000000000001" customHeight="1">
      <c r="N636" s="1307"/>
      <c r="O636" s="1999"/>
    </row>
    <row r="637" spans="14:15" ht="17.100000000000001" customHeight="1">
      <c r="N637" s="1307"/>
      <c r="O637" s="1999"/>
    </row>
    <row r="638" spans="14:15" ht="17.100000000000001" customHeight="1">
      <c r="N638" s="1307"/>
      <c r="O638" s="1999"/>
    </row>
    <row r="639" spans="14:15" ht="17.100000000000001" customHeight="1">
      <c r="N639" s="1307"/>
      <c r="O639" s="1999"/>
    </row>
    <row r="640" spans="14:15" ht="17.100000000000001" customHeight="1">
      <c r="N640" s="1307"/>
      <c r="O640" s="1999"/>
    </row>
    <row r="641" spans="14:15" ht="17.100000000000001" customHeight="1">
      <c r="N641" s="1307"/>
      <c r="O641" s="1999"/>
    </row>
    <row r="642" spans="14:15" ht="17.100000000000001" customHeight="1">
      <c r="N642" s="1307"/>
      <c r="O642" s="1999"/>
    </row>
    <row r="643" spans="14:15" ht="17.100000000000001" customHeight="1">
      <c r="N643" s="1307"/>
      <c r="O643" s="1999"/>
    </row>
    <row r="644" spans="14:15" ht="17.100000000000001" customHeight="1">
      <c r="N644" s="1307"/>
      <c r="O644" s="1999"/>
    </row>
    <row r="645" spans="14:15" ht="17.100000000000001" customHeight="1">
      <c r="N645" s="1307"/>
      <c r="O645" s="1999"/>
    </row>
    <row r="646" spans="14:15" ht="17.100000000000001" customHeight="1">
      <c r="N646" s="1307"/>
      <c r="O646" s="1999"/>
    </row>
    <row r="647" spans="14:15" ht="17.100000000000001" customHeight="1">
      <c r="N647" s="1307"/>
      <c r="O647" s="1999"/>
    </row>
    <row r="648" spans="14:15" ht="17.100000000000001" customHeight="1">
      <c r="N648" s="1307"/>
      <c r="O648" s="1999"/>
    </row>
    <row r="649" spans="14:15" ht="17.100000000000001" customHeight="1">
      <c r="N649" s="1307"/>
      <c r="O649" s="1999"/>
    </row>
    <row r="650" spans="14:15" ht="17.100000000000001" customHeight="1">
      <c r="N650" s="1307"/>
      <c r="O650" s="1999"/>
    </row>
    <row r="651" spans="14:15" ht="17.100000000000001" customHeight="1">
      <c r="N651" s="1307"/>
      <c r="O651" s="1999"/>
    </row>
    <row r="652" spans="14:15" ht="17.100000000000001" customHeight="1">
      <c r="N652" s="1307"/>
      <c r="O652" s="1999"/>
    </row>
    <row r="653" spans="14:15" ht="17.100000000000001" customHeight="1">
      <c r="N653" s="1307"/>
      <c r="O653" s="1999"/>
    </row>
    <row r="654" spans="14:15" ht="17.100000000000001" customHeight="1">
      <c r="N654" s="1307"/>
      <c r="O654" s="1999"/>
    </row>
    <row r="655" spans="14:15" ht="17.100000000000001" customHeight="1">
      <c r="N655" s="1307"/>
      <c r="O655" s="1999"/>
    </row>
    <row r="656" spans="14:15" ht="17.100000000000001" customHeight="1">
      <c r="N656" s="1307"/>
      <c r="O656" s="1999"/>
    </row>
    <row r="657" spans="14:15" ht="17.100000000000001" customHeight="1">
      <c r="N657" s="1307"/>
      <c r="O657" s="1999"/>
    </row>
    <row r="658" spans="14:15" ht="17.100000000000001" customHeight="1">
      <c r="N658" s="1307"/>
      <c r="O658" s="1999"/>
    </row>
    <row r="659" spans="14:15" ht="17.100000000000001" customHeight="1">
      <c r="N659" s="1307"/>
      <c r="O659" s="1999"/>
    </row>
    <row r="660" spans="14:15" ht="17.100000000000001" customHeight="1">
      <c r="N660" s="1307"/>
      <c r="O660" s="1999"/>
    </row>
    <row r="661" spans="14:15" ht="17.100000000000001" customHeight="1">
      <c r="N661" s="1307"/>
      <c r="O661" s="1999"/>
    </row>
    <row r="662" spans="14:15" ht="17.100000000000001" customHeight="1">
      <c r="N662" s="1307"/>
      <c r="O662" s="1999"/>
    </row>
    <row r="663" spans="14:15" ht="17.100000000000001" customHeight="1">
      <c r="N663" s="1307"/>
      <c r="O663" s="1999"/>
    </row>
    <row r="664" spans="14:15" ht="17.100000000000001" customHeight="1">
      <c r="N664" s="1307"/>
      <c r="O664" s="1999"/>
    </row>
    <row r="665" spans="14:15" ht="17.100000000000001" customHeight="1">
      <c r="N665" s="1307"/>
      <c r="O665" s="1999"/>
    </row>
    <row r="666" spans="14:15" ht="17.100000000000001" customHeight="1">
      <c r="N666" s="1307"/>
      <c r="O666" s="1999"/>
    </row>
    <row r="667" spans="14:15" ht="17.100000000000001" customHeight="1">
      <c r="N667" s="1307"/>
      <c r="O667" s="1999"/>
    </row>
    <row r="668" spans="14:15" ht="17.100000000000001" customHeight="1">
      <c r="N668" s="1307"/>
      <c r="O668" s="1999"/>
    </row>
    <row r="669" spans="14:15" ht="17.100000000000001" customHeight="1">
      <c r="N669" s="1307"/>
      <c r="O669" s="1999"/>
    </row>
    <row r="670" spans="14:15" ht="17.100000000000001" customHeight="1">
      <c r="N670" s="1307"/>
      <c r="O670" s="1999"/>
    </row>
    <row r="671" spans="14:15" ht="17.100000000000001" customHeight="1">
      <c r="N671" s="1307"/>
      <c r="O671" s="1999"/>
    </row>
    <row r="672" spans="14:15" ht="17.100000000000001" customHeight="1">
      <c r="N672" s="1307"/>
      <c r="O672" s="1999"/>
    </row>
    <row r="673" spans="14:15" ht="17.100000000000001" customHeight="1">
      <c r="N673" s="1307"/>
      <c r="O673" s="1999"/>
    </row>
    <row r="674" spans="14:15" ht="17.100000000000001" customHeight="1">
      <c r="N674" s="1307"/>
      <c r="O674" s="1999"/>
    </row>
    <row r="675" spans="14:15" ht="17.100000000000001" customHeight="1">
      <c r="N675" s="1307"/>
      <c r="O675" s="1999"/>
    </row>
    <row r="676" spans="14:15" ht="17.100000000000001" customHeight="1">
      <c r="N676" s="1307"/>
      <c r="O676" s="1999"/>
    </row>
    <row r="677" spans="14:15" ht="17.100000000000001" customHeight="1">
      <c r="N677" s="1307"/>
      <c r="O677" s="1999"/>
    </row>
    <row r="678" spans="14:15" ht="17.100000000000001" customHeight="1">
      <c r="N678" s="1307"/>
      <c r="O678" s="1999"/>
    </row>
    <row r="679" spans="14:15" ht="17.100000000000001" customHeight="1">
      <c r="N679" s="1307"/>
      <c r="O679" s="1999"/>
    </row>
    <row r="680" spans="14:15" ht="17.100000000000001" customHeight="1">
      <c r="N680" s="1307"/>
      <c r="O680" s="1999"/>
    </row>
    <row r="681" spans="14:15" ht="17.100000000000001" customHeight="1">
      <c r="N681" s="1307"/>
      <c r="O681" s="1999"/>
    </row>
    <row r="682" spans="14:15" ht="17.100000000000001" customHeight="1">
      <c r="N682" s="1307"/>
      <c r="O682" s="1999"/>
    </row>
    <row r="683" spans="14:15" ht="17.100000000000001" customHeight="1">
      <c r="N683" s="1307"/>
      <c r="O683" s="1999"/>
    </row>
    <row r="684" spans="14:15" ht="17.100000000000001" customHeight="1">
      <c r="N684" s="1307"/>
      <c r="O684" s="1999"/>
    </row>
    <row r="685" spans="14:15" ht="17.100000000000001" customHeight="1">
      <c r="N685" s="1307"/>
      <c r="O685" s="1999"/>
    </row>
    <row r="686" spans="14:15" ht="17.100000000000001" customHeight="1">
      <c r="N686" s="1307"/>
      <c r="O686" s="1999"/>
    </row>
    <row r="687" spans="14:15" ht="17.100000000000001" customHeight="1">
      <c r="N687" s="1307"/>
      <c r="O687" s="1999"/>
    </row>
    <row r="688" spans="14:15" ht="17.100000000000001" customHeight="1">
      <c r="N688" s="1307"/>
      <c r="O688" s="1999"/>
    </row>
    <row r="689" spans="14:15" ht="17.100000000000001" customHeight="1">
      <c r="N689" s="1307"/>
      <c r="O689" s="1999"/>
    </row>
    <row r="690" spans="14:15" ht="17.100000000000001" customHeight="1">
      <c r="N690" s="1307"/>
      <c r="O690" s="1999"/>
    </row>
    <row r="691" spans="14:15" ht="17.100000000000001" customHeight="1">
      <c r="N691" s="1307"/>
      <c r="O691" s="1999"/>
    </row>
    <row r="692" spans="14:15" ht="17.100000000000001" customHeight="1">
      <c r="N692" s="1307"/>
      <c r="O692" s="1999"/>
    </row>
    <row r="693" spans="14:15" ht="17.100000000000001" customHeight="1">
      <c r="N693" s="1307"/>
      <c r="O693" s="1999"/>
    </row>
    <row r="694" spans="14:15" ht="17.100000000000001" customHeight="1">
      <c r="N694" s="1307"/>
      <c r="O694" s="1999"/>
    </row>
    <row r="695" spans="14:15" ht="17.100000000000001" customHeight="1">
      <c r="N695" s="1307"/>
      <c r="O695" s="1999"/>
    </row>
    <row r="696" spans="14:15" ht="17.100000000000001" customHeight="1">
      <c r="N696" s="1307"/>
      <c r="O696" s="1999"/>
    </row>
    <row r="697" spans="14:15" ht="17.100000000000001" customHeight="1">
      <c r="N697" s="1307"/>
      <c r="O697" s="1999"/>
    </row>
    <row r="698" spans="14:15" ht="17.100000000000001" customHeight="1">
      <c r="N698" s="1307"/>
      <c r="O698" s="1999"/>
    </row>
    <row r="699" spans="14:15" ht="17.100000000000001" customHeight="1">
      <c r="N699" s="1307"/>
      <c r="O699" s="1999"/>
    </row>
    <row r="700" spans="14:15" ht="17.100000000000001" customHeight="1">
      <c r="N700" s="1307"/>
      <c r="O700" s="1999"/>
    </row>
    <row r="701" spans="14:15" ht="17.100000000000001" customHeight="1">
      <c r="N701" s="1307"/>
      <c r="O701" s="1999"/>
    </row>
    <row r="702" spans="14:15" ht="17.100000000000001" customHeight="1">
      <c r="N702" s="1307"/>
      <c r="O702" s="1999"/>
    </row>
    <row r="703" spans="14:15" ht="17.100000000000001" customHeight="1">
      <c r="N703" s="1307"/>
      <c r="O703" s="1999"/>
    </row>
    <row r="704" spans="14:15" ht="17.100000000000001" customHeight="1">
      <c r="N704" s="1307"/>
      <c r="O704" s="1999"/>
    </row>
    <row r="705" spans="14:15" ht="17.100000000000001" customHeight="1">
      <c r="N705" s="1307"/>
      <c r="O705" s="1999"/>
    </row>
    <row r="706" spans="14:15" ht="17.100000000000001" customHeight="1">
      <c r="N706" s="1307"/>
      <c r="O706" s="1999"/>
    </row>
    <row r="707" spans="14:15" ht="17.100000000000001" customHeight="1">
      <c r="N707" s="1307"/>
      <c r="O707" s="1999"/>
    </row>
    <row r="708" spans="14:15" ht="17.100000000000001" customHeight="1">
      <c r="N708" s="1307"/>
      <c r="O708" s="1999"/>
    </row>
    <row r="709" spans="14:15" ht="17.100000000000001" customHeight="1">
      <c r="N709" s="1307"/>
      <c r="O709" s="1999"/>
    </row>
    <row r="710" spans="14:15" ht="17.100000000000001" customHeight="1">
      <c r="N710" s="1307"/>
      <c r="O710" s="1999"/>
    </row>
    <row r="711" spans="14:15" ht="17.100000000000001" customHeight="1">
      <c r="N711" s="1307"/>
      <c r="O711" s="1999"/>
    </row>
    <row r="712" spans="14:15" ht="17.100000000000001" customHeight="1">
      <c r="N712" s="1307"/>
      <c r="O712" s="1999"/>
    </row>
    <row r="713" spans="14:15" ht="17.100000000000001" customHeight="1">
      <c r="N713" s="1307"/>
      <c r="O713" s="1999"/>
    </row>
    <row r="714" spans="14:15" ht="17.100000000000001" customHeight="1">
      <c r="N714" s="1307"/>
      <c r="O714" s="1999"/>
    </row>
    <row r="715" spans="14:15" ht="17.100000000000001" customHeight="1">
      <c r="N715" s="1307"/>
      <c r="O715" s="1999"/>
    </row>
    <row r="716" spans="14:15" ht="17.100000000000001" customHeight="1">
      <c r="N716" s="1307"/>
      <c r="O716" s="1999"/>
    </row>
    <row r="717" spans="14:15" ht="17.100000000000001" customHeight="1">
      <c r="N717" s="1307"/>
      <c r="O717" s="1999"/>
    </row>
    <row r="718" spans="14:15" ht="17.100000000000001" customHeight="1">
      <c r="N718" s="1307"/>
      <c r="O718" s="1999"/>
    </row>
    <row r="719" spans="14:15" ht="17.100000000000001" customHeight="1">
      <c r="N719" s="1307"/>
      <c r="O719" s="1999"/>
    </row>
    <row r="720" spans="14:15" ht="17.100000000000001" customHeight="1">
      <c r="N720" s="1307"/>
      <c r="O720" s="1999"/>
    </row>
    <row r="721" spans="14:15" ht="17.100000000000001" customHeight="1">
      <c r="N721" s="1307"/>
      <c r="O721" s="1999"/>
    </row>
    <row r="722" spans="14:15" ht="17.100000000000001" customHeight="1">
      <c r="N722" s="1307"/>
      <c r="O722" s="1999"/>
    </row>
    <row r="723" spans="14:15" ht="17.100000000000001" customHeight="1">
      <c r="N723" s="1307"/>
      <c r="O723" s="1999"/>
    </row>
    <row r="724" spans="14:15" ht="17.100000000000001" customHeight="1">
      <c r="N724" s="1307"/>
      <c r="O724" s="1999"/>
    </row>
    <row r="725" spans="14:15" ht="17.100000000000001" customHeight="1">
      <c r="N725" s="1307"/>
      <c r="O725" s="1999"/>
    </row>
    <row r="726" spans="14:15" ht="17.100000000000001" customHeight="1">
      <c r="N726" s="1307"/>
      <c r="O726" s="1999"/>
    </row>
    <row r="727" spans="14:15" ht="17.100000000000001" customHeight="1">
      <c r="N727" s="1307"/>
      <c r="O727" s="1999"/>
    </row>
    <row r="728" spans="14:15" ht="17.100000000000001" customHeight="1">
      <c r="N728" s="1307"/>
      <c r="O728" s="1999"/>
    </row>
    <row r="729" spans="14:15" ht="17.100000000000001" customHeight="1">
      <c r="N729" s="1307"/>
      <c r="O729" s="1999"/>
    </row>
    <row r="730" spans="14:15" ht="17.100000000000001" customHeight="1">
      <c r="N730" s="1307"/>
      <c r="O730" s="1999"/>
    </row>
    <row r="731" spans="14:15" ht="17.100000000000001" customHeight="1">
      <c r="N731" s="1307"/>
      <c r="O731" s="1999"/>
    </row>
    <row r="732" spans="14:15" ht="17.100000000000001" customHeight="1">
      <c r="N732" s="1307"/>
      <c r="O732" s="1999"/>
    </row>
    <row r="733" spans="14:15" ht="17.100000000000001" customHeight="1">
      <c r="N733" s="1307"/>
      <c r="O733" s="1999"/>
    </row>
    <row r="734" spans="14:15" ht="17.100000000000001" customHeight="1">
      <c r="N734" s="1307"/>
      <c r="O734" s="1999"/>
    </row>
    <row r="735" spans="14:15" ht="17.100000000000001" customHeight="1">
      <c r="N735" s="1307"/>
      <c r="O735" s="1999"/>
    </row>
    <row r="736" spans="14:15" ht="17.100000000000001" customHeight="1">
      <c r="N736" s="1307"/>
      <c r="O736" s="1999"/>
    </row>
    <row r="737" spans="14:15" ht="17.100000000000001" customHeight="1">
      <c r="N737" s="1307"/>
      <c r="O737" s="1999"/>
    </row>
    <row r="738" spans="14:15" ht="17.100000000000001" customHeight="1">
      <c r="N738" s="1307"/>
      <c r="O738" s="1999"/>
    </row>
    <row r="739" spans="14:15" ht="17.100000000000001" customHeight="1">
      <c r="N739" s="1307"/>
      <c r="O739" s="1999"/>
    </row>
    <row r="740" spans="14:15" ht="17.100000000000001" customHeight="1">
      <c r="N740" s="1307"/>
      <c r="O740" s="1999"/>
    </row>
    <row r="741" spans="14:15" ht="17.100000000000001" customHeight="1">
      <c r="N741" s="1307"/>
      <c r="O741" s="1999"/>
    </row>
    <row r="742" spans="14:15" ht="17.100000000000001" customHeight="1">
      <c r="N742" s="1307"/>
      <c r="O742" s="1999"/>
    </row>
    <row r="743" spans="14:15" ht="17.100000000000001" customHeight="1">
      <c r="N743" s="1307"/>
      <c r="O743" s="1999"/>
    </row>
    <row r="744" spans="14:15" ht="17.100000000000001" customHeight="1">
      <c r="N744" s="1307"/>
      <c r="O744" s="1999"/>
    </row>
    <row r="745" spans="14:15" ht="17.100000000000001" customHeight="1">
      <c r="N745" s="1307"/>
      <c r="O745" s="1999"/>
    </row>
    <row r="746" spans="14:15" ht="17.100000000000001" customHeight="1">
      <c r="N746" s="1307"/>
      <c r="O746" s="1999"/>
    </row>
    <row r="747" spans="14:15" ht="17.100000000000001" customHeight="1">
      <c r="N747" s="1307"/>
      <c r="O747" s="1999"/>
    </row>
    <row r="748" spans="14:15" ht="17.100000000000001" customHeight="1">
      <c r="N748" s="1307"/>
      <c r="O748" s="1999"/>
    </row>
    <row r="749" spans="14:15" ht="17.100000000000001" customHeight="1">
      <c r="N749" s="1307"/>
      <c r="O749" s="1999"/>
    </row>
    <row r="750" spans="14:15" ht="17.100000000000001" customHeight="1">
      <c r="N750" s="1307"/>
      <c r="O750" s="1999"/>
    </row>
    <row r="751" spans="14:15" ht="17.100000000000001" customHeight="1">
      <c r="N751" s="1307"/>
      <c r="O751" s="1999"/>
    </row>
    <row r="752" spans="14:15" ht="17.100000000000001" customHeight="1">
      <c r="N752" s="1307"/>
      <c r="O752" s="1999"/>
    </row>
    <row r="753" spans="14:15" ht="17.100000000000001" customHeight="1">
      <c r="N753" s="1307"/>
      <c r="O753" s="1999"/>
    </row>
    <row r="754" spans="14:15" ht="17.100000000000001" customHeight="1">
      <c r="N754" s="1307"/>
      <c r="O754" s="1999"/>
    </row>
    <row r="755" spans="14:15" ht="17.100000000000001" customHeight="1">
      <c r="N755" s="1307"/>
      <c r="O755" s="1999"/>
    </row>
    <row r="756" spans="14:15" ht="17.100000000000001" customHeight="1">
      <c r="N756" s="1307"/>
      <c r="O756" s="1999"/>
    </row>
    <row r="757" spans="14:15" ht="17.100000000000001" customHeight="1">
      <c r="N757" s="1307"/>
      <c r="O757" s="1999"/>
    </row>
    <row r="758" spans="14:15" ht="17.100000000000001" customHeight="1">
      <c r="N758" s="1307"/>
      <c r="O758" s="1999"/>
    </row>
    <row r="759" spans="14:15" ht="17.100000000000001" customHeight="1">
      <c r="N759" s="1307"/>
      <c r="O759" s="1999"/>
    </row>
    <row r="760" spans="14:15" ht="17.100000000000001" customHeight="1">
      <c r="N760" s="1307"/>
      <c r="O760" s="1999"/>
    </row>
    <row r="761" spans="14:15" ht="17.100000000000001" customHeight="1">
      <c r="N761" s="1307"/>
      <c r="O761" s="1999"/>
    </row>
    <row r="762" spans="14:15" ht="17.100000000000001" customHeight="1">
      <c r="N762" s="1307"/>
      <c r="O762" s="1999"/>
    </row>
    <row r="763" spans="14:15" ht="17.100000000000001" customHeight="1">
      <c r="N763" s="1307"/>
      <c r="O763" s="1999"/>
    </row>
    <row r="764" spans="14:15" ht="17.100000000000001" customHeight="1">
      <c r="N764" s="1307"/>
      <c r="O764" s="1999"/>
    </row>
    <row r="765" spans="14:15" ht="17.100000000000001" customHeight="1">
      <c r="N765" s="1307"/>
      <c r="O765" s="1999"/>
    </row>
    <row r="766" spans="14:15" ht="17.100000000000001" customHeight="1">
      <c r="N766" s="1307"/>
      <c r="O766" s="1999"/>
    </row>
    <row r="767" spans="14:15" ht="17.100000000000001" customHeight="1">
      <c r="N767" s="1307"/>
      <c r="O767" s="1999"/>
    </row>
    <row r="768" spans="14:15" ht="17.100000000000001" customHeight="1">
      <c r="N768" s="1307"/>
      <c r="O768" s="1999"/>
    </row>
    <row r="769" spans="14:15" ht="17.100000000000001" customHeight="1">
      <c r="N769" s="1307"/>
      <c r="O769" s="1999"/>
    </row>
    <row r="770" spans="14:15" ht="17.100000000000001" customHeight="1">
      <c r="N770" s="1307"/>
      <c r="O770" s="1999"/>
    </row>
    <row r="771" spans="14:15" ht="17.100000000000001" customHeight="1">
      <c r="N771" s="1307"/>
      <c r="O771" s="1999"/>
    </row>
    <row r="772" spans="14:15" ht="17.100000000000001" customHeight="1">
      <c r="N772" s="1307"/>
      <c r="O772" s="1999"/>
    </row>
    <row r="773" spans="14:15" ht="17.100000000000001" customHeight="1">
      <c r="N773" s="1307"/>
      <c r="O773" s="1999"/>
    </row>
    <row r="774" spans="14:15" ht="17.100000000000001" customHeight="1">
      <c r="N774" s="1307"/>
      <c r="O774" s="1999"/>
    </row>
    <row r="775" spans="14:15" ht="17.100000000000001" customHeight="1">
      <c r="N775" s="1307"/>
      <c r="O775" s="1999"/>
    </row>
    <row r="776" spans="14:15" ht="17.100000000000001" customHeight="1">
      <c r="N776" s="1307"/>
      <c r="O776" s="1999"/>
    </row>
    <row r="777" spans="14:15" ht="17.100000000000001" customHeight="1">
      <c r="N777" s="1307"/>
      <c r="O777" s="1999"/>
    </row>
    <row r="778" spans="14:15" ht="17.100000000000001" customHeight="1">
      <c r="N778" s="1307"/>
      <c r="O778" s="1999"/>
    </row>
    <row r="779" spans="14:15" ht="17.100000000000001" customHeight="1">
      <c r="N779" s="1307"/>
      <c r="O779" s="1999"/>
    </row>
    <row r="780" spans="14:15" ht="17.100000000000001" customHeight="1">
      <c r="N780" s="1307"/>
      <c r="O780" s="1999"/>
    </row>
    <row r="781" spans="14:15" ht="17.100000000000001" customHeight="1">
      <c r="N781" s="1307"/>
      <c r="O781" s="1999"/>
    </row>
    <row r="782" spans="14:15" ht="17.100000000000001" customHeight="1">
      <c r="N782" s="1307"/>
      <c r="O782" s="1999"/>
    </row>
    <row r="783" spans="14:15" ht="17.100000000000001" customHeight="1">
      <c r="N783" s="1307"/>
      <c r="O783" s="1999"/>
    </row>
    <row r="784" spans="14:15" ht="17.100000000000001" customHeight="1">
      <c r="N784" s="1307"/>
      <c r="O784" s="1999"/>
    </row>
    <row r="785" spans="14:15" ht="17.100000000000001" customHeight="1">
      <c r="N785" s="1307"/>
      <c r="O785" s="1999"/>
    </row>
    <row r="786" spans="14:15" ht="17.100000000000001" customHeight="1">
      <c r="N786" s="1307"/>
      <c r="O786" s="1999"/>
    </row>
    <row r="787" spans="14:15" ht="17.100000000000001" customHeight="1">
      <c r="N787" s="1307"/>
      <c r="O787" s="1999"/>
    </row>
    <row r="788" spans="14:15" ht="17.100000000000001" customHeight="1">
      <c r="N788" s="1307"/>
      <c r="O788" s="1999"/>
    </row>
    <row r="789" spans="14:15" ht="17.100000000000001" customHeight="1">
      <c r="N789" s="1307"/>
      <c r="O789" s="1999"/>
    </row>
    <row r="790" spans="14:15" ht="17.100000000000001" customHeight="1">
      <c r="N790" s="1307"/>
      <c r="O790" s="1999"/>
    </row>
    <row r="791" spans="14:15" ht="17.100000000000001" customHeight="1">
      <c r="N791" s="1307"/>
      <c r="O791" s="1999"/>
    </row>
    <row r="792" spans="14:15" ht="17.100000000000001" customHeight="1">
      <c r="N792" s="1307"/>
      <c r="O792" s="1999"/>
    </row>
    <row r="793" spans="14:15" ht="17.100000000000001" customHeight="1">
      <c r="N793" s="1307"/>
      <c r="O793" s="1999"/>
    </row>
    <row r="794" spans="14:15" ht="17.100000000000001" customHeight="1">
      <c r="N794" s="1307"/>
      <c r="O794" s="1999"/>
    </row>
    <row r="795" spans="14:15" ht="17.100000000000001" customHeight="1">
      <c r="N795" s="1307"/>
      <c r="O795" s="1999"/>
    </row>
    <row r="796" spans="14:15" ht="17.100000000000001" customHeight="1">
      <c r="N796" s="1307"/>
      <c r="O796" s="1999"/>
    </row>
    <row r="797" spans="14:15" ht="17.100000000000001" customHeight="1">
      <c r="N797" s="1307"/>
      <c r="O797" s="1999"/>
    </row>
    <row r="798" spans="14:15" ht="17.100000000000001" customHeight="1">
      <c r="N798" s="1307"/>
      <c r="O798" s="1999"/>
    </row>
    <row r="799" spans="14:15" ht="17.100000000000001" customHeight="1">
      <c r="N799" s="1307"/>
      <c r="O799" s="1999"/>
    </row>
    <row r="800" spans="14:15" ht="17.100000000000001" customHeight="1">
      <c r="N800" s="1307"/>
      <c r="O800" s="1999"/>
    </row>
    <row r="801" spans="14:15" ht="17.100000000000001" customHeight="1">
      <c r="N801" s="1307"/>
      <c r="O801" s="1999"/>
    </row>
    <row r="802" spans="14:15" ht="17.100000000000001" customHeight="1">
      <c r="N802" s="1307"/>
      <c r="O802" s="1999"/>
    </row>
    <row r="803" spans="14:15" ht="17.100000000000001" customHeight="1">
      <c r="N803" s="1307"/>
      <c r="O803" s="1999"/>
    </row>
    <row r="804" spans="14:15" ht="17.100000000000001" customHeight="1">
      <c r="N804" s="1307"/>
      <c r="O804" s="1999"/>
    </row>
    <row r="805" spans="14:15" ht="17.100000000000001" customHeight="1">
      <c r="N805" s="1307"/>
      <c r="O805" s="1999"/>
    </row>
    <row r="806" spans="14:15" ht="17.100000000000001" customHeight="1">
      <c r="N806" s="1307"/>
      <c r="O806" s="1999"/>
    </row>
    <row r="807" spans="14:15" ht="17.100000000000001" customHeight="1">
      <c r="N807" s="1307"/>
      <c r="O807" s="1999"/>
    </row>
    <row r="808" spans="14:15" ht="17.100000000000001" customHeight="1">
      <c r="N808" s="1307"/>
      <c r="O808" s="1999"/>
    </row>
    <row r="809" spans="14:15" ht="17.100000000000001" customHeight="1">
      <c r="N809" s="1307"/>
      <c r="O809" s="1999"/>
    </row>
    <row r="810" spans="14:15" ht="17.100000000000001" customHeight="1">
      <c r="N810" s="1307"/>
      <c r="O810" s="1999"/>
    </row>
    <row r="811" spans="14:15" ht="17.100000000000001" customHeight="1">
      <c r="N811" s="1307"/>
      <c r="O811" s="1999"/>
    </row>
    <row r="812" spans="14:15" ht="17.100000000000001" customHeight="1">
      <c r="N812" s="1307"/>
      <c r="O812" s="1999"/>
    </row>
    <row r="813" spans="14:15" ht="17.100000000000001" customHeight="1">
      <c r="N813" s="1307"/>
      <c r="O813" s="1999"/>
    </row>
    <row r="814" spans="14:15" ht="17.100000000000001" customHeight="1">
      <c r="N814" s="1307"/>
      <c r="O814" s="1999"/>
    </row>
    <row r="815" spans="14:15" ht="17.100000000000001" customHeight="1">
      <c r="N815" s="1307"/>
      <c r="O815" s="1999"/>
    </row>
    <row r="816" spans="14:15" ht="17.100000000000001" customHeight="1">
      <c r="N816" s="1307"/>
      <c r="O816" s="1999"/>
    </row>
    <row r="817" spans="14:15" ht="17.100000000000001" customHeight="1">
      <c r="N817" s="1307"/>
      <c r="O817" s="1999"/>
    </row>
    <row r="818" spans="14:15" ht="17.100000000000001" customHeight="1">
      <c r="N818" s="1307"/>
      <c r="O818" s="1999"/>
    </row>
    <row r="819" spans="14:15" ht="17.100000000000001" customHeight="1">
      <c r="N819" s="1307"/>
      <c r="O819" s="1999"/>
    </row>
    <row r="820" spans="14:15" ht="17.100000000000001" customHeight="1">
      <c r="N820" s="1307"/>
      <c r="O820" s="1999"/>
    </row>
    <row r="821" spans="14:15" ht="17.100000000000001" customHeight="1">
      <c r="N821" s="1307"/>
      <c r="O821" s="1999"/>
    </row>
    <row r="822" spans="14:15" ht="17.100000000000001" customHeight="1">
      <c r="N822" s="1307"/>
      <c r="O822" s="1999"/>
    </row>
    <row r="823" spans="14:15" ht="17.100000000000001" customHeight="1">
      <c r="N823" s="1307"/>
      <c r="O823" s="1999"/>
    </row>
    <row r="824" spans="14:15" ht="17.100000000000001" customHeight="1">
      <c r="N824" s="1307"/>
      <c r="O824" s="1999"/>
    </row>
    <row r="825" spans="14:15" ht="17.100000000000001" customHeight="1">
      <c r="N825" s="1307"/>
      <c r="O825" s="1999"/>
    </row>
    <row r="826" spans="14:15" ht="17.100000000000001" customHeight="1">
      <c r="N826" s="1307"/>
      <c r="O826" s="1999"/>
    </row>
    <row r="827" spans="14:15" ht="17.100000000000001" customHeight="1">
      <c r="N827" s="1307"/>
      <c r="O827" s="1999"/>
    </row>
    <row r="828" spans="14:15" ht="17.100000000000001" customHeight="1">
      <c r="N828" s="1307"/>
      <c r="O828" s="1999"/>
    </row>
    <row r="829" spans="14:15" ht="17.100000000000001" customHeight="1">
      <c r="N829" s="1307"/>
      <c r="O829" s="1999"/>
    </row>
    <row r="830" spans="14:15" ht="17.100000000000001" customHeight="1">
      <c r="N830" s="1307"/>
      <c r="O830" s="1999"/>
    </row>
    <row r="831" spans="14:15" ht="17.100000000000001" customHeight="1">
      <c r="N831" s="1307"/>
      <c r="O831" s="1999"/>
    </row>
    <row r="832" spans="14:15" ht="17.100000000000001" customHeight="1">
      <c r="N832" s="1307"/>
      <c r="O832" s="1999"/>
    </row>
    <row r="833" spans="14:15" ht="17.100000000000001" customHeight="1">
      <c r="N833" s="1307"/>
      <c r="O833" s="1999"/>
    </row>
    <row r="834" spans="14:15" ht="17.100000000000001" customHeight="1">
      <c r="N834" s="1307"/>
      <c r="O834" s="1999"/>
    </row>
    <row r="835" spans="14:15" ht="17.100000000000001" customHeight="1">
      <c r="N835" s="1307"/>
      <c r="O835" s="1999"/>
    </row>
    <row r="836" spans="14:15" ht="17.100000000000001" customHeight="1">
      <c r="N836" s="1307"/>
      <c r="O836" s="1999"/>
    </row>
    <row r="837" spans="14:15" ht="17.100000000000001" customHeight="1">
      <c r="N837" s="1307"/>
      <c r="O837" s="1999"/>
    </row>
    <row r="838" spans="14:15" ht="17.100000000000001" customHeight="1">
      <c r="N838" s="1307"/>
      <c r="O838" s="1999"/>
    </row>
    <row r="839" spans="14:15" ht="17.100000000000001" customHeight="1">
      <c r="N839" s="1307"/>
      <c r="O839" s="1999"/>
    </row>
    <row r="840" spans="14:15" ht="17.100000000000001" customHeight="1">
      <c r="N840" s="1307"/>
      <c r="O840" s="1999"/>
    </row>
    <row r="841" spans="14:15" ht="17.100000000000001" customHeight="1">
      <c r="N841" s="1307"/>
      <c r="O841" s="1999"/>
    </row>
    <row r="842" spans="14:15" ht="17.100000000000001" customHeight="1">
      <c r="N842" s="1307"/>
      <c r="O842" s="1999"/>
    </row>
    <row r="843" spans="14:15" ht="17.100000000000001" customHeight="1">
      <c r="N843" s="1307"/>
      <c r="O843" s="1999"/>
    </row>
    <row r="844" spans="14:15" ht="17.100000000000001" customHeight="1">
      <c r="N844" s="1307"/>
      <c r="O844" s="1999"/>
    </row>
    <row r="845" spans="14:15" ht="17.100000000000001" customHeight="1">
      <c r="N845" s="1307"/>
      <c r="O845" s="1999"/>
    </row>
    <row r="846" spans="14:15" ht="17.100000000000001" customHeight="1">
      <c r="N846" s="1307"/>
      <c r="O846" s="1999"/>
    </row>
    <row r="847" spans="14:15" ht="17.100000000000001" customHeight="1">
      <c r="N847" s="1307"/>
      <c r="O847" s="1999"/>
    </row>
    <row r="848" spans="14:15" ht="17.100000000000001" customHeight="1">
      <c r="N848" s="1307"/>
      <c r="O848" s="1999"/>
    </row>
    <row r="849" spans="14:15" ht="17.100000000000001" customHeight="1">
      <c r="N849" s="1307"/>
      <c r="O849" s="1999"/>
    </row>
    <row r="850" spans="14:15" ht="17.100000000000001" customHeight="1">
      <c r="N850" s="1307"/>
      <c r="O850" s="1999"/>
    </row>
    <row r="851" spans="14:15" ht="17.100000000000001" customHeight="1">
      <c r="N851" s="1307"/>
      <c r="O851" s="1999"/>
    </row>
    <row r="852" spans="14:15" ht="17.100000000000001" customHeight="1">
      <c r="N852" s="1307"/>
      <c r="O852" s="1999"/>
    </row>
    <row r="853" spans="14:15" ht="17.100000000000001" customHeight="1">
      <c r="N853" s="1307"/>
      <c r="O853" s="1999"/>
    </row>
    <row r="854" spans="14:15" ht="17.100000000000001" customHeight="1">
      <c r="N854" s="1307"/>
      <c r="O854" s="1999"/>
    </row>
    <row r="855" spans="14:15" ht="17.100000000000001" customHeight="1">
      <c r="N855" s="1307"/>
      <c r="O855" s="1999"/>
    </row>
    <row r="856" spans="14:15" ht="17.100000000000001" customHeight="1">
      <c r="N856" s="1307"/>
      <c r="O856" s="1999"/>
    </row>
    <row r="857" spans="14:15" ht="17.100000000000001" customHeight="1">
      <c r="N857" s="1307"/>
      <c r="O857" s="1999"/>
    </row>
    <row r="858" spans="14:15" ht="17.100000000000001" customHeight="1">
      <c r="N858" s="1307"/>
      <c r="O858" s="1999"/>
    </row>
    <row r="859" spans="14:15" ht="17.100000000000001" customHeight="1">
      <c r="N859" s="1307"/>
      <c r="O859" s="1999"/>
    </row>
    <row r="860" spans="14:15" ht="17.100000000000001" customHeight="1">
      <c r="N860" s="1307"/>
      <c r="O860" s="1999"/>
    </row>
    <row r="861" spans="14:15" ht="17.100000000000001" customHeight="1">
      <c r="N861" s="1307"/>
      <c r="O861" s="1999"/>
    </row>
    <row r="862" spans="14:15" ht="17.100000000000001" customHeight="1">
      <c r="N862" s="1307"/>
      <c r="O862" s="1999"/>
    </row>
    <row r="863" spans="14:15" ht="17.100000000000001" customHeight="1">
      <c r="N863" s="1307"/>
      <c r="O863" s="1999"/>
    </row>
    <row r="864" spans="14:15" ht="17.100000000000001" customHeight="1">
      <c r="N864" s="1307"/>
      <c r="O864" s="1999"/>
    </row>
    <row r="865" spans="14:15" ht="17.100000000000001" customHeight="1">
      <c r="N865" s="1307"/>
      <c r="O865" s="1999"/>
    </row>
    <row r="866" spans="14:15" ht="17.100000000000001" customHeight="1">
      <c r="N866" s="1307"/>
      <c r="O866" s="1999"/>
    </row>
    <row r="867" spans="14:15" ht="17.100000000000001" customHeight="1">
      <c r="N867" s="1307"/>
      <c r="O867" s="1999"/>
    </row>
    <row r="868" spans="14:15" ht="17.100000000000001" customHeight="1">
      <c r="N868" s="1307"/>
      <c r="O868" s="1999"/>
    </row>
    <row r="869" spans="14:15" ht="17.100000000000001" customHeight="1">
      <c r="N869" s="1307"/>
      <c r="O869" s="1999"/>
    </row>
    <row r="870" spans="14:15" ht="17.100000000000001" customHeight="1">
      <c r="N870" s="1307"/>
      <c r="O870" s="1999"/>
    </row>
    <row r="871" spans="14:15" ht="17.100000000000001" customHeight="1">
      <c r="N871" s="1307"/>
      <c r="O871" s="1999"/>
    </row>
    <row r="872" spans="14:15" ht="17.100000000000001" customHeight="1">
      <c r="N872" s="1307"/>
      <c r="O872" s="1999"/>
    </row>
    <row r="873" spans="14:15" ht="17.100000000000001" customHeight="1">
      <c r="N873" s="1307"/>
      <c r="O873" s="1999"/>
    </row>
    <row r="874" spans="14:15" ht="17.100000000000001" customHeight="1">
      <c r="N874" s="1307"/>
      <c r="O874" s="1999"/>
    </row>
    <row r="875" spans="14:15" ht="17.100000000000001" customHeight="1">
      <c r="N875" s="1307"/>
      <c r="O875" s="1999"/>
    </row>
    <row r="876" spans="14:15" ht="17.100000000000001" customHeight="1">
      <c r="N876" s="1307"/>
      <c r="O876" s="1999"/>
    </row>
    <row r="877" spans="14:15" ht="17.100000000000001" customHeight="1">
      <c r="N877" s="1307"/>
      <c r="O877" s="1999"/>
    </row>
    <row r="878" spans="14:15" ht="17.100000000000001" customHeight="1">
      <c r="N878" s="1307"/>
      <c r="O878" s="1999"/>
    </row>
    <row r="879" spans="14:15" ht="17.100000000000001" customHeight="1">
      <c r="N879" s="1307"/>
      <c r="O879" s="1999"/>
    </row>
    <row r="880" spans="14:15" ht="17.100000000000001" customHeight="1">
      <c r="N880" s="1307"/>
      <c r="O880" s="1999"/>
    </row>
    <row r="881" spans="14:15" ht="17.100000000000001" customHeight="1">
      <c r="N881" s="1307"/>
      <c r="O881" s="1999"/>
    </row>
    <row r="882" spans="14:15" ht="17.100000000000001" customHeight="1">
      <c r="N882" s="1307"/>
      <c r="O882" s="1999"/>
    </row>
    <row r="883" spans="14:15" ht="17.100000000000001" customHeight="1">
      <c r="N883" s="1307"/>
      <c r="O883" s="1999"/>
    </row>
    <row r="884" spans="14:15" ht="17.100000000000001" customHeight="1">
      <c r="N884" s="1307"/>
      <c r="O884" s="1999"/>
    </row>
    <row r="885" spans="14:15" ht="17.100000000000001" customHeight="1">
      <c r="N885" s="1307"/>
      <c r="O885" s="1999"/>
    </row>
    <row r="886" spans="14:15" ht="17.100000000000001" customHeight="1">
      <c r="N886" s="1307"/>
      <c r="O886" s="1999"/>
    </row>
    <row r="887" spans="14:15" ht="17.100000000000001" customHeight="1">
      <c r="N887" s="1307"/>
      <c r="O887" s="1999"/>
    </row>
    <row r="888" spans="14:15" ht="17.100000000000001" customHeight="1">
      <c r="N888" s="1307"/>
      <c r="O888" s="1999"/>
    </row>
    <row r="889" spans="14:15" ht="17.100000000000001" customHeight="1">
      <c r="N889" s="1307"/>
      <c r="O889" s="1999"/>
    </row>
    <row r="890" spans="14:15" ht="17.100000000000001" customHeight="1">
      <c r="N890" s="1307"/>
      <c r="O890" s="1999"/>
    </row>
    <row r="891" spans="14:15" ht="17.100000000000001" customHeight="1">
      <c r="N891" s="1307"/>
      <c r="O891" s="1999"/>
    </row>
    <row r="892" spans="14:15" ht="17.100000000000001" customHeight="1">
      <c r="N892" s="1307"/>
      <c r="O892" s="1999"/>
    </row>
    <row r="893" spans="14:15" ht="17.100000000000001" customHeight="1">
      <c r="N893" s="1307"/>
      <c r="O893" s="1999"/>
    </row>
    <row r="894" spans="14:15" ht="17.100000000000001" customHeight="1">
      <c r="N894" s="1307"/>
      <c r="O894" s="1999"/>
    </row>
    <row r="895" spans="14:15" ht="17.100000000000001" customHeight="1">
      <c r="N895" s="1307"/>
      <c r="O895" s="1999"/>
    </row>
    <row r="896" spans="14:15" ht="17.100000000000001" customHeight="1">
      <c r="N896" s="1307"/>
      <c r="O896" s="1999"/>
    </row>
    <row r="897" spans="14:15" ht="17.100000000000001" customHeight="1">
      <c r="N897" s="1307"/>
      <c r="O897" s="1999"/>
    </row>
    <row r="898" spans="14:15" ht="17.100000000000001" customHeight="1">
      <c r="N898" s="1307"/>
      <c r="O898" s="1999"/>
    </row>
    <row r="899" spans="14:15" ht="17.100000000000001" customHeight="1">
      <c r="N899" s="1307"/>
      <c r="O899" s="1999"/>
    </row>
    <row r="900" spans="14:15" ht="17.100000000000001" customHeight="1">
      <c r="N900" s="1307"/>
      <c r="O900" s="1999"/>
    </row>
    <row r="901" spans="14:15" ht="17.100000000000001" customHeight="1">
      <c r="N901" s="1307"/>
      <c r="O901" s="1999"/>
    </row>
    <row r="902" spans="14:15" ht="17.100000000000001" customHeight="1">
      <c r="N902" s="1307"/>
      <c r="O902" s="1999"/>
    </row>
    <row r="903" spans="14:15" ht="17.100000000000001" customHeight="1">
      <c r="N903" s="1307"/>
      <c r="O903" s="1999"/>
    </row>
    <row r="904" spans="14:15" ht="17.100000000000001" customHeight="1">
      <c r="N904" s="1307"/>
      <c r="O904" s="1999"/>
    </row>
    <row r="905" spans="14:15" ht="17.100000000000001" customHeight="1">
      <c r="N905" s="1307"/>
      <c r="O905" s="1999"/>
    </row>
    <row r="906" spans="14:15" ht="17.100000000000001" customHeight="1">
      <c r="N906" s="1307"/>
      <c r="O906" s="1999"/>
    </row>
    <row r="907" spans="14:15" ht="17.100000000000001" customHeight="1">
      <c r="N907" s="1307"/>
      <c r="O907" s="1999"/>
    </row>
    <row r="908" spans="14:15" ht="17.100000000000001" customHeight="1">
      <c r="N908" s="1307"/>
      <c r="O908" s="1999"/>
    </row>
    <row r="909" spans="14:15" ht="17.100000000000001" customHeight="1">
      <c r="N909" s="1307"/>
      <c r="O909" s="1999"/>
    </row>
    <row r="910" spans="14:15" ht="17.100000000000001" customHeight="1">
      <c r="N910" s="1307"/>
      <c r="O910" s="1999"/>
    </row>
    <row r="911" spans="14:15" ht="17.100000000000001" customHeight="1">
      <c r="N911" s="1307"/>
      <c r="O911" s="1999"/>
    </row>
    <row r="912" spans="14:15" ht="17.100000000000001" customHeight="1">
      <c r="N912" s="1307"/>
      <c r="O912" s="1999"/>
    </row>
    <row r="913" spans="14:15" ht="17.100000000000001" customHeight="1">
      <c r="N913" s="1307"/>
      <c r="O913" s="1999"/>
    </row>
    <row r="914" spans="14:15" ht="17.100000000000001" customHeight="1">
      <c r="N914" s="1307"/>
      <c r="O914" s="1999"/>
    </row>
    <row r="915" spans="14:15" ht="17.100000000000001" customHeight="1">
      <c r="N915" s="1307"/>
      <c r="O915" s="1999"/>
    </row>
    <row r="916" spans="14:15" ht="17.100000000000001" customHeight="1">
      <c r="N916" s="1307"/>
      <c r="O916" s="1999"/>
    </row>
    <row r="917" spans="14:15" ht="17.100000000000001" customHeight="1">
      <c r="N917" s="1307"/>
      <c r="O917" s="1999"/>
    </row>
    <row r="918" spans="14:15" ht="17.100000000000001" customHeight="1">
      <c r="N918" s="1307"/>
      <c r="O918" s="1999"/>
    </row>
    <row r="919" spans="14:15" ht="17.100000000000001" customHeight="1">
      <c r="N919" s="1307"/>
      <c r="O919" s="1999"/>
    </row>
    <row r="920" spans="14:15" ht="17.100000000000001" customHeight="1">
      <c r="N920" s="1307"/>
      <c r="O920" s="1999"/>
    </row>
    <row r="921" spans="14:15" ht="17.100000000000001" customHeight="1">
      <c r="N921" s="1307"/>
      <c r="O921" s="1999"/>
    </row>
    <row r="922" spans="14:15" ht="17.100000000000001" customHeight="1">
      <c r="N922" s="1307"/>
      <c r="O922" s="1999"/>
    </row>
    <row r="923" spans="14:15" ht="17.100000000000001" customHeight="1">
      <c r="N923" s="1307"/>
      <c r="O923" s="1999"/>
    </row>
    <row r="924" spans="14:15" ht="17.100000000000001" customHeight="1">
      <c r="N924" s="1307"/>
      <c r="O924" s="1999"/>
    </row>
    <row r="925" spans="14:15" ht="17.100000000000001" customHeight="1">
      <c r="N925" s="1307"/>
      <c r="O925" s="1999"/>
    </row>
    <row r="926" spans="14:15" ht="17.100000000000001" customHeight="1">
      <c r="N926" s="1307"/>
      <c r="O926" s="1999"/>
    </row>
    <row r="927" spans="14:15" ht="17.100000000000001" customHeight="1">
      <c r="N927" s="1307"/>
      <c r="O927" s="1999"/>
    </row>
    <row r="928" spans="14:15" ht="17.100000000000001" customHeight="1">
      <c r="N928" s="1307"/>
      <c r="O928" s="1999"/>
    </row>
    <row r="929" spans="14:15" ht="17.100000000000001" customHeight="1">
      <c r="N929" s="1307"/>
      <c r="O929" s="1999"/>
    </row>
    <row r="930" spans="14:15" ht="17.100000000000001" customHeight="1">
      <c r="N930" s="1307"/>
      <c r="O930" s="1999"/>
    </row>
    <row r="931" spans="14:15" ht="17.100000000000001" customHeight="1">
      <c r="N931" s="1307"/>
      <c r="O931" s="1999"/>
    </row>
    <row r="932" spans="14:15" ht="17.100000000000001" customHeight="1">
      <c r="N932" s="1307"/>
      <c r="O932" s="1999"/>
    </row>
    <row r="933" spans="14:15" ht="17.100000000000001" customHeight="1">
      <c r="N933" s="1307"/>
      <c r="O933" s="1999"/>
    </row>
    <row r="934" spans="14:15" ht="17.100000000000001" customHeight="1">
      <c r="N934" s="1307"/>
      <c r="O934" s="1999"/>
    </row>
    <row r="935" spans="14:15" ht="17.100000000000001" customHeight="1">
      <c r="N935" s="1307"/>
      <c r="O935" s="1999"/>
    </row>
    <row r="936" spans="14:15" ht="17.100000000000001" customHeight="1">
      <c r="N936" s="1307"/>
      <c r="O936" s="1999"/>
    </row>
    <row r="937" spans="14:15" ht="17.100000000000001" customHeight="1">
      <c r="N937" s="1307"/>
      <c r="O937" s="1999"/>
    </row>
    <row r="938" spans="14:15" ht="17.100000000000001" customHeight="1">
      <c r="N938" s="1307"/>
      <c r="O938" s="1999"/>
    </row>
    <row r="939" spans="14:15" ht="17.100000000000001" customHeight="1">
      <c r="N939" s="1307"/>
      <c r="O939" s="1999"/>
    </row>
    <row r="940" spans="14:15" ht="17.100000000000001" customHeight="1">
      <c r="N940" s="1307"/>
      <c r="O940" s="1999"/>
    </row>
    <row r="941" spans="14:15" ht="17.100000000000001" customHeight="1">
      <c r="N941" s="1307"/>
      <c r="O941" s="1999"/>
    </row>
    <row r="942" spans="14:15" ht="17.100000000000001" customHeight="1">
      <c r="N942" s="1307"/>
      <c r="O942" s="1999"/>
    </row>
    <row r="943" spans="14:15" ht="17.100000000000001" customHeight="1">
      <c r="N943" s="1307"/>
      <c r="O943" s="1999"/>
    </row>
    <row r="944" spans="14:15" ht="17.100000000000001" customHeight="1">
      <c r="N944" s="1307"/>
      <c r="O944" s="1999"/>
    </row>
    <row r="945" spans="14:15" ht="17.100000000000001" customHeight="1">
      <c r="N945" s="1307"/>
      <c r="O945" s="1999"/>
    </row>
    <row r="946" spans="14:15" ht="17.100000000000001" customHeight="1">
      <c r="N946" s="1307"/>
      <c r="O946" s="1999"/>
    </row>
    <row r="947" spans="14:15" ht="17.100000000000001" customHeight="1">
      <c r="N947" s="1307"/>
      <c r="O947" s="1999"/>
    </row>
    <row r="948" spans="14:15" ht="17.100000000000001" customHeight="1">
      <c r="N948" s="1307"/>
      <c r="O948" s="1999"/>
    </row>
    <row r="949" spans="14:15" ht="17.100000000000001" customHeight="1">
      <c r="N949" s="1307"/>
      <c r="O949" s="1999"/>
    </row>
    <row r="950" spans="14:15" ht="17.100000000000001" customHeight="1">
      <c r="N950" s="1307"/>
      <c r="O950" s="1999"/>
    </row>
    <row r="951" spans="14:15" ht="17.100000000000001" customHeight="1">
      <c r="N951" s="1307"/>
      <c r="O951" s="1999"/>
    </row>
    <row r="952" spans="14:15" ht="17.100000000000001" customHeight="1">
      <c r="N952" s="1307"/>
      <c r="O952" s="1999"/>
    </row>
    <row r="953" spans="14:15" ht="17.100000000000001" customHeight="1">
      <c r="N953" s="1307"/>
      <c r="O953" s="1999"/>
    </row>
    <row r="954" spans="14:15" ht="17.100000000000001" customHeight="1">
      <c r="N954" s="1307"/>
      <c r="O954" s="1999"/>
    </row>
    <row r="955" spans="14:15" ht="17.100000000000001" customHeight="1">
      <c r="N955" s="1307"/>
      <c r="O955" s="1999"/>
    </row>
    <row r="956" spans="14:15" ht="17.100000000000001" customHeight="1">
      <c r="N956" s="1307"/>
      <c r="O956" s="1999"/>
    </row>
    <row r="957" spans="14:15" ht="17.100000000000001" customHeight="1">
      <c r="N957" s="1307"/>
      <c r="O957" s="1999"/>
    </row>
    <row r="958" spans="14:15" ht="17.100000000000001" customHeight="1">
      <c r="N958" s="1307"/>
      <c r="O958" s="1999"/>
    </row>
    <row r="959" spans="14:15" ht="17.100000000000001" customHeight="1">
      <c r="N959" s="1307"/>
      <c r="O959" s="1999"/>
    </row>
    <row r="960" spans="14:15" ht="17.100000000000001" customHeight="1">
      <c r="N960" s="1307"/>
      <c r="O960" s="1999"/>
    </row>
    <row r="961" spans="14:15" ht="17.100000000000001" customHeight="1">
      <c r="N961" s="1307"/>
      <c r="O961" s="1999"/>
    </row>
    <row r="962" spans="14:15" ht="17.100000000000001" customHeight="1">
      <c r="N962" s="1307"/>
      <c r="O962" s="1999"/>
    </row>
    <row r="963" spans="14:15" ht="17.100000000000001" customHeight="1">
      <c r="N963" s="1307"/>
      <c r="O963" s="1999"/>
    </row>
    <row r="964" spans="14:15" ht="17.100000000000001" customHeight="1">
      <c r="N964" s="1307"/>
      <c r="O964" s="1999"/>
    </row>
    <row r="965" spans="14:15" ht="17.100000000000001" customHeight="1">
      <c r="N965" s="1307"/>
      <c r="O965" s="1999"/>
    </row>
    <row r="966" spans="14:15" ht="17.100000000000001" customHeight="1">
      <c r="N966" s="1307"/>
      <c r="O966" s="1999"/>
    </row>
    <row r="967" spans="14:15" ht="17.100000000000001" customHeight="1">
      <c r="N967" s="1307"/>
      <c r="O967" s="1999"/>
    </row>
    <row r="968" spans="14:15" ht="17.100000000000001" customHeight="1">
      <c r="N968" s="1307"/>
      <c r="O968" s="1999"/>
    </row>
    <row r="969" spans="14:15" ht="17.100000000000001" customHeight="1">
      <c r="N969" s="1307"/>
      <c r="O969" s="1999"/>
    </row>
    <row r="970" spans="14:15" ht="17.100000000000001" customHeight="1">
      <c r="N970" s="1307"/>
      <c r="O970" s="1999"/>
    </row>
    <row r="971" spans="14:15" ht="17.100000000000001" customHeight="1">
      <c r="N971" s="1307"/>
      <c r="O971" s="1999"/>
    </row>
    <row r="972" spans="14:15" ht="17.100000000000001" customHeight="1">
      <c r="N972" s="1307"/>
      <c r="O972" s="1999"/>
    </row>
    <row r="973" spans="14:15" ht="17.100000000000001" customHeight="1">
      <c r="N973" s="1307"/>
      <c r="O973" s="1999"/>
    </row>
    <row r="974" spans="14:15" ht="17.100000000000001" customHeight="1">
      <c r="N974" s="1307"/>
      <c r="O974" s="1999"/>
    </row>
    <row r="975" spans="14:15" ht="17.100000000000001" customHeight="1">
      <c r="N975" s="1307"/>
      <c r="O975" s="1999"/>
    </row>
    <row r="976" spans="14:15" ht="17.100000000000001" customHeight="1">
      <c r="N976" s="1307"/>
      <c r="O976" s="1999"/>
    </row>
    <row r="977" spans="14:15" ht="17.100000000000001" customHeight="1">
      <c r="N977" s="1307"/>
      <c r="O977" s="1999"/>
    </row>
    <row r="978" spans="14:15" ht="17.100000000000001" customHeight="1">
      <c r="N978" s="1307"/>
      <c r="O978" s="1999"/>
    </row>
    <row r="979" spans="14:15" ht="17.100000000000001" customHeight="1">
      <c r="N979" s="1307"/>
      <c r="O979" s="1999"/>
    </row>
    <row r="980" spans="14:15" ht="17.100000000000001" customHeight="1">
      <c r="N980" s="1307"/>
      <c r="O980" s="1999"/>
    </row>
    <row r="981" spans="14:15" ht="17.100000000000001" customHeight="1">
      <c r="N981" s="1307"/>
      <c r="O981" s="1999"/>
    </row>
    <row r="982" spans="14:15" ht="17.100000000000001" customHeight="1">
      <c r="N982" s="1307"/>
      <c r="O982" s="1999"/>
    </row>
    <row r="983" spans="14:15" ht="17.100000000000001" customHeight="1">
      <c r="N983" s="1307"/>
      <c r="O983" s="1999"/>
    </row>
    <row r="984" spans="14:15" ht="17.100000000000001" customHeight="1">
      <c r="N984" s="1307"/>
      <c r="O984" s="1999"/>
    </row>
    <row r="985" spans="14:15" ht="17.100000000000001" customHeight="1">
      <c r="N985" s="1307"/>
      <c r="O985" s="1999"/>
    </row>
    <row r="986" spans="14:15" ht="17.100000000000001" customHeight="1">
      <c r="N986" s="1307"/>
      <c r="O986" s="1999"/>
    </row>
    <row r="987" spans="14:15" ht="17.100000000000001" customHeight="1">
      <c r="N987" s="1307"/>
      <c r="O987" s="1999"/>
    </row>
    <row r="988" spans="14:15" ht="17.100000000000001" customHeight="1">
      <c r="N988" s="1307"/>
      <c r="O988" s="1999"/>
    </row>
    <row r="989" spans="14:15" ht="17.100000000000001" customHeight="1">
      <c r="N989" s="1307"/>
      <c r="O989" s="1999"/>
    </row>
    <row r="990" spans="14:15" ht="17.100000000000001" customHeight="1">
      <c r="N990" s="1307"/>
      <c r="O990" s="1999"/>
    </row>
    <row r="991" spans="14:15" ht="17.100000000000001" customHeight="1">
      <c r="N991" s="1307"/>
      <c r="O991" s="1999"/>
    </row>
    <row r="992" spans="14:15" ht="17.100000000000001" customHeight="1">
      <c r="N992" s="1307"/>
      <c r="O992" s="1999"/>
    </row>
    <row r="993" spans="14:15" ht="17.100000000000001" customHeight="1">
      <c r="N993" s="1307"/>
      <c r="O993" s="1999"/>
    </row>
    <row r="994" spans="14:15" ht="17.100000000000001" customHeight="1">
      <c r="N994" s="1307"/>
      <c r="O994" s="1999"/>
    </row>
    <row r="995" spans="14:15" ht="17.100000000000001" customHeight="1">
      <c r="N995" s="1307"/>
      <c r="O995" s="1999"/>
    </row>
    <row r="996" spans="14:15" ht="17.100000000000001" customHeight="1">
      <c r="N996" s="1307"/>
      <c r="O996" s="1999"/>
    </row>
    <row r="997" spans="14:15" ht="17.100000000000001" customHeight="1">
      <c r="N997" s="1307"/>
      <c r="O997" s="1999"/>
    </row>
    <row r="998" spans="14:15" ht="17.100000000000001" customHeight="1">
      <c r="N998" s="1307"/>
      <c r="O998" s="1999"/>
    </row>
    <row r="999" spans="14:15" ht="17.100000000000001" customHeight="1">
      <c r="N999" s="1307"/>
      <c r="O999" s="1999"/>
    </row>
    <row r="1000" spans="14:15" ht="17.100000000000001" customHeight="1">
      <c r="N1000" s="1307"/>
      <c r="O1000" s="1999"/>
    </row>
    <row r="1001" spans="14:15" ht="17.100000000000001" customHeight="1">
      <c r="N1001" s="1307"/>
      <c r="O1001" s="1999"/>
    </row>
    <row r="1002" spans="14:15" ht="17.100000000000001" customHeight="1">
      <c r="N1002" s="1307"/>
      <c r="O1002" s="1999"/>
    </row>
    <row r="1003" spans="14:15" ht="17.100000000000001" customHeight="1">
      <c r="N1003" s="1307"/>
      <c r="O1003" s="1999"/>
    </row>
    <row r="1004" spans="14:15" ht="17.100000000000001" customHeight="1">
      <c r="N1004" s="1307"/>
      <c r="O1004" s="1999"/>
    </row>
    <row r="1005" spans="14:15" ht="17.100000000000001" customHeight="1">
      <c r="N1005" s="1307"/>
      <c r="O1005" s="1999"/>
    </row>
    <row r="1006" spans="14:15" ht="17.100000000000001" customHeight="1">
      <c r="N1006" s="1307"/>
      <c r="O1006" s="1999"/>
    </row>
    <row r="1007" spans="14:15" ht="17.100000000000001" customHeight="1">
      <c r="N1007" s="1307"/>
      <c r="O1007" s="1999"/>
    </row>
    <row r="1008" spans="14:15" ht="17.100000000000001" customHeight="1">
      <c r="N1008" s="1307"/>
      <c r="O1008" s="1999"/>
    </row>
    <row r="1009" spans="14:15" ht="17.100000000000001" customHeight="1">
      <c r="N1009" s="1307"/>
      <c r="O1009" s="1999"/>
    </row>
    <row r="1010" spans="14:15" ht="17.100000000000001" customHeight="1">
      <c r="N1010" s="1307"/>
      <c r="O1010" s="1999"/>
    </row>
    <row r="1011" spans="14:15" ht="17.100000000000001" customHeight="1">
      <c r="N1011" s="1307"/>
      <c r="O1011" s="1999"/>
    </row>
    <row r="1012" spans="14:15" ht="17.100000000000001" customHeight="1">
      <c r="N1012" s="1307"/>
      <c r="O1012" s="1999"/>
    </row>
    <row r="1013" spans="14:15" ht="17.100000000000001" customHeight="1">
      <c r="N1013" s="1307"/>
      <c r="O1013" s="1999"/>
    </row>
    <row r="1014" spans="14:15" ht="17.100000000000001" customHeight="1">
      <c r="N1014" s="1307"/>
      <c r="O1014" s="1999"/>
    </row>
    <row r="1015" spans="14:15" ht="17.100000000000001" customHeight="1">
      <c r="N1015" s="1307"/>
      <c r="O1015" s="1999"/>
    </row>
    <row r="1016" spans="14:15" ht="17.100000000000001" customHeight="1">
      <c r="N1016" s="1307"/>
      <c r="O1016" s="1999"/>
    </row>
    <row r="1017" spans="14:15" ht="17.100000000000001" customHeight="1">
      <c r="N1017" s="1307"/>
      <c r="O1017" s="1999"/>
    </row>
    <row r="1018" spans="14:15" ht="17.100000000000001" customHeight="1">
      <c r="N1018" s="1307"/>
      <c r="O1018" s="1999"/>
    </row>
    <row r="1019" spans="14:15" ht="17.100000000000001" customHeight="1">
      <c r="N1019" s="1307"/>
      <c r="O1019" s="1999"/>
    </row>
    <row r="1020" spans="14:15" ht="17.100000000000001" customHeight="1">
      <c r="N1020" s="1307"/>
      <c r="O1020" s="1999"/>
    </row>
    <row r="1021" spans="14:15" ht="17.100000000000001" customHeight="1">
      <c r="N1021" s="1307"/>
      <c r="O1021" s="1999"/>
    </row>
    <row r="1022" spans="14:15" ht="17.100000000000001" customHeight="1">
      <c r="N1022" s="1307"/>
      <c r="O1022" s="1999"/>
    </row>
    <row r="1023" spans="14:15" ht="17.100000000000001" customHeight="1">
      <c r="N1023" s="1307"/>
      <c r="O1023" s="1999"/>
    </row>
    <row r="1024" spans="14:15" ht="17.100000000000001" customHeight="1">
      <c r="N1024" s="1307"/>
      <c r="O1024" s="1999"/>
    </row>
    <row r="1025" spans="14:15" ht="17.100000000000001" customHeight="1">
      <c r="N1025" s="1307"/>
      <c r="O1025" s="1999"/>
    </row>
    <row r="1026" spans="14:15" ht="17.100000000000001" customHeight="1">
      <c r="N1026" s="1307"/>
      <c r="O1026" s="1999"/>
    </row>
    <row r="1027" spans="14:15" ht="17.100000000000001" customHeight="1">
      <c r="N1027" s="1307"/>
      <c r="O1027" s="1999"/>
    </row>
    <row r="1028" spans="14:15" ht="17.100000000000001" customHeight="1">
      <c r="N1028" s="1307"/>
      <c r="O1028" s="1999"/>
    </row>
    <row r="1029" spans="14:15" ht="17.100000000000001" customHeight="1">
      <c r="N1029" s="1307"/>
      <c r="O1029" s="1999"/>
    </row>
    <row r="1030" spans="14:15" ht="17.100000000000001" customHeight="1">
      <c r="N1030" s="1307"/>
      <c r="O1030" s="1999"/>
    </row>
    <row r="1031" spans="14:15" ht="17.100000000000001" customHeight="1">
      <c r="N1031" s="1307"/>
      <c r="O1031" s="1999"/>
    </row>
    <row r="1032" spans="14:15" ht="17.100000000000001" customHeight="1">
      <c r="N1032" s="1307"/>
      <c r="O1032" s="1999"/>
    </row>
    <row r="1033" spans="14:15" ht="17.100000000000001" customHeight="1">
      <c r="N1033" s="1307"/>
      <c r="O1033" s="1999"/>
    </row>
    <row r="1034" spans="14:15" ht="17.100000000000001" customHeight="1">
      <c r="N1034" s="1307"/>
      <c r="O1034" s="1999"/>
    </row>
    <row r="1035" spans="14:15" ht="17.100000000000001" customHeight="1">
      <c r="N1035" s="1307"/>
      <c r="O1035" s="1999"/>
    </row>
    <row r="1036" spans="14:15" ht="17.100000000000001" customHeight="1">
      <c r="N1036" s="1307"/>
      <c r="O1036" s="1999"/>
    </row>
    <row r="1037" spans="14:15" ht="17.100000000000001" customHeight="1">
      <c r="N1037" s="1307"/>
      <c r="O1037" s="1999"/>
    </row>
    <row r="1038" spans="14:15" ht="17.100000000000001" customHeight="1">
      <c r="N1038" s="1307"/>
      <c r="O1038" s="1999"/>
    </row>
    <row r="1039" spans="14:15" ht="17.100000000000001" customHeight="1">
      <c r="N1039" s="1307"/>
      <c r="O1039" s="1999"/>
    </row>
    <row r="1040" spans="14:15" ht="17.100000000000001" customHeight="1">
      <c r="N1040" s="1307"/>
      <c r="O1040" s="1999"/>
    </row>
    <row r="1041" spans="14:15" ht="17.100000000000001" customHeight="1">
      <c r="N1041" s="1307"/>
      <c r="O1041" s="1999"/>
    </row>
    <row r="1042" spans="14:15" ht="17.100000000000001" customHeight="1">
      <c r="N1042" s="1307"/>
      <c r="O1042" s="1999"/>
    </row>
    <row r="1043" spans="14:15" ht="17.100000000000001" customHeight="1">
      <c r="N1043" s="1307"/>
      <c r="O1043" s="1999"/>
    </row>
    <row r="1044" spans="14:15" ht="17.100000000000001" customHeight="1">
      <c r="N1044" s="1307"/>
      <c r="O1044" s="1999"/>
    </row>
    <row r="1045" spans="14:15" ht="17.100000000000001" customHeight="1">
      <c r="N1045" s="1307"/>
      <c r="O1045" s="1999"/>
    </row>
    <row r="1046" spans="14:15" ht="17.100000000000001" customHeight="1">
      <c r="N1046" s="1307"/>
      <c r="O1046" s="1999"/>
    </row>
    <row r="1047" spans="14:15" ht="17.100000000000001" customHeight="1">
      <c r="N1047" s="1307"/>
      <c r="O1047" s="1999"/>
    </row>
    <row r="1048" spans="14:15" ht="17.100000000000001" customHeight="1">
      <c r="N1048" s="1307"/>
      <c r="O1048" s="1999"/>
    </row>
    <row r="1049" spans="14:15" ht="17.100000000000001" customHeight="1">
      <c r="N1049" s="1307"/>
      <c r="O1049" s="1999"/>
    </row>
    <row r="1050" spans="14:15" ht="17.100000000000001" customHeight="1">
      <c r="N1050" s="1307"/>
      <c r="O1050" s="1999"/>
    </row>
    <row r="1051" spans="14:15" ht="17.100000000000001" customHeight="1">
      <c r="N1051" s="1307"/>
      <c r="O1051" s="1999"/>
    </row>
    <row r="1052" spans="14:15" ht="17.100000000000001" customHeight="1">
      <c r="N1052" s="1307"/>
      <c r="O1052" s="1999"/>
    </row>
    <row r="1053" spans="14:15" ht="17.100000000000001" customHeight="1">
      <c r="N1053" s="1307"/>
      <c r="O1053" s="1999"/>
    </row>
    <row r="1054" spans="14:15" ht="17.100000000000001" customHeight="1">
      <c r="N1054" s="1307"/>
      <c r="O1054" s="1999"/>
    </row>
    <row r="1055" spans="14:15" ht="17.100000000000001" customHeight="1">
      <c r="N1055" s="1307"/>
      <c r="O1055" s="1999"/>
    </row>
    <row r="1056" spans="14:15" ht="17.100000000000001" customHeight="1">
      <c r="N1056" s="1307"/>
      <c r="O1056" s="1999"/>
    </row>
    <row r="1057" spans="14:15" ht="17.100000000000001" customHeight="1">
      <c r="N1057" s="1307"/>
      <c r="O1057" s="1999"/>
    </row>
    <row r="1058" spans="14:15" ht="17.100000000000001" customHeight="1">
      <c r="N1058" s="1307"/>
      <c r="O1058" s="1999"/>
    </row>
    <row r="1059" spans="14:15" ht="17.100000000000001" customHeight="1">
      <c r="N1059" s="1307"/>
      <c r="O1059" s="1999"/>
    </row>
    <row r="1060" spans="14:15" ht="17.100000000000001" customHeight="1">
      <c r="N1060" s="1307"/>
      <c r="O1060" s="1999"/>
    </row>
    <row r="1061" spans="14:15" ht="17.100000000000001" customHeight="1">
      <c r="N1061" s="1307"/>
      <c r="O1061" s="1999"/>
    </row>
    <row r="1062" spans="14:15" ht="17.100000000000001" customHeight="1">
      <c r="N1062" s="1307"/>
      <c r="O1062" s="1999"/>
    </row>
    <row r="1063" spans="14:15" ht="17.100000000000001" customHeight="1">
      <c r="N1063" s="1307"/>
      <c r="O1063" s="1999"/>
    </row>
    <row r="1064" spans="14:15" ht="17.100000000000001" customHeight="1">
      <c r="N1064" s="1307"/>
      <c r="O1064" s="1999"/>
    </row>
    <row r="1065" spans="14:15" ht="17.100000000000001" customHeight="1">
      <c r="N1065" s="1307"/>
      <c r="O1065" s="1999"/>
    </row>
    <row r="1066" spans="14:15" ht="17.100000000000001" customHeight="1">
      <c r="N1066" s="1307"/>
      <c r="O1066" s="1999"/>
    </row>
    <row r="1067" spans="14:15" ht="17.100000000000001" customHeight="1">
      <c r="N1067" s="1307"/>
      <c r="O1067" s="1999"/>
    </row>
    <row r="1068" spans="14:15" ht="17.100000000000001" customHeight="1">
      <c r="N1068" s="1307"/>
      <c r="O1068" s="1999"/>
    </row>
    <row r="1069" spans="14:15" ht="17.100000000000001" customHeight="1">
      <c r="N1069" s="1307"/>
      <c r="O1069" s="1999"/>
    </row>
    <row r="1070" spans="14:15" ht="17.100000000000001" customHeight="1">
      <c r="N1070" s="1307"/>
      <c r="O1070" s="1999"/>
    </row>
    <row r="1071" spans="14:15" ht="17.100000000000001" customHeight="1">
      <c r="N1071" s="1307"/>
      <c r="O1071" s="1999"/>
    </row>
    <row r="1072" spans="14:15" ht="17.100000000000001" customHeight="1">
      <c r="N1072" s="1307"/>
      <c r="O1072" s="1999"/>
    </row>
    <row r="1073" spans="14:15" ht="17.100000000000001" customHeight="1">
      <c r="N1073" s="1307"/>
      <c r="O1073" s="1999"/>
    </row>
    <row r="1074" spans="14:15" ht="17.100000000000001" customHeight="1">
      <c r="N1074" s="1307"/>
      <c r="O1074" s="1999"/>
    </row>
    <row r="1075" spans="14:15" ht="17.100000000000001" customHeight="1">
      <c r="N1075" s="1307"/>
      <c r="O1075" s="1999"/>
    </row>
    <row r="1076" spans="14:15" ht="17.100000000000001" customHeight="1">
      <c r="N1076" s="1307"/>
      <c r="O1076" s="1999"/>
    </row>
    <row r="1077" spans="14:15" ht="17.100000000000001" customHeight="1">
      <c r="N1077" s="1307"/>
      <c r="O1077" s="1999"/>
    </row>
    <row r="1078" spans="14:15" ht="17.100000000000001" customHeight="1">
      <c r="N1078" s="1307"/>
      <c r="O1078" s="1999"/>
    </row>
    <row r="1079" spans="14:15" ht="17.100000000000001" customHeight="1">
      <c r="N1079" s="1307"/>
      <c r="O1079" s="1999"/>
    </row>
    <row r="1080" spans="14:15" ht="17.100000000000001" customHeight="1">
      <c r="N1080" s="1307"/>
      <c r="O1080" s="1999"/>
    </row>
    <row r="1081" spans="14:15" ht="17.100000000000001" customHeight="1">
      <c r="N1081" s="1307"/>
      <c r="O1081" s="1999"/>
    </row>
    <row r="1082" spans="14:15" ht="17.100000000000001" customHeight="1">
      <c r="N1082" s="1307"/>
      <c r="O1082" s="1999"/>
    </row>
    <row r="1083" spans="14:15" ht="17.100000000000001" customHeight="1">
      <c r="N1083" s="1307"/>
      <c r="O1083" s="1999"/>
    </row>
    <row r="1084" spans="14:15" ht="17.100000000000001" customHeight="1">
      <c r="N1084" s="1307"/>
      <c r="O1084" s="1999"/>
    </row>
    <row r="1085" spans="14:15" ht="17.100000000000001" customHeight="1">
      <c r="N1085" s="1307"/>
      <c r="O1085" s="1999"/>
    </row>
    <row r="1086" spans="14:15" ht="17.100000000000001" customHeight="1">
      <c r="N1086" s="1307"/>
      <c r="O1086" s="1999"/>
    </row>
    <row r="1087" spans="14:15" ht="17.100000000000001" customHeight="1">
      <c r="N1087" s="1307"/>
      <c r="O1087" s="1999"/>
    </row>
    <row r="1088" spans="14:15" ht="17.100000000000001" customHeight="1">
      <c r="N1088" s="1307"/>
      <c r="O1088" s="1999"/>
    </row>
    <row r="1089" spans="14:15" ht="17.100000000000001" customHeight="1">
      <c r="N1089" s="1307"/>
      <c r="O1089" s="1999"/>
    </row>
    <row r="1090" spans="14:15" ht="17.100000000000001" customHeight="1">
      <c r="N1090" s="1307"/>
      <c r="O1090" s="1999"/>
    </row>
    <row r="1091" spans="14:15" ht="17.100000000000001" customHeight="1">
      <c r="N1091" s="1307"/>
      <c r="O1091" s="1999"/>
    </row>
    <row r="1092" spans="14:15" ht="17.100000000000001" customHeight="1">
      <c r="N1092" s="1307"/>
      <c r="O1092" s="1999"/>
    </row>
    <row r="1093" spans="14:15" ht="17.100000000000001" customHeight="1">
      <c r="N1093" s="1307"/>
      <c r="O1093" s="1999"/>
    </row>
    <row r="1094" spans="14:15" ht="17.100000000000001" customHeight="1">
      <c r="N1094" s="1307"/>
      <c r="O1094" s="1999"/>
    </row>
    <row r="1095" spans="14:15" ht="17.100000000000001" customHeight="1">
      <c r="N1095" s="1307"/>
      <c r="O1095" s="1999"/>
    </row>
    <row r="1096" spans="14:15" ht="17.100000000000001" customHeight="1">
      <c r="N1096" s="1307"/>
      <c r="O1096" s="1999"/>
    </row>
    <row r="1097" spans="14:15" ht="17.100000000000001" customHeight="1">
      <c r="N1097" s="1307"/>
      <c r="O1097" s="1999"/>
    </row>
    <row r="1098" spans="14:15" ht="17.100000000000001" customHeight="1">
      <c r="N1098" s="1307"/>
      <c r="O1098" s="1999"/>
    </row>
    <row r="1099" spans="14:15" ht="17.100000000000001" customHeight="1">
      <c r="N1099" s="1307"/>
      <c r="O1099" s="1999"/>
    </row>
    <row r="1100" spans="14:15" ht="17.100000000000001" customHeight="1">
      <c r="N1100" s="1307"/>
      <c r="O1100" s="1999"/>
    </row>
    <row r="1101" spans="14:15" ht="17.100000000000001" customHeight="1">
      <c r="N1101" s="1307"/>
      <c r="O1101" s="1999"/>
    </row>
    <row r="1102" spans="14:15" ht="17.100000000000001" customHeight="1">
      <c r="N1102" s="1307"/>
      <c r="O1102" s="1999"/>
    </row>
    <row r="1103" spans="14:15" ht="17.100000000000001" customHeight="1">
      <c r="N1103" s="1307"/>
      <c r="O1103" s="1999"/>
    </row>
    <row r="1104" spans="14:15" ht="17.100000000000001" customHeight="1">
      <c r="N1104" s="1307"/>
      <c r="O1104" s="1999"/>
    </row>
    <row r="1105" spans="14:15" ht="17.100000000000001" customHeight="1">
      <c r="N1105" s="1307"/>
      <c r="O1105" s="1999"/>
    </row>
    <row r="1106" spans="14:15" ht="17.100000000000001" customHeight="1">
      <c r="N1106" s="1307"/>
      <c r="O1106" s="1999"/>
    </row>
    <row r="1107" spans="14:15" ht="17.100000000000001" customHeight="1">
      <c r="N1107" s="1307"/>
      <c r="O1107" s="1999"/>
    </row>
    <row r="1108" spans="14:15" ht="17.100000000000001" customHeight="1">
      <c r="N1108" s="1307"/>
      <c r="O1108" s="1999"/>
    </row>
    <row r="1109" spans="14:15" ht="17.100000000000001" customHeight="1">
      <c r="N1109" s="1307"/>
      <c r="O1109" s="1999"/>
    </row>
    <row r="1110" spans="14:15" ht="17.100000000000001" customHeight="1">
      <c r="N1110" s="1307"/>
      <c r="O1110" s="1999"/>
    </row>
    <row r="1111" spans="14:15" ht="17.100000000000001" customHeight="1">
      <c r="N1111" s="1307"/>
      <c r="O1111" s="1999"/>
    </row>
    <row r="1112" spans="14:15" ht="17.100000000000001" customHeight="1">
      <c r="N1112" s="1307"/>
      <c r="O1112" s="1999"/>
    </row>
    <row r="1113" spans="14:15" ht="17.100000000000001" customHeight="1">
      <c r="N1113" s="1307"/>
      <c r="O1113" s="1999"/>
    </row>
    <row r="1114" spans="14:15" ht="17.100000000000001" customHeight="1">
      <c r="N1114" s="1307"/>
      <c r="O1114" s="1999"/>
    </row>
    <row r="1115" spans="14:15" ht="17.100000000000001" customHeight="1">
      <c r="N1115" s="1307"/>
      <c r="O1115" s="1999"/>
    </row>
    <row r="1116" spans="14:15" ht="17.100000000000001" customHeight="1">
      <c r="N1116" s="1307"/>
      <c r="O1116" s="1999"/>
    </row>
    <row r="1117" spans="14:15" ht="17.100000000000001" customHeight="1">
      <c r="N1117" s="1307"/>
      <c r="O1117" s="1999"/>
    </row>
    <row r="1118" spans="14:15" ht="17.100000000000001" customHeight="1">
      <c r="N1118" s="1307"/>
      <c r="O1118" s="1999"/>
    </row>
    <row r="1119" spans="14:15" ht="17.100000000000001" customHeight="1">
      <c r="N1119" s="1307"/>
      <c r="O1119" s="1999"/>
    </row>
    <row r="1120" spans="14:15" ht="17.100000000000001" customHeight="1">
      <c r="N1120" s="1307"/>
      <c r="O1120" s="1999"/>
    </row>
    <row r="1121" spans="14:15" ht="17.100000000000001" customHeight="1">
      <c r="N1121" s="1307"/>
      <c r="O1121" s="1999"/>
    </row>
    <row r="1122" spans="14:15" ht="17.100000000000001" customHeight="1">
      <c r="N1122" s="1307"/>
      <c r="O1122" s="1999"/>
    </row>
    <row r="1123" spans="14:15" ht="17.100000000000001" customHeight="1">
      <c r="N1123" s="1307"/>
      <c r="O1123" s="1999"/>
    </row>
    <row r="1124" spans="14:15" ht="17.100000000000001" customHeight="1">
      <c r="N1124" s="1307"/>
      <c r="O1124" s="1999"/>
    </row>
    <row r="1125" spans="14:15" ht="17.100000000000001" customHeight="1">
      <c r="N1125" s="1307"/>
      <c r="O1125" s="1999"/>
    </row>
    <row r="1126" spans="14:15" ht="17.100000000000001" customHeight="1">
      <c r="N1126" s="1307"/>
      <c r="O1126" s="1999"/>
    </row>
    <row r="1127" spans="14:15" ht="17.100000000000001" customHeight="1">
      <c r="N1127" s="1307"/>
      <c r="O1127" s="1999"/>
    </row>
    <row r="1128" spans="14:15" ht="17.100000000000001" customHeight="1">
      <c r="N1128" s="1307"/>
      <c r="O1128" s="1999"/>
    </row>
    <row r="1129" spans="14:15" ht="17.100000000000001" customHeight="1">
      <c r="N1129" s="1307"/>
      <c r="O1129" s="1999"/>
    </row>
    <row r="1130" spans="14:15" ht="17.100000000000001" customHeight="1">
      <c r="N1130" s="1307"/>
      <c r="O1130" s="1999"/>
    </row>
    <row r="1131" spans="14:15" ht="17.100000000000001" customHeight="1">
      <c r="N1131" s="1307"/>
      <c r="O1131" s="1999"/>
    </row>
    <row r="1132" spans="14:15" ht="17.100000000000001" customHeight="1">
      <c r="N1132" s="1307"/>
      <c r="O1132" s="1999"/>
    </row>
    <row r="1133" spans="14:15" ht="17.100000000000001" customHeight="1">
      <c r="N1133" s="1307"/>
      <c r="O1133" s="1999"/>
    </row>
    <row r="1134" spans="14:15" ht="17.100000000000001" customHeight="1">
      <c r="N1134" s="1307"/>
      <c r="O1134" s="1999"/>
    </row>
    <row r="1135" spans="14:15" ht="17.100000000000001" customHeight="1">
      <c r="N1135" s="1307"/>
      <c r="O1135" s="1999"/>
    </row>
    <row r="1136" spans="14:15" ht="17.100000000000001" customHeight="1">
      <c r="N1136" s="1307"/>
      <c r="O1136" s="1999"/>
    </row>
    <row r="1137" spans="14:15" ht="17.100000000000001" customHeight="1">
      <c r="N1137" s="1307"/>
      <c r="O1137" s="1999"/>
    </row>
    <row r="1138" spans="14:15" ht="17.100000000000001" customHeight="1">
      <c r="N1138" s="1307"/>
      <c r="O1138" s="1999"/>
    </row>
    <row r="1139" spans="14:15" ht="17.100000000000001" customHeight="1">
      <c r="N1139" s="1307"/>
      <c r="O1139" s="1999"/>
    </row>
    <row r="1140" spans="14:15" ht="17.100000000000001" customHeight="1">
      <c r="N1140" s="1307"/>
      <c r="O1140" s="1999"/>
    </row>
    <row r="1141" spans="14:15" ht="17.100000000000001" customHeight="1">
      <c r="N1141" s="1307"/>
      <c r="O1141" s="1999"/>
    </row>
    <row r="1142" spans="14:15" ht="17.100000000000001" customHeight="1">
      <c r="N1142" s="1307"/>
      <c r="O1142" s="1999"/>
    </row>
    <row r="1143" spans="14:15" ht="17.100000000000001" customHeight="1">
      <c r="N1143" s="1307"/>
      <c r="O1143" s="1999"/>
    </row>
    <row r="1144" spans="14:15" ht="17.100000000000001" customHeight="1">
      <c r="N1144" s="1307"/>
      <c r="O1144" s="1999"/>
    </row>
    <row r="1145" spans="14:15" ht="17.100000000000001" customHeight="1">
      <c r="N1145" s="1307"/>
      <c r="O1145" s="1999"/>
    </row>
    <row r="1146" spans="14:15" ht="17.100000000000001" customHeight="1">
      <c r="N1146" s="1307"/>
      <c r="O1146" s="1999"/>
    </row>
    <row r="1147" spans="14:15" ht="17.100000000000001" customHeight="1">
      <c r="N1147" s="1307"/>
      <c r="O1147" s="1999"/>
    </row>
    <row r="1148" spans="14:15" ht="17.100000000000001" customHeight="1">
      <c r="N1148" s="1307"/>
      <c r="O1148" s="1999"/>
    </row>
    <row r="1149" spans="14:15" ht="17.100000000000001" customHeight="1">
      <c r="N1149" s="1307"/>
      <c r="O1149" s="1999"/>
    </row>
    <row r="1150" spans="14:15" ht="17.100000000000001" customHeight="1">
      <c r="N1150" s="1307"/>
      <c r="O1150" s="1999"/>
    </row>
    <row r="1151" spans="14:15" ht="17.100000000000001" customHeight="1">
      <c r="N1151" s="1307"/>
      <c r="O1151" s="1999"/>
    </row>
    <row r="1152" spans="14:15" ht="17.100000000000001" customHeight="1">
      <c r="N1152" s="1307"/>
      <c r="O1152" s="1999"/>
    </row>
    <row r="1153" spans="14:15" ht="17.100000000000001" customHeight="1">
      <c r="N1153" s="1307"/>
      <c r="O1153" s="1999"/>
    </row>
    <row r="1154" spans="14:15" ht="17.100000000000001" customHeight="1">
      <c r="N1154" s="1307"/>
      <c r="O1154" s="1999"/>
    </row>
    <row r="1155" spans="14:15" ht="17.100000000000001" customHeight="1">
      <c r="N1155" s="1307"/>
      <c r="O1155" s="1999"/>
    </row>
    <row r="1156" spans="14:15" ht="17.100000000000001" customHeight="1">
      <c r="N1156" s="1307"/>
      <c r="O1156" s="1999"/>
    </row>
    <row r="1157" spans="14:15" ht="17.100000000000001" customHeight="1">
      <c r="N1157" s="1307"/>
      <c r="O1157" s="1999"/>
    </row>
    <row r="1158" spans="14:15" ht="17.100000000000001" customHeight="1">
      <c r="N1158" s="1307"/>
      <c r="O1158" s="1999"/>
    </row>
    <row r="1159" spans="14:15" ht="17.100000000000001" customHeight="1">
      <c r="N1159" s="1307"/>
      <c r="O1159" s="1999"/>
    </row>
    <row r="1160" spans="14:15" ht="17.100000000000001" customHeight="1">
      <c r="N1160" s="1307"/>
      <c r="O1160" s="1999"/>
    </row>
    <row r="1161" spans="14:15" ht="17.100000000000001" customHeight="1">
      <c r="N1161" s="1307"/>
      <c r="O1161" s="1999"/>
    </row>
    <row r="1162" spans="14:15" ht="17.100000000000001" customHeight="1">
      <c r="N1162" s="1307"/>
      <c r="O1162" s="1999"/>
    </row>
    <row r="1163" spans="14:15" ht="17.100000000000001" customHeight="1">
      <c r="N1163" s="1307"/>
      <c r="O1163" s="1999"/>
    </row>
    <row r="1164" spans="14:15" ht="17.100000000000001" customHeight="1">
      <c r="N1164" s="1307"/>
      <c r="O1164" s="1999"/>
    </row>
    <row r="1165" spans="14:15" ht="17.100000000000001" customHeight="1">
      <c r="N1165" s="1307"/>
      <c r="O1165" s="1999"/>
    </row>
    <row r="1166" spans="14:15" ht="17.100000000000001" customHeight="1">
      <c r="N1166" s="1307"/>
      <c r="O1166" s="1999"/>
    </row>
    <row r="1167" spans="14:15" ht="17.100000000000001" customHeight="1">
      <c r="N1167" s="1307"/>
      <c r="O1167" s="1999"/>
    </row>
    <row r="1168" spans="14:15" ht="17.100000000000001" customHeight="1">
      <c r="N1168" s="1307"/>
      <c r="O1168" s="1999"/>
    </row>
    <row r="1169" spans="14:15" ht="17.100000000000001" customHeight="1">
      <c r="N1169" s="1307"/>
      <c r="O1169" s="1999"/>
    </row>
    <row r="1170" spans="14:15" ht="17.100000000000001" customHeight="1">
      <c r="N1170" s="1307"/>
      <c r="O1170" s="1999"/>
    </row>
    <row r="1171" spans="14:15" ht="17.100000000000001" customHeight="1">
      <c r="N1171" s="1307"/>
      <c r="O1171" s="1999"/>
    </row>
    <row r="1172" spans="14:15" ht="17.100000000000001" customHeight="1">
      <c r="N1172" s="1307"/>
      <c r="O1172" s="1999"/>
    </row>
    <row r="1173" spans="14:15" ht="17.100000000000001" customHeight="1">
      <c r="N1173" s="1307"/>
      <c r="O1173" s="1999"/>
    </row>
    <row r="1174" spans="14:15" ht="17.100000000000001" customHeight="1">
      <c r="N1174" s="1307"/>
      <c r="O1174" s="1999"/>
    </row>
    <row r="1175" spans="14:15" ht="17.100000000000001" customHeight="1">
      <c r="N1175" s="1307"/>
      <c r="O1175" s="1999"/>
    </row>
    <row r="1176" spans="14:15" ht="17.100000000000001" customHeight="1">
      <c r="N1176" s="1307"/>
      <c r="O1176" s="1999"/>
    </row>
    <row r="1177" spans="14:15" ht="17.100000000000001" customHeight="1">
      <c r="N1177" s="1307"/>
      <c r="O1177" s="1999"/>
    </row>
    <row r="1178" spans="14:15" ht="17.100000000000001" customHeight="1">
      <c r="N1178" s="1307"/>
      <c r="O1178" s="1999"/>
    </row>
    <row r="1179" spans="14:15" ht="17.100000000000001" customHeight="1">
      <c r="N1179" s="1307"/>
      <c r="O1179" s="1999"/>
    </row>
    <row r="1180" spans="14:15" ht="17.100000000000001" customHeight="1">
      <c r="N1180" s="1307"/>
      <c r="O1180" s="1999"/>
    </row>
    <row r="1181" spans="14:15" ht="17.100000000000001" customHeight="1">
      <c r="N1181" s="1307"/>
      <c r="O1181" s="1999"/>
    </row>
    <row r="1182" spans="14:15" ht="17.100000000000001" customHeight="1">
      <c r="N1182" s="1307"/>
      <c r="O1182" s="1999"/>
    </row>
    <row r="1183" spans="14:15" ht="17.100000000000001" customHeight="1">
      <c r="N1183" s="1307"/>
      <c r="O1183" s="1999"/>
    </row>
    <row r="1184" spans="14:15" ht="17.100000000000001" customHeight="1">
      <c r="N1184" s="1307"/>
      <c r="O1184" s="1999"/>
    </row>
    <row r="1185" spans="14:15" ht="17.100000000000001" customHeight="1">
      <c r="N1185" s="1307"/>
      <c r="O1185" s="1999"/>
    </row>
    <row r="1186" spans="14:15" ht="17.100000000000001" customHeight="1">
      <c r="N1186" s="1307"/>
      <c r="O1186" s="1999"/>
    </row>
    <row r="1187" spans="14:15" ht="17.100000000000001" customHeight="1">
      <c r="N1187" s="1307"/>
      <c r="O1187" s="1999"/>
    </row>
    <row r="1188" spans="14:15" ht="17.100000000000001" customHeight="1">
      <c r="N1188" s="1307"/>
      <c r="O1188" s="1999"/>
    </row>
    <row r="1189" spans="14:15" ht="17.100000000000001" customHeight="1">
      <c r="N1189" s="1307"/>
      <c r="O1189" s="1999"/>
    </row>
    <row r="1190" spans="14:15" ht="17.100000000000001" customHeight="1">
      <c r="N1190" s="1307"/>
      <c r="O1190" s="1999"/>
    </row>
    <row r="1191" spans="14:15" ht="17.100000000000001" customHeight="1">
      <c r="N1191" s="1307"/>
      <c r="O1191" s="1999"/>
    </row>
    <row r="1192" spans="14:15" ht="17.100000000000001" customHeight="1">
      <c r="N1192" s="1307"/>
      <c r="O1192" s="1999"/>
    </row>
    <row r="1193" spans="14:15" ht="17.100000000000001" customHeight="1">
      <c r="N1193" s="1307"/>
      <c r="O1193" s="1999"/>
    </row>
    <row r="1194" spans="14:15" ht="17.100000000000001" customHeight="1">
      <c r="N1194" s="1307"/>
      <c r="O1194" s="1999"/>
    </row>
    <row r="1195" spans="14:15" ht="17.100000000000001" customHeight="1">
      <c r="N1195" s="1307"/>
      <c r="O1195" s="1999"/>
    </row>
    <row r="1196" spans="14:15" ht="17.100000000000001" customHeight="1">
      <c r="N1196" s="1307"/>
      <c r="O1196" s="1999"/>
    </row>
    <row r="1197" spans="14:15" ht="17.100000000000001" customHeight="1">
      <c r="N1197" s="1307"/>
      <c r="O1197" s="1999"/>
    </row>
    <row r="1198" spans="14:15" ht="17.100000000000001" customHeight="1">
      <c r="N1198" s="1307"/>
      <c r="O1198" s="1999"/>
    </row>
    <row r="1199" spans="14:15" ht="17.100000000000001" customHeight="1">
      <c r="N1199" s="1307"/>
      <c r="O1199" s="1999"/>
    </row>
    <row r="1200" spans="14:15" ht="17.100000000000001" customHeight="1">
      <c r="N1200" s="1307"/>
      <c r="O1200" s="1999"/>
    </row>
    <row r="1201" spans="14:15" ht="17.100000000000001" customHeight="1">
      <c r="N1201" s="1307"/>
      <c r="O1201" s="1999"/>
    </row>
    <row r="1202" spans="14:15" ht="17.100000000000001" customHeight="1">
      <c r="N1202" s="1307"/>
      <c r="O1202" s="1999"/>
    </row>
    <row r="1203" spans="14:15" ht="17.100000000000001" customHeight="1">
      <c r="N1203" s="1307"/>
      <c r="O1203" s="1999"/>
    </row>
    <row r="1204" spans="14:15" ht="17.100000000000001" customHeight="1">
      <c r="N1204" s="1307"/>
      <c r="O1204" s="1999"/>
    </row>
    <row r="1205" spans="14:15" ht="17.100000000000001" customHeight="1">
      <c r="N1205" s="1307"/>
      <c r="O1205" s="1999"/>
    </row>
    <row r="1206" spans="14:15" ht="17.100000000000001" customHeight="1">
      <c r="N1206" s="1307"/>
      <c r="O1206" s="1999"/>
    </row>
    <row r="1207" spans="14:15" ht="17.100000000000001" customHeight="1">
      <c r="N1207" s="1307"/>
      <c r="O1207" s="1999"/>
    </row>
    <row r="1208" spans="14:15" ht="17.100000000000001" customHeight="1">
      <c r="N1208" s="1307"/>
      <c r="O1208" s="1999"/>
    </row>
    <row r="1209" spans="14:15" ht="17.100000000000001" customHeight="1">
      <c r="N1209" s="1307"/>
      <c r="O1209" s="1999"/>
    </row>
    <row r="1210" spans="14:15" ht="17.100000000000001" customHeight="1">
      <c r="N1210" s="1307"/>
      <c r="O1210" s="1999"/>
    </row>
    <row r="1211" spans="14:15" ht="17.100000000000001" customHeight="1">
      <c r="N1211" s="1307"/>
      <c r="O1211" s="1999"/>
    </row>
    <row r="1212" spans="14:15" ht="17.100000000000001" customHeight="1">
      <c r="N1212" s="1307"/>
      <c r="O1212" s="1999"/>
    </row>
    <row r="1213" spans="14:15" ht="17.100000000000001" customHeight="1">
      <c r="N1213" s="1307"/>
      <c r="O1213" s="1999"/>
    </row>
    <row r="1214" spans="14:15" ht="17.100000000000001" customHeight="1">
      <c r="N1214" s="1307"/>
      <c r="O1214" s="1999"/>
    </row>
    <row r="1215" spans="14:15" ht="17.100000000000001" customHeight="1">
      <c r="N1215" s="1307"/>
      <c r="O1215" s="1999"/>
    </row>
    <row r="1216" spans="14:15" ht="17.100000000000001" customHeight="1">
      <c r="N1216" s="1307"/>
      <c r="O1216" s="1999"/>
    </row>
    <row r="1217" spans="14:15" ht="17.100000000000001" customHeight="1">
      <c r="N1217" s="1307"/>
      <c r="O1217" s="1999"/>
    </row>
    <row r="1218" spans="14:15" ht="17.100000000000001" customHeight="1">
      <c r="N1218" s="1307"/>
      <c r="O1218" s="1999"/>
    </row>
    <row r="1219" spans="14:15" ht="17.100000000000001" customHeight="1">
      <c r="N1219" s="1307"/>
      <c r="O1219" s="1999"/>
    </row>
    <row r="1220" spans="14:15" ht="17.100000000000001" customHeight="1">
      <c r="N1220" s="1307"/>
      <c r="O1220" s="1999"/>
    </row>
    <row r="1221" spans="14:15" ht="17.100000000000001" customHeight="1">
      <c r="N1221" s="1307"/>
      <c r="O1221" s="1999"/>
    </row>
    <row r="1222" spans="14:15" ht="17.100000000000001" customHeight="1">
      <c r="N1222" s="1307"/>
      <c r="O1222" s="1999"/>
    </row>
    <row r="1223" spans="14:15" ht="17.100000000000001" customHeight="1">
      <c r="N1223" s="1307"/>
      <c r="O1223" s="1999"/>
    </row>
    <row r="1224" spans="14:15" ht="17.100000000000001" customHeight="1">
      <c r="N1224" s="1307"/>
      <c r="O1224" s="1999"/>
    </row>
    <row r="1225" spans="14:15" ht="17.100000000000001" customHeight="1">
      <c r="N1225" s="1307"/>
      <c r="O1225" s="1999"/>
    </row>
    <row r="1226" spans="14:15" ht="17.100000000000001" customHeight="1">
      <c r="N1226" s="1307"/>
      <c r="O1226" s="1999"/>
    </row>
    <row r="1227" spans="14:15" ht="17.100000000000001" customHeight="1">
      <c r="N1227" s="1307"/>
      <c r="O1227" s="1999"/>
    </row>
    <row r="1228" spans="14:15" ht="17.100000000000001" customHeight="1">
      <c r="N1228" s="1307"/>
      <c r="O1228" s="1999"/>
    </row>
    <row r="1229" spans="14:15" ht="17.100000000000001" customHeight="1">
      <c r="N1229" s="1307"/>
      <c r="O1229" s="1999"/>
    </row>
    <row r="1230" spans="14:15" ht="17.100000000000001" customHeight="1">
      <c r="N1230" s="1307"/>
      <c r="O1230" s="1999"/>
    </row>
    <row r="1231" spans="14:15" ht="17.100000000000001" customHeight="1">
      <c r="N1231" s="1307"/>
      <c r="O1231" s="1999"/>
    </row>
    <row r="1232" spans="14:15" ht="17.100000000000001" customHeight="1">
      <c r="N1232" s="1307"/>
      <c r="O1232" s="1999"/>
    </row>
    <row r="1233" spans="14:15" ht="17.100000000000001" customHeight="1">
      <c r="N1233" s="1307"/>
      <c r="O1233" s="1999"/>
    </row>
    <row r="1234" spans="14:15" ht="17.100000000000001" customHeight="1">
      <c r="N1234" s="1307"/>
      <c r="O1234" s="1999"/>
    </row>
    <row r="1235" spans="14:15" ht="17.100000000000001" customHeight="1">
      <c r="N1235" s="1307"/>
      <c r="O1235" s="1999"/>
    </row>
    <row r="1236" spans="14:15" ht="17.100000000000001" customHeight="1">
      <c r="N1236" s="1307"/>
      <c r="O1236" s="1999"/>
    </row>
    <row r="1237" spans="14:15" ht="17.100000000000001" customHeight="1">
      <c r="N1237" s="1307"/>
      <c r="O1237" s="1999"/>
    </row>
    <row r="1238" spans="14:15" ht="17.100000000000001" customHeight="1">
      <c r="N1238" s="1307"/>
      <c r="O1238" s="1999"/>
    </row>
    <row r="1239" spans="14:15" ht="17.100000000000001" customHeight="1">
      <c r="N1239" s="1307"/>
      <c r="O1239" s="1999"/>
    </row>
    <row r="1240" spans="14:15" ht="17.100000000000001" customHeight="1">
      <c r="N1240" s="1307"/>
      <c r="O1240" s="1999"/>
    </row>
    <row r="1241" spans="14:15" ht="17.100000000000001" customHeight="1">
      <c r="N1241" s="1307"/>
      <c r="O1241" s="1999"/>
    </row>
    <row r="1242" spans="14:15" ht="17.100000000000001" customHeight="1">
      <c r="N1242" s="1307"/>
      <c r="O1242" s="1999"/>
    </row>
    <row r="1243" spans="14:15" ht="17.100000000000001" customHeight="1">
      <c r="N1243" s="1307"/>
      <c r="O1243" s="1999"/>
    </row>
    <row r="1244" spans="14:15" ht="17.100000000000001" customHeight="1">
      <c r="N1244" s="1307"/>
      <c r="O1244" s="1999"/>
    </row>
    <row r="1245" spans="14:15" ht="17.100000000000001" customHeight="1">
      <c r="N1245" s="1307"/>
      <c r="O1245" s="1999"/>
    </row>
    <row r="1246" spans="14:15" ht="17.100000000000001" customHeight="1">
      <c r="N1246" s="1307"/>
      <c r="O1246" s="1999"/>
    </row>
    <row r="1247" spans="14:15" ht="17.100000000000001" customHeight="1">
      <c r="N1247" s="1307"/>
      <c r="O1247" s="1999"/>
    </row>
    <row r="1248" spans="14:15" ht="17.100000000000001" customHeight="1">
      <c r="N1248" s="1307"/>
      <c r="O1248" s="1999"/>
    </row>
    <row r="1249" spans="14:15" ht="17.100000000000001" customHeight="1">
      <c r="N1249" s="1307"/>
      <c r="O1249" s="1999"/>
    </row>
    <row r="1250" spans="14:15" ht="17.100000000000001" customHeight="1">
      <c r="N1250" s="1307"/>
      <c r="O1250" s="1999"/>
    </row>
    <row r="1251" spans="14:15" ht="17.100000000000001" customHeight="1">
      <c r="N1251" s="1307"/>
      <c r="O1251" s="1999"/>
    </row>
    <row r="1252" spans="14:15" ht="17.100000000000001" customHeight="1">
      <c r="N1252" s="1307"/>
      <c r="O1252" s="1999"/>
    </row>
    <row r="1253" spans="14:15" ht="17.100000000000001" customHeight="1">
      <c r="N1253" s="1307"/>
      <c r="O1253" s="1999"/>
    </row>
    <row r="1254" spans="14:15" ht="17.100000000000001" customHeight="1">
      <c r="N1254" s="1307"/>
      <c r="O1254" s="1999"/>
    </row>
    <row r="1255" spans="14:15" ht="17.100000000000001" customHeight="1">
      <c r="N1255" s="1307"/>
      <c r="O1255" s="1999"/>
    </row>
    <row r="1256" spans="14:15" ht="17.100000000000001" customHeight="1">
      <c r="N1256" s="1307"/>
      <c r="O1256" s="1999"/>
    </row>
    <row r="1257" spans="14:15" ht="17.100000000000001" customHeight="1">
      <c r="N1257" s="1307"/>
      <c r="O1257" s="1999"/>
    </row>
    <row r="1258" spans="14:15" ht="17.100000000000001" customHeight="1">
      <c r="N1258" s="1307"/>
      <c r="O1258" s="1999"/>
    </row>
    <row r="1259" spans="14:15" ht="17.100000000000001" customHeight="1">
      <c r="N1259" s="1307"/>
      <c r="O1259" s="1999"/>
    </row>
    <row r="1260" spans="14:15" ht="17.100000000000001" customHeight="1">
      <c r="N1260" s="1307"/>
      <c r="O1260" s="1999"/>
    </row>
    <row r="1261" spans="14:15" ht="17.100000000000001" customHeight="1">
      <c r="N1261" s="1307"/>
      <c r="O1261" s="1999"/>
    </row>
    <row r="1262" spans="14:15" ht="17.100000000000001" customHeight="1">
      <c r="N1262" s="1307"/>
      <c r="O1262" s="1999"/>
    </row>
    <row r="1263" spans="14:15" ht="17.100000000000001" customHeight="1">
      <c r="N1263" s="1307"/>
      <c r="O1263" s="1999"/>
    </row>
    <row r="1264" spans="14:15" ht="17.100000000000001" customHeight="1">
      <c r="N1264" s="1307"/>
      <c r="O1264" s="1999"/>
    </row>
    <row r="1265" spans="14:15" ht="17.100000000000001" customHeight="1">
      <c r="N1265" s="1307"/>
      <c r="O1265" s="1999"/>
    </row>
    <row r="1266" spans="14:15" ht="17.100000000000001" customHeight="1">
      <c r="N1266" s="1307"/>
      <c r="O1266" s="1999"/>
    </row>
    <row r="1267" spans="14:15" ht="17.100000000000001" customHeight="1">
      <c r="N1267" s="1307"/>
      <c r="O1267" s="1999"/>
    </row>
    <row r="1268" spans="14:15" ht="17.100000000000001" customHeight="1">
      <c r="N1268" s="1307"/>
      <c r="O1268" s="1999"/>
    </row>
    <row r="1269" spans="14:15" ht="17.100000000000001" customHeight="1">
      <c r="N1269" s="1307"/>
      <c r="O1269" s="1999"/>
    </row>
    <row r="1270" spans="14:15" ht="17.100000000000001" customHeight="1">
      <c r="N1270" s="1307"/>
      <c r="O1270" s="1999"/>
    </row>
    <row r="1271" spans="14:15" ht="17.100000000000001" customHeight="1">
      <c r="N1271" s="1307"/>
      <c r="O1271" s="1999"/>
    </row>
    <row r="1272" spans="14:15" ht="17.100000000000001" customHeight="1">
      <c r="N1272" s="1307"/>
      <c r="O1272" s="1999"/>
    </row>
    <row r="1273" spans="14:15" ht="17.100000000000001" customHeight="1">
      <c r="N1273" s="1307"/>
      <c r="O1273" s="1999"/>
    </row>
    <row r="1274" spans="14:15" ht="17.100000000000001" customHeight="1">
      <c r="N1274" s="1307"/>
      <c r="O1274" s="1999"/>
    </row>
    <row r="1275" spans="14:15" ht="17.100000000000001" customHeight="1">
      <c r="N1275" s="1307"/>
      <c r="O1275" s="1999"/>
    </row>
    <row r="1276" spans="14:15" ht="17.100000000000001" customHeight="1">
      <c r="N1276" s="1307"/>
      <c r="O1276" s="1999"/>
    </row>
    <row r="1277" spans="14:15" ht="17.100000000000001" customHeight="1">
      <c r="N1277" s="1307"/>
      <c r="O1277" s="1999"/>
    </row>
    <row r="1278" spans="14:15" ht="17.100000000000001" customHeight="1">
      <c r="N1278" s="1307"/>
      <c r="O1278" s="1999"/>
    </row>
    <row r="1279" spans="14:15" ht="17.100000000000001" customHeight="1">
      <c r="N1279" s="1307"/>
      <c r="O1279" s="1999"/>
    </row>
    <row r="1280" spans="14:15" ht="17.100000000000001" customHeight="1">
      <c r="N1280" s="1307"/>
      <c r="O1280" s="1999"/>
    </row>
    <row r="1281" spans="14:15" ht="17.100000000000001" customHeight="1">
      <c r="N1281" s="1307"/>
      <c r="O1281" s="1999"/>
    </row>
    <row r="1282" spans="14:15" ht="17.100000000000001" customHeight="1">
      <c r="N1282" s="1307"/>
      <c r="O1282" s="1999"/>
    </row>
    <row r="1283" spans="14:15" ht="17.100000000000001" customHeight="1">
      <c r="N1283" s="1307"/>
      <c r="O1283" s="1999"/>
    </row>
    <row r="1284" spans="14:15" ht="17.100000000000001" customHeight="1">
      <c r="N1284" s="1307"/>
      <c r="O1284" s="1999"/>
    </row>
    <row r="1285" spans="14:15" ht="17.100000000000001" customHeight="1">
      <c r="N1285" s="1307"/>
      <c r="O1285" s="1999"/>
    </row>
    <row r="1286" spans="14:15" ht="17.100000000000001" customHeight="1">
      <c r="N1286" s="1307"/>
      <c r="O1286" s="1999"/>
    </row>
    <row r="1287" spans="14:15" ht="17.100000000000001" customHeight="1">
      <c r="N1287" s="1307"/>
      <c r="O1287" s="1999"/>
    </row>
    <row r="1288" spans="14:15" ht="17.100000000000001" customHeight="1">
      <c r="N1288" s="1307"/>
      <c r="O1288" s="1999"/>
    </row>
    <row r="1289" spans="14:15" ht="17.100000000000001" customHeight="1">
      <c r="N1289" s="1307"/>
      <c r="O1289" s="1999"/>
    </row>
    <row r="1290" spans="14:15" ht="17.100000000000001" customHeight="1">
      <c r="N1290" s="1307"/>
      <c r="O1290" s="1999"/>
    </row>
    <row r="1291" spans="14:15" ht="17.100000000000001" customHeight="1">
      <c r="N1291" s="1307"/>
      <c r="O1291" s="1999"/>
    </row>
    <row r="1292" spans="14:15" ht="17.100000000000001" customHeight="1">
      <c r="N1292" s="1307"/>
      <c r="O1292" s="1999"/>
    </row>
    <row r="1293" spans="14:15" ht="17.100000000000001" customHeight="1">
      <c r="N1293" s="1307"/>
      <c r="O1293" s="1999"/>
    </row>
    <row r="1294" spans="14:15" ht="17.100000000000001" customHeight="1">
      <c r="N1294" s="1307"/>
      <c r="O1294" s="1999"/>
    </row>
    <row r="1295" spans="14:15" ht="17.100000000000001" customHeight="1">
      <c r="N1295" s="1307"/>
      <c r="O1295" s="1999"/>
    </row>
    <row r="1296" spans="14:15" ht="17.100000000000001" customHeight="1">
      <c r="N1296" s="1307"/>
      <c r="O1296" s="1999"/>
    </row>
    <row r="1297" spans="14:15" ht="17.100000000000001" customHeight="1">
      <c r="N1297" s="1307"/>
      <c r="O1297" s="1999"/>
    </row>
    <row r="1298" spans="14:15" ht="17.100000000000001" customHeight="1">
      <c r="N1298" s="1307"/>
      <c r="O1298" s="1999"/>
    </row>
    <row r="1299" spans="14:15" ht="17.100000000000001" customHeight="1">
      <c r="N1299" s="1307"/>
      <c r="O1299" s="1999"/>
    </row>
    <row r="1300" spans="14:15" ht="17.100000000000001" customHeight="1">
      <c r="N1300" s="1307"/>
      <c r="O1300" s="1999"/>
    </row>
    <row r="1301" spans="14:15" ht="17.100000000000001" customHeight="1">
      <c r="N1301" s="1307"/>
      <c r="O1301" s="1999"/>
    </row>
    <row r="1302" spans="14:15" ht="17.100000000000001" customHeight="1">
      <c r="N1302" s="1307"/>
      <c r="O1302" s="1999"/>
    </row>
    <row r="1303" spans="14:15" ht="17.100000000000001" customHeight="1">
      <c r="N1303" s="1307"/>
      <c r="O1303" s="1999"/>
    </row>
    <row r="1304" spans="14:15" ht="17.100000000000001" customHeight="1">
      <c r="N1304" s="1307"/>
      <c r="O1304" s="1999"/>
    </row>
    <row r="1305" spans="14:15" ht="17.100000000000001" customHeight="1">
      <c r="N1305" s="1307"/>
      <c r="O1305" s="1999"/>
    </row>
    <row r="1306" spans="14:15" ht="17.100000000000001" customHeight="1">
      <c r="N1306" s="1307"/>
      <c r="O1306" s="1999"/>
    </row>
    <row r="1307" spans="14:15" ht="17.100000000000001" customHeight="1">
      <c r="N1307" s="1307"/>
      <c r="O1307" s="1999"/>
    </row>
    <row r="1308" spans="14:15" ht="17.100000000000001" customHeight="1">
      <c r="N1308" s="1307"/>
      <c r="O1308" s="1999"/>
    </row>
    <row r="1309" spans="14:15" ht="17.100000000000001" customHeight="1">
      <c r="N1309" s="1307"/>
      <c r="O1309" s="1999"/>
    </row>
    <row r="1310" spans="14:15" ht="17.100000000000001" customHeight="1">
      <c r="N1310" s="1307"/>
      <c r="O1310" s="1999"/>
    </row>
    <row r="1311" spans="14:15" ht="17.100000000000001" customHeight="1">
      <c r="N1311" s="1307"/>
      <c r="O1311" s="1999"/>
    </row>
    <row r="1312" spans="14:15" ht="17.100000000000001" customHeight="1">
      <c r="N1312" s="1307"/>
      <c r="O1312" s="1999"/>
    </row>
    <row r="1313" spans="14:15" ht="17.100000000000001" customHeight="1">
      <c r="N1313" s="1307"/>
      <c r="O1313" s="1999"/>
    </row>
    <row r="1314" spans="14:15" ht="17.100000000000001" customHeight="1">
      <c r="N1314" s="1307"/>
      <c r="O1314" s="1999"/>
    </row>
    <row r="1315" spans="14:15" ht="17.100000000000001" customHeight="1">
      <c r="N1315" s="1307"/>
      <c r="O1315" s="1999"/>
    </row>
    <row r="1316" spans="14:15" ht="17.100000000000001" customHeight="1">
      <c r="N1316" s="1307"/>
      <c r="O1316" s="1999"/>
    </row>
    <row r="1317" spans="14:15" ht="17.100000000000001" customHeight="1">
      <c r="N1317" s="1307"/>
      <c r="O1317" s="1999"/>
    </row>
    <row r="1318" spans="14:15" ht="17.100000000000001" customHeight="1">
      <c r="N1318" s="1307"/>
      <c r="O1318" s="1999"/>
    </row>
    <row r="1319" spans="14:15" ht="17.100000000000001" customHeight="1">
      <c r="N1319" s="1307"/>
      <c r="O1319" s="1999"/>
    </row>
    <row r="1320" spans="14:15" ht="17.100000000000001" customHeight="1">
      <c r="N1320" s="1307"/>
      <c r="O1320" s="1999"/>
    </row>
    <row r="1321" spans="14:15" ht="17.100000000000001" customHeight="1">
      <c r="N1321" s="1307"/>
      <c r="O1321" s="1999"/>
    </row>
    <row r="1322" spans="14:15" ht="17.100000000000001" customHeight="1">
      <c r="N1322" s="1307"/>
      <c r="O1322" s="1999"/>
    </row>
    <row r="1323" spans="14:15" ht="17.100000000000001" customHeight="1">
      <c r="N1323" s="1307"/>
      <c r="O1323" s="1999"/>
    </row>
    <row r="1324" spans="14:15" ht="17.100000000000001" customHeight="1">
      <c r="N1324" s="1307"/>
      <c r="O1324" s="1999"/>
    </row>
    <row r="1325" spans="14:15" ht="17.100000000000001" customHeight="1">
      <c r="N1325" s="1307"/>
      <c r="O1325" s="1999"/>
    </row>
    <row r="1326" spans="14:15" ht="17.100000000000001" customHeight="1">
      <c r="N1326" s="1307"/>
      <c r="O1326" s="1999"/>
    </row>
    <row r="1327" spans="14:15" ht="17.100000000000001" customHeight="1">
      <c r="N1327" s="1307"/>
      <c r="O1327" s="1999"/>
    </row>
    <row r="1328" spans="14:15" ht="17.100000000000001" customHeight="1">
      <c r="N1328" s="1307"/>
      <c r="O1328" s="1999"/>
    </row>
    <row r="1329" spans="14:15" ht="17.100000000000001" customHeight="1">
      <c r="N1329" s="1307"/>
      <c r="O1329" s="1999"/>
    </row>
    <row r="1330" spans="14:15" ht="17.100000000000001" customHeight="1">
      <c r="N1330" s="1307"/>
      <c r="O1330" s="1999"/>
    </row>
    <row r="1331" spans="14:15" ht="17.100000000000001" customHeight="1">
      <c r="N1331" s="1307"/>
      <c r="O1331" s="1999"/>
    </row>
    <row r="1332" spans="14:15" ht="17.100000000000001" customHeight="1">
      <c r="N1332" s="1307"/>
      <c r="O1332" s="1999"/>
    </row>
    <row r="1333" spans="14:15" ht="17.100000000000001" customHeight="1">
      <c r="N1333" s="1307"/>
      <c r="O1333" s="1999"/>
    </row>
    <row r="1334" spans="14:15" ht="17.100000000000001" customHeight="1">
      <c r="N1334" s="1307"/>
      <c r="O1334" s="1999"/>
    </row>
    <row r="1335" spans="14:15" ht="17.100000000000001" customHeight="1">
      <c r="N1335" s="1307"/>
      <c r="O1335" s="1999"/>
    </row>
    <row r="1336" spans="14:15" ht="17.100000000000001" customHeight="1">
      <c r="N1336" s="1307"/>
      <c r="O1336" s="1999"/>
    </row>
    <row r="1337" spans="14:15" ht="17.100000000000001" customHeight="1">
      <c r="N1337" s="1307"/>
      <c r="O1337" s="1999"/>
    </row>
    <row r="1338" spans="14:15" ht="17.100000000000001" customHeight="1">
      <c r="N1338" s="1307"/>
      <c r="O1338" s="1999"/>
    </row>
    <row r="1339" spans="14:15" ht="17.100000000000001" customHeight="1">
      <c r="N1339" s="1307"/>
      <c r="O1339" s="1999"/>
    </row>
    <row r="1340" spans="14:15" ht="17.100000000000001" customHeight="1">
      <c r="N1340" s="1307"/>
      <c r="O1340" s="1999"/>
    </row>
    <row r="1341" spans="14:15" ht="17.100000000000001" customHeight="1">
      <c r="N1341" s="1307"/>
      <c r="O1341" s="1999"/>
    </row>
    <row r="1342" spans="14:15" ht="17.100000000000001" customHeight="1">
      <c r="N1342" s="1307"/>
      <c r="O1342" s="1999"/>
    </row>
    <row r="1343" spans="14:15" ht="17.100000000000001" customHeight="1">
      <c r="N1343" s="1307"/>
      <c r="O1343" s="1999"/>
    </row>
    <row r="1344" spans="14:15" ht="17.100000000000001" customHeight="1">
      <c r="N1344" s="1307"/>
      <c r="O1344" s="1999"/>
    </row>
    <row r="1345" spans="14:15" ht="17.100000000000001" customHeight="1">
      <c r="N1345" s="1307"/>
      <c r="O1345" s="1999"/>
    </row>
    <row r="1346" spans="14:15" ht="17.100000000000001" customHeight="1">
      <c r="N1346" s="1307"/>
      <c r="O1346" s="1999"/>
    </row>
    <row r="1347" spans="14:15" ht="17.100000000000001" customHeight="1">
      <c r="N1347" s="1307"/>
      <c r="O1347" s="1999"/>
    </row>
    <row r="1348" spans="14:15" ht="17.100000000000001" customHeight="1">
      <c r="N1348" s="1307"/>
      <c r="O1348" s="1999"/>
    </row>
    <row r="1349" spans="14:15" ht="17.100000000000001" customHeight="1">
      <c r="N1349" s="1307"/>
      <c r="O1349" s="1999"/>
    </row>
    <row r="1350" spans="14:15" ht="17.100000000000001" customHeight="1">
      <c r="N1350" s="1307"/>
      <c r="O1350" s="1999"/>
    </row>
    <row r="1351" spans="14:15" ht="17.100000000000001" customHeight="1">
      <c r="N1351" s="1307"/>
      <c r="O1351" s="1999"/>
    </row>
    <row r="1352" spans="14:15" ht="17.100000000000001" customHeight="1">
      <c r="N1352" s="1307"/>
      <c r="O1352" s="1999"/>
    </row>
    <row r="1353" spans="14:15" ht="17.100000000000001" customHeight="1">
      <c r="N1353" s="1307"/>
      <c r="O1353" s="1999"/>
    </row>
    <row r="1354" spans="14:15" ht="17.100000000000001" customHeight="1">
      <c r="N1354" s="1307"/>
      <c r="O1354" s="1999"/>
    </row>
    <row r="1355" spans="14:15" ht="17.100000000000001" customHeight="1">
      <c r="N1355" s="1307"/>
      <c r="O1355" s="1999"/>
    </row>
    <row r="1356" spans="14:15" ht="17.100000000000001" customHeight="1">
      <c r="N1356" s="1307"/>
      <c r="O1356" s="1999"/>
    </row>
    <row r="1357" spans="14:15" ht="17.100000000000001" customHeight="1">
      <c r="N1357" s="1307"/>
      <c r="O1357" s="1999"/>
    </row>
    <row r="1358" spans="14:15" ht="17.100000000000001" customHeight="1">
      <c r="N1358" s="1307"/>
      <c r="O1358" s="1999"/>
    </row>
    <row r="1359" spans="14:15" ht="17.100000000000001" customHeight="1">
      <c r="N1359" s="1307"/>
      <c r="O1359" s="1999"/>
    </row>
    <row r="1360" spans="14:15" ht="17.100000000000001" customHeight="1">
      <c r="N1360" s="1307"/>
      <c r="O1360" s="1999"/>
    </row>
    <row r="1361" spans="14:15" ht="17.100000000000001" customHeight="1">
      <c r="N1361" s="1307"/>
      <c r="O1361" s="1999"/>
    </row>
    <row r="1362" spans="14:15" ht="17.100000000000001" customHeight="1">
      <c r="N1362" s="1307"/>
      <c r="O1362" s="1999"/>
    </row>
    <row r="1363" spans="14:15" ht="17.100000000000001" customHeight="1">
      <c r="N1363" s="1307"/>
      <c r="O1363" s="1999"/>
    </row>
    <row r="1364" spans="14:15" ht="17.100000000000001" customHeight="1">
      <c r="N1364" s="1307"/>
      <c r="O1364" s="1999"/>
    </row>
    <row r="1365" spans="14:15" ht="17.100000000000001" customHeight="1">
      <c r="N1365" s="1307"/>
      <c r="O1365" s="1999"/>
    </row>
    <row r="1366" spans="14:15" ht="17.100000000000001" customHeight="1">
      <c r="N1366" s="1307"/>
      <c r="O1366" s="1999"/>
    </row>
    <row r="1367" spans="14:15" ht="17.100000000000001" customHeight="1">
      <c r="N1367" s="1307"/>
      <c r="O1367" s="1999"/>
    </row>
    <row r="1368" spans="14:15" ht="17.100000000000001" customHeight="1">
      <c r="N1368" s="1307"/>
      <c r="O1368" s="1999"/>
    </row>
    <row r="1369" spans="14:15" ht="17.100000000000001" customHeight="1">
      <c r="N1369" s="1307"/>
      <c r="O1369" s="1999"/>
    </row>
    <row r="1370" spans="14:15" ht="17.100000000000001" customHeight="1">
      <c r="N1370" s="1307"/>
      <c r="O1370" s="1999"/>
    </row>
    <row r="1371" spans="14:15" ht="17.100000000000001" customHeight="1">
      <c r="N1371" s="1307"/>
      <c r="O1371" s="1999"/>
    </row>
    <row r="1372" spans="14:15" ht="17.100000000000001" customHeight="1">
      <c r="N1372" s="1307"/>
      <c r="O1372" s="1999"/>
    </row>
    <row r="1373" spans="14:15" ht="17.100000000000001" customHeight="1">
      <c r="N1373" s="1307"/>
      <c r="O1373" s="1999"/>
    </row>
    <row r="1374" spans="14:15" ht="17.100000000000001" customHeight="1">
      <c r="N1374" s="1307"/>
      <c r="O1374" s="1999"/>
    </row>
    <row r="1375" spans="14:15" ht="17.100000000000001" customHeight="1">
      <c r="N1375" s="1307"/>
      <c r="O1375" s="1999"/>
    </row>
    <row r="1376" spans="14:15" ht="17.100000000000001" customHeight="1">
      <c r="N1376" s="1307"/>
      <c r="O1376" s="1999"/>
    </row>
    <row r="1377" spans="14:15" ht="17.100000000000001" customHeight="1">
      <c r="N1377" s="1307"/>
      <c r="O1377" s="1999"/>
    </row>
    <row r="1378" spans="14:15" ht="17.100000000000001" customHeight="1">
      <c r="N1378" s="1307"/>
      <c r="O1378" s="1999"/>
    </row>
    <row r="1379" spans="14:15" ht="17.100000000000001" customHeight="1">
      <c r="N1379" s="1307"/>
      <c r="O1379" s="1999"/>
    </row>
    <row r="1380" spans="14:15" ht="17.100000000000001" customHeight="1">
      <c r="N1380" s="1307"/>
      <c r="O1380" s="1999"/>
    </row>
    <row r="1381" spans="14:15" ht="17.100000000000001" customHeight="1">
      <c r="N1381" s="1307"/>
      <c r="O1381" s="1999"/>
    </row>
    <row r="1382" spans="14:15" ht="17.100000000000001" customHeight="1">
      <c r="N1382" s="1307"/>
      <c r="O1382" s="1999"/>
    </row>
    <row r="1383" spans="14:15" ht="17.100000000000001" customHeight="1">
      <c r="N1383" s="1307"/>
      <c r="O1383" s="1999"/>
    </row>
    <row r="1384" spans="14:15" ht="17.100000000000001" customHeight="1">
      <c r="N1384" s="1307"/>
      <c r="O1384" s="1999"/>
    </row>
    <row r="1385" spans="14:15" ht="17.100000000000001" customHeight="1">
      <c r="N1385" s="1307"/>
      <c r="O1385" s="1999"/>
    </row>
    <row r="1386" spans="14:15" ht="17.100000000000001" customHeight="1">
      <c r="N1386" s="1307"/>
      <c r="O1386" s="1999"/>
    </row>
    <row r="1387" spans="14:15" ht="17.100000000000001" customHeight="1">
      <c r="N1387" s="1307"/>
      <c r="O1387" s="1999"/>
    </row>
    <row r="1388" spans="14:15" ht="17.100000000000001" customHeight="1">
      <c r="N1388" s="1307"/>
      <c r="O1388" s="1999"/>
    </row>
    <row r="1389" spans="14:15" ht="17.100000000000001" customHeight="1">
      <c r="N1389" s="1307"/>
      <c r="O1389" s="1999"/>
    </row>
    <row r="1390" spans="14:15" ht="17.100000000000001" customHeight="1">
      <c r="N1390" s="1307"/>
      <c r="O1390" s="1999"/>
    </row>
    <row r="1391" spans="14:15" ht="17.100000000000001" customHeight="1">
      <c r="N1391" s="1307"/>
      <c r="O1391" s="1999"/>
    </row>
    <row r="1392" spans="14:15" ht="17.100000000000001" customHeight="1">
      <c r="N1392" s="1307"/>
      <c r="O1392" s="1999"/>
    </row>
    <row r="1393" spans="14:15" ht="17.100000000000001" customHeight="1">
      <c r="N1393" s="1307"/>
      <c r="O1393" s="1999"/>
    </row>
    <row r="1394" spans="14:15" ht="17.100000000000001" customHeight="1">
      <c r="N1394" s="1307"/>
      <c r="O1394" s="1999"/>
    </row>
    <row r="1395" spans="14:15" ht="17.100000000000001" customHeight="1">
      <c r="N1395" s="1307"/>
      <c r="O1395" s="1999"/>
    </row>
    <row r="1396" spans="14:15" ht="17.100000000000001" customHeight="1">
      <c r="N1396" s="1307"/>
      <c r="O1396" s="1999"/>
    </row>
    <row r="1397" spans="14:15" ht="17.100000000000001" customHeight="1">
      <c r="N1397" s="1307"/>
      <c r="O1397" s="1999"/>
    </row>
    <row r="1398" spans="14:15" ht="17.100000000000001" customHeight="1">
      <c r="N1398" s="1307"/>
      <c r="O1398" s="1999"/>
    </row>
    <row r="1399" spans="14:15" ht="17.100000000000001" customHeight="1">
      <c r="N1399" s="1307"/>
      <c r="O1399" s="1999"/>
    </row>
    <row r="1400" spans="14:15" ht="17.100000000000001" customHeight="1">
      <c r="N1400" s="1307"/>
      <c r="O1400" s="1999"/>
    </row>
    <row r="1401" spans="14:15" ht="17.100000000000001" customHeight="1">
      <c r="N1401" s="1307"/>
      <c r="O1401" s="1999"/>
    </row>
    <row r="1402" spans="14:15" ht="17.100000000000001" customHeight="1">
      <c r="N1402" s="1307"/>
      <c r="O1402" s="1999"/>
    </row>
    <row r="1403" spans="14:15" ht="17.100000000000001" customHeight="1">
      <c r="N1403" s="1307"/>
      <c r="O1403" s="1999"/>
    </row>
    <row r="1404" spans="14:15" ht="17.100000000000001" customHeight="1">
      <c r="N1404" s="1307"/>
      <c r="O1404" s="1999"/>
    </row>
    <row r="1405" spans="14:15" ht="17.100000000000001" customHeight="1">
      <c r="N1405" s="1307"/>
      <c r="O1405" s="1999"/>
    </row>
    <row r="1406" spans="14:15" ht="17.100000000000001" customHeight="1">
      <c r="N1406" s="1307"/>
      <c r="O1406" s="1999"/>
    </row>
    <row r="1407" spans="14:15" ht="17.100000000000001" customHeight="1">
      <c r="N1407" s="1307"/>
      <c r="O1407" s="1999"/>
    </row>
    <row r="1408" spans="14:15" ht="17.100000000000001" customHeight="1">
      <c r="N1408" s="1307"/>
      <c r="O1408" s="1999"/>
    </row>
    <row r="1409" spans="14:15" ht="17.100000000000001" customHeight="1">
      <c r="N1409" s="1307"/>
      <c r="O1409" s="1999"/>
    </row>
    <row r="1410" spans="14:15" ht="17.100000000000001" customHeight="1">
      <c r="N1410" s="1307"/>
      <c r="O1410" s="1999"/>
    </row>
    <row r="1411" spans="14:15" ht="17.100000000000001" customHeight="1">
      <c r="N1411" s="1307"/>
      <c r="O1411" s="1999"/>
    </row>
    <row r="1412" spans="14:15" ht="17.100000000000001" customHeight="1">
      <c r="N1412" s="1307"/>
      <c r="O1412" s="1999"/>
    </row>
    <row r="1413" spans="14:15" ht="17.100000000000001" customHeight="1">
      <c r="N1413" s="1307"/>
      <c r="O1413" s="1999"/>
    </row>
    <row r="1414" spans="14:15" ht="17.100000000000001" customHeight="1">
      <c r="N1414" s="1307"/>
      <c r="O1414" s="1999"/>
    </row>
    <row r="1415" spans="14:15" ht="17.100000000000001" customHeight="1">
      <c r="N1415" s="1307"/>
      <c r="O1415" s="1999"/>
    </row>
    <row r="1416" spans="14:15" ht="17.100000000000001" customHeight="1">
      <c r="N1416" s="1307"/>
      <c r="O1416" s="1999"/>
    </row>
    <row r="1417" spans="14:15" ht="17.100000000000001" customHeight="1">
      <c r="N1417" s="1307"/>
      <c r="O1417" s="1999"/>
    </row>
    <row r="1418" spans="14:15" ht="17.100000000000001" customHeight="1">
      <c r="N1418" s="1307"/>
      <c r="O1418" s="1999"/>
    </row>
    <row r="1419" spans="14:15" ht="17.100000000000001" customHeight="1">
      <c r="N1419" s="1307"/>
      <c r="O1419" s="1999"/>
    </row>
    <row r="1420" spans="14:15" ht="17.100000000000001" customHeight="1">
      <c r="N1420" s="1307"/>
      <c r="O1420" s="1999"/>
    </row>
    <row r="1421" spans="14:15" ht="17.100000000000001" customHeight="1">
      <c r="N1421" s="1307"/>
      <c r="O1421" s="1999"/>
    </row>
    <row r="1422" spans="14:15" ht="17.100000000000001" customHeight="1">
      <c r="N1422" s="1307"/>
      <c r="O1422" s="1999"/>
    </row>
    <row r="1423" spans="14:15" ht="17.100000000000001" customHeight="1">
      <c r="N1423" s="1307"/>
      <c r="O1423" s="1999"/>
    </row>
    <row r="1424" spans="14:15" ht="17.100000000000001" customHeight="1">
      <c r="N1424" s="1307"/>
      <c r="O1424" s="1999"/>
    </row>
    <row r="1425" spans="14:15" ht="17.100000000000001" customHeight="1">
      <c r="N1425" s="1307"/>
      <c r="O1425" s="1999"/>
    </row>
    <row r="1426" spans="14:15" ht="17.100000000000001" customHeight="1">
      <c r="N1426" s="1307"/>
      <c r="O1426" s="1999"/>
    </row>
    <row r="1427" spans="14:15" ht="17.100000000000001" customHeight="1">
      <c r="N1427" s="1307"/>
      <c r="O1427" s="1999"/>
    </row>
    <row r="1428" spans="14:15" ht="17.100000000000001" customHeight="1">
      <c r="N1428" s="1307"/>
      <c r="O1428" s="1999"/>
    </row>
    <row r="1429" spans="14:15" ht="17.100000000000001" customHeight="1">
      <c r="N1429" s="1307"/>
      <c r="O1429" s="1999"/>
    </row>
    <row r="1430" spans="14:15" ht="17.100000000000001" customHeight="1">
      <c r="N1430" s="1307"/>
      <c r="O1430" s="1999"/>
    </row>
    <row r="1431" spans="14:15" ht="17.100000000000001" customHeight="1">
      <c r="N1431" s="1307"/>
      <c r="O1431" s="1999"/>
    </row>
    <row r="1432" spans="14:15" ht="17.100000000000001" customHeight="1">
      <c r="N1432" s="1307"/>
      <c r="O1432" s="1999"/>
    </row>
    <row r="1433" spans="14:15" ht="17.100000000000001" customHeight="1">
      <c r="N1433" s="1307"/>
      <c r="O1433" s="1999"/>
    </row>
    <row r="1434" spans="14:15" ht="17.100000000000001" customHeight="1">
      <c r="N1434" s="1307"/>
      <c r="O1434" s="1999"/>
    </row>
    <row r="1435" spans="14:15" ht="17.100000000000001" customHeight="1">
      <c r="N1435" s="1307"/>
      <c r="O1435" s="1999"/>
    </row>
    <row r="1436" spans="14:15" ht="17.100000000000001" customHeight="1">
      <c r="N1436" s="1307"/>
      <c r="O1436" s="1999"/>
    </row>
    <row r="1437" spans="14:15" ht="17.100000000000001" customHeight="1">
      <c r="N1437" s="1307"/>
      <c r="O1437" s="1999"/>
    </row>
    <row r="1438" spans="14:15" ht="17.100000000000001" customHeight="1">
      <c r="N1438" s="1307"/>
      <c r="O1438" s="1999"/>
    </row>
    <row r="1439" spans="14:15" ht="17.100000000000001" customHeight="1">
      <c r="N1439" s="1307"/>
      <c r="O1439" s="1999"/>
    </row>
    <row r="1440" spans="14:15" ht="17.100000000000001" customHeight="1">
      <c r="N1440" s="1307"/>
      <c r="O1440" s="1999"/>
    </row>
    <row r="1441" spans="14:15" ht="17.100000000000001" customHeight="1">
      <c r="N1441" s="1307"/>
      <c r="O1441" s="1999"/>
    </row>
    <row r="1442" spans="14:15" ht="17.100000000000001" customHeight="1">
      <c r="N1442" s="1307"/>
      <c r="O1442" s="1999"/>
    </row>
    <row r="1443" spans="14:15" ht="17.100000000000001" customHeight="1">
      <c r="N1443" s="1307"/>
      <c r="O1443" s="1999"/>
    </row>
    <row r="1444" spans="14:15" ht="17.100000000000001" customHeight="1">
      <c r="N1444" s="1307"/>
      <c r="O1444" s="1999"/>
    </row>
    <row r="1445" spans="14:15" ht="17.100000000000001" customHeight="1">
      <c r="N1445" s="1307"/>
      <c r="O1445" s="1999"/>
    </row>
    <row r="1446" spans="14:15" ht="17.100000000000001" customHeight="1">
      <c r="N1446" s="1307"/>
      <c r="O1446" s="1999"/>
    </row>
    <row r="1447" spans="14:15" ht="17.100000000000001" customHeight="1">
      <c r="N1447" s="1307"/>
      <c r="O1447" s="1999"/>
    </row>
    <row r="1448" spans="14:15" ht="17.100000000000001" customHeight="1">
      <c r="N1448" s="1307"/>
      <c r="O1448" s="1999"/>
    </row>
    <row r="1449" spans="14:15" ht="17.100000000000001" customHeight="1">
      <c r="N1449" s="1307"/>
      <c r="O1449" s="1999"/>
    </row>
    <row r="1450" spans="14:15" ht="17.100000000000001" customHeight="1">
      <c r="N1450" s="1307"/>
      <c r="O1450" s="1999"/>
    </row>
    <row r="1451" spans="14:15" ht="17.100000000000001" customHeight="1">
      <c r="N1451" s="1307"/>
      <c r="O1451" s="1999"/>
    </row>
    <row r="1452" spans="14:15" ht="17.100000000000001" customHeight="1">
      <c r="N1452" s="1307"/>
      <c r="O1452" s="1999"/>
    </row>
    <row r="1453" spans="14:15" ht="17.100000000000001" customHeight="1">
      <c r="N1453" s="1307"/>
      <c r="O1453" s="1999"/>
    </row>
    <row r="1454" spans="14:15" ht="17.100000000000001" customHeight="1">
      <c r="N1454" s="1307"/>
      <c r="O1454" s="1999"/>
    </row>
    <row r="1455" spans="14:15" ht="17.100000000000001" customHeight="1">
      <c r="N1455" s="1307"/>
      <c r="O1455" s="1999"/>
    </row>
    <row r="1456" spans="14:15" ht="17.100000000000001" customHeight="1">
      <c r="N1456" s="1307"/>
      <c r="O1456" s="1999"/>
    </row>
    <row r="1457" spans="14:15" ht="17.100000000000001" customHeight="1">
      <c r="N1457" s="1307"/>
      <c r="O1457" s="1999"/>
    </row>
    <row r="1458" spans="14:15" ht="17.100000000000001" customHeight="1">
      <c r="N1458" s="1307"/>
      <c r="O1458" s="1999"/>
    </row>
    <row r="1459" spans="14:15" ht="17.100000000000001" customHeight="1">
      <c r="N1459" s="1307"/>
      <c r="O1459" s="1999"/>
    </row>
    <row r="1460" spans="14:15" ht="17.100000000000001" customHeight="1">
      <c r="N1460" s="1307"/>
      <c r="O1460" s="1999"/>
    </row>
    <row r="1461" spans="14:15" ht="17.100000000000001" customHeight="1">
      <c r="N1461" s="1307"/>
      <c r="O1461" s="1999"/>
    </row>
    <row r="1462" spans="14:15" ht="17.100000000000001" customHeight="1">
      <c r="N1462" s="1307"/>
      <c r="O1462" s="1999"/>
    </row>
    <row r="1463" spans="14:15" ht="17.100000000000001" customHeight="1">
      <c r="N1463" s="1307"/>
      <c r="O1463" s="1999"/>
    </row>
    <row r="1464" spans="14:15" ht="17.100000000000001" customHeight="1">
      <c r="N1464" s="1307"/>
      <c r="O1464" s="1999"/>
    </row>
    <row r="1465" spans="14:15" ht="17.100000000000001" customHeight="1">
      <c r="N1465" s="1307"/>
      <c r="O1465" s="1999"/>
    </row>
    <row r="1466" spans="14:15" ht="17.100000000000001" customHeight="1">
      <c r="N1466" s="1307"/>
      <c r="O1466" s="1999"/>
    </row>
    <row r="1467" spans="14:15" ht="17.100000000000001" customHeight="1">
      <c r="N1467" s="1307"/>
      <c r="O1467" s="1999"/>
    </row>
    <row r="1468" spans="14:15" ht="17.100000000000001" customHeight="1">
      <c r="N1468" s="1307"/>
      <c r="O1468" s="1999"/>
    </row>
    <row r="1469" spans="14:15" ht="17.100000000000001" customHeight="1">
      <c r="N1469" s="1307"/>
      <c r="O1469" s="1999"/>
    </row>
    <row r="1470" spans="14:15" ht="17.100000000000001" customHeight="1">
      <c r="N1470" s="1307"/>
      <c r="O1470" s="1999"/>
    </row>
    <row r="1471" spans="14:15" ht="17.100000000000001" customHeight="1">
      <c r="N1471" s="1307"/>
      <c r="O1471" s="1999"/>
    </row>
    <row r="1472" spans="14:15" ht="17.100000000000001" customHeight="1">
      <c r="N1472" s="1307"/>
      <c r="O1472" s="1999"/>
    </row>
    <row r="1473" spans="14:15" ht="17.100000000000001" customHeight="1">
      <c r="N1473" s="1307"/>
      <c r="O1473" s="1999"/>
    </row>
    <row r="1474" spans="14:15" ht="17.100000000000001" customHeight="1">
      <c r="N1474" s="1307"/>
      <c r="O1474" s="1999"/>
    </row>
    <row r="1475" spans="14:15" ht="17.100000000000001" customHeight="1">
      <c r="N1475" s="1307"/>
      <c r="O1475" s="1999"/>
    </row>
    <row r="1476" spans="14:15" ht="17.100000000000001" customHeight="1">
      <c r="N1476" s="1307"/>
      <c r="O1476" s="1999"/>
    </row>
    <row r="1477" spans="14:15" ht="17.100000000000001" customHeight="1">
      <c r="N1477" s="1307"/>
      <c r="O1477" s="1999"/>
    </row>
    <row r="1478" spans="14:15" ht="17.100000000000001" customHeight="1">
      <c r="N1478" s="1307"/>
      <c r="O1478" s="1999"/>
    </row>
    <row r="1479" spans="14:15" ht="17.100000000000001" customHeight="1">
      <c r="N1479" s="1307"/>
      <c r="O1479" s="1999"/>
    </row>
    <row r="1480" spans="14:15" ht="17.100000000000001" customHeight="1">
      <c r="N1480" s="1307"/>
      <c r="O1480" s="1999"/>
    </row>
    <row r="1481" spans="14:15" ht="17.100000000000001" customHeight="1">
      <c r="N1481" s="1307"/>
      <c r="O1481" s="1999"/>
    </row>
    <row r="1482" spans="14:15" ht="17.100000000000001" customHeight="1">
      <c r="N1482" s="1307"/>
      <c r="O1482" s="1999"/>
    </row>
    <row r="1483" spans="14:15" ht="17.100000000000001" customHeight="1">
      <c r="N1483" s="1307"/>
      <c r="O1483" s="1999"/>
    </row>
    <row r="1484" spans="14:15" ht="17.100000000000001" customHeight="1">
      <c r="N1484" s="1307"/>
      <c r="O1484" s="1999"/>
    </row>
    <row r="1485" spans="14:15" ht="17.100000000000001" customHeight="1">
      <c r="N1485" s="1307"/>
      <c r="O1485" s="1999"/>
    </row>
    <row r="1486" spans="14:15" ht="17.100000000000001" customHeight="1">
      <c r="N1486" s="1307"/>
      <c r="O1486" s="1999"/>
    </row>
    <row r="1487" spans="14:15" ht="17.100000000000001" customHeight="1">
      <c r="N1487" s="1307"/>
      <c r="O1487" s="1999"/>
    </row>
    <row r="1488" spans="14:15" ht="17.100000000000001" customHeight="1">
      <c r="N1488" s="1307"/>
      <c r="O1488" s="1999"/>
    </row>
    <row r="1489" spans="14:15" ht="17.100000000000001" customHeight="1">
      <c r="N1489" s="1307"/>
      <c r="O1489" s="1999"/>
    </row>
    <row r="1490" spans="14:15" ht="17.100000000000001" customHeight="1">
      <c r="N1490" s="1307"/>
      <c r="O1490" s="1999"/>
    </row>
    <row r="1491" spans="14:15" ht="17.100000000000001" customHeight="1">
      <c r="N1491" s="1307"/>
      <c r="O1491" s="1999"/>
    </row>
    <row r="1492" spans="14:15" ht="17.100000000000001" customHeight="1">
      <c r="N1492" s="1307"/>
      <c r="O1492" s="1999"/>
    </row>
    <row r="1493" spans="14:15" ht="17.100000000000001" customHeight="1">
      <c r="N1493" s="1307"/>
      <c r="O1493" s="1999"/>
    </row>
    <row r="1494" spans="14:15" ht="17.100000000000001" customHeight="1">
      <c r="N1494" s="1307"/>
      <c r="O1494" s="1999"/>
    </row>
    <row r="1495" spans="14:15" ht="17.100000000000001" customHeight="1">
      <c r="N1495" s="1307"/>
      <c r="O1495" s="1999"/>
    </row>
    <row r="1496" spans="14:15" ht="17.100000000000001" customHeight="1">
      <c r="N1496" s="1307"/>
      <c r="O1496" s="1999"/>
    </row>
    <row r="1497" spans="14:15" ht="17.100000000000001" customHeight="1">
      <c r="N1497" s="1307"/>
      <c r="O1497" s="1999"/>
    </row>
    <row r="1498" spans="14:15" ht="17.100000000000001" customHeight="1">
      <c r="N1498" s="1307"/>
      <c r="O1498" s="1999"/>
    </row>
    <row r="1499" spans="14:15" ht="17.100000000000001" customHeight="1">
      <c r="N1499" s="1307"/>
      <c r="O1499" s="1999"/>
    </row>
    <row r="1500" spans="14:15" ht="17.100000000000001" customHeight="1">
      <c r="N1500" s="1307"/>
      <c r="O1500" s="1999"/>
    </row>
    <row r="1501" spans="14:15" ht="17.100000000000001" customHeight="1">
      <c r="N1501" s="1307"/>
      <c r="O1501" s="1999"/>
    </row>
    <row r="1502" spans="14:15" ht="17.100000000000001" customHeight="1">
      <c r="N1502" s="1307"/>
      <c r="O1502" s="1999"/>
    </row>
    <row r="1503" spans="14:15" ht="17.100000000000001" customHeight="1">
      <c r="N1503" s="1307"/>
      <c r="O1503" s="1999"/>
    </row>
    <row r="1504" spans="14:15" ht="17.100000000000001" customHeight="1">
      <c r="N1504" s="1307"/>
      <c r="O1504" s="1999"/>
    </row>
    <row r="1505" spans="14:15" ht="17.100000000000001" customHeight="1">
      <c r="N1505" s="1307"/>
      <c r="O1505" s="1999"/>
    </row>
    <row r="1506" spans="14:15" ht="17.100000000000001" customHeight="1">
      <c r="N1506" s="1307"/>
      <c r="O1506" s="1999"/>
    </row>
    <row r="1507" spans="14:15" ht="17.100000000000001" customHeight="1">
      <c r="N1507" s="1307"/>
      <c r="O1507" s="1999"/>
    </row>
    <row r="1508" spans="14:15" ht="17.100000000000001" customHeight="1">
      <c r="N1508" s="1307"/>
      <c r="O1508" s="1999"/>
    </row>
    <row r="1509" spans="14:15" ht="17.100000000000001" customHeight="1">
      <c r="N1509" s="1307"/>
      <c r="O1509" s="1999"/>
    </row>
    <row r="1510" spans="14:15" ht="17.100000000000001" customHeight="1">
      <c r="N1510" s="1307"/>
      <c r="O1510" s="1999"/>
    </row>
    <row r="1511" spans="14:15" ht="17.100000000000001" customHeight="1">
      <c r="N1511" s="1307"/>
      <c r="O1511" s="1999"/>
    </row>
    <row r="1512" spans="14:15" ht="17.100000000000001" customHeight="1">
      <c r="N1512" s="1307"/>
      <c r="O1512" s="1999"/>
    </row>
    <row r="1513" spans="14:15" ht="17.100000000000001" customHeight="1">
      <c r="N1513" s="1307"/>
      <c r="O1513" s="1999"/>
    </row>
    <row r="1514" spans="14:15" ht="17.100000000000001" customHeight="1">
      <c r="N1514" s="1307"/>
      <c r="O1514" s="1999"/>
    </row>
    <row r="1515" spans="14:15" ht="17.100000000000001" customHeight="1">
      <c r="N1515" s="1307"/>
      <c r="O1515" s="1999"/>
    </row>
    <row r="1516" spans="14:15" ht="17.100000000000001" customHeight="1">
      <c r="N1516" s="1307"/>
      <c r="O1516" s="1999"/>
    </row>
    <row r="1517" spans="14:15" ht="17.100000000000001" customHeight="1">
      <c r="N1517" s="1307"/>
      <c r="O1517" s="1999"/>
    </row>
    <row r="1518" spans="14:15" ht="17.100000000000001" customHeight="1">
      <c r="N1518" s="1307"/>
      <c r="O1518" s="1999"/>
    </row>
    <row r="1519" spans="14:15" ht="17.100000000000001" customHeight="1">
      <c r="N1519" s="1307"/>
      <c r="O1519" s="1999"/>
    </row>
    <row r="1520" spans="14:15" ht="17.100000000000001" customHeight="1">
      <c r="N1520" s="1307"/>
      <c r="O1520" s="1999"/>
    </row>
    <row r="1521" spans="14:15" ht="17.100000000000001" customHeight="1">
      <c r="N1521" s="1307"/>
      <c r="O1521" s="1999"/>
    </row>
    <row r="1522" spans="14:15" ht="17.100000000000001" customHeight="1">
      <c r="N1522" s="1307"/>
      <c r="O1522" s="1999"/>
    </row>
    <row r="1523" spans="14:15" ht="17.100000000000001" customHeight="1">
      <c r="N1523" s="1307"/>
      <c r="O1523" s="1999"/>
    </row>
    <row r="1524" spans="14:15" ht="17.100000000000001" customHeight="1">
      <c r="N1524" s="1307"/>
      <c r="O1524" s="1999"/>
    </row>
    <row r="1525" spans="14:15" ht="17.100000000000001" customHeight="1">
      <c r="N1525" s="1307"/>
      <c r="O1525" s="1999"/>
    </row>
    <row r="1526" spans="14:15" ht="17.100000000000001" customHeight="1">
      <c r="N1526" s="1307"/>
      <c r="O1526" s="1999"/>
    </row>
    <row r="1527" spans="14:15" ht="17.100000000000001" customHeight="1">
      <c r="N1527" s="1307"/>
      <c r="O1527" s="1999"/>
    </row>
    <row r="1528" spans="14:15" ht="17.100000000000001" customHeight="1">
      <c r="N1528" s="1307"/>
      <c r="O1528" s="1999"/>
    </row>
    <row r="1529" spans="14:15" ht="17.100000000000001" customHeight="1">
      <c r="N1529" s="1307"/>
      <c r="O1529" s="1999"/>
    </row>
    <row r="1530" spans="14:15" ht="17.100000000000001" customHeight="1">
      <c r="N1530" s="1307"/>
      <c r="O1530" s="1999"/>
    </row>
    <row r="1531" spans="14:15" ht="17.100000000000001" customHeight="1">
      <c r="N1531" s="1307"/>
      <c r="O1531" s="1999"/>
    </row>
    <row r="1532" spans="14:15" ht="17.100000000000001" customHeight="1">
      <c r="N1532" s="1307"/>
      <c r="O1532" s="1999"/>
    </row>
    <row r="1533" spans="14:15" ht="17.100000000000001" customHeight="1">
      <c r="N1533" s="1307"/>
      <c r="O1533" s="1999"/>
    </row>
    <row r="1534" spans="14:15" ht="17.100000000000001" customHeight="1">
      <c r="N1534" s="1307"/>
      <c r="O1534" s="1999"/>
    </row>
    <row r="1535" spans="14:15" ht="17.100000000000001" customHeight="1">
      <c r="N1535" s="1307"/>
      <c r="O1535" s="1999"/>
    </row>
    <row r="1536" spans="14:15" ht="17.100000000000001" customHeight="1">
      <c r="N1536" s="1307"/>
      <c r="O1536" s="1999"/>
    </row>
    <row r="1537" spans="14:15" ht="17.100000000000001" customHeight="1">
      <c r="N1537" s="1307"/>
      <c r="O1537" s="1999"/>
    </row>
    <row r="1538" spans="14:15" ht="17.100000000000001" customHeight="1">
      <c r="N1538" s="1307"/>
      <c r="O1538" s="1999"/>
    </row>
    <row r="1539" spans="14:15" ht="17.100000000000001" customHeight="1">
      <c r="N1539" s="1307"/>
      <c r="O1539" s="1999"/>
    </row>
    <row r="1540" spans="14:15" ht="17.100000000000001" customHeight="1">
      <c r="N1540" s="1307"/>
      <c r="O1540" s="1999"/>
    </row>
    <row r="1541" spans="14:15" ht="17.100000000000001" customHeight="1">
      <c r="N1541" s="1307"/>
      <c r="O1541" s="1999"/>
    </row>
    <row r="1542" spans="14:15" ht="17.100000000000001" customHeight="1">
      <c r="N1542" s="1307"/>
      <c r="O1542" s="1999"/>
    </row>
    <row r="1543" spans="14:15" ht="17.100000000000001" customHeight="1">
      <c r="N1543" s="1307"/>
      <c r="O1543" s="1999"/>
    </row>
    <row r="1544" spans="14:15" ht="17.100000000000001" customHeight="1">
      <c r="N1544" s="1307"/>
      <c r="O1544" s="1999"/>
    </row>
    <row r="1545" spans="14:15" ht="17.100000000000001" customHeight="1">
      <c r="N1545" s="1307"/>
      <c r="O1545" s="1999"/>
    </row>
    <row r="1546" spans="14:15" ht="17.100000000000001" customHeight="1">
      <c r="N1546" s="1307"/>
      <c r="O1546" s="1999"/>
    </row>
    <row r="1547" spans="14:15" ht="17.100000000000001" customHeight="1">
      <c r="N1547" s="1307"/>
      <c r="O1547" s="1999"/>
    </row>
    <row r="1548" spans="14:15" ht="17.100000000000001" customHeight="1">
      <c r="N1548" s="1307"/>
      <c r="O1548" s="1999"/>
    </row>
    <row r="1549" spans="14:15" ht="17.100000000000001" customHeight="1">
      <c r="N1549" s="1307"/>
      <c r="O1549" s="1999"/>
    </row>
    <row r="1550" spans="14:15" ht="17.100000000000001" customHeight="1">
      <c r="N1550" s="1307"/>
      <c r="O1550" s="1999"/>
    </row>
    <row r="1551" spans="14:15" ht="17.100000000000001" customHeight="1">
      <c r="N1551" s="1307"/>
      <c r="O1551" s="1999"/>
    </row>
    <row r="1552" spans="14:15" ht="17.100000000000001" customHeight="1">
      <c r="N1552" s="1307"/>
      <c r="O1552" s="1999"/>
    </row>
    <row r="1553" spans="14:15" ht="17.100000000000001" customHeight="1">
      <c r="N1553" s="1307"/>
      <c r="O1553" s="1999"/>
    </row>
    <row r="1554" spans="14:15" ht="17.100000000000001" customHeight="1">
      <c r="N1554" s="1307"/>
      <c r="O1554" s="1999"/>
    </row>
    <row r="1555" spans="14:15" ht="17.100000000000001" customHeight="1">
      <c r="N1555" s="1307"/>
      <c r="O1555" s="1999"/>
    </row>
    <row r="1556" spans="14:15" ht="17.100000000000001" customHeight="1">
      <c r="N1556" s="1307"/>
      <c r="O1556" s="1999"/>
    </row>
    <row r="1557" spans="14:15" ht="17.100000000000001" customHeight="1">
      <c r="N1557" s="1307"/>
      <c r="O1557" s="1999"/>
    </row>
    <row r="1558" spans="14:15" ht="17.100000000000001" customHeight="1">
      <c r="N1558" s="1307"/>
      <c r="O1558" s="1999"/>
    </row>
    <row r="1559" spans="14:15" ht="17.100000000000001" customHeight="1">
      <c r="N1559" s="1307"/>
      <c r="O1559" s="1999"/>
    </row>
    <row r="1560" spans="14:15" ht="17.100000000000001" customHeight="1">
      <c r="N1560" s="1307"/>
      <c r="O1560" s="1999"/>
    </row>
    <row r="1561" spans="14:15" ht="17.100000000000001" customHeight="1">
      <c r="N1561" s="1307"/>
      <c r="O1561" s="1999"/>
    </row>
    <row r="1562" spans="14:15" ht="17.100000000000001" customHeight="1">
      <c r="N1562" s="1307"/>
      <c r="O1562" s="1999"/>
    </row>
    <row r="1563" spans="14:15" ht="17.100000000000001" customHeight="1">
      <c r="N1563" s="1307"/>
      <c r="O1563" s="1999"/>
    </row>
    <row r="1564" spans="14:15" ht="17.100000000000001" customHeight="1">
      <c r="N1564" s="1307"/>
      <c r="O1564" s="1999"/>
    </row>
    <row r="1565" spans="14:15" ht="17.100000000000001" customHeight="1">
      <c r="N1565" s="1307"/>
      <c r="O1565" s="1999"/>
    </row>
    <row r="1566" spans="14:15" ht="17.100000000000001" customHeight="1">
      <c r="N1566" s="1307"/>
      <c r="O1566" s="1999"/>
    </row>
    <row r="1567" spans="14:15" ht="17.100000000000001" customHeight="1">
      <c r="N1567" s="1307"/>
      <c r="O1567" s="1999"/>
    </row>
    <row r="1568" spans="14:15" ht="17.100000000000001" customHeight="1">
      <c r="N1568" s="1307"/>
      <c r="O1568" s="1999"/>
    </row>
    <row r="1569" spans="14:15" ht="17.100000000000001" customHeight="1">
      <c r="N1569" s="1307"/>
      <c r="O1569" s="1999"/>
    </row>
    <row r="1570" spans="14:15" ht="17.100000000000001" customHeight="1">
      <c r="N1570" s="1307"/>
      <c r="O1570" s="1999"/>
    </row>
    <row r="1571" spans="14:15" ht="17.100000000000001" customHeight="1">
      <c r="N1571" s="1307"/>
      <c r="O1571" s="1999"/>
    </row>
    <row r="1572" spans="14:15" ht="17.100000000000001" customHeight="1">
      <c r="N1572" s="1307"/>
      <c r="O1572" s="1999"/>
    </row>
    <row r="1573" spans="14:15" ht="17.100000000000001" customHeight="1">
      <c r="N1573" s="1307"/>
      <c r="O1573" s="1999"/>
    </row>
    <row r="1574" spans="14:15" ht="17.100000000000001" customHeight="1">
      <c r="N1574" s="1307"/>
      <c r="O1574" s="1999"/>
    </row>
    <row r="1575" spans="14:15" ht="17.100000000000001" customHeight="1">
      <c r="N1575" s="1307"/>
      <c r="O1575" s="1999"/>
    </row>
    <row r="1576" spans="14:15" ht="17.100000000000001" customHeight="1">
      <c r="N1576" s="1307"/>
      <c r="O1576" s="1999"/>
    </row>
    <row r="1577" spans="14:15" ht="17.100000000000001" customHeight="1">
      <c r="N1577" s="1307"/>
      <c r="O1577" s="1999"/>
    </row>
    <row r="1578" spans="14:15" ht="17.100000000000001" customHeight="1">
      <c r="N1578" s="1307"/>
      <c r="O1578" s="1999"/>
    </row>
    <row r="1579" spans="14:15" ht="17.100000000000001" customHeight="1">
      <c r="N1579" s="1307"/>
      <c r="O1579" s="1999"/>
    </row>
    <row r="1580" spans="14:15" ht="17.100000000000001" customHeight="1">
      <c r="N1580" s="1307"/>
      <c r="O1580" s="1999"/>
    </row>
    <row r="1581" spans="14:15" ht="17.100000000000001" customHeight="1">
      <c r="N1581" s="1307"/>
      <c r="O1581" s="1999"/>
    </row>
    <row r="1582" spans="14:15" ht="17.100000000000001" customHeight="1">
      <c r="N1582" s="1307"/>
      <c r="O1582" s="1999"/>
    </row>
    <row r="1583" spans="14:15" ht="17.100000000000001" customHeight="1">
      <c r="N1583" s="1307"/>
      <c r="O1583" s="1999"/>
    </row>
    <row r="1584" spans="14:15" ht="17.100000000000001" customHeight="1">
      <c r="N1584" s="1307"/>
      <c r="O1584" s="1999"/>
    </row>
    <row r="1585" spans="14:15" ht="17.100000000000001" customHeight="1">
      <c r="N1585" s="1307"/>
      <c r="O1585" s="1999"/>
    </row>
    <row r="1586" spans="14:15" ht="17.100000000000001" customHeight="1">
      <c r="N1586" s="1307"/>
      <c r="O1586" s="1999"/>
    </row>
    <row r="1587" spans="14:15" ht="17.100000000000001" customHeight="1">
      <c r="N1587" s="1307"/>
      <c r="O1587" s="1999"/>
    </row>
    <row r="1588" spans="14:15" ht="17.100000000000001" customHeight="1">
      <c r="N1588" s="1307"/>
      <c r="O1588" s="1999"/>
    </row>
    <row r="1589" spans="14:15" ht="17.100000000000001" customHeight="1">
      <c r="N1589" s="1307"/>
      <c r="O1589" s="1999"/>
    </row>
    <row r="1590" spans="14:15" ht="17.100000000000001" customHeight="1">
      <c r="N1590" s="1307"/>
      <c r="O1590" s="1999"/>
    </row>
    <row r="1591" spans="14:15" ht="17.100000000000001" customHeight="1">
      <c r="N1591" s="1307"/>
      <c r="O1591" s="1999"/>
    </row>
    <row r="1592" spans="14:15" ht="17.100000000000001" customHeight="1">
      <c r="N1592" s="1307"/>
      <c r="O1592" s="1999"/>
    </row>
    <row r="1593" spans="14:15" ht="17.100000000000001" customHeight="1">
      <c r="N1593" s="1307"/>
      <c r="O1593" s="1999"/>
    </row>
    <row r="1594" spans="14:15" ht="17.100000000000001" customHeight="1">
      <c r="N1594" s="1307"/>
      <c r="O1594" s="1999"/>
    </row>
    <row r="1595" spans="14:15" ht="17.100000000000001" customHeight="1">
      <c r="N1595" s="1307"/>
      <c r="O1595" s="1999"/>
    </row>
    <row r="1596" spans="14:15" ht="17.100000000000001" customHeight="1">
      <c r="N1596" s="1307"/>
      <c r="O1596" s="1999"/>
    </row>
    <row r="1597" spans="14:15" ht="17.100000000000001" customHeight="1">
      <c r="N1597" s="1307"/>
      <c r="O1597" s="1999"/>
    </row>
    <row r="1598" spans="14:15" ht="17.100000000000001" customHeight="1">
      <c r="N1598" s="1307"/>
      <c r="O1598" s="1999"/>
    </row>
    <row r="1599" spans="14:15" ht="17.100000000000001" customHeight="1">
      <c r="N1599" s="1307"/>
      <c r="O1599" s="1999"/>
    </row>
    <row r="1600" spans="14:15" ht="17.100000000000001" customHeight="1">
      <c r="N1600" s="1307"/>
      <c r="O1600" s="1999"/>
    </row>
    <row r="1601" spans="14:15" ht="17.100000000000001" customHeight="1">
      <c r="N1601" s="1307"/>
      <c r="O1601" s="1999"/>
    </row>
    <row r="1602" spans="14:15" ht="17.100000000000001" customHeight="1">
      <c r="N1602" s="1307"/>
      <c r="O1602" s="1999"/>
    </row>
    <row r="1603" spans="14:15" ht="17.100000000000001" customHeight="1">
      <c r="N1603" s="1307"/>
      <c r="O1603" s="1999"/>
    </row>
    <row r="1604" spans="14:15" ht="17.100000000000001" customHeight="1">
      <c r="N1604" s="1307"/>
      <c r="O1604" s="1999"/>
    </row>
    <row r="1605" spans="14:15" ht="17.100000000000001" customHeight="1">
      <c r="N1605" s="1307"/>
      <c r="O1605" s="1999"/>
    </row>
    <row r="1606" spans="14:15" ht="17.100000000000001" customHeight="1">
      <c r="N1606" s="1307"/>
      <c r="O1606" s="1999"/>
    </row>
    <row r="1607" spans="14:15" ht="17.100000000000001" customHeight="1">
      <c r="N1607" s="1307"/>
      <c r="O1607" s="1999"/>
    </row>
    <row r="1608" spans="14:15" ht="17.100000000000001" customHeight="1">
      <c r="N1608" s="1307"/>
      <c r="O1608" s="1999"/>
    </row>
    <row r="1609" spans="14:15" ht="17.100000000000001" customHeight="1">
      <c r="N1609" s="1307"/>
      <c r="O1609" s="1999"/>
    </row>
    <row r="1610" spans="14:15" ht="17.100000000000001" customHeight="1">
      <c r="N1610" s="1307"/>
      <c r="O1610" s="1999"/>
    </row>
    <row r="1611" spans="14:15" ht="17.100000000000001" customHeight="1">
      <c r="N1611" s="1307"/>
      <c r="O1611" s="1999"/>
    </row>
    <row r="1612" spans="14:15" ht="17.100000000000001" customHeight="1">
      <c r="N1612" s="1307"/>
      <c r="O1612" s="1999"/>
    </row>
    <row r="1613" spans="14:15" ht="17.100000000000001" customHeight="1">
      <c r="N1613" s="1307"/>
      <c r="O1613" s="1999"/>
    </row>
    <row r="1614" spans="14:15" ht="17.100000000000001" customHeight="1">
      <c r="N1614" s="1307"/>
      <c r="O1614" s="1999"/>
    </row>
    <row r="1615" spans="14:15" ht="17.100000000000001" customHeight="1">
      <c r="N1615" s="1307"/>
      <c r="O1615" s="1999"/>
    </row>
    <row r="1616" spans="14:15" ht="17.100000000000001" customHeight="1">
      <c r="N1616" s="1307"/>
      <c r="O1616" s="1999"/>
    </row>
    <row r="1617" spans="14:15" ht="17.100000000000001" customHeight="1">
      <c r="N1617" s="1307"/>
      <c r="O1617" s="1999"/>
    </row>
    <row r="1618" spans="14:15" ht="17.100000000000001" customHeight="1">
      <c r="N1618" s="1307"/>
      <c r="O1618" s="1999"/>
    </row>
    <row r="1619" spans="14:15" ht="17.100000000000001" customHeight="1">
      <c r="N1619" s="1307"/>
      <c r="O1619" s="1999"/>
    </row>
    <row r="1620" spans="14:15" ht="17.100000000000001" customHeight="1">
      <c r="N1620" s="1307"/>
      <c r="O1620" s="1999"/>
    </row>
    <row r="1621" spans="14:15" ht="17.100000000000001" customHeight="1">
      <c r="N1621" s="1307"/>
      <c r="O1621" s="1999"/>
    </row>
    <row r="1622" spans="14:15" ht="17.100000000000001" customHeight="1">
      <c r="N1622" s="1307"/>
      <c r="O1622" s="1999"/>
    </row>
    <row r="1623" spans="14:15" ht="17.100000000000001" customHeight="1">
      <c r="N1623" s="1307"/>
      <c r="O1623" s="1999"/>
    </row>
    <row r="1624" spans="14:15" ht="17.100000000000001" customHeight="1">
      <c r="N1624" s="1307"/>
      <c r="O1624" s="1999"/>
    </row>
    <row r="1625" spans="14:15" ht="17.100000000000001" customHeight="1">
      <c r="N1625" s="1307"/>
      <c r="O1625" s="1999"/>
    </row>
    <row r="1626" spans="14:15" ht="17.100000000000001" customHeight="1">
      <c r="N1626" s="1307"/>
      <c r="O1626" s="1999"/>
    </row>
    <row r="1627" spans="14:15" ht="17.100000000000001" customHeight="1">
      <c r="N1627" s="1307"/>
      <c r="O1627" s="1999"/>
    </row>
    <row r="1628" spans="14:15" ht="17.100000000000001" customHeight="1">
      <c r="N1628" s="1307"/>
      <c r="O1628" s="1999"/>
    </row>
    <row r="1629" spans="14:15" ht="17.100000000000001" customHeight="1">
      <c r="N1629" s="1307"/>
      <c r="O1629" s="1999"/>
    </row>
    <row r="1630" spans="14:15" ht="17.100000000000001" customHeight="1">
      <c r="N1630" s="1307"/>
      <c r="O1630" s="1999"/>
    </row>
    <row r="1631" spans="14:15" ht="17.100000000000001" customHeight="1">
      <c r="N1631" s="1307"/>
      <c r="O1631" s="1999"/>
    </row>
    <row r="1632" spans="14:15" ht="17.100000000000001" customHeight="1">
      <c r="N1632" s="1307"/>
      <c r="O1632" s="1999"/>
    </row>
    <row r="1633" spans="14:15" ht="17.100000000000001" customHeight="1">
      <c r="N1633" s="1307"/>
      <c r="O1633" s="1999"/>
    </row>
    <row r="1634" spans="14:15" ht="17.100000000000001" customHeight="1">
      <c r="N1634" s="1307"/>
      <c r="O1634" s="1999"/>
    </row>
    <row r="1635" spans="14:15" ht="17.100000000000001" customHeight="1">
      <c r="N1635" s="1307"/>
      <c r="O1635" s="1999"/>
    </row>
    <row r="1636" spans="14:15" ht="17.100000000000001" customHeight="1">
      <c r="N1636" s="1307"/>
      <c r="O1636" s="1999"/>
    </row>
    <row r="1637" spans="14:15" ht="17.100000000000001" customHeight="1">
      <c r="N1637" s="1307"/>
      <c r="O1637" s="1999"/>
    </row>
    <row r="1638" spans="14:15" ht="17.100000000000001" customHeight="1">
      <c r="N1638" s="1307"/>
      <c r="O1638" s="1999"/>
    </row>
    <row r="1639" spans="14:15" ht="17.100000000000001" customHeight="1">
      <c r="N1639" s="1307"/>
      <c r="O1639" s="1999"/>
    </row>
    <row r="1640" spans="14:15" ht="17.100000000000001" customHeight="1">
      <c r="N1640" s="1307"/>
      <c r="O1640" s="1999"/>
    </row>
    <row r="1641" spans="14:15" ht="17.100000000000001" customHeight="1">
      <c r="N1641" s="1307"/>
      <c r="O1641" s="1999"/>
    </row>
    <row r="1642" spans="14:15" ht="17.100000000000001" customHeight="1">
      <c r="N1642" s="1307"/>
      <c r="O1642" s="1999"/>
    </row>
    <row r="1643" spans="14:15" ht="17.100000000000001" customHeight="1">
      <c r="N1643" s="1307"/>
      <c r="O1643" s="1999"/>
    </row>
    <row r="1644" spans="14:15" ht="17.100000000000001" customHeight="1">
      <c r="N1644" s="1307"/>
      <c r="O1644" s="1999"/>
    </row>
    <row r="1645" spans="14:15" ht="17.100000000000001" customHeight="1">
      <c r="N1645" s="1307"/>
      <c r="O1645" s="1999"/>
    </row>
    <row r="1646" spans="14:15" ht="17.100000000000001" customHeight="1">
      <c r="N1646" s="1307"/>
      <c r="O1646" s="1999"/>
    </row>
    <row r="1647" spans="14:15" ht="17.100000000000001" customHeight="1">
      <c r="N1647" s="1307"/>
      <c r="O1647" s="1999"/>
    </row>
    <row r="1648" spans="14:15" ht="17.100000000000001" customHeight="1">
      <c r="N1648" s="1307"/>
      <c r="O1648" s="1999"/>
    </row>
    <row r="1649" spans="14:15" ht="17.100000000000001" customHeight="1">
      <c r="N1649" s="1307"/>
      <c r="O1649" s="1999"/>
    </row>
    <row r="1650" spans="14:15" ht="17.100000000000001" customHeight="1">
      <c r="N1650" s="1307"/>
      <c r="O1650" s="1999"/>
    </row>
    <row r="1651" spans="14:15" ht="17.100000000000001" customHeight="1">
      <c r="N1651" s="1307"/>
      <c r="O1651" s="1999"/>
    </row>
    <row r="1652" spans="14:15" ht="17.100000000000001" customHeight="1">
      <c r="N1652" s="1307"/>
      <c r="O1652" s="1999"/>
    </row>
    <row r="1653" spans="14:15" ht="17.100000000000001" customHeight="1">
      <c r="N1653" s="1307"/>
      <c r="O1653" s="1999"/>
    </row>
    <row r="1654" spans="14:15" ht="17.100000000000001" customHeight="1">
      <c r="N1654" s="1307"/>
      <c r="O1654" s="1999"/>
    </row>
    <row r="1655" spans="14:15" ht="17.100000000000001" customHeight="1">
      <c r="N1655" s="1307"/>
      <c r="O1655" s="1999"/>
    </row>
    <row r="1656" spans="14:15" ht="17.100000000000001" customHeight="1">
      <c r="N1656" s="1307"/>
      <c r="O1656" s="1999"/>
    </row>
    <row r="1657" spans="14:15" ht="17.100000000000001" customHeight="1">
      <c r="N1657" s="1307"/>
      <c r="O1657" s="1999"/>
    </row>
    <row r="1658" spans="14:15" ht="17.100000000000001" customHeight="1">
      <c r="N1658" s="1307"/>
      <c r="O1658" s="1999"/>
    </row>
    <row r="1659" spans="14:15" ht="17.100000000000001" customHeight="1">
      <c r="N1659" s="1307"/>
      <c r="O1659" s="1999"/>
    </row>
    <row r="1660" spans="14:15" ht="17.100000000000001" customHeight="1">
      <c r="N1660" s="1307"/>
      <c r="O1660" s="1999"/>
    </row>
    <row r="1661" spans="14:15" ht="17.100000000000001" customHeight="1">
      <c r="N1661" s="1307"/>
      <c r="O1661" s="1999"/>
    </row>
    <row r="1662" spans="14:15" ht="17.100000000000001" customHeight="1">
      <c r="N1662" s="1307"/>
      <c r="O1662" s="1999"/>
    </row>
    <row r="1663" spans="14:15" ht="17.100000000000001" customHeight="1">
      <c r="N1663" s="1307"/>
      <c r="O1663" s="1999"/>
    </row>
    <row r="1664" spans="14:15" ht="17.100000000000001" customHeight="1">
      <c r="N1664" s="1307"/>
      <c r="O1664" s="1999"/>
    </row>
    <row r="1665" spans="14:15" ht="17.100000000000001" customHeight="1">
      <c r="N1665" s="1307"/>
      <c r="O1665" s="1999"/>
    </row>
    <row r="1666" spans="14:15" ht="17.100000000000001" customHeight="1">
      <c r="N1666" s="1307"/>
      <c r="O1666" s="1999"/>
    </row>
    <row r="1667" spans="14:15" ht="17.100000000000001" customHeight="1">
      <c r="N1667" s="1307"/>
      <c r="O1667" s="1999"/>
    </row>
    <row r="1668" spans="14:15" ht="17.100000000000001" customHeight="1">
      <c r="N1668" s="1307"/>
      <c r="O1668" s="1999"/>
    </row>
    <row r="1669" spans="14:15" ht="17.100000000000001" customHeight="1">
      <c r="N1669" s="1307"/>
      <c r="O1669" s="1999"/>
    </row>
    <row r="1670" spans="14:15" ht="17.100000000000001" customHeight="1">
      <c r="N1670" s="1307"/>
      <c r="O1670" s="1999"/>
    </row>
    <row r="1671" spans="14:15" ht="17.100000000000001" customHeight="1">
      <c r="N1671" s="1307"/>
      <c r="O1671" s="1999"/>
    </row>
    <row r="1672" spans="14:15" ht="17.100000000000001" customHeight="1">
      <c r="N1672" s="1307"/>
      <c r="O1672" s="1999"/>
    </row>
    <row r="1673" spans="14:15" ht="17.100000000000001" customHeight="1">
      <c r="N1673" s="1307"/>
      <c r="O1673" s="1999"/>
    </row>
    <row r="1674" spans="14:15" ht="17.100000000000001" customHeight="1">
      <c r="N1674" s="1307"/>
      <c r="O1674" s="1999"/>
    </row>
    <row r="1675" spans="14:15" ht="17.100000000000001" customHeight="1">
      <c r="N1675" s="1307"/>
      <c r="O1675" s="1999"/>
    </row>
    <row r="1676" spans="14:15" ht="17.100000000000001" customHeight="1">
      <c r="N1676" s="1307"/>
      <c r="O1676" s="1999"/>
    </row>
    <row r="1677" spans="14:15" ht="17.100000000000001" customHeight="1">
      <c r="N1677" s="1307"/>
      <c r="O1677" s="1999"/>
    </row>
    <row r="1678" spans="14:15" ht="17.100000000000001" customHeight="1">
      <c r="N1678" s="1307"/>
      <c r="O1678" s="1999"/>
    </row>
    <row r="1679" spans="14:15" ht="17.100000000000001" customHeight="1">
      <c r="N1679" s="1307"/>
      <c r="O1679" s="1999"/>
    </row>
    <row r="1680" spans="14:15" ht="17.100000000000001" customHeight="1">
      <c r="N1680" s="1307"/>
      <c r="O1680" s="1999"/>
    </row>
    <row r="1681" spans="14:15" ht="17.100000000000001" customHeight="1">
      <c r="N1681" s="1307"/>
      <c r="O1681" s="1999"/>
    </row>
    <row r="1682" spans="14:15" ht="17.100000000000001" customHeight="1">
      <c r="N1682" s="1307"/>
      <c r="O1682" s="1999"/>
    </row>
    <row r="1683" spans="14:15" ht="17.100000000000001" customHeight="1">
      <c r="N1683" s="1307"/>
      <c r="O1683" s="1999"/>
    </row>
    <row r="1684" spans="14:15" ht="17.100000000000001" customHeight="1">
      <c r="N1684" s="1307"/>
      <c r="O1684" s="1999"/>
    </row>
    <row r="1685" spans="14:15" ht="17.100000000000001" customHeight="1">
      <c r="N1685" s="1307"/>
      <c r="O1685" s="1999"/>
    </row>
    <row r="1686" spans="14:15" ht="17.100000000000001" customHeight="1">
      <c r="N1686" s="1307"/>
      <c r="O1686" s="1999"/>
    </row>
    <row r="1687" spans="14:15" ht="17.100000000000001" customHeight="1">
      <c r="N1687" s="1307"/>
      <c r="O1687" s="1999"/>
    </row>
    <row r="1688" spans="14:15" ht="17.100000000000001" customHeight="1">
      <c r="N1688" s="1307"/>
      <c r="O1688" s="1999"/>
    </row>
    <row r="1689" spans="14:15" ht="17.100000000000001" customHeight="1">
      <c r="N1689" s="1307"/>
      <c r="O1689" s="1999"/>
    </row>
    <row r="1690" spans="14:15" ht="17.100000000000001" customHeight="1">
      <c r="N1690" s="1307"/>
      <c r="O1690" s="1999"/>
    </row>
    <row r="1691" spans="14:15" ht="17.100000000000001" customHeight="1">
      <c r="N1691" s="1307"/>
      <c r="O1691" s="1999"/>
    </row>
    <row r="1692" spans="14:15" ht="17.100000000000001" customHeight="1">
      <c r="N1692" s="1307"/>
      <c r="O1692" s="1999"/>
    </row>
    <row r="1693" spans="14:15" ht="17.100000000000001" customHeight="1">
      <c r="N1693" s="1307"/>
      <c r="O1693" s="1999"/>
    </row>
    <row r="1694" spans="14:15" ht="17.100000000000001" customHeight="1">
      <c r="N1694" s="1307"/>
      <c r="O1694" s="1999"/>
    </row>
    <row r="1695" spans="14:15" ht="17.100000000000001" customHeight="1">
      <c r="N1695" s="1307"/>
      <c r="O1695" s="1999"/>
    </row>
    <row r="1696" spans="14:15" ht="17.100000000000001" customHeight="1">
      <c r="N1696" s="1307"/>
      <c r="O1696" s="1999"/>
    </row>
    <row r="1697" spans="14:15" ht="17.100000000000001" customHeight="1">
      <c r="N1697" s="1307"/>
      <c r="O1697" s="1999"/>
    </row>
    <row r="1698" spans="14:15" ht="17.100000000000001" customHeight="1">
      <c r="N1698" s="1307"/>
      <c r="O1698" s="1999"/>
    </row>
    <row r="1699" spans="14:15" ht="17.100000000000001" customHeight="1">
      <c r="N1699" s="1307"/>
      <c r="O1699" s="1999"/>
    </row>
    <row r="1700" spans="14:15" ht="17.100000000000001" customHeight="1">
      <c r="N1700" s="1307"/>
      <c r="O1700" s="1999"/>
    </row>
    <row r="1701" spans="14:15" ht="17.100000000000001" customHeight="1">
      <c r="N1701" s="1307"/>
      <c r="O1701" s="1999"/>
    </row>
    <row r="1702" spans="14:15" ht="17.100000000000001" customHeight="1">
      <c r="N1702" s="1307"/>
      <c r="O1702" s="1999"/>
    </row>
    <row r="1703" spans="14:15" ht="17.100000000000001" customHeight="1">
      <c r="N1703" s="1307"/>
      <c r="O1703" s="1999"/>
    </row>
    <row r="1704" spans="14:15" ht="17.100000000000001" customHeight="1">
      <c r="N1704" s="1307"/>
      <c r="O1704" s="1999"/>
    </row>
    <row r="1705" spans="14:15" ht="17.100000000000001" customHeight="1">
      <c r="N1705" s="1307"/>
      <c r="O1705" s="1999"/>
    </row>
    <row r="1706" spans="14:15" ht="17.100000000000001" customHeight="1">
      <c r="N1706" s="1307"/>
      <c r="O1706" s="1999"/>
    </row>
    <row r="1707" spans="14:15" ht="17.100000000000001" customHeight="1">
      <c r="N1707" s="1307"/>
      <c r="O1707" s="1999"/>
    </row>
    <row r="1708" spans="14:15" ht="17.100000000000001" customHeight="1">
      <c r="N1708" s="1307"/>
      <c r="O1708" s="1999"/>
    </row>
    <row r="1709" spans="14:15" ht="17.100000000000001" customHeight="1">
      <c r="N1709" s="1307"/>
      <c r="O1709" s="1999"/>
    </row>
    <row r="1710" spans="14:15" ht="17.100000000000001" customHeight="1">
      <c r="N1710" s="1307"/>
      <c r="O1710" s="1999"/>
    </row>
    <row r="1711" spans="14:15" ht="17.100000000000001" customHeight="1">
      <c r="N1711" s="1307"/>
      <c r="O1711" s="1999"/>
    </row>
    <row r="1712" spans="14:15" ht="17.100000000000001" customHeight="1">
      <c r="N1712" s="1307"/>
      <c r="O1712" s="1999"/>
    </row>
    <row r="1713" spans="14:15" ht="17.100000000000001" customHeight="1">
      <c r="N1713" s="1307"/>
      <c r="O1713" s="1999"/>
    </row>
    <row r="1714" spans="14:15" ht="17.100000000000001" customHeight="1">
      <c r="N1714" s="1307"/>
      <c r="O1714" s="1999"/>
    </row>
    <row r="1715" spans="14:15" ht="17.100000000000001" customHeight="1">
      <c r="N1715" s="1307"/>
      <c r="O1715" s="1999"/>
    </row>
    <row r="1716" spans="14:15" ht="17.100000000000001" customHeight="1">
      <c r="N1716" s="1307"/>
      <c r="O1716" s="1999"/>
    </row>
    <row r="1717" spans="14:15" ht="17.100000000000001" customHeight="1">
      <c r="N1717" s="1307"/>
      <c r="O1717" s="1999"/>
    </row>
    <row r="1718" spans="14:15" ht="17.100000000000001" customHeight="1">
      <c r="N1718" s="1307"/>
      <c r="O1718" s="1999"/>
    </row>
    <row r="1719" spans="14:15" ht="17.100000000000001" customHeight="1">
      <c r="N1719" s="1307"/>
      <c r="O1719" s="1999"/>
    </row>
    <row r="1720" spans="14:15" ht="17.100000000000001" customHeight="1">
      <c r="N1720" s="1307"/>
      <c r="O1720" s="1999"/>
    </row>
    <row r="1721" spans="14:15" ht="17.100000000000001" customHeight="1">
      <c r="N1721" s="1307"/>
      <c r="O1721" s="1999"/>
    </row>
    <row r="1722" spans="14:15" ht="17.100000000000001" customHeight="1">
      <c r="N1722" s="1307"/>
      <c r="O1722" s="1999"/>
    </row>
    <row r="1723" spans="14:15" ht="17.100000000000001" customHeight="1">
      <c r="N1723" s="1307"/>
      <c r="O1723" s="1999"/>
    </row>
    <row r="1724" spans="14:15" ht="17.100000000000001" customHeight="1">
      <c r="N1724" s="1307"/>
      <c r="O1724" s="1999"/>
    </row>
    <row r="1725" spans="14:15" ht="17.100000000000001" customHeight="1">
      <c r="N1725" s="1307"/>
      <c r="O1725" s="1999"/>
    </row>
    <row r="1726" spans="14:15" ht="17.100000000000001" customHeight="1">
      <c r="N1726" s="1307"/>
      <c r="O1726" s="1999"/>
    </row>
    <row r="1727" spans="14:15" ht="17.100000000000001" customHeight="1">
      <c r="N1727" s="1307"/>
      <c r="O1727" s="1999"/>
    </row>
    <row r="1728" spans="14:15" ht="17.100000000000001" customHeight="1">
      <c r="N1728" s="1307"/>
      <c r="O1728" s="1999"/>
    </row>
    <row r="1729" spans="14:15" ht="17.100000000000001" customHeight="1">
      <c r="N1729" s="1307"/>
      <c r="O1729" s="1999"/>
    </row>
    <row r="1730" spans="14:15" ht="17.100000000000001" customHeight="1">
      <c r="N1730" s="1307"/>
      <c r="O1730" s="1999"/>
    </row>
    <row r="1731" spans="14:15" ht="17.100000000000001" customHeight="1">
      <c r="N1731" s="1307"/>
      <c r="O1731" s="1999"/>
    </row>
    <row r="1732" spans="14:15" ht="17.100000000000001" customHeight="1">
      <c r="N1732" s="1307"/>
      <c r="O1732" s="1999"/>
    </row>
    <row r="1733" spans="14:15" ht="17.100000000000001" customHeight="1">
      <c r="N1733" s="1307"/>
      <c r="O1733" s="1999"/>
    </row>
    <row r="1734" spans="14:15" ht="17.100000000000001" customHeight="1">
      <c r="N1734" s="1307"/>
      <c r="O1734" s="1999"/>
    </row>
    <row r="1735" spans="14:15" ht="17.100000000000001" customHeight="1">
      <c r="N1735" s="1307"/>
      <c r="O1735" s="1999"/>
    </row>
    <row r="1736" spans="14:15" ht="17.100000000000001" customHeight="1">
      <c r="N1736" s="1307"/>
      <c r="O1736" s="1999"/>
    </row>
    <row r="1737" spans="14:15" ht="17.100000000000001" customHeight="1">
      <c r="N1737" s="1307"/>
      <c r="O1737" s="1999"/>
    </row>
    <row r="1738" spans="14:15" ht="17.100000000000001" customHeight="1">
      <c r="N1738" s="1307"/>
      <c r="O1738" s="1999"/>
    </row>
    <row r="1739" spans="14:15" ht="17.100000000000001" customHeight="1">
      <c r="N1739" s="1307"/>
      <c r="O1739" s="1999"/>
    </row>
    <row r="1740" spans="14:15" ht="17.100000000000001" customHeight="1">
      <c r="N1740" s="1307"/>
      <c r="O1740" s="1999"/>
    </row>
    <row r="1741" spans="14:15" ht="17.100000000000001" customHeight="1">
      <c r="N1741" s="1307"/>
      <c r="O1741" s="1999"/>
    </row>
    <row r="1742" spans="14:15" ht="17.100000000000001" customHeight="1">
      <c r="N1742" s="1307"/>
      <c r="O1742" s="1999"/>
    </row>
    <row r="1743" spans="14:15" ht="17.100000000000001" customHeight="1">
      <c r="N1743" s="1307"/>
      <c r="O1743" s="1999"/>
    </row>
    <row r="1744" spans="14:15" ht="17.100000000000001" customHeight="1">
      <c r="N1744" s="1307"/>
      <c r="O1744" s="1999"/>
    </row>
    <row r="1745" spans="14:15" ht="17.100000000000001" customHeight="1">
      <c r="N1745" s="1307"/>
      <c r="O1745" s="1999"/>
    </row>
    <row r="1746" spans="14:15" ht="17.100000000000001" customHeight="1">
      <c r="N1746" s="1307"/>
      <c r="O1746" s="1999"/>
    </row>
    <row r="1747" spans="14:15" ht="17.100000000000001" customHeight="1">
      <c r="N1747" s="1307"/>
      <c r="O1747" s="1999"/>
    </row>
    <row r="1748" spans="14:15" ht="17.100000000000001" customHeight="1">
      <c r="N1748" s="1307"/>
      <c r="O1748" s="1999"/>
    </row>
    <row r="1749" spans="14:15" ht="17.100000000000001" customHeight="1">
      <c r="N1749" s="1307"/>
      <c r="O1749" s="1999"/>
    </row>
    <row r="1750" spans="14:15" ht="17.100000000000001" customHeight="1">
      <c r="N1750" s="1307"/>
      <c r="O1750" s="1999"/>
    </row>
    <row r="1751" spans="14:15" ht="17.100000000000001" customHeight="1">
      <c r="N1751" s="1307"/>
      <c r="O1751" s="1999"/>
    </row>
    <row r="1752" spans="14:15" ht="17.100000000000001" customHeight="1">
      <c r="N1752" s="1307"/>
      <c r="O1752" s="1999"/>
    </row>
    <row r="1753" spans="14:15" ht="17.100000000000001" customHeight="1">
      <c r="N1753" s="1307"/>
      <c r="O1753" s="1999"/>
    </row>
    <row r="1754" spans="14:15" ht="17.100000000000001" customHeight="1">
      <c r="N1754" s="1307"/>
      <c r="O1754" s="1999"/>
    </row>
    <row r="1755" spans="14:15" ht="17.100000000000001" customHeight="1">
      <c r="N1755" s="1307"/>
      <c r="O1755" s="1999"/>
    </row>
    <row r="1756" spans="14:15" ht="17.100000000000001" customHeight="1">
      <c r="N1756" s="1307"/>
      <c r="O1756" s="1999"/>
    </row>
    <row r="1757" spans="14:15" ht="17.100000000000001" customHeight="1">
      <c r="N1757" s="1307"/>
      <c r="O1757" s="1999"/>
    </row>
    <row r="1758" spans="14:15" ht="17.100000000000001" customHeight="1">
      <c r="N1758" s="1307"/>
      <c r="O1758" s="1999"/>
    </row>
    <row r="1759" spans="14:15" ht="17.100000000000001" customHeight="1">
      <c r="N1759" s="1307"/>
      <c r="O1759" s="1999"/>
    </row>
    <row r="1760" spans="14:15" ht="17.100000000000001" customHeight="1">
      <c r="N1760" s="1307"/>
      <c r="O1760" s="1999"/>
    </row>
    <row r="1761" spans="14:15" ht="17.100000000000001" customHeight="1">
      <c r="N1761" s="1307"/>
      <c r="O1761" s="1999"/>
    </row>
    <row r="1762" spans="14:15" ht="17.100000000000001" customHeight="1">
      <c r="N1762" s="1307"/>
      <c r="O1762" s="1999"/>
    </row>
    <row r="1763" spans="14:15" ht="17.100000000000001" customHeight="1">
      <c r="N1763" s="1307"/>
      <c r="O1763" s="1999"/>
    </row>
    <row r="1764" spans="14:15" ht="17.100000000000001" customHeight="1">
      <c r="N1764" s="1307"/>
      <c r="O1764" s="1999"/>
    </row>
    <row r="1765" spans="14:15" ht="17.100000000000001" customHeight="1">
      <c r="N1765" s="1307"/>
      <c r="O1765" s="1999"/>
    </row>
    <row r="1766" spans="14:15" ht="17.100000000000001" customHeight="1">
      <c r="N1766" s="1307"/>
      <c r="O1766" s="1999"/>
    </row>
    <row r="1767" spans="14:15" ht="17.100000000000001" customHeight="1">
      <c r="N1767" s="1307"/>
      <c r="O1767" s="1999"/>
    </row>
    <row r="1768" spans="14:15" ht="17.100000000000001" customHeight="1">
      <c r="N1768" s="1307"/>
      <c r="O1768" s="1999"/>
    </row>
    <row r="1769" spans="14:15" ht="17.100000000000001" customHeight="1">
      <c r="N1769" s="1307"/>
      <c r="O1769" s="1999"/>
    </row>
    <row r="1770" spans="14:15" ht="17.100000000000001" customHeight="1">
      <c r="N1770" s="1307"/>
      <c r="O1770" s="1999"/>
    </row>
    <row r="1771" spans="14:15" ht="17.100000000000001" customHeight="1">
      <c r="N1771" s="1307"/>
      <c r="O1771" s="1999"/>
    </row>
    <row r="1772" spans="14:15" ht="17.100000000000001" customHeight="1">
      <c r="N1772" s="1307"/>
      <c r="O1772" s="1999"/>
    </row>
    <row r="1773" spans="14:15" ht="17.100000000000001" customHeight="1">
      <c r="N1773" s="1307"/>
      <c r="O1773" s="1999"/>
    </row>
    <row r="1774" spans="14:15" ht="17.100000000000001" customHeight="1">
      <c r="N1774" s="1307"/>
      <c r="O1774" s="1999"/>
    </row>
    <row r="1775" spans="14:15" ht="17.100000000000001" customHeight="1">
      <c r="N1775" s="1307"/>
      <c r="O1775" s="1999"/>
    </row>
    <row r="1776" spans="14:15" ht="17.100000000000001" customHeight="1">
      <c r="N1776" s="1307"/>
      <c r="O1776" s="1999"/>
    </row>
    <row r="1777" spans="14:15" ht="17.100000000000001" customHeight="1">
      <c r="N1777" s="1307"/>
      <c r="O1777" s="1999"/>
    </row>
    <row r="1778" spans="14:15" ht="17.100000000000001" customHeight="1">
      <c r="N1778" s="1307"/>
      <c r="O1778" s="1999"/>
    </row>
    <row r="1779" spans="14:15" ht="17.100000000000001" customHeight="1">
      <c r="N1779" s="1307"/>
      <c r="O1779" s="1999"/>
    </row>
    <row r="1780" spans="14:15" ht="17.100000000000001" customHeight="1">
      <c r="N1780" s="1307"/>
      <c r="O1780" s="1999"/>
    </row>
    <row r="1781" spans="14:15" ht="17.100000000000001" customHeight="1">
      <c r="N1781" s="1307"/>
      <c r="O1781" s="1999"/>
    </row>
    <row r="1782" spans="14:15" ht="17.100000000000001" customHeight="1">
      <c r="N1782" s="1307"/>
      <c r="O1782" s="1999"/>
    </row>
    <row r="1783" spans="14:15" ht="17.100000000000001" customHeight="1">
      <c r="N1783" s="1307"/>
      <c r="O1783" s="1999"/>
    </row>
    <row r="1784" spans="14:15" ht="17.100000000000001" customHeight="1">
      <c r="N1784" s="1307"/>
      <c r="O1784" s="1999"/>
    </row>
    <row r="1785" spans="14:15" ht="17.100000000000001" customHeight="1">
      <c r="N1785" s="1307"/>
      <c r="O1785" s="1999"/>
    </row>
    <row r="1786" spans="14:15" ht="17.100000000000001" customHeight="1">
      <c r="N1786" s="1307"/>
      <c r="O1786" s="1999"/>
    </row>
    <row r="1787" spans="14:15" ht="17.100000000000001" customHeight="1">
      <c r="N1787" s="1307"/>
      <c r="O1787" s="1999"/>
    </row>
    <row r="1788" spans="14:15" ht="17.100000000000001" customHeight="1">
      <c r="N1788" s="1307"/>
      <c r="O1788" s="1999"/>
    </row>
    <row r="1789" spans="14:15" ht="17.100000000000001" customHeight="1">
      <c r="N1789" s="1307"/>
      <c r="O1789" s="1999"/>
    </row>
    <row r="1790" spans="14:15" ht="17.100000000000001" customHeight="1">
      <c r="N1790" s="1307"/>
      <c r="O1790" s="1999"/>
    </row>
    <row r="1791" spans="14:15" ht="17.100000000000001" customHeight="1">
      <c r="N1791" s="1307"/>
      <c r="O1791" s="1999"/>
    </row>
    <row r="1792" spans="14:15" ht="17.100000000000001" customHeight="1">
      <c r="N1792" s="1307"/>
      <c r="O1792" s="1999"/>
    </row>
    <row r="1793" spans="14:15" ht="17.100000000000001" customHeight="1">
      <c r="N1793" s="1307"/>
      <c r="O1793" s="1999"/>
    </row>
    <row r="1794" spans="14:15" ht="17.100000000000001" customHeight="1">
      <c r="N1794" s="1307"/>
      <c r="O1794" s="1999"/>
    </row>
    <row r="1795" spans="14:15" ht="17.100000000000001" customHeight="1">
      <c r="N1795" s="1307"/>
      <c r="O1795" s="1999"/>
    </row>
    <row r="1796" spans="14:15" ht="17.100000000000001" customHeight="1">
      <c r="N1796" s="1307"/>
      <c r="O1796" s="1999"/>
    </row>
    <row r="1797" spans="14:15" ht="17.100000000000001" customHeight="1">
      <c r="N1797" s="1307"/>
      <c r="O1797" s="1999"/>
    </row>
    <row r="1798" spans="14:15" ht="17.100000000000001" customHeight="1">
      <c r="N1798" s="1307"/>
      <c r="O1798" s="1999"/>
    </row>
    <row r="1799" spans="14:15" ht="17.100000000000001" customHeight="1">
      <c r="N1799" s="1307"/>
      <c r="O1799" s="1999"/>
    </row>
    <row r="1800" spans="14:15" ht="17.100000000000001" customHeight="1">
      <c r="N1800" s="1307"/>
      <c r="O1800" s="1999"/>
    </row>
    <row r="1801" spans="14:15" ht="17.100000000000001" customHeight="1">
      <c r="N1801" s="1307"/>
      <c r="O1801" s="1999"/>
    </row>
    <row r="1802" spans="14:15" ht="17.100000000000001" customHeight="1">
      <c r="N1802" s="1307"/>
      <c r="O1802" s="1999"/>
    </row>
    <row r="1803" spans="14:15" ht="17.100000000000001" customHeight="1">
      <c r="N1803" s="1307"/>
      <c r="O1803" s="1999"/>
    </row>
    <row r="1804" spans="14:15" ht="17.100000000000001" customHeight="1">
      <c r="N1804" s="1307"/>
      <c r="O1804" s="1999"/>
    </row>
    <row r="1805" spans="14:15" ht="17.100000000000001" customHeight="1">
      <c r="N1805" s="1307"/>
      <c r="O1805" s="1999"/>
    </row>
    <row r="1806" spans="14:15" ht="17.100000000000001" customHeight="1">
      <c r="N1806" s="1307"/>
      <c r="O1806" s="1999"/>
    </row>
    <row r="1807" spans="14:15" ht="17.100000000000001" customHeight="1">
      <c r="N1807" s="1307"/>
      <c r="O1807" s="1999"/>
    </row>
    <row r="1808" spans="14:15" ht="17.100000000000001" customHeight="1">
      <c r="N1808" s="1307"/>
      <c r="O1808" s="1999"/>
    </row>
    <row r="1809" spans="14:15" ht="17.100000000000001" customHeight="1">
      <c r="N1809" s="1307"/>
      <c r="O1809" s="1999"/>
    </row>
    <row r="1810" spans="14:15" ht="17.100000000000001" customHeight="1">
      <c r="N1810" s="1307"/>
      <c r="O1810" s="1999"/>
    </row>
    <row r="1811" spans="14:15" ht="17.100000000000001" customHeight="1">
      <c r="N1811" s="1307"/>
      <c r="O1811" s="1999"/>
    </row>
    <row r="1812" spans="14:15" ht="17.100000000000001" customHeight="1">
      <c r="N1812" s="1307"/>
      <c r="O1812" s="1999"/>
    </row>
    <row r="1813" spans="14:15" ht="17.100000000000001" customHeight="1">
      <c r="N1813" s="1307"/>
      <c r="O1813" s="1999"/>
    </row>
    <row r="1814" spans="14:15" ht="17.100000000000001" customHeight="1">
      <c r="N1814" s="1307"/>
      <c r="O1814" s="1999"/>
    </row>
    <row r="1815" spans="14:15" ht="17.100000000000001" customHeight="1">
      <c r="N1815" s="1307"/>
      <c r="O1815" s="1999"/>
    </row>
    <row r="1816" spans="14:15" ht="17.100000000000001" customHeight="1">
      <c r="N1816" s="1307"/>
      <c r="O1816" s="1999"/>
    </row>
    <row r="1817" spans="14:15" ht="17.100000000000001" customHeight="1">
      <c r="N1817" s="1307"/>
      <c r="O1817" s="1999"/>
    </row>
    <row r="1818" spans="14:15" ht="17.100000000000001" customHeight="1">
      <c r="N1818" s="1307"/>
      <c r="O1818" s="1999"/>
    </row>
    <row r="1819" spans="14:15" ht="17.100000000000001" customHeight="1">
      <c r="N1819" s="1307"/>
      <c r="O1819" s="1999"/>
    </row>
    <row r="1820" spans="14:15" ht="17.100000000000001" customHeight="1">
      <c r="N1820" s="1307"/>
      <c r="O1820" s="1999"/>
    </row>
    <row r="1821" spans="14:15" ht="17.100000000000001" customHeight="1">
      <c r="N1821" s="1307"/>
      <c r="O1821" s="1999"/>
    </row>
    <row r="1822" spans="14:15" ht="17.100000000000001" customHeight="1">
      <c r="N1822" s="1307"/>
      <c r="O1822" s="1999"/>
    </row>
    <row r="1823" spans="14:15" ht="17.100000000000001" customHeight="1">
      <c r="N1823" s="1307"/>
      <c r="O1823" s="1999"/>
    </row>
    <row r="1824" spans="14:15" ht="17.100000000000001" customHeight="1">
      <c r="N1824" s="1307"/>
      <c r="O1824" s="1999"/>
    </row>
    <row r="1825" spans="14:15" ht="17.100000000000001" customHeight="1">
      <c r="N1825" s="1307"/>
      <c r="O1825" s="1999"/>
    </row>
    <row r="1826" spans="14:15" ht="17.100000000000001" customHeight="1">
      <c r="N1826" s="1307"/>
      <c r="O1826" s="1999"/>
    </row>
    <row r="1827" spans="14:15" ht="17.100000000000001" customHeight="1">
      <c r="N1827" s="1307"/>
      <c r="O1827" s="1999"/>
    </row>
    <row r="1828" spans="14:15" ht="17.100000000000001" customHeight="1">
      <c r="N1828" s="1307"/>
      <c r="O1828" s="1999"/>
    </row>
    <row r="1829" spans="14:15" ht="17.100000000000001" customHeight="1">
      <c r="N1829" s="1307"/>
      <c r="O1829" s="1999"/>
    </row>
    <row r="1830" spans="14:15" ht="17.100000000000001" customHeight="1">
      <c r="N1830" s="1307"/>
      <c r="O1830" s="1999"/>
    </row>
    <row r="1831" spans="14:15" ht="17.100000000000001" customHeight="1">
      <c r="N1831" s="1307"/>
      <c r="O1831" s="1999"/>
    </row>
    <row r="1832" spans="14:15" ht="17.100000000000001" customHeight="1">
      <c r="N1832" s="1307"/>
      <c r="O1832" s="1999"/>
    </row>
    <row r="1833" spans="14:15" ht="17.100000000000001" customHeight="1">
      <c r="N1833" s="1307"/>
      <c r="O1833" s="1999"/>
    </row>
    <row r="1834" spans="14:15" ht="17.100000000000001" customHeight="1">
      <c r="N1834" s="1307"/>
      <c r="O1834" s="1999"/>
    </row>
    <row r="1835" spans="14:15" ht="17.100000000000001" customHeight="1">
      <c r="N1835" s="1307"/>
      <c r="O1835" s="1999"/>
    </row>
    <row r="1836" spans="14:15" ht="17.100000000000001" customHeight="1">
      <c r="N1836" s="1307"/>
      <c r="O1836" s="1999"/>
    </row>
    <row r="1837" spans="14:15" ht="17.100000000000001" customHeight="1">
      <c r="N1837" s="1307"/>
      <c r="O1837" s="1999"/>
    </row>
    <row r="1838" spans="14:15" ht="17.100000000000001" customHeight="1">
      <c r="N1838" s="1307"/>
      <c r="O1838" s="1999"/>
    </row>
    <row r="1839" spans="14:15" ht="17.100000000000001" customHeight="1">
      <c r="N1839" s="1307"/>
      <c r="O1839" s="1999"/>
    </row>
    <row r="1840" spans="14:15" ht="17.100000000000001" customHeight="1">
      <c r="N1840" s="1307"/>
      <c r="O1840" s="1999"/>
    </row>
    <row r="1841" spans="14:15" ht="17.100000000000001" customHeight="1">
      <c r="N1841" s="1307"/>
      <c r="O1841" s="1999"/>
    </row>
    <row r="1842" spans="14:15" ht="17.100000000000001" customHeight="1">
      <c r="N1842" s="1307"/>
      <c r="O1842" s="1999"/>
    </row>
    <row r="1843" spans="14:15" ht="17.100000000000001" customHeight="1">
      <c r="N1843" s="1307"/>
      <c r="O1843" s="1999"/>
    </row>
    <row r="1844" spans="14:15" ht="17.100000000000001" customHeight="1">
      <c r="N1844" s="1307"/>
      <c r="O1844" s="1999"/>
    </row>
    <row r="1845" spans="14:15" ht="17.100000000000001" customHeight="1">
      <c r="N1845" s="1307"/>
      <c r="O1845" s="1999"/>
    </row>
    <row r="1846" spans="14:15" ht="17.100000000000001" customHeight="1">
      <c r="N1846" s="1307"/>
      <c r="O1846" s="1999"/>
    </row>
    <row r="1847" spans="14:15" ht="17.100000000000001" customHeight="1">
      <c r="N1847" s="1307"/>
      <c r="O1847" s="1999"/>
    </row>
    <row r="1848" spans="14:15" ht="17.100000000000001" customHeight="1">
      <c r="N1848" s="1307"/>
      <c r="O1848" s="1999"/>
    </row>
    <row r="1849" spans="14:15" ht="17.100000000000001" customHeight="1">
      <c r="N1849" s="1307"/>
      <c r="O1849" s="1999"/>
    </row>
    <row r="1850" spans="14:15" ht="17.100000000000001" customHeight="1">
      <c r="N1850" s="1307"/>
      <c r="O1850" s="1999"/>
    </row>
    <row r="1851" spans="14:15" ht="17.100000000000001" customHeight="1">
      <c r="N1851" s="1307"/>
      <c r="O1851" s="1999"/>
    </row>
    <row r="1852" spans="14:15" ht="17.100000000000001" customHeight="1">
      <c r="N1852" s="1307"/>
      <c r="O1852" s="1999"/>
    </row>
    <row r="1853" spans="14:15" ht="17.100000000000001" customHeight="1">
      <c r="N1853" s="1307"/>
      <c r="O1853" s="1999"/>
    </row>
    <row r="1854" spans="14:15" ht="17.100000000000001" customHeight="1">
      <c r="N1854" s="1307"/>
      <c r="O1854" s="1999"/>
    </row>
    <row r="1855" spans="14:15" ht="17.100000000000001" customHeight="1">
      <c r="N1855" s="1307"/>
      <c r="O1855" s="1999"/>
    </row>
    <row r="1856" spans="14:15" ht="17.100000000000001" customHeight="1">
      <c r="N1856" s="1307"/>
      <c r="O1856" s="1999"/>
    </row>
    <row r="1857" spans="14:15" ht="17.100000000000001" customHeight="1">
      <c r="N1857" s="1307"/>
      <c r="O1857" s="1999"/>
    </row>
    <row r="1858" spans="14:15" ht="17.100000000000001" customHeight="1">
      <c r="N1858" s="1307"/>
      <c r="O1858" s="1999"/>
    </row>
    <row r="1859" spans="14:15" ht="17.100000000000001" customHeight="1">
      <c r="N1859" s="1307"/>
      <c r="O1859" s="1999"/>
    </row>
    <row r="1860" spans="14:15" ht="17.100000000000001" customHeight="1">
      <c r="N1860" s="1307"/>
      <c r="O1860" s="1999"/>
    </row>
    <row r="1861" spans="14:15" ht="17.100000000000001" customHeight="1">
      <c r="N1861" s="1307"/>
      <c r="O1861" s="1999"/>
    </row>
    <row r="1862" spans="14:15" ht="17.100000000000001" customHeight="1">
      <c r="N1862" s="1307"/>
      <c r="O1862" s="1999"/>
    </row>
    <row r="1863" spans="14:15" ht="17.100000000000001" customHeight="1">
      <c r="N1863" s="1307"/>
      <c r="O1863" s="1999"/>
    </row>
    <row r="1864" spans="14:15" ht="17.100000000000001" customHeight="1">
      <c r="N1864" s="1307"/>
      <c r="O1864" s="1999"/>
    </row>
    <row r="1865" spans="14:15" ht="17.100000000000001" customHeight="1">
      <c r="N1865" s="1307"/>
      <c r="O1865" s="1999"/>
    </row>
    <row r="1866" spans="14:15" ht="17.100000000000001" customHeight="1">
      <c r="N1866" s="1307"/>
      <c r="O1866" s="1999"/>
    </row>
    <row r="1867" spans="14:15" ht="17.100000000000001" customHeight="1">
      <c r="N1867" s="1307"/>
      <c r="O1867" s="1999"/>
    </row>
    <row r="1868" spans="14:15" ht="17.100000000000001" customHeight="1">
      <c r="N1868" s="1307"/>
      <c r="O1868" s="1999"/>
    </row>
    <row r="1869" spans="14:15" ht="17.100000000000001" customHeight="1">
      <c r="N1869" s="1307"/>
      <c r="O1869" s="1999"/>
    </row>
    <row r="1870" spans="14:15" ht="17.100000000000001" customHeight="1">
      <c r="N1870" s="1307"/>
      <c r="O1870" s="1999"/>
    </row>
    <row r="1871" spans="14:15" ht="17.100000000000001" customHeight="1">
      <c r="N1871" s="1307"/>
      <c r="O1871" s="1999"/>
    </row>
    <row r="1872" spans="14:15" ht="17.100000000000001" customHeight="1">
      <c r="N1872" s="1307"/>
      <c r="O1872" s="1999"/>
    </row>
    <row r="1873" spans="14:15" ht="17.100000000000001" customHeight="1">
      <c r="N1873" s="1307"/>
      <c r="O1873" s="1999"/>
    </row>
    <row r="1874" spans="14:15" ht="17.100000000000001" customHeight="1">
      <c r="N1874" s="1307"/>
      <c r="O1874" s="1999"/>
    </row>
    <row r="1875" spans="14:15" ht="17.100000000000001" customHeight="1">
      <c r="N1875" s="1307"/>
      <c r="O1875" s="1999"/>
    </row>
    <row r="1876" spans="14:15" ht="17.100000000000001" customHeight="1">
      <c r="N1876" s="1307"/>
      <c r="O1876" s="1999"/>
    </row>
    <row r="1877" spans="14:15" ht="17.100000000000001" customHeight="1">
      <c r="N1877" s="1307"/>
      <c r="O1877" s="1999"/>
    </row>
    <row r="1878" spans="14:15" ht="17.100000000000001" customHeight="1">
      <c r="N1878" s="1307"/>
      <c r="O1878" s="1999"/>
    </row>
    <row r="1879" spans="14:15" ht="17.100000000000001" customHeight="1">
      <c r="N1879" s="1307"/>
      <c r="O1879" s="1999"/>
    </row>
    <row r="1880" spans="14:15" ht="17.100000000000001" customHeight="1">
      <c r="N1880" s="1307"/>
      <c r="O1880" s="1999"/>
    </row>
    <row r="1881" spans="14:15" ht="17.100000000000001" customHeight="1">
      <c r="N1881" s="1307"/>
      <c r="O1881" s="1999"/>
    </row>
    <row r="1882" spans="14:15" ht="17.100000000000001" customHeight="1">
      <c r="N1882" s="1307"/>
      <c r="O1882" s="1999"/>
    </row>
    <row r="1883" spans="14:15" ht="17.100000000000001" customHeight="1">
      <c r="N1883" s="1307"/>
      <c r="O1883" s="1999"/>
    </row>
    <row r="1884" spans="14:15" ht="17.100000000000001" customHeight="1">
      <c r="N1884" s="1307"/>
      <c r="O1884" s="1999"/>
    </row>
    <row r="1885" spans="14:15" ht="17.100000000000001" customHeight="1">
      <c r="N1885" s="1307"/>
      <c r="O1885" s="1999"/>
    </row>
    <row r="1886" spans="14:15" ht="17.100000000000001" customHeight="1">
      <c r="N1886" s="1307"/>
      <c r="O1886" s="1999"/>
    </row>
    <row r="1887" spans="14:15" ht="17.100000000000001" customHeight="1">
      <c r="N1887" s="1307"/>
      <c r="O1887" s="1999"/>
    </row>
    <row r="1888" spans="14:15" ht="17.100000000000001" customHeight="1">
      <c r="N1888" s="1307"/>
      <c r="O1888" s="1999"/>
    </row>
    <row r="1889" spans="14:15" ht="17.100000000000001" customHeight="1">
      <c r="N1889" s="1307"/>
      <c r="O1889" s="1999"/>
    </row>
    <row r="1890" spans="14:15" ht="17.100000000000001" customHeight="1">
      <c r="N1890" s="1307"/>
      <c r="O1890" s="1999"/>
    </row>
    <row r="1891" spans="14:15" ht="17.100000000000001" customHeight="1">
      <c r="N1891" s="1307"/>
      <c r="O1891" s="1999"/>
    </row>
    <row r="1892" spans="14:15" ht="17.100000000000001" customHeight="1">
      <c r="N1892" s="1307"/>
      <c r="O1892" s="1999"/>
    </row>
    <row r="1893" spans="14:15" ht="17.100000000000001" customHeight="1">
      <c r="N1893" s="1307"/>
      <c r="O1893" s="1999"/>
    </row>
    <row r="1894" spans="14:15" ht="17.100000000000001" customHeight="1">
      <c r="N1894" s="1307"/>
      <c r="O1894" s="1999"/>
    </row>
    <row r="1895" spans="14:15" ht="17.100000000000001" customHeight="1">
      <c r="N1895" s="1307"/>
      <c r="O1895" s="1999"/>
    </row>
    <row r="1896" spans="14:15" ht="17.100000000000001" customHeight="1">
      <c r="N1896" s="1307"/>
      <c r="O1896" s="1999"/>
    </row>
    <row r="1897" spans="14:15" ht="17.100000000000001" customHeight="1">
      <c r="N1897" s="1307"/>
      <c r="O1897" s="1999"/>
    </row>
    <row r="1898" spans="14:15" ht="17.100000000000001" customHeight="1">
      <c r="N1898" s="1307"/>
      <c r="O1898" s="1999"/>
    </row>
    <row r="1899" spans="14:15" ht="17.100000000000001" customHeight="1">
      <c r="N1899" s="1307"/>
      <c r="O1899" s="1999"/>
    </row>
    <row r="1900" spans="14:15" ht="17.100000000000001" customHeight="1">
      <c r="N1900" s="1307"/>
      <c r="O1900" s="1999"/>
    </row>
    <row r="1901" spans="14:15" ht="17.100000000000001" customHeight="1">
      <c r="N1901" s="1307"/>
      <c r="O1901" s="1999"/>
    </row>
    <row r="1902" spans="14:15" ht="17.100000000000001" customHeight="1">
      <c r="N1902" s="1307"/>
      <c r="O1902" s="1999"/>
    </row>
    <row r="1903" spans="14:15" ht="17.100000000000001" customHeight="1">
      <c r="N1903" s="1307"/>
      <c r="O1903" s="1999"/>
    </row>
    <row r="1904" spans="14:15" ht="17.100000000000001" customHeight="1">
      <c r="N1904" s="1307"/>
      <c r="O1904" s="1999"/>
    </row>
    <row r="1905" spans="14:15" ht="17.100000000000001" customHeight="1">
      <c r="N1905" s="1307"/>
      <c r="O1905" s="1999"/>
    </row>
    <row r="1906" spans="14:15" ht="17.100000000000001" customHeight="1">
      <c r="N1906" s="1307"/>
      <c r="O1906" s="1999"/>
    </row>
    <row r="1907" spans="14:15" ht="17.100000000000001" customHeight="1">
      <c r="N1907" s="1307"/>
      <c r="O1907" s="1999"/>
    </row>
    <row r="1908" spans="14:15" ht="17.100000000000001" customHeight="1">
      <c r="N1908" s="1307"/>
      <c r="O1908" s="1999"/>
    </row>
    <row r="1909" spans="14:15" ht="17.100000000000001" customHeight="1">
      <c r="N1909" s="1307"/>
      <c r="O1909" s="1999"/>
    </row>
    <row r="1910" spans="14:15" ht="17.100000000000001" customHeight="1">
      <c r="N1910" s="1307"/>
      <c r="O1910" s="1999"/>
    </row>
    <row r="1911" spans="14:15" ht="17.100000000000001" customHeight="1">
      <c r="N1911" s="1307"/>
      <c r="O1911" s="1999"/>
    </row>
    <row r="1912" spans="14:15" ht="17.100000000000001" customHeight="1">
      <c r="N1912" s="1307"/>
      <c r="O1912" s="1999"/>
    </row>
    <row r="1913" spans="14:15" ht="17.100000000000001" customHeight="1">
      <c r="N1913" s="1307"/>
      <c r="O1913" s="1999"/>
    </row>
    <row r="1914" spans="14:15" ht="17.100000000000001" customHeight="1">
      <c r="N1914" s="1307"/>
      <c r="O1914" s="1999"/>
    </row>
    <row r="1915" spans="14:15" ht="17.100000000000001" customHeight="1">
      <c r="N1915" s="1307"/>
      <c r="O1915" s="1999"/>
    </row>
    <row r="1916" spans="14:15" ht="17.100000000000001" customHeight="1">
      <c r="N1916" s="1307"/>
      <c r="O1916" s="1999"/>
    </row>
    <row r="1917" spans="14:15" ht="17.100000000000001" customHeight="1">
      <c r="N1917" s="1307"/>
      <c r="O1917" s="1999"/>
    </row>
    <row r="1918" spans="14:15" ht="17.100000000000001" customHeight="1">
      <c r="N1918" s="1307"/>
      <c r="O1918" s="1999"/>
    </row>
    <row r="1919" spans="14:15" ht="17.100000000000001" customHeight="1">
      <c r="N1919" s="1307"/>
      <c r="O1919" s="1999"/>
    </row>
    <row r="1920" spans="14:15" ht="17.100000000000001" customHeight="1">
      <c r="N1920" s="1307"/>
      <c r="O1920" s="1999"/>
    </row>
    <row r="1921" spans="14:15" ht="17.100000000000001" customHeight="1">
      <c r="N1921" s="1307"/>
      <c r="O1921" s="1999"/>
    </row>
    <row r="1922" spans="14:15" ht="17.100000000000001" customHeight="1">
      <c r="N1922" s="1307"/>
      <c r="O1922" s="1999"/>
    </row>
    <row r="1923" spans="14:15" ht="17.100000000000001" customHeight="1">
      <c r="N1923" s="1307"/>
      <c r="O1923" s="1999"/>
    </row>
    <row r="1924" spans="14:15" ht="17.100000000000001" customHeight="1">
      <c r="N1924" s="1307"/>
      <c r="O1924" s="1999"/>
    </row>
    <row r="1925" spans="14:15" ht="17.100000000000001" customHeight="1">
      <c r="N1925" s="1307"/>
      <c r="O1925" s="1999"/>
    </row>
    <row r="1926" spans="14:15" ht="17.100000000000001" customHeight="1">
      <c r="N1926" s="1307"/>
      <c r="O1926" s="1999"/>
    </row>
    <row r="1927" spans="14:15" ht="17.100000000000001" customHeight="1">
      <c r="N1927" s="1307"/>
      <c r="O1927" s="1999"/>
    </row>
    <row r="1928" spans="14:15" ht="17.100000000000001" customHeight="1">
      <c r="N1928" s="1307"/>
      <c r="O1928" s="1999"/>
    </row>
    <row r="1929" spans="14:15" ht="17.100000000000001" customHeight="1">
      <c r="N1929" s="1307"/>
      <c r="O1929" s="1999"/>
    </row>
    <row r="1930" spans="14:15" ht="17.100000000000001" customHeight="1">
      <c r="N1930" s="1307"/>
      <c r="O1930" s="1999"/>
    </row>
    <row r="1931" spans="14:15" ht="17.100000000000001" customHeight="1">
      <c r="N1931" s="1307"/>
      <c r="O1931" s="1999"/>
    </row>
    <row r="1932" spans="14:15" ht="17.100000000000001" customHeight="1">
      <c r="N1932" s="1307"/>
      <c r="O1932" s="1999"/>
    </row>
    <row r="1933" spans="14:15" ht="17.100000000000001" customHeight="1">
      <c r="N1933" s="1307"/>
      <c r="O1933" s="1999"/>
    </row>
    <row r="1934" spans="14:15" ht="17.100000000000001" customHeight="1">
      <c r="N1934" s="1307"/>
      <c r="O1934" s="1999"/>
    </row>
    <row r="1935" spans="14:15" ht="17.100000000000001" customHeight="1">
      <c r="N1935" s="1307"/>
      <c r="O1935" s="1999"/>
    </row>
    <row r="1936" spans="14:15" ht="17.100000000000001" customHeight="1">
      <c r="N1936" s="1307"/>
      <c r="O1936" s="1999"/>
    </row>
    <row r="1937" spans="14:15" ht="17.100000000000001" customHeight="1">
      <c r="N1937" s="1307"/>
      <c r="O1937" s="1999"/>
    </row>
    <row r="1938" spans="14:15" ht="17.100000000000001" customHeight="1">
      <c r="N1938" s="1307"/>
      <c r="O1938" s="1999"/>
    </row>
    <row r="1939" spans="14:15" ht="17.100000000000001" customHeight="1">
      <c r="N1939" s="1307"/>
      <c r="O1939" s="1999"/>
    </row>
    <row r="1940" spans="14:15" ht="17.100000000000001" customHeight="1">
      <c r="N1940" s="1307"/>
      <c r="O1940" s="1999"/>
    </row>
    <row r="1941" spans="14:15" ht="17.100000000000001" customHeight="1">
      <c r="N1941" s="1307"/>
      <c r="O1941" s="1999"/>
    </row>
    <row r="1942" spans="14:15" ht="17.100000000000001" customHeight="1">
      <c r="N1942" s="1307"/>
      <c r="O1942" s="1999"/>
    </row>
    <row r="1943" spans="14:15" ht="17.100000000000001" customHeight="1">
      <c r="N1943" s="1307"/>
      <c r="O1943" s="1999"/>
    </row>
    <row r="1944" spans="14:15" ht="17.100000000000001" customHeight="1">
      <c r="N1944" s="1307"/>
      <c r="O1944" s="1999"/>
    </row>
    <row r="1945" spans="14:15" ht="17.100000000000001" customHeight="1">
      <c r="N1945" s="1307"/>
      <c r="O1945" s="1999"/>
    </row>
    <row r="1946" spans="14:15" ht="17.100000000000001" customHeight="1">
      <c r="N1946" s="1307"/>
      <c r="O1946" s="1999"/>
    </row>
    <row r="1947" spans="14:15" ht="17.100000000000001" customHeight="1">
      <c r="N1947" s="1307"/>
      <c r="O1947" s="1999"/>
    </row>
    <row r="1948" spans="14:15" ht="17.100000000000001" customHeight="1">
      <c r="N1948" s="1307"/>
      <c r="O1948" s="1999"/>
    </row>
    <row r="1949" spans="14:15" ht="17.100000000000001" customHeight="1">
      <c r="N1949" s="1307"/>
      <c r="O1949" s="1999"/>
    </row>
    <row r="1950" spans="14:15" ht="17.100000000000001" customHeight="1">
      <c r="N1950" s="1307"/>
      <c r="O1950" s="1999"/>
    </row>
    <row r="1951" spans="14:15" ht="17.100000000000001" customHeight="1">
      <c r="N1951" s="1307"/>
      <c r="O1951" s="1999"/>
    </row>
    <row r="1952" spans="14:15" ht="17.100000000000001" customHeight="1">
      <c r="N1952" s="1307"/>
      <c r="O1952" s="1999"/>
    </row>
    <row r="1953" spans="14:15" ht="17.100000000000001" customHeight="1">
      <c r="N1953" s="1307"/>
      <c r="O1953" s="1999"/>
    </row>
    <row r="1954" spans="14:15" ht="17.100000000000001" customHeight="1">
      <c r="N1954" s="1307"/>
      <c r="O1954" s="1999"/>
    </row>
    <row r="1955" spans="14:15" ht="17.100000000000001" customHeight="1">
      <c r="N1955" s="1307"/>
      <c r="O1955" s="1999"/>
    </row>
    <row r="1956" spans="14:15" ht="17.100000000000001" customHeight="1">
      <c r="N1956" s="1307"/>
      <c r="O1956" s="1999"/>
    </row>
    <row r="1957" spans="14:15" ht="17.100000000000001" customHeight="1">
      <c r="N1957" s="1307"/>
      <c r="O1957" s="1999"/>
    </row>
    <row r="1958" spans="14:15" ht="17.100000000000001" customHeight="1">
      <c r="N1958" s="1307"/>
      <c r="O1958" s="1999"/>
    </row>
    <row r="1959" spans="14:15" ht="17.100000000000001" customHeight="1">
      <c r="N1959" s="1307"/>
      <c r="O1959" s="1999"/>
    </row>
    <row r="1960" spans="14:15" ht="17.100000000000001" customHeight="1">
      <c r="N1960" s="1307"/>
      <c r="O1960" s="1999"/>
    </row>
    <row r="1961" spans="14:15" ht="17.100000000000001" customHeight="1">
      <c r="N1961" s="1307"/>
      <c r="O1961" s="1999"/>
    </row>
    <row r="1962" spans="14:15" ht="17.100000000000001" customHeight="1">
      <c r="N1962" s="1307"/>
      <c r="O1962" s="1999"/>
    </row>
    <row r="1963" spans="14:15" ht="17.100000000000001" customHeight="1">
      <c r="N1963" s="1307"/>
      <c r="O1963" s="1999"/>
    </row>
    <row r="1964" spans="14:15" ht="17.100000000000001" customHeight="1">
      <c r="N1964" s="1307"/>
      <c r="O1964" s="1999"/>
    </row>
    <row r="1965" spans="14:15" ht="17.100000000000001" customHeight="1">
      <c r="N1965" s="1307"/>
      <c r="O1965" s="1999"/>
    </row>
    <row r="1966" spans="14:15" ht="17.100000000000001" customHeight="1">
      <c r="N1966" s="1307"/>
      <c r="O1966" s="1999"/>
    </row>
    <row r="1967" spans="14:15" ht="17.100000000000001" customHeight="1">
      <c r="N1967" s="1307"/>
      <c r="O1967" s="1999"/>
    </row>
    <row r="1968" spans="14:15" ht="17.100000000000001" customHeight="1">
      <c r="N1968" s="1307"/>
      <c r="O1968" s="1999"/>
    </row>
    <row r="1969" spans="14:15" ht="17.100000000000001" customHeight="1">
      <c r="N1969" s="1307"/>
      <c r="O1969" s="1999"/>
    </row>
    <row r="1970" spans="14:15" ht="17.100000000000001" customHeight="1">
      <c r="N1970" s="1307"/>
      <c r="O1970" s="1999"/>
    </row>
    <row r="1971" spans="14:15" ht="17.100000000000001" customHeight="1">
      <c r="N1971" s="1307"/>
      <c r="O1971" s="1999"/>
    </row>
    <row r="1972" spans="14:15" ht="17.100000000000001" customHeight="1">
      <c r="N1972" s="1307"/>
      <c r="O1972" s="1999"/>
    </row>
    <row r="1973" spans="14:15" ht="17.100000000000001" customHeight="1">
      <c r="N1973" s="1307"/>
      <c r="O1973" s="1999"/>
    </row>
    <row r="1974" spans="14:15" ht="17.100000000000001" customHeight="1">
      <c r="N1974" s="1307"/>
      <c r="O1974" s="1999"/>
    </row>
    <row r="1975" spans="14:15" ht="17.100000000000001" customHeight="1">
      <c r="N1975" s="1307"/>
      <c r="O1975" s="1999"/>
    </row>
    <row r="1976" spans="14:15" ht="17.100000000000001" customHeight="1">
      <c r="N1976" s="1307"/>
      <c r="O1976" s="1999"/>
    </row>
    <row r="1977" spans="14:15" ht="17.100000000000001" customHeight="1">
      <c r="N1977" s="1307"/>
      <c r="O1977" s="1999"/>
    </row>
    <row r="1978" spans="14:15" ht="17.100000000000001" customHeight="1">
      <c r="N1978" s="1307"/>
      <c r="O1978" s="1999"/>
    </row>
    <row r="1979" spans="14:15" ht="17.100000000000001" customHeight="1">
      <c r="N1979" s="1307"/>
      <c r="O1979" s="1999"/>
    </row>
    <row r="1980" spans="14:15" ht="17.100000000000001" customHeight="1">
      <c r="N1980" s="1307"/>
      <c r="O1980" s="1999"/>
    </row>
    <row r="1981" spans="14:15" ht="17.100000000000001" customHeight="1">
      <c r="N1981" s="1307"/>
      <c r="O1981" s="1999"/>
    </row>
    <row r="1982" spans="14:15" ht="17.100000000000001" customHeight="1">
      <c r="N1982" s="1307"/>
      <c r="O1982" s="1999"/>
    </row>
    <row r="1983" spans="14:15" ht="17.100000000000001" customHeight="1">
      <c r="N1983" s="1307"/>
      <c r="O1983" s="1999"/>
    </row>
    <row r="1984" spans="14:15" ht="17.100000000000001" customHeight="1">
      <c r="N1984" s="1307"/>
      <c r="O1984" s="1999"/>
    </row>
    <row r="1985" spans="14:15" ht="17.100000000000001" customHeight="1">
      <c r="N1985" s="1307"/>
      <c r="O1985" s="1999"/>
    </row>
    <row r="1986" spans="14:15" ht="17.100000000000001" customHeight="1">
      <c r="N1986" s="1307"/>
      <c r="O1986" s="1999"/>
    </row>
    <row r="1987" spans="14:15" ht="17.100000000000001" customHeight="1">
      <c r="N1987" s="1307"/>
      <c r="O1987" s="1999"/>
    </row>
    <row r="1988" spans="14:15" ht="17.100000000000001" customHeight="1">
      <c r="N1988" s="1307"/>
      <c r="O1988" s="1999"/>
    </row>
    <row r="1989" spans="14:15" ht="17.100000000000001" customHeight="1">
      <c r="N1989" s="1307"/>
      <c r="O1989" s="1999"/>
    </row>
    <row r="1990" spans="14:15" ht="17.100000000000001" customHeight="1">
      <c r="N1990" s="1307"/>
      <c r="O1990" s="1999"/>
    </row>
    <row r="1991" spans="14:15" ht="17.100000000000001" customHeight="1">
      <c r="N1991" s="1307"/>
      <c r="O1991" s="1999"/>
    </row>
    <row r="1992" spans="14:15" ht="17.100000000000001" customHeight="1">
      <c r="N1992" s="1307"/>
      <c r="O1992" s="1999"/>
    </row>
    <row r="1993" spans="14:15" ht="17.100000000000001" customHeight="1">
      <c r="N1993" s="1307"/>
      <c r="O1993" s="1999"/>
    </row>
    <row r="1994" spans="14:15" ht="17.100000000000001" customHeight="1">
      <c r="N1994" s="1307"/>
      <c r="O1994" s="1999"/>
    </row>
    <row r="1995" spans="14:15" ht="17.100000000000001" customHeight="1">
      <c r="N1995" s="1307"/>
      <c r="O1995" s="1999"/>
    </row>
    <row r="1996" spans="14:15" ht="17.100000000000001" customHeight="1">
      <c r="N1996" s="1307"/>
      <c r="O1996" s="1999"/>
    </row>
    <row r="1997" spans="14:15" ht="17.100000000000001" customHeight="1">
      <c r="N1997" s="1307"/>
      <c r="O1997" s="1999"/>
    </row>
    <row r="1998" spans="14:15" ht="17.100000000000001" customHeight="1">
      <c r="N1998" s="1307"/>
      <c r="O1998" s="1999"/>
    </row>
    <row r="1999" spans="14:15" ht="17.100000000000001" customHeight="1">
      <c r="N1999" s="1307"/>
      <c r="O1999" s="1999"/>
    </row>
    <row r="2000" spans="14:15" ht="17.100000000000001" customHeight="1">
      <c r="N2000" s="1307"/>
      <c r="O2000" s="1999"/>
    </row>
    <row r="2001" spans="14:15" ht="17.100000000000001" customHeight="1">
      <c r="N2001" s="1307"/>
      <c r="O2001" s="1999"/>
    </row>
    <row r="2002" spans="14:15" ht="17.100000000000001" customHeight="1">
      <c r="N2002" s="1307"/>
      <c r="O2002" s="1999"/>
    </row>
    <row r="2003" spans="14:15" ht="17.100000000000001" customHeight="1">
      <c r="N2003" s="1307"/>
      <c r="O2003" s="1999"/>
    </row>
    <row r="2004" spans="14:15" ht="17.100000000000001" customHeight="1">
      <c r="N2004" s="1307"/>
      <c r="O2004" s="1999"/>
    </row>
    <row r="2005" spans="14:15" ht="17.100000000000001" customHeight="1">
      <c r="N2005" s="1307"/>
      <c r="O2005" s="1999"/>
    </row>
    <row r="2006" spans="14:15" ht="17.100000000000001" customHeight="1">
      <c r="N2006" s="1307"/>
      <c r="O2006" s="1999"/>
    </row>
    <row r="2007" spans="14:15" ht="17.100000000000001" customHeight="1">
      <c r="N2007" s="1307"/>
      <c r="O2007" s="1999"/>
    </row>
    <row r="2008" spans="14:15" ht="17.100000000000001" customHeight="1">
      <c r="N2008" s="1307"/>
      <c r="O2008" s="1999"/>
    </row>
    <row r="2009" spans="14:15" ht="17.100000000000001" customHeight="1">
      <c r="N2009" s="1307"/>
      <c r="O2009" s="1999"/>
    </row>
    <row r="2010" spans="14:15" ht="17.100000000000001" customHeight="1">
      <c r="N2010" s="1307"/>
      <c r="O2010" s="1999"/>
    </row>
    <row r="2011" spans="14:15" ht="17.100000000000001" customHeight="1">
      <c r="N2011" s="1307"/>
      <c r="O2011" s="1999"/>
    </row>
    <row r="2012" spans="14:15" ht="17.100000000000001" customHeight="1">
      <c r="N2012" s="1307"/>
      <c r="O2012" s="1999"/>
    </row>
    <row r="2013" spans="14:15" ht="17.100000000000001" customHeight="1">
      <c r="N2013" s="1307"/>
      <c r="O2013" s="1999"/>
    </row>
    <row r="2014" spans="14:15" ht="17.100000000000001" customHeight="1">
      <c r="N2014" s="1307"/>
      <c r="O2014" s="1999"/>
    </row>
    <row r="2015" spans="14:15" ht="17.100000000000001" customHeight="1">
      <c r="N2015" s="1307"/>
      <c r="O2015" s="1999"/>
    </row>
    <row r="2016" spans="14:15" ht="17.100000000000001" customHeight="1">
      <c r="N2016" s="1307"/>
      <c r="O2016" s="1999"/>
    </row>
    <row r="2017" spans="14:15" ht="17.100000000000001" customHeight="1">
      <c r="N2017" s="1307"/>
      <c r="O2017" s="1999"/>
    </row>
    <row r="2018" spans="14:15" ht="17.100000000000001" customHeight="1">
      <c r="N2018" s="1307"/>
      <c r="O2018" s="1999"/>
    </row>
    <row r="2019" spans="14:15" ht="17.100000000000001" customHeight="1">
      <c r="N2019" s="1307"/>
      <c r="O2019" s="1999"/>
    </row>
    <row r="2020" spans="14:15" ht="17.100000000000001" customHeight="1">
      <c r="N2020" s="1307"/>
      <c r="O2020" s="1999"/>
    </row>
    <row r="2021" spans="14:15" ht="17.100000000000001" customHeight="1">
      <c r="N2021" s="1307"/>
      <c r="O2021" s="1999"/>
    </row>
    <row r="2022" spans="14:15" ht="17.100000000000001" customHeight="1">
      <c r="N2022" s="1307"/>
      <c r="O2022" s="1999"/>
    </row>
    <row r="2023" spans="14:15" ht="17.100000000000001" customHeight="1">
      <c r="N2023" s="1307"/>
      <c r="O2023" s="1999"/>
    </row>
    <row r="2024" spans="14:15" ht="17.100000000000001" customHeight="1">
      <c r="N2024" s="1307"/>
      <c r="O2024" s="1999"/>
    </row>
    <row r="2025" spans="14:15" ht="17.100000000000001" customHeight="1">
      <c r="N2025" s="1307"/>
      <c r="O2025" s="1999"/>
    </row>
    <row r="2026" spans="14:15" ht="17.100000000000001" customHeight="1">
      <c r="N2026" s="1307"/>
      <c r="O2026" s="1999"/>
    </row>
    <row r="2027" spans="14:15" ht="17.100000000000001" customHeight="1">
      <c r="N2027" s="1307"/>
      <c r="O2027" s="1999"/>
    </row>
    <row r="2028" spans="14:15" ht="17.100000000000001" customHeight="1">
      <c r="N2028" s="1307"/>
      <c r="O2028" s="1999"/>
    </row>
    <row r="2029" spans="14:15" ht="17.100000000000001" customHeight="1">
      <c r="N2029" s="1307"/>
      <c r="O2029" s="1999"/>
    </row>
    <row r="2030" spans="14:15" ht="17.100000000000001" customHeight="1">
      <c r="N2030" s="1307"/>
      <c r="O2030" s="1999"/>
    </row>
    <row r="2031" spans="14:15" ht="17.100000000000001" customHeight="1">
      <c r="N2031" s="1307"/>
      <c r="O2031" s="1999"/>
    </row>
    <row r="2032" spans="14:15" ht="17.100000000000001" customHeight="1">
      <c r="N2032" s="1307"/>
      <c r="O2032" s="1999"/>
    </row>
    <row r="2033" spans="14:15" ht="17.100000000000001" customHeight="1">
      <c r="N2033" s="1307"/>
      <c r="O2033" s="1999"/>
    </row>
    <row r="2034" spans="14:15" ht="17.100000000000001" customHeight="1">
      <c r="N2034" s="1307"/>
      <c r="O2034" s="1999"/>
    </row>
    <row r="2035" spans="14:15" ht="17.100000000000001" customHeight="1">
      <c r="N2035" s="1307"/>
      <c r="O2035" s="1999"/>
    </row>
    <row r="2036" spans="14:15" ht="17.100000000000001" customHeight="1">
      <c r="N2036" s="1307"/>
      <c r="O2036" s="1999"/>
    </row>
    <row r="2037" spans="14:15" ht="17.100000000000001" customHeight="1">
      <c r="N2037" s="1307"/>
      <c r="O2037" s="1999"/>
    </row>
    <row r="2038" spans="14:15" ht="17.100000000000001" customHeight="1">
      <c r="N2038" s="1307"/>
      <c r="O2038" s="1999"/>
    </row>
    <row r="2039" spans="14:15" ht="17.100000000000001" customHeight="1">
      <c r="N2039" s="1307"/>
      <c r="O2039" s="1999"/>
    </row>
    <row r="2040" spans="14:15" ht="17.100000000000001" customHeight="1">
      <c r="N2040" s="1307"/>
      <c r="O2040" s="1999"/>
    </row>
    <row r="2041" spans="14:15" ht="17.100000000000001" customHeight="1">
      <c r="N2041" s="1307"/>
      <c r="O2041" s="1999"/>
    </row>
    <row r="2042" spans="14:15" ht="17.100000000000001" customHeight="1">
      <c r="N2042" s="1307"/>
      <c r="O2042" s="1999"/>
    </row>
    <row r="2043" spans="14:15" ht="17.100000000000001" customHeight="1">
      <c r="N2043" s="1307"/>
      <c r="O2043" s="1999"/>
    </row>
    <row r="2044" spans="14:15" ht="17.100000000000001" customHeight="1">
      <c r="N2044" s="1307"/>
      <c r="O2044" s="1999"/>
    </row>
    <row r="2045" spans="14:15" ht="17.100000000000001" customHeight="1">
      <c r="N2045" s="1307"/>
      <c r="O2045" s="1999"/>
    </row>
    <row r="2046" spans="14:15" ht="17.100000000000001" customHeight="1">
      <c r="N2046" s="1307"/>
      <c r="O2046" s="1999"/>
    </row>
    <row r="2047" spans="14:15" ht="17.100000000000001" customHeight="1">
      <c r="N2047" s="1307"/>
      <c r="O2047" s="1999"/>
    </row>
    <row r="2048" spans="14:15" ht="17.100000000000001" customHeight="1">
      <c r="N2048" s="1307"/>
      <c r="O2048" s="1999"/>
    </row>
    <row r="2049" spans="14:15" ht="17.100000000000001" customHeight="1">
      <c r="N2049" s="1307"/>
      <c r="O2049" s="1999"/>
    </row>
    <row r="2050" spans="14:15" ht="17.100000000000001" customHeight="1">
      <c r="N2050" s="1307"/>
      <c r="O2050" s="1999"/>
    </row>
    <row r="2051" spans="14:15" ht="17.100000000000001" customHeight="1">
      <c r="N2051" s="1307"/>
      <c r="O2051" s="1999"/>
    </row>
    <row r="2052" spans="14:15" ht="17.100000000000001" customHeight="1">
      <c r="N2052" s="1307"/>
      <c r="O2052" s="1999"/>
    </row>
    <row r="2053" spans="14:15" ht="17.100000000000001" customHeight="1">
      <c r="N2053" s="1307"/>
      <c r="O2053" s="1999"/>
    </row>
    <row r="2054" spans="14:15" ht="17.100000000000001" customHeight="1">
      <c r="N2054" s="1307"/>
      <c r="O2054" s="1999"/>
    </row>
    <row r="2055" spans="14:15" ht="17.100000000000001" customHeight="1">
      <c r="N2055" s="1307"/>
      <c r="O2055" s="1999"/>
    </row>
    <row r="2056" spans="14:15" ht="17.100000000000001" customHeight="1">
      <c r="N2056" s="1307"/>
      <c r="O2056" s="1999"/>
    </row>
    <row r="2057" spans="14:15" ht="17.100000000000001" customHeight="1">
      <c r="N2057" s="1307"/>
      <c r="O2057" s="1999"/>
    </row>
    <row r="2058" spans="14:15" ht="17.100000000000001" customHeight="1">
      <c r="N2058" s="1307"/>
      <c r="O2058" s="1999"/>
    </row>
    <row r="2059" spans="14:15" ht="17.100000000000001" customHeight="1">
      <c r="N2059" s="1307"/>
      <c r="O2059" s="1999"/>
    </row>
    <row r="2060" spans="14:15" ht="17.100000000000001" customHeight="1">
      <c r="N2060" s="1307"/>
      <c r="O2060" s="1999"/>
    </row>
    <row r="2061" spans="14:15" ht="17.100000000000001" customHeight="1">
      <c r="N2061" s="1307"/>
      <c r="O2061" s="1999"/>
    </row>
    <row r="2062" spans="14:15" ht="17.100000000000001" customHeight="1">
      <c r="N2062" s="1307"/>
      <c r="O2062" s="1999"/>
    </row>
    <row r="2063" spans="14:15" ht="17.100000000000001" customHeight="1">
      <c r="N2063" s="1307"/>
      <c r="O2063" s="1999"/>
    </row>
    <row r="2064" spans="14:15" ht="17.100000000000001" customHeight="1">
      <c r="N2064" s="1307"/>
      <c r="O2064" s="1999"/>
    </row>
    <row r="2065" spans="14:15" ht="17.100000000000001" customHeight="1">
      <c r="N2065" s="1307"/>
      <c r="O2065" s="1999"/>
    </row>
    <row r="2066" spans="14:15" ht="17.100000000000001" customHeight="1">
      <c r="N2066" s="1307"/>
      <c r="O2066" s="1999"/>
    </row>
    <row r="2067" spans="14:15" ht="17.100000000000001" customHeight="1">
      <c r="N2067" s="1307"/>
      <c r="O2067" s="1999"/>
    </row>
    <row r="2068" spans="14:15" ht="17.100000000000001" customHeight="1">
      <c r="N2068" s="1307"/>
      <c r="O2068" s="1999"/>
    </row>
    <row r="2069" spans="14:15" ht="17.100000000000001" customHeight="1">
      <c r="N2069" s="1307"/>
      <c r="O2069" s="1999"/>
    </row>
    <row r="2070" spans="14:15" ht="17.100000000000001" customHeight="1">
      <c r="N2070" s="1307"/>
      <c r="O2070" s="1999"/>
    </row>
    <row r="2071" spans="14:15" ht="17.100000000000001" customHeight="1">
      <c r="N2071" s="1307"/>
      <c r="O2071" s="1999"/>
    </row>
    <row r="2072" spans="14:15" ht="17.100000000000001" customHeight="1">
      <c r="N2072" s="1307"/>
      <c r="O2072" s="1999"/>
    </row>
    <row r="2073" spans="14:15" ht="17.100000000000001" customHeight="1">
      <c r="N2073" s="1307"/>
      <c r="O2073" s="1999"/>
    </row>
    <row r="2074" spans="14:15" ht="17.100000000000001" customHeight="1">
      <c r="N2074" s="1307"/>
      <c r="O2074" s="1999"/>
    </row>
    <row r="2075" spans="14:15" ht="17.100000000000001" customHeight="1">
      <c r="N2075" s="1307"/>
      <c r="O2075" s="1999"/>
    </row>
    <row r="2076" spans="14:15" ht="17.100000000000001" customHeight="1">
      <c r="N2076" s="1307"/>
      <c r="O2076" s="1999"/>
    </row>
    <row r="2077" spans="14:15" ht="17.100000000000001" customHeight="1">
      <c r="N2077" s="1307"/>
      <c r="O2077" s="1999"/>
    </row>
    <row r="2078" spans="14:15" ht="17.100000000000001" customHeight="1">
      <c r="N2078" s="1307"/>
      <c r="O2078" s="1999"/>
    </row>
    <row r="2079" spans="14:15" ht="17.100000000000001" customHeight="1">
      <c r="N2079" s="1307"/>
      <c r="O2079" s="1999"/>
    </row>
    <row r="2080" spans="14:15" ht="17.100000000000001" customHeight="1">
      <c r="N2080" s="1307"/>
      <c r="O2080" s="1999"/>
    </row>
    <row r="2081" spans="14:15" ht="17.100000000000001" customHeight="1">
      <c r="N2081" s="1307"/>
      <c r="O2081" s="1999"/>
    </row>
    <row r="2082" spans="14:15" ht="17.100000000000001" customHeight="1">
      <c r="N2082" s="1307"/>
      <c r="O2082" s="1999"/>
    </row>
    <row r="2083" spans="14:15" ht="17.100000000000001" customHeight="1">
      <c r="N2083" s="1307"/>
      <c r="O2083" s="1999"/>
    </row>
    <row r="2084" spans="14:15" ht="17.100000000000001" customHeight="1">
      <c r="N2084" s="1307"/>
      <c r="O2084" s="1999"/>
    </row>
    <row r="2085" spans="14:15" ht="17.100000000000001" customHeight="1">
      <c r="N2085" s="1307"/>
      <c r="O2085" s="1999"/>
    </row>
    <row r="2086" spans="14:15" ht="17.100000000000001" customHeight="1">
      <c r="N2086" s="1307"/>
      <c r="O2086" s="1999"/>
    </row>
    <row r="2087" spans="14:15" ht="17.100000000000001" customHeight="1">
      <c r="N2087" s="1307"/>
      <c r="O2087" s="1999"/>
    </row>
    <row r="2088" spans="14:15" ht="17.100000000000001" customHeight="1">
      <c r="N2088" s="1307"/>
      <c r="O2088" s="1999"/>
    </row>
    <row r="2089" spans="14:15" ht="17.100000000000001" customHeight="1">
      <c r="N2089" s="1307"/>
      <c r="O2089" s="1999"/>
    </row>
    <row r="2090" spans="14:15" ht="17.100000000000001" customHeight="1">
      <c r="N2090" s="1307"/>
      <c r="O2090" s="1999"/>
    </row>
    <row r="2091" spans="14:15" ht="17.100000000000001" customHeight="1">
      <c r="N2091" s="1307"/>
      <c r="O2091" s="1999"/>
    </row>
    <row r="2092" spans="14:15" ht="17.100000000000001" customHeight="1">
      <c r="N2092" s="1307"/>
      <c r="O2092" s="1999"/>
    </row>
    <row r="2093" spans="14:15" ht="17.100000000000001" customHeight="1">
      <c r="N2093" s="1307"/>
      <c r="O2093" s="1999"/>
    </row>
    <row r="2094" spans="14:15" ht="17.100000000000001" customHeight="1">
      <c r="N2094" s="1307"/>
      <c r="O2094" s="1999"/>
    </row>
    <row r="2095" spans="14:15" ht="17.100000000000001" customHeight="1">
      <c r="N2095" s="1307"/>
      <c r="O2095" s="1999"/>
    </row>
    <row r="2096" spans="14:15" ht="17.100000000000001" customHeight="1">
      <c r="N2096" s="1307"/>
      <c r="O2096" s="1999"/>
    </row>
    <row r="2097" spans="14:15" ht="17.100000000000001" customHeight="1">
      <c r="N2097" s="1307"/>
      <c r="O2097" s="1999"/>
    </row>
    <row r="2098" spans="14:15" ht="17.100000000000001" customHeight="1">
      <c r="N2098" s="1307"/>
      <c r="O2098" s="1999"/>
    </row>
    <row r="2099" spans="14:15" ht="17.100000000000001" customHeight="1">
      <c r="N2099" s="1307"/>
      <c r="O2099" s="1999"/>
    </row>
    <row r="2100" spans="14:15" ht="17.100000000000001" customHeight="1">
      <c r="N2100" s="1307"/>
      <c r="O2100" s="1999"/>
    </row>
    <row r="2101" spans="14:15" ht="17.100000000000001" customHeight="1">
      <c r="N2101" s="1307"/>
      <c r="O2101" s="1999"/>
    </row>
    <row r="2102" spans="14:15" ht="17.100000000000001" customHeight="1">
      <c r="N2102" s="1307"/>
      <c r="O2102" s="1999"/>
    </row>
    <row r="2103" spans="14:15" ht="17.100000000000001" customHeight="1">
      <c r="N2103" s="1307"/>
      <c r="O2103" s="1999"/>
    </row>
    <row r="2104" spans="14:15" ht="17.100000000000001" customHeight="1">
      <c r="N2104" s="1307"/>
      <c r="O2104" s="1999"/>
    </row>
    <row r="2105" spans="14:15" ht="17.100000000000001" customHeight="1">
      <c r="N2105" s="1307"/>
      <c r="O2105" s="1999"/>
    </row>
    <row r="2106" spans="14:15" ht="17.100000000000001" customHeight="1">
      <c r="N2106" s="1307"/>
      <c r="O2106" s="1999"/>
    </row>
    <row r="2107" spans="14:15" ht="17.100000000000001" customHeight="1">
      <c r="N2107" s="1307"/>
      <c r="O2107" s="1999"/>
    </row>
    <row r="2108" spans="14:15" ht="17.100000000000001" customHeight="1">
      <c r="N2108" s="1307"/>
      <c r="O2108" s="1999"/>
    </row>
    <row r="2109" spans="14:15" ht="17.100000000000001" customHeight="1">
      <c r="N2109" s="1307"/>
      <c r="O2109" s="1999"/>
    </row>
    <row r="2110" spans="14:15" ht="17.100000000000001" customHeight="1">
      <c r="N2110" s="1307"/>
      <c r="O2110" s="1999"/>
    </row>
    <row r="2111" spans="14:15" ht="17.100000000000001" customHeight="1">
      <c r="N2111" s="1307"/>
      <c r="O2111" s="1999"/>
    </row>
    <row r="2112" spans="14:15" ht="17.100000000000001" customHeight="1">
      <c r="N2112" s="1307"/>
      <c r="O2112" s="1999"/>
    </row>
    <row r="2113" spans="14:15" ht="17.100000000000001" customHeight="1">
      <c r="N2113" s="1307"/>
      <c r="O2113" s="1999"/>
    </row>
    <row r="2114" spans="14:15" ht="17.100000000000001" customHeight="1">
      <c r="N2114" s="1307"/>
      <c r="O2114" s="1999"/>
    </row>
    <row r="2115" spans="14:15" ht="17.100000000000001" customHeight="1">
      <c r="N2115" s="1307"/>
      <c r="O2115" s="1999"/>
    </row>
    <row r="2116" spans="14:15" ht="17.100000000000001" customHeight="1">
      <c r="N2116" s="1307"/>
      <c r="O2116" s="1999"/>
    </row>
    <row r="2117" spans="14:15" ht="17.100000000000001" customHeight="1">
      <c r="N2117" s="1307"/>
      <c r="O2117" s="1999"/>
    </row>
    <row r="2118" spans="14:15" ht="17.100000000000001" customHeight="1">
      <c r="N2118" s="1307"/>
      <c r="O2118" s="1999"/>
    </row>
    <row r="2119" spans="14:15" ht="17.100000000000001" customHeight="1">
      <c r="N2119" s="1307"/>
      <c r="O2119" s="1999"/>
    </row>
    <row r="2120" spans="14:15" ht="17.100000000000001" customHeight="1">
      <c r="N2120" s="1307"/>
      <c r="O2120" s="1999"/>
    </row>
    <row r="2121" spans="14:15" ht="17.100000000000001" customHeight="1">
      <c r="N2121" s="1307"/>
      <c r="O2121" s="1999"/>
    </row>
    <row r="2122" spans="14:15" ht="17.100000000000001" customHeight="1">
      <c r="N2122" s="1307"/>
      <c r="O2122" s="1999"/>
    </row>
    <row r="2123" spans="14:15" ht="17.100000000000001" customHeight="1">
      <c r="N2123" s="1307"/>
      <c r="O2123" s="1999"/>
    </row>
    <row r="2124" spans="14:15" ht="17.100000000000001" customHeight="1">
      <c r="N2124" s="1307"/>
      <c r="O2124" s="1999"/>
    </row>
    <row r="2125" spans="14:15" ht="17.100000000000001" customHeight="1">
      <c r="N2125" s="1307"/>
      <c r="O2125" s="1999"/>
    </row>
    <row r="2126" spans="14:15" ht="17.100000000000001" customHeight="1">
      <c r="N2126" s="1307"/>
      <c r="O2126" s="1999"/>
    </row>
    <row r="2127" spans="14:15" ht="17.100000000000001" customHeight="1">
      <c r="N2127" s="1307"/>
      <c r="O2127" s="1999"/>
    </row>
    <row r="2128" spans="14:15" ht="17.100000000000001" customHeight="1">
      <c r="N2128" s="1307"/>
      <c r="O2128" s="1999"/>
    </row>
    <row r="2129" spans="14:15" ht="17.100000000000001" customHeight="1">
      <c r="N2129" s="1307"/>
      <c r="O2129" s="1999"/>
    </row>
    <row r="2130" spans="14:15" ht="17.100000000000001" customHeight="1">
      <c r="N2130" s="1307"/>
      <c r="O2130" s="1999"/>
    </row>
    <row r="2131" spans="14:15" ht="17.100000000000001" customHeight="1">
      <c r="N2131" s="1307"/>
      <c r="O2131" s="1999"/>
    </row>
    <row r="2132" spans="14:15" ht="17.100000000000001" customHeight="1">
      <c r="N2132" s="1307"/>
      <c r="O2132" s="1999"/>
    </row>
    <row r="2133" spans="14:15" ht="17.100000000000001" customHeight="1">
      <c r="N2133" s="1307"/>
      <c r="O2133" s="1999"/>
    </row>
    <row r="2134" spans="14:15" ht="17.100000000000001" customHeight="1">
      <c r="N2134" s="1307"/>
      <c r="O2134" s="1999"/>
    </row>
    <row r="2135" spans="14:15" ht="17.100000000000001" customHeight="1">
      <c r="N2135" s="1307"/>
      <c r="O2135" s="1999"/>
    </row>
    <row r="2136" spans="14:15" ht="17.100000000000001" customHeight="1">
      <c r="N2136" s="1307"/>
      <c r="O2136" s="1999"/>
    </row>
    <row r="2137" spans="14:15" ht="17.100000000000001" customHeight="1">
      <c r="N2137" s="1307"/>
      <c r="O2137" s="1999"/>
    </row>
    <row r="2138" spans="14:15" ht="17.100000000000001" customHeight="1">
      <c r="N2138" s="1307"/>
      <c r="O2138" s="1999"/>
    </row>
    <row r="2139" spans="14:15" ht="17.100000000000001" customHeight="1">
      <c r="N2139" s="1307"/>
      <c r="O2139" s="1999"/>
    </row>
    <row r="2140" spans="14:15" ht="17.100000000000001" customHeight="1">
      <c r="N2140" s="1307"/>
      <c r="O2140" s="1999"/>
    </row>
    <row r="2141" spans="14:15" ht="17.100000000000001" customHeight="1">
      <c r="N2141" s="1307"/>
      <c r="O2141" s="1999"/>
    </row>
    <row r="2142" spans="14:15" ht="17.100000000000001" customHeight="1">
      <c r="N2142" s="1307"/>
      <c r="O2142" s="1999"/>
    </row>
    <row r="2143" spans="14:15" ht="17.100000000000001" customHeight="1">
      <c r="N2143" s="1307"/>
      <c r="O2143" s="1999"/>
    </row>
    <row r="2144" spans="14:15" ht="17.100000000000001" customHeight="1">
      <c r="N2144" s="1307"/>
      <c r="O2144" s="1999"/>
    </row>
    <row r="2145" spans="14:15" ht="17.100000000000001" customHeight="1">
      <c r="N2145" s="1307"/>
      <c r="O2145" s="1999"/>
    </row>
    <row r="2146" spans="14:15" ht="17.100000000000001" customHeight="1">
      <c r="N2146" s="1307"/>
      <c r="O2146" s="1999"/>
    </row>
    <row r="2147" spans="14:15" ht="17.100000000000001" customHeight="1">
      <c r="N2147" s="1307"/>
      <c r="O2147" s="1999"/>
    </row>
    <row r="2148" spans="14:15" ht="17.100000000000001" customHeight="1">
      <c r="N2148" s="1307"/>
      <c r="O2148" s="1999"/>
    </row>
    <row r="2149" spans="14:15" ht="17.100000000000001" customHeight="1">
      <c r="N2149" s="1307"/>
      <c r="O2149" s="1999"/>
    </row>
    <row r="2150" spans="14:15" ht="17.100000000000001" customHeight="1">
      <c r="N2150" s="1307"/>
      <c r="O2150" s="1999"/>
    </row>
    <row r="2151" spans="14:15" ht="17.100000000000001" customHeight="1">
      <c r="N2151" s="1307"/>
      <c r="O2151" s="1999"/>
    </row>
    <row r="2152" spans="14:15" ht="17.100000000000001" customHeight="1">
      <c r="N2152" s="1307"/>
      <c r="O2152" s="1999"/>
    </row>
    <row r="2153" spans="14:15" ht="17.100000000000001" customHeight="1">
      <c r="N2153" s="1307"/>
      <c r="O2153" s="1999"/>
    </row>
    <row r="2154" spans="14:15" ht="17.100000000000001" customHeight="1">
      <c r="N2154" s="1307"/>
      <c r="O2154" s="1999"/>
    </row>
    <row r="2155" spans="14:15" ht="17.100000000000001" customHeight="1">
      <c r="N2155" s="1307"/>
      <c r="O2155" s="1999"/>
    </row>
    <row r="2156" spans="14:15" ht="17.100000000000001" customHeight="1">
      <c r="N2156" s="1307"/>
      <c r="O2156" s="1999"/>
    </row>
    <row r="2157" spans="14:15" ht="17.100000000000001" customHeight="1">
      <c r="N2157" s="1307"/>
      <c r="O2157" s="1999"/>
    </row>
    <row r="2158" spans="14:15" ht="17.100000000000001" customHeight="1">
      <c r="N2158" s="1307"/>
      <c r="O2158" s="1999"/>
    </row>
    <row r="2159" spans="14:15" ht="17.100000000000001" customHeight="1">
      <c r="N2159" s="1307"/>
      <c r="O2159" s="1999"/>
    </row>
    <row r="2160" spans="14:15" ht="17.100000000000001" customHeight="1">
      <c r="N2160" s="1307"/>
      <c r="O2160" s="1999"/>
    </row>
    <row r="2161" spans="14:15" ht="17.100000000000001" customHeight="1">
      <c r="N2161" s="1307"/>
      <c r="O2161" s="1999"/>
    </row>
    <row r="2162" spans="14:15" ht="17.100000000000001" customHeight="1">
      <c r="N2162" s="1307"/>
      <c r="O2162" s="1999"/>
    </row>
    <row r="2163" spans="14:15" ht="17.100000000000001" customHeight="1">
      <c r="N2163" s="1307"/>
      <c r="O2163" s="1999"/>
    </row>
    <row r="2164" spans="14:15" ht="17.100000000000001" customHeight="1">
      <c r="N2164" s="1307"/>
      <c r="O2164" s="1999"/>
    </row>
    <row r="2165" spans="14:15" ht="17.100000000000001" customHeight="1">
      <c r="N2165" s="1307"/>
      <c r="O2165" s="1999"/>
    </row>
    <row r="2166" spans="14:15" ht="17.100000000000001" customHeight="1">
      <c r="N2166" s="1307"/>
      <c r="O2166" s="1999"/>
    </row>
    <row r="2167" spans="14:15" ht="17.100000000000001" customHeight="1">
      <c r="N2167" s="1307"/>
      <c r="O2167" s="1999"/>
    </row>
    <row r="2168" spans="14:15" ht="17.100000000000001" customHeight="1">
      <c r="N2168" s="1307"/>
      <c r="O2168" s="1999"/>
    </row>
    <row r="2169" spans="14:15" ht="17.100000000000001" customHeight="1">
      <c r="N2169" s="1307"/>
      <c r="O2169" s="1999"/>
    </row>
    <row r="2170" spans="14:15" ht="17.100000000000001" customHeight="1">
      <c r="N2170" s="1307"/>
      <c r="O2170" s="1999"/>
    </row>
    <row r="2171" spans="14:15" ht="17.100000000000001" customHeight="1">
      <c r="N2171" s="1307"/>
      <c r="O2171" s="1999"/>
    </row>
    <row r="2172" spans="14:15" ht="17.100000000000001" customHeight="1">
      <c r="N2172" s="1307"/>
      <c r="O2172" s="1999"/>
    </row>
    <row r="2173" spans="14:15" ht="17.100000000000001" customHeight="1">
      <c r="N2173" s="1307"/>
      <c r="O2173" s="1999"/>
    </row>
    <row r="2174" spans="14:15" ht="17.100000000000001" customHeight="1">
      <c r="N2174" s="1307"/>
      <c r="O2174" s="1999"/>
    </row>
    <row r="2175" spans="14:15" ht="17.100000000000001" customHeight="1">
      <c r="N2175" s="1307"/>
      <c r="O2175" s="1999"/>
    </row>
    <row r="2176" spans="14:15" ht="17.100000000000001" customHeight="1">
      <c r="N2176" s="1307"/>
      <c r="O2176" s="1999"/>
    </row>
    <row r="2177" spans="14:15" ht="17.100000000000001" customHeight="1">
      <c r="N2177" s="1307"/>
      <c r="O2177" s="1999"/>
    </row>
    <row r="2178" spans="14:15" ht="17.100000000000001" customHeight="1">
      <c r="N2178" s="1307"/>
      <c r="O2178" s="1999"/>
    </row>
    <row r="2179" spans="14:15" ht="17.100000000000001" customHeight="1">
      <c r="N2179" s="1307"/>
      <c r="O2179" s="1999"/>
    </row>
    <row r="2180" spans="14:15" ht="17.100000000000001" customHeight="1">
      <c r="N2180" s="1307"/>
      <c r="O2180" s="1999"/>
    </row>
    <row r="2181" spans="14:15" ht="17.100000000000001" customHeight="1">
      <c r="N2181" s="1307"/>
      <c r="O2181" s="1999"/>
    </row>
    <row r="2182" spans="14:15" ht="17.100000000000001" customHeight="1">
      <c r="N2182" s="1307"/>
      <c r="O2182" s="1999"/>
    </row>
    <row r="2183" spans="14:15" ht="17.100000000000001" customHeight="1">
      <c r="N2183" s="1307"/>
      <c r="O2183" s="1999"/>
    </row>
    <row r="2184" spans="14:15" ht="17.100000000000001" customHeight="1">
      <c r="N2184" s="1307"/>
      <c r="O2184" s="1999"/>
    </row>
    <row r="2185" spans="14:15" ht="17.100000000000001" customHeight="1">
      <c r="N2185" s="1307"/>
      <c r="O2185" s="1999"/>
    </row>
    <row r="2186" spans="14:15" ht="17.100000000000001" customHeight="1">
      <c r="N2186" s="1307"/>
      <c r="O2186" s="1999"/>
    </row>
    <row r="2187" spans="14:15" ht="17.100000000000001" customHeight="1">
      <c r="N2187" s="1307"/>
      <c r="O2187" s="1999"/>
    </row>
    <row r="2188" spans="14:15" ht="17.100000000000001" customHeight="1">
      <c r="N2188" s="1307"/>
      <c r="O2188" s="1999"/>
    </row>
    <row r="2189" spans="14:15" ht="17.100000000000001" customHeight="1">
      <c r="N2189" s="1307"/>
      <c r="O2189" s="1999"/>
    </row>
    <row r="2190" spans="14:15" ht="17.100000000000001" customHeight="1">
      <c r="N2190" s="1307"/>
      <c r="O2190" s="1999"/>
    </row>
    <row r="2191" spans="14:15" ht="17.100000000000001" customHeight="1">
      <c r="N2191" s="1307"/>
      <c r="O2191" s="1999"/>
    </row>
    <row r="2192" spans="14:15" ht="17.100000000000001" customHeight="1">
      <c r="N2192" s="1307"/>
      <c r="O2192" s="1999"/>
    </row>
    <row r="2193" spans="14:15" ht="17.100000000000001" customHeight="1">
      <c r="N2193" s="1307"/>
      <c r="O2193" s="1999"/>
    </row>
    <row r="2194" spans="14:15" ht="17.100000000000001" customHeight="1">
      <c r="N2194" s="1307"/>
      <c r="O2194" s="1999"/>
    </row>
    <row r="2195" spans="14:15" ht="17.100000000000001" customHeight="1">
      <c r="N2195" s="1307"/>
      <c r="O2195" s="1999"/>
    </row>
    <row r="2196" spans="14:15" ht="17.100000000000001" customHeight="1">
      <c r="N2196" s="1307"/>
      <c r="O2196" s="1999"/>
    </row>
    <row r="2197" spans="14:15" ht="17.100000000000001" customHeight="1">
      <c r="N2197" s="1307"/>
      <c r="O2197" s="1999"/>
    </row>
    <row r="2198" spans="14:15" ht="17.100000000000001" customHeight="1">
      <c r="N2198" s="1307"/>
      <c r="O2198" s="1999"/>
    </row>
    <row r="2199" spans="14:15" ht="17.100000000000001" customHeight="1">
      <c r="N2199" s="1307"/>
      <c r="O2199" s="1999"/>
    </row>
    <row r="2200" spans="14:15" ht="17.100000000000001" customHeight="1">
      <c r="N2200" s="1307"/>
      <c r="O2200" s="1999"/>
    </row>
    <row r="2201" spans="14:15" ht="17.100000000000001" customHeight="1">
      <c r="N2201" s="1307"/>
      <c r="O2201" s="1999"/>
    </row>
    <row r="2202" spans="14:15" ht="17.100000000000001" customHeight="1">
      <c r="N2202" s="1307"/>
      <c r="O2202" s="1999"/>
    </row>
    <row r="2203" spans="14:15" ht="17.100000000000001" customHeight="1">
      <c r="N2203" s="1307"/>
      <c r="O2203" s="1999"/>
    </row>
    <row r="2204" spans="14:15" ht="17.100000000000001" customHeight="1">
      <c r="N2204" s="1307"/>
      <c r="O2204" s="1999"/>
    </row>
    <row r="2205" spans="14:15" ht="17.100000000000001" customHeight="1">
      <c r="N2205" s="1307"/>
      <c r="O2205" s="1999"/>
    </row>
    <row r="2206" spans="14:15" ht="17.100000000000001" customHeight="1">
      <c r="N2206" s="1307"/>
      <c r="O2206" s="1999"/>
    </row>
    <row r="2207" spans="14:15" ht="17.100000000000001" customHeight="1">
      <c r="N2207" s="1307"/>
      <c r="O2207" s="1999"/>
    </row>
    <row r="2208" spans="14:15" ht="17.100000000000001" customHeight="1">
      <c r="N2208" s="1307"/>
      <c r="O2208" s="1999"/>
    </row>
    <row r="2209" spans="14:15" ht="17.100000000000001" customHeight="1">
      <c r="N2209" s="1307"/>
      <c r="O2209" s="1999"/>
    </row>
    <row r="2210" spans="14:15" ht="17.100000000000001" customHeight="1">
      <c r="N2210" s="1307"/>
      <c r="O2210" s="1999"/>
    </row>
    <row r="2211" spans="14:15" ht="17.100000000000001" customHeight="1">
      <c r="N2211" s="1307"/>
      <c r="O2211" s="1999"/>
    </row>
    <row r="2212" spans="14:15" ht="17.100000000000001" customHeight="1">
      <c r="N2212" s="1307"/>
      <c r="O2212" s="1999"/>
    </row>
    <row r="2213" spans="14:15" ht="17.100000000000001" customHeight="1">
      <c r="N2213" s="1307"/>
      <c r="O2213" s="1999"/>
    </row>
  </sheetData>
  <mergeCells count="6">
    <mergeCell ref="C77:G77"/>
    <mergeCell ref="I77:M77"/>
    <mergeCell ref="C3:N3"/>
    <mergeCell ref="C4:N4"/>
    <mergeCell ref="L10:N10"/>
    <mergeCell ref="L12:N12"/>
  </mergeCells>
  <printOptions horizontalCentered="1"/>
  <pageMargins left="0.62992125984252001" right="0.62992125984252001" top="0.78740157480314998" bottom="0.98425196850393704" header="0.511811023622047" footer="0.511811023622047"/>
  <pageSetup paperSize="9" scale="49" orientation="portrait" r:id="rId1"/>
  <headerFooter alignWithMargins="0">
    <oddFooter>&amp;C&amp;"+,Regular"&amp;22-51-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6"/>
  <sheetViews>
    <sheetView topLeftCell="A64" zoomScale="75" zoomScaleNormal="75" workbookViewId="0">
      <selection activeCell="P72" sqref="P72"/>
    </sheetView>
  </sheetViews>
  <sheetFormatPr defaultColWidth="9.42578125" defaultRowHeight="17.100000000000001" customHeight="1"/>
  <cols>
    <col min="1" max="1" width="14.85546875" style="1986" bestFit="1" customWidth="1"/>
    <col min="2" max="2" width="16.7109375" style="1986" customWidth="1"/>
    <col min="3" max="3" width="15.85546875" style="1307" customWidth="1"/>
    <col min="4" max="4" width="14.28515625" style="1307" customWidth="1"/>
    <col min="5" max="5" width="14.28515625" style="1262" customWidth="1"/>
    <col min="6" max="6" width="16.140625" style="1307" customWidth="1"/>
    <col min="7" max="7" width="16" style="1262" customWidth="1"/>
    <col min="8" max="8" width="16.7109375" style="1262" customWidth="1"/>
    <col min="9" max="10" width="15.85546875" style="1262" customWidth="1"/>
    <col min="11" max="11" width="17.42578125" style="1350" bestFit="1" customWidth="1"/>
    <col min="12" max="12" width="1.42578125" style="1262" customWidth="1"/>
    <col min="13" max="13" width="9" style="1264" customWidth="1"/>
    <col min="14" max="14" width="1.42578125" style="1262" customWidth="1"/>
    <col min="15" max="15" width="9.42578125" style="1986" customWidth="1"/>
    <col min="16" max="16" width="17.42578125" style="1986" customWidth="1"/>
    <col min="17" max="17" width="17.140625" style="1986" customWidth="1"/>
    <col min="18" max="18" width="9.42578125" style="1986" customWidth="1"/>
    <col min="19" max="19" width="8.85546875" style="1986" customWidth="1"/>
    <col min="20" max="256" width="9.42578125" style="1986"/>
    <col min="257" max="257" width="14.85546875" style="1986" bestFit="1" customWidth="1"/>
    <col min="258" max="258" width="16.7109375" style="1986" customWidth="1"/>
    <col min="259" max="266" width="14.28515625" style="1986" customWidth="1"/>
    <col min="267" max="267" width="17.42578125" style="1986" bestFit="1" customWidth="1"/>
    <col min="268" max="268" width="1.42578125" style="1986" customWidth="1"/>
    <col min="269" max="269" width="7.7109375" style="1986" customWidth="1"/>
    <col min="270" max="270" width="1.42578125" style="1986" customWidth="1"/>
    <col min="271" max="271" width="9.42578125" style="1986" customWidth="1"/>
    <col min="272" max="272" width="17.42578125" style="1986" customWidth="1"/>
    <col min="273" max="273" width="17.140625" style="1986" customWidth="1"/>
    <col min="274" max="274" width="9.42578125" style="1986" customWidth="1"/>
    <col min="275" max="275" width="8.85546875" style="1986" customWidth="1"/>
    <col min="276" max="512" width="9.42578125" style="1986"/>
    <col min="513" max="513" width="14.85546875" style="1986" bestFit="1" customWidth="1"/>
    <col min="514" max="514" width="16.7109375" style="1986" customWidth="1"/>
    <col min="515" max="522" width="14.28515625" style="1986" customWidth="1"/>
    <col min="523" max="523" width="17.42578125" style="1986" bestFit="1" customWidth="1"/>
    <col min="524" max="524" width="1.42578125" style="1986" customWidth="1"/>
    <col min="525" max="525" width="7.7109375" style="1986" customWidth="1"/>
    <col min="526" max="526" width="1.42578125" style="1986" customWidth="1"/>
    <col min="527" max="527" width="9.42578125" style="1986" customWidth="1"/>
    <col min="528" max="528" width="17.42578125" style="1986" customWidth="1"/>
    <col min="529" max="529" width="17.140625" style="1986" customWidth="1"/>
    <col min="530" max="530" width="9.42578125" style="1986" customWidth="1"/>
    <col min="531" max="531" width="8.85546875" style="1986" customWidth="1"/>
    <col min="532" max="768" width="9.42578125" style="1986"/>
    <col min="769" max="769" width="14.85546875" style="1986" bestFit="1" customWidth="1"/>
    <col min="770" max="770" width="16.7109375" style="1986" customWidth="1"/>
    <col min="771" max="778" width="14.28515625" style="1986" customWidth="1"/>
    <col min="779" max="779" width="17.42578125" style="1986" bestFit="1" customWidth="1"/>
    <col min="780" max="780" width="1.42578125" style="1986" customWidth="1"/>
    <col min="781" max="781" width="7.7109375" style="1986" customWidth="1"/>
    <col min="782" max="782" width="1.42578125" style="1986" customWidth="1"/>
    <col min="783" max="783" width="9.42578125" style="1986" customWidth="1"/>
    <col min="784" max="784" width="17.42578125" style="1986" customWidth="1"/>
    <col min="785" max="785" width="17.140625" style="1986" customWidth="1"/>
    <col min="786" max="786" width="9.42578125" style="1986" customWidth="1"/>
    <col min="787" max="787" width="8.85546875" style="1986" customWidth="1"/>
    <col min="788" max="1024" width="9.42578125" style="1986"/>
    <col min="1025" max="1025" width="14.85546875" style="1986" bestFit="1" customWidth="1"/>
    <col min="1026" max="1026" width="16.7109375" style="1986" customWidth="1"/>
    <col min="1027" max="1034" width="14.28515625" style="1986" customWidth="1"/>
    <col min="1035" max="1035" width="17.42578125" style="1986" bestFit="1" customWidth="1"/>
    <col min="1036" max="1036" width="1.42578125" style="1986" customWidth="1"/>
    <col min="1037" max="1037" width="7.7109375" style="1986" customWidth="1"/>
    <col min="1038" max="1038" width="1.42578125" style="1986" customWidth="1"/>
    <col min="1039" max="1039" width="9.42578125" style="1986" customWidth="1"/>
    <col min="1040" max="1040" width="17.42578125" style="1986" customWidth="1"/>
    <col min="1041" max="1041" width="17.140625" style="1986" customWidth="1"/>
    <col min="1042" max="1042" width="9.42578125" style="1986" customWidth="1"/>
    <col min="1043" max="1043" width="8.85546875" style="1986" customWidth="1"/>
    <col min="1044" max="1280" width="9.42578125" style="1986"/>
    <col min="1281" max="1281" width="14.85546875" style="1986" bestFit="1" customWidth="1"/>
    <col min="1282" max="1282" width="16.7109375" style="1986" customWidth="1"/>
    <col min="1283" max="1290" width="14.28515625" style="1986" customWidth="1"/>
    <col min="1291" max="1291" width="17.42578125" style="1986" bestFit="1" customWidth="1"/>
    <col min="1292" max="1292" width="1.42578125" style="1986" customWidth="1"/>
    <col min="1293" max="1293" width="7.7109375" style="1986" customWidth="1"/>
    <col min="1294" max="1294" width="1.42578125" style="1986" customWidth="1"/>
    <col min="1295" max="1295" width="9.42578125" style="1986" customWidth="1"/>
    <col min="1296" max="1296" width="17.42578125" style="1986" customWidth="1"/>
    <col min="1297" max="1297" width="17.140625" style="1986" customWidth="1"/>
    <col min="1298" max="1298" width="9.42578125" style="1986" customWidth="1"/>
    <col min="1299" max="1299" width="8.85546875" style="1986" customWidth="1"/>
    <col min="1300" max="1536" width="9.42578125" style="1986"/>
    <col min="1537" max="1537" width="14.85546875" style="1986" bestFit="1" customWidth="1"/>
    <col min="1538" max="1538" width="16.7109375" style="1986" customWidth="1"/>
    <col min="1539" max="1546" width="14.28515625" style="1986" customWidth="1"/>
    <col min="1547" max="1547" width="17.42578125" style="1986" bestFit="1" customWidth="1"/>
    <col min="1548" max="1548" width="1.42578125" style="1986" customWidth="1"/>
    <col min="1549" max="1549" width="7.7109375" style="1986" customWidth="1"/>
    <col min="1550" max="1550" width="1.42578125" style="1986" customWidth="1"/>
    <col min="1551" max="1551" width="9.42578125" style="1986" customWidth="1"/>
    <col min="1552" max="1552" width="17.42578125" style="1986" customWidth="1"/>
    <col min="1553" max="1553" width="17.140625" style="1986" customWidth="1"/>
    <col min="1554" max="1554" width="9.42578125" style="1986" customWidth="1"/>
    <col min="1555" max="1555" width="8.85546875" style="1986" customWidth="1"/>
    <col min="1556" max="1792" width="9.42578125" style="1986"/>
    <col min="1793" max="1793" width="14.85546875" style="1986" bestFit="1" customWidth="1"/>
    <col min="1794" max="1794" width="16.7109375" style="1986" customWidth="1"/>
    <col min="1795" max="1802" width="14.28515625" style="1986" customWidth="1"/>
    <col min="1803" max="1803" width="17.42578125" style="1986" bestFit="1" customWidth="1"/>
    <col min="1804" max="1804" width="1.42578125" style="1986" customWidth="1"/>
    <col min="1805" max="1805" width="7.7109375" style="1986" customWidth="1"/>
    <col min="1806" max="1806" width="1.42578125" style="1986" customWidth="1"/>
    <col min="1807" max="1807" width="9.42578125" style="1986" customWidth="1"/>
    <col min="1808" max="1808" width="17.42578125" style="1986" customWidth="1"/>
    <col min="1809" max="1809" width="17.140625" style="1986" customWidth="1"/>
    <col min="1810" max="1810" width="9.42578125" style="1986" customWidth="1"/>
    <col min="1811" max="1811" width="8.85546875" style="1986" customWidth="1"/>
    <col min="1812" max="2048" width="9.42578125" style="1986"/>
    <col min="2049" max="2049" width="14.85546875" style="1986" bestFit="1" customWidth="1"/>
    <col min="2050" max="2050" width="16.7109375" style="1986" customWidth="1"/>
    <col min="2051" max="2058" width="14.28515625" style="1986" customWidth="1"/>
    <col min="2059" max="2059" width="17.42578125" style="1986" bestFit="1" customWidth="1"/>
    <col min="2060" max="2060" width="1.42578125" style="1986" customWidth="1"/>
    <col min="2061" max="2061" width="7.7109375" style="1986" customWidth="1"/>
    <col min="2062" max="2062" width="1.42578125" style="1986" customWidth="1"/>
    <col min="2063" max="2063" width="9.42578125" style="1986" customWidth="1"/>
    <col min="2064" max="2064" width="17.42578125" style="1986" customWidth="1"/>
    <col min="2065" max="2065" width="17.140625" style="1986" customWidth="1"/>
    <col min="2066" max="2066" width="9.42578125" style="1986" customWidth="1"/>
    <col min="2067" max="2067" width="8.85546875" style="1986" customWidth="1"/>
    <col min="2068" max="2304" width="9.42578125" style="1986"/>
    <col min="2305" max="2305" width="14.85546875" style="1986" bestFit="1" customWidth="1"/>
    <col min="2306" max="2306" width="16.7109375" style="1986" customWidth="1"/>
    <col min="2307" max="2314" width="14.28515625" style="1986" customWidth="1"/>
    <col min="2315" max="2315" width="17.42578125" style="1986" bestFit="1" customWidth="1"/>
    <col min="2316" max="2316" width="1.42578125" style="1986" customWidth="1"/>
    <col min="2317" max="2317" width="7.7109375" style="1986" customWidth="1"/>
    <col min="2318" max="2318" width="1.42578125" style="1986" customWidth="1"/>
    <col min="2319" max="2319" width="9.42578125" style="1986" customWidth="1"/>
    <col min="2320" max="2320" width="17.42578125" style="1986" customWidth="1"/>
    <col min="2321" max="2321" width="17.140625" style="1986" customWidth="1"/>
    <col min="2322" max="2322" width="9.42578125" style="1986" customWidth="1"/>
    <col min="2323" max="2323" width="8.85546875" style="1986" customWidth="1"/>
    <col min="2324" max="2560" width="9.42578125" style="1986"/>
    <col min="2561" max="2561" width="14.85546875" style="1986" bestFit="1" customWidth="1"/>
    <col min="2562" max="2562" width="16.7109375" style="1986" customWidth="1"/>
    <col min="2563" max="2570" width="14.28515625" style="1986" customWidth="1"/>
    <col min="2571" max="2571" width="17.42578125" style="1986" bestFit="1" customWidth="1"/>
    <col min="2572" max="2572" width="1.42578125" style="1986" customWidth="1"/>
    <col min="2573" max="2573" width="7.7109375" style="1986" customWidth="1"/>
    <col min="2574" max="2574" width="1.42578125" style="1986" customWidth="1"/>
    <col min="2575" max="2575" width="9.42578125" style="1986" customWidth="1"/>
    <col min="2576" max="2576" width="17.42578125" style="1986" customWidth="1"/>
    <col min="2577" max="2577" width="17.140625" style="1986" customWidth="1"/>
    <col min="2578" max="2578" width="9.42578125" style="1986" customWidth="1"/>
    <col min="2579" max="2579" width="8.85546875" style="1986" customWidth="1"/>
    <col min="2580" max="2816" width="9.42578125" style="1986"/>
    <col min="2817" max="2817" width="14.85546875" style="1986" bestFit="1" customWidth="1"/>
    <col min="2818" max="2818" width="16.7109375" style="1986" customWidth="1"/>
    <col min="2819" max="2826" width="14.28515625" style="1986" customWidth="1"/>
    <col min="2827" max="2827" width="17.42578125" style="1986" bestFit="1" customWidth="1"/>
    <col min="2828" max="2828" width="1.42578125" style="1986" customWidth="1"/>
    <col min="2829" max="2829" width="7.7109375" style="1986" customWidth="1"/>
    <col min="2830" max="2830" width="1.42578125" style="1986" customWidth="1"/>
    <col min="2831" max="2831" width="9.42578125" style="1986" customWidth="1"/>
    <col min="2832" max="2832" width="17.42578125" style="1986" customWidth="1"/>
    <col min="2833" max="2833" width="17.140625" style="1986" customWidth="1"/>
    <col min="2834" max="2834" width="9.42578125" style="1986" customWidth="1"/>
    <col min="2835" max="2835" width="8.85546875" style="1986" customWidth="1"/>
    <col min="2836" max="3072" width="9.42578125" style="1986"/>
    <col min="3073" max="3073" width="14.85546875" style="1986" bestFit="1" customWidth="1"/>
    <col min="3074" max="3074" width="16.7109375" style="1986" customWidth="1"/>
    <col min="3075" max="3082" width="14.28515625" style="1986" customWidth="1"/>
    <col min="3083" max="3083" width="17.42578125" style="1986" bestFit="1" customWidth="1"/>
    <col min="3084" max="3084" width="1.42578125" style="1986" customWidth="1"/>
    <col min="3085" max="3085" width="7.7109375" style="1986" customWidth="1"/>
    <col min="3086" max="3086" width="1.42578125" style="1986" customWidth="1"/>
    <col min="3087" max="3087" width="9.42578125" style="1986" customWidth="1"/>
    <col min="3088" max="3088" width="17.42578125" style="1986" customWidth="1"/>
    <col min="3089" max="3089" width="17.140625" style="1986" customWidth="1"/>
    <col min="3090" max="3090" width="9.42578125" style="1986" customWidth="1"/>
    <col min="3091" max="3091" width="8.85546875" style="1986" customWidth="1"/>
    <col min="3092" max="3328" width="9.42578125" style="1986"/>
    <col min="3329" max="3329" width="14.85546875" style="1986" bestFit="1" customWidth="1"/>
    <col min="3330" max="3330" width="16.7109375" style="1986" customWidth="1"/>
    <col min="3331" max="3338" width="14.28515625" style="1986" customWidth="1"/>
    <col min="3339" max="3339" width="17.42578125" style="1986" bestFit="1" customWidth="1"/>
    <col min="3340" max="3340" width="1.42578125" style="1986" customWidth="1"/>
    <col min="3341" max="3341" width="7.7109375" style="1986" customWidth="1"/>
    <col min="3342" max="3342" width="1.42578125" style="1986" customWidth="1"/>
    <col min="3343" max="3343" width="9.42578125" style="1986" customWidth="1"/>
    <col min="3344" max="3344" width="17.42578125" style="1986" customWidth="1"/>
    <col min="3345" max="3345" width="17.140625" style="1986" customWidth="1"/>
    <col min="3346" max="3346" width="9.42578125" style="1986" customWidth="1"/>
    <col min="3347" max="3347" width="8.85546875" style="1986" customWidth="1"/>
    <col min="3348" max="3584" width="9.42578125" style="1986"/>
    <col min="3585" max="3585" width="14.85546875" style="1986" bestFit="1" customWidth="1"/>
    <col min="3586" max="3586" width="16.7109375" style="1986" customWidth="1"/>
    <col min="3587" max="3594" width="14.28515625" style="1986" customWidth="1"/>
    <col min="3595" max="3595" width="17.42578125" style="1986" bestFit="1" customWidth="1"/>
    <col min="3596" max="3596" width="1.42578125" style="1986" customWidth="1"/>
    <col min="3597" max="3597" width="7.7109375" style="1986" customWidth="1"/>
    <col min="3598" max="3598" width="1.42578125" style="1986" customWidth="1"/>
    <col min="3599" max="3599" width="9.42578125" style="1986" customWidth="1"/>
    <col min="3600" max="3600" width="17.42578125" style="1986" customWidth="1"/>
    <col min="3601" max="3601" width="17.140625" style="1986" customWidth="1"/>
    <col min="3602" max="3602" width="9.42578125" style="1986" customWidth="1"/>
    <col min="3603" max="3603" width="8.85546875" style="1986" customWidth="1"/>
    <col min="3604" max="3840" width="9.42578125" style="1986"/>
    <col min="3841" max="3841" width="14.85546875" style="1986" bestFit="1" customWidth="1"/>
    <col min="3842" max="3842" width="16.7109375" style="1986" customWidth="1"/>
    <col min="3843" max="3850" width="14.28515625" style="1986" customWidth="1"/>
    <col min="3851" max="3851" width="17.42578125" style="1986" bestFit="1" customWidth="1"/>
    <col min="3852" max="3852" width="1.42578125" style="1986" customWidth="1"/>
    <col min="3853" max="3853" width="7.7109375" style="1986" customWidth="1"/>
    <col min="3854" max="3854" width="1.42578125" style="1986" customWidth="1"/>
    <col min="3855" max="3855" width="9.42578125" style="1986" customWidth="1"/>
    <col min="3856" max="3856" width="17.42578125" style="1986" customWidth="1"/>
    <col min="3857" max="3857" width="17.140625" style="1986" customWidth="1"/>
    <col min="3858" max="3858" width="9.42578125" style="1986" customWidth="1"/>
    <col min="3859" max="3859" width="8.85546875" style="1986" customWidth="1"/>
    <col min="3860" max="4096" width="9.42578125" style="1986"/>
    <col min="4097" max="4097" width="14.85546875" style="1986" bestFit="1" customWidth="1"/>
    <col min="4098" max="4098" width="16.7109375" style="1986" customWidth="1"/>
    <col min="4099" max="4106" width="14.28515625" style="1986" customWidth="1"/>
    <col min="4107" max="4107" width="17.42578125" style="1986" bestFit="1" customWidth="1"/>
    <col min="4108" max="4108" width="1.42578125" style="1986" customWidth="1"/>
    <col min="4109" max="4109" width="7.7109375" style="1986" customWidth="1"/>
    <col min="4110" max="4110" width="1.42578125" style="1986" customWidth="1"/>
    <col min="4111" max="4111" width="9.42578125" style="1986" customWidth="1"/>
    <col min="4112" max="4112" width="17.42578125" style="1986" customWidth="1"/>
    <col min="4113" max="4113" width="17.140625" style="1986" customWidth="1"/>
    <col min="4114" max="4114" width="9.42578125" style="1986" customWidth="1"/>
    <col min="4115" max="4115" width="8.85546875" style="1986" customWidth="1"/>
    <col min="4116" max="4352" width="9.42578125" style="1986"/>
    <col min="4353" max="4353" width="14.85546875" style="1986" bestFit="1" customWidth="1"/>
    <col min="4354" max="4354" width="16.7109375" style="1986" customWidth="1"/>
    <col min="4355" max="4362" width="14.28515625" style="1986" customWidth="1"/>
    <col min="4363" max="4363" width="17.42578125" style="1986" bestFit="1" customWidth="1"/>
    <col min="4364" max="4364" width="1.42578125" style="1986" customWidth="1"/>
    <col min="4365" max="4365" width="7.7109375" style="1986" customWidth="1"/>
    <col min="4366" max="4366" width="1.42578125" style="1986" customWidth="1"/>
    <col min="4367" max="4367" width="9.42578125" style="1986" customWidth="1"/>
    <col min="4368" max="4368" width="17.42578125" style="1986" customWidth="1"/>
    <col min="4369" max="4369" width="17.140625" style="1986" customWidth="1"/>
    <col min="4370" max="4370" width="9.42578125" style="1986" customWidth="1"/>
    <col min="4371" max="4371" width="8.85546875" style="1986" customWidth="1"/>
    <col min="4372" max="4608" width="9.42578125" style="1986"/>
    <col min="4609" max="4609" width="14.85546875" style="1986" bestFit="1" customWidth="1"/>
    <col min="4610" max="4610" width="16.7109375" style="1986" customWidth="1"/>
    <col min="4611" max="4618" width="14.28515625" style="1986" customWidth="1"/>
    <col min="4619" max="4619" width="17.42578125" style="1986" bestFit="1" customWidth="1"/>
    <col min="4620" max="4620" width="1.42578125" style="1986" customWidth="1"/>
    <col min="4621" max="4621" width="7.7109375" style="1986" customWidth="1"/>
    <col min="4622" max="4622" width="1.42578125" style="1986" customWidth="1"/>
    <col min="4623" max="4623" width="9.42578125" style="1986" customWidth="1"/>
    <col min="4624" max="4624" width="17.42578125" style="1986" customWidth="1"/>
    <col min="4625" max="4625" width="17.140625" style="1986" customWidth="1"/>
    <col min="4626" max="4626" width="9.42578125" style="1986" customWidth="1"/>
    <col min="4627" max="4627" width="8.85546875" style="1986" customWidth="1"/>
    <col min="4628" max="4864" width="9.42578125" style="1986"/>
    <col min="4865" max="4865" width="14.85546875" style="1986" bestFit="1" customWidth="1"/>
    <col min="4866" max="4866" width="16.7109375" style="1986" customWidth="1"/>
    <col min="4867" max="4874" width="14.28515625" style="1986" customWidth="1"/>
    <col min="4875" max="4875" width="17.42578125" style="1986" bestFit="1" customWidth="1"/>
    <col min="4876" max="4876" width="1.42578125" style="1986" customWidth="1"/>
    <col min="4877" max="4877" width="7.7109375" style="1986" customWidth="1"/>
    <col min="4878" max="4878" width="1.42578125" style="1986" customWidth="1"/>
    <col min="4879" max="4879" width="9.42578125" style="1986" customWidth="1"/>
    <col min="4880" max="4880" width="17.42578125" style="1986" customWidth="1"/>
    <col min="4881" max="4881" width="17.140625" style="1986" customWidth="1"/>
    <col min="4882" max="4882" width="9.42578125" style="1986" customWidth="1"/>
    <col min="4883" max="4883" width="8.85546875" style="1986" customWidth="1"/>
    <col min="4884" max="5120" width="9.42578125" style="1986"/>
    <col min="5121" max="5121" width="14.85546875" style="1986" bestFit="1" customWidth="1"/>
    <col min="5122" max="5122" width="16.7109375" style="1986" customWidth="1"/>
    <col min="5123" max="5130" width="14.28515625" style="1986" customWidth="1"/>
    <col min="5131" max="5131" width="17.42578125" style="1986" bestFit="1" customWidth="1"/>
    <col min="5132" max="5132" width="1.42578125" style="1986" customWidth="1"/>
    <col min="5133" max="5133" width="7.7109375" style="1986" customWidth="1"/>
    <col min="5134" max="5134" width="1.42578125" style="1986" customWidth="1"/>
    <col min="5135" max="5135" width="9.42578125" style="1986" customWidth="1"/>
    <col min="5136" max="5136" width="17.42578125" style="1986" customWidth="1"/>
    <col min="5137" max="5137" width="17.140625" style="1986" customWidth="1"/>
    <col min="5138" max="5138" width="9.42578125" style="1986" customWidth="1"/>
    <col min="5139" max="5139" width="8.85546875" style="1986" customWidth="1"/>
    <col min="5140" max="5376" width="9.42578125" style="1986"/>
    <col min="5377" max="5377" width="14.85546875" style="1986" bestFit="1" customWidth="1"/>
    <col min="5378" max="5378" width="16.7109375" style="1986" customWidth="1"/>
    <col min="5379" max="5386" width="14.28515625" style="1986" customWidth="1"/>
    <col min="5387" max="5387" width="17.42578125" style="1986" bestFit="1" customWidth="1"/>
    <col min="5388" max="5388" width="1.42578125" style="1986" customWidth="1"/>
    <col min="5389" max="5389" width="7.7109375" style="1986" customWidth="1"/>
    <col min="5390" max="5390" width="1.42578125" style="1986" customWidth="1"/>
    <col min="5391" max="5391" width="9.42578125" style="1986" customWidth="1"/>
    <col min="5392" max="5392" width="17.42578125" style="1986" customWidth="1"/>
    <col min="5393" max="5393" width="17.140625" style="1986" customWidth="1"/>
    <col min="5394" max="5394" width="9.42578125" style="1986" customWidth="1"/>
    <col min="5395" max="5395" width="8.85546875" style="1986" customWidth="1"/>
    <col min="5396" max="5632" width="9.42578125" style="1986"/>
    <col min="5633" max="5633" width="14.85546875" style="1986" bestFit="1" customWidth="1"/>
    <col min="5634" max="5634" width="16.7109375" style="1986" customWidth="1"/>
    <col min="5635" max="5642" width="14.28515625" style="1986" customWidth="1"/>
    <col min="5643" max="5643" width="17.42578125" style="1986" bestFit="1" customWidth="1"/>
    <col min="5644" max="5644" width="1.42578125" style="1986" customWidth="1"/>
    <col min="5645" max="5645" width="7.7109375" style="1986" customWidth="1"/>
    <col min="5646" max="5646" width="1.42578125" style="1986" customWidth="1"/>
    <col min="5647" max="5647" width="9.42578125" style="1986" customWidth="1"/>
    <col min="5648" max="5648" width="17.42578125" style="1986" customWidth="1"/>
    <col min="5649" max="5649" width="17.140625" style="1986" customWidth="1"/>
    <col min="5650" max="5650" width="9.42578125" style="1986" customWidth="1"/>
    <col min="5651" max="5651" width="8.85546875" style="1986" customWidth="1"/>
    <col min="5652" max="5888" width="9.42578125" style="1986"/>
    <col min="5889" max="5889" width="14.85546875" style="1986" bestFit="1" customWidth="1"/>
    <col min="5890" max="5890" width="16.7109375" style="1986" customWidth="1"/>
    <col min="5891" max="5898" width="14.28515625" style="1986" customWidth="1"/>
    <col min="5899" max="5899" width="17.42578125" style="1986" bestFit="1" customWidth="1"/>
    <col min="5900" max="5900" width="1.42578125" style="1986" customWidth="1"/>
    <col min="5901" max="5901" width="7.7109375" style="1986" customWidth="1"/>
    <col min="5902" max="5902" width="1.42578125" style="1986" customWidth="1"/>
    <col min="5903" max="5903" width="9.42578125" style="1986" customWidth="1"/>
    <col min="5904" max="5904" width="17.42578125" style="1986" customWidth="1"/>
    <col min="5905" max="5905" width="17.140625" style="1986" customWidth="1"/>
    <col min="5906" max="5906" width="9.42578125" style="1986" customWidth="1"/>
    <col min="5907" max="5907" width="8.85546875" style="1986" customWidth="1"/>
    <col min="5908" max="6144" width="9.42578125" style="1986"/>
    <col min="6145" max="6145" width="14.85546875" style="1986" bestFit="1" customWidth="1"/>
    <col min="6146" max="6146" width="16.7109375" style="1986" customWidth="1"/>
    <col min="6147" max="6154" width="14.28515625" style="1986" customWidth="1"/>
    <col min="6155" max="6155" width="17.42578125" style="1986" bestFit="1" customWidth="1"/>
    <col min="6156" max="6156" width="1.42578125" style="1986" customWidth="1"/>
    <col min="6157" max="6157" width="7.7109375" style="1986" customWidth="1"/>
    <col min="6158" max="6158" width="1.42578125" style="1986" customWidth="1"/>
    <col min="6159" max="6159" width="9.42578125" style="1986" customWidth="1"/>
    <col min="6160" max="6160" width="17.42578125" style="1986" customWidth="1"/>
    <col min="6161" max="6161" width="17.140625" style="1986" customWidth="1"/>
    <col min="6162" max="6162" width="9.42578125" style="1986" customWidth="1"/>
    <col min="6163" max="6163" width="8.85546875" style="1986" customWidth="1"/>
    <col min="6164" max="6400" width="9.42578125" style="1986"/>
    <col min="6401" max="6401" width="14.85546875" style="1986" bestFit="1" customWidth="1"/>
    <col min="6402" max="6402" width="16.7109375" style="1986" customWidth="1"/>
    <col min="6403" max="6410" width="14.28515625" style="1986" customWidth="1"/>
    <col min="6411" max="6411" width="17.42578125" style="1986" bestFit="1" customWidth="1"/>
    <col min="6412" max="6412" width="1.42578125" style="1986" customWidth="1"/>
    <col min="6413" max="6413" width="7.7109375" style="1986" customWidth="1"/>
    <col min="6414" max="6414" width="1.42578125" style="1986" customWidth="1"/>
    <col min="6415" max="6415" width="9.42578125" style="1986" customWidth="1"/>
    <col min="6416" max="6416" width="17.42578125" style="1986" customWidth="1"/>
    <col min="6417" max="6417" width="17.140625" style="1986" customWidth="1"/>
    <col min="6418" max="6418" width="9.42578125" style="1986" customWidth="1"/>
    <col min="6419" max="6419" width="8.85546875" style="1986" customWidth="1"/>
    <col min="6420" max="6656" width="9.42578125" style="1986"/>
    <col min="6657" max="6657" width="14.85546875" style="1986" bestFit="1" customWidth="1"/>
    <col min="6658" max="6658" width="16.7109375" style="1986" customWidth="1"/>
    <col min="6659" max="6666" width="14.28515625" style="1986" customWidth="1"/>
    <col min="6667" max="6667" width="17.42578125" style="1986" bestFit="1" customWidth="1"/>
    <col min="6668" max="6668" width="1.42578125" style="1986" customWidth="1"/>
    <col min="6669" max="6669" width="7.7109375" style="1986" customWidth="1"/>
    <col min="6670" max="6670" width="1.42578125" style="1986" customWidth="1"/>
    <col min="6671" max="6671" width="9.42578125" style="1986" customWidth="1"/>
    <col min="6672" max="6672" width="17.42578125" style="1986" customWidth="1"/>
    <col min="6673" max="6673" width="17.140625" style="1986" customWidth="1"/>
    <col min="6674" max="6674" width="9.42578125" style="1986" customWidth="1"/>
    <col min="6675" max="6675" width="8.85546875" style="1986" customWidth="1"/>
    <col min="6676" max="6912" width="9.42578125" style="1986"/>
    <col min="6913" max="6913" width="14.85546875" style="1986" bestFit="1" customWidth="1"/>
    <col min="6914" max="6914" width="16.7109375" style="1986" customWidth="1"/>
    <col min="6915" max="6922" width="14.28515625" style="1986" customWidth="1"/>
    <col min="6923" max="6923" width="17.42578125" style="1986" bestFit="1" customWidth="1"/>
    <col min="6924" max="6924" width="1.42578125" style="1986" customWidth="1"/>
    <col min="6925" max="6925" width="7.7109375" style="1986" customWidth="1"/>
    <col min="6926" max="6926" width="1.42578125" style="1986" customWidth="1"/>
    <col min="6927" max="6927" width="9.42578125" style="1986" customWidth="1"/>
    <col min="6928" max="6928" width="17.42578125" style="1986" customWidth="1"/>
    <col min="6929" max="6929" width="17.140625" style="1986" customWidth="1"/>
    <col min="6930" max="6930" width="9.42578125" style="1986" customWidth="1"/>
    <col min="6931" max="6931" width="8.85546875" style="1986" customWidth="1"/>
    <col min="6932" max="7168" width="9.42578125" style="1986"/>
    <col min="7169" max="7169" width="14.85546875" style="1986" bestFit="1" customWidth="1"/>
    <col min="7170" max="7170" width="16.7109375" style="1986" customWidth="1"/>
    <col min="7171" max="7178" width="14.28515625" style="1986" customWidth="1"/>
    <col min="7179" max="7179" width="17.42578125" style="1986" bestFit="1" customWidth="1"/>
    <col min="7180" max="7180" width="1.42578125" style="1986" customWidth="1"/>
    <col min="7181" max="7181" width="7.7109375" style="1986" customWidth="1"/>
    <col min="7182" max="7182" width="1.42578125" style="1986" customWidth="1"/>
    <col min="7183" max="7183" width="9.42578125" style="1986" customWidth="1"/>
    <col min="7184" max="7184" width="17.42578125" style="1986" customWidth="1"/>
    <col min="7185" max="7185" width="17.140625" style="1986" customWidth="1"/>
    <col min="7186" max="7186" width="9.42578125" style="1986" customWidth="1"/>
    <col min="7187" max="7187" width="8.85546875" style="1986" customWidth="1"/>
    <col min="7188" max="7424" width="9.42578125" style="1986"/>
    <col min="7425" max="7425" width="14.85546875" style="1986" bestFit="1" customWidth="1"/>
    <col min="7426" max="7426" width="16.7109375" style="1986" customWidth="1"/>
    <col min="7427" max="7434" width="14.28515625" style="1986" customWidth="1"/>
    <col min="7435" max="7435" width="17.42578125" style="1986" bestFit="1" customWidth="1"/>
    <col min="7436" max="7436" width="1.42578125" style="1986" customWidth="1"/>
    <col min="7437" max="7437" width="7.7109375" style="1986" customWidth="1"/>
    <col min="7438" max="7438" width="1.42578125" style="1986" customWidth="1"/>
    <col min="7439" max="7439" width="9.42578125" style="1986" customWidth="1"/>
    <col min="7440" max="7440" width="17.42578125" style="1986" customWidth="1"/>
    <col min="7441" max="7441" width="17.140625" style="1986" customWidth="1"/>
    <col min="7442" max="7442" width="9.42578125" style="1986" customWidth="1"/>
    <col min="7443" max="7443" width="8.85546875" style="1986" customWidth="1"/>
    <col min="7444" max="7680" width="9.42578125" style="1986"/>
    <col min="7681" max="7681" width="14.85546875" style="1986" bestFit="1" customWidth="1"/>
    <col min="7682" max="7682" width="16.7109375" style="1986" customWidth="1"/>
    <col min="7683" max="7690" width="14.28515625" style="1986" customWidth="1"/>
    <col min="7691" max="7691" width="17.42578125" style="1986" bestFit="1" customWidth="1"/>
    <col min="7692" max="7692" width="1.42578125" style="1986" customWidth="1"/>
    <col min="7693" max="7693" width="7.7109375" style="1986" customWidth="1"/>
    <col min="7694" max="7694" width="1.42578125" style="1986" customWidth="1"/>
    <col min="7695" max="7695" width="9.42578125" style="1986" customWidth="1"/>
    <col min="7696" max="7696" width="17.42578125" style="1986" customWidth="1"/>
    <col min="7697" max="7697" width="17.140625" style="1986" customWidth="1"/>
    <col min="7698" max="7698" width="9.42578125" style="1986" customWidth="1"/>
    <col min="7699" max="7699" width="8.85546875" style="1986" customWidth="1"/>
    <col min="7700" max="7936" width="9.42578125" style="1986"/>
    <col min="7937" max="7937" width="14.85546875" style="1986" bestFit="1" customWidth="1"/>
    <col min="7938" max="7938" width="16.7109375" style="1986" customWidth="1"/>
    <col min="7939" max="7946" width="14.28515625" style="1986" customWidth="1"/>
    <col min="7947" max="7947" width="17.42578125" style="1986" bestFit="1" customWidth="1"/>
    <col min="7948" max="7948" width="1.42578125" style="1986" customWidth="1"/>
    <col min="7949" max="7949" width="7.7109375" style="1986" customWidth="1"/>
    <col min="7950" max="7950" width="1.42578125" style="1986" customWidth="1"/>
    <col min="7951" max="7951" width="9.42578125" style="1986" customWidth="1"/>
    <col min="7952" max="7952" width="17.42578125" style="1986" customWidth="1"/>
    <col min="7953" max="7953" width="17.140625" style="1986" customWidth="1"/>
    <col min="7954" max="7954" width="9.42578125" style="1986" customWidth="1"/>
    <col min="7955" max="7955" width="8.85546875" style="1986" customWidth="1"/>
    <col min="7956" max="8192" width="9.42578125" style="1986"/>
    <col min="8193" max="8193" width="14.85546875" style="1986" bestFit="1" customWidth="1"/>
    <col min="8194" max="8194" width="16.7109375" style="1986" customWidth="1"/>
    <col min="8195" max="8202" width="14.28515625" style="1986" customWidth="1"/>
    <col min="8203" max="8203" width="17.42578125" style="1986" bestFit="1" customWidth="1"/>
    <col min="8204" max="8204" width="1.42578125" style="1986" customWidth="1"/>
    <col min="8205" max="8205" width="7.7109375" style="1986" customWidth="1"/>
    <col min="8206" max="8206" width="1.42578125" style="1986" customWidth="1"/>
    <col min="8207" max="8207" width="9.42578125" style="1986" customWidth="1"/>
    <col min="8208" max="8208" width="17.42578125" style="1986" customWidth="1"/>
    <col min="8209" max="8209" width="17.140625" style="1986" customWidth="1"/>
    <col min="8210" max="8210" width="9.42578125" style="1986" customWidth="1"/>
    <col min="8211" max="8211" width="8.85546875" style="1986" customWidth="1"/>
    <col min="8212" max="8448" width="9.42578125" style="1986"/>
    <col min="8449" max="8449" width="14.85546875" style="1986" bestFit="1" customWidth="1"/>
    <col min="8450" max="8450" width="16.7109375" style="1986" customWidth="1"/>
    <col min="8451" max="8458" width="14.28515625" style="1986" customWidth="1"/>
    <col min="8459" max="8459" width="17.42578125" style="1986" bestFit="1" customWidth="1"/>
    <col min="8460" max="8460" width="1.42578125" style="1986" customWidth="1"/>
    <col min="8461" max="8461" width="7.7109375" style="1986" customWidth="1"/>
    <col min="8462" max="8462" width="1.42578125" style="1986" customWidth="1"/>
    <col min="8463" max="8463" width="9.42578125" style="1986" customWidth="1"/>
    <col min="8464" max="8464" width="17.42578125" style="1986" customWidth="1"/>
    <col min="8465" max="8465" width="17.140625" style="1986" customWidth="1"/>
    <col min="8466" max="8466" width="9.42578125" style="1986" customWidth="1"/>
    <col min="8467" max="8467" width="8.85546875" style="1986" customWidth="1"/>
    <col min="8468" max="8704" width="9.42578125" style="1986"/>
    <col min="8705" max="8705" width="14.85546875" style="1986" bestFit="1" customWidth="1"/>
    <col min="8706" max="8706" width="16.7109375" style="1986" customWidth="1"/>
    <col min="8707" max="8714" width="14.28515625" style="1986" customWidth="1"/>
    <col min="8715" max="8715" width="17.42578125" style="1986" bestFit="1" customWidth="1"/>
    <col min="8716" max="8716" width="1.42578125" style="1986" customWidth="1"/>
    <col min="8717" max="8717" width="7.7109375" style="1986" customWidth="1"/>
    <col min="8718" max="8718" width="1.42578125" style="1986" customWidth="1"/>
    <col min="8719" max="8719" width="9.42578125" style="1986" customWidth="1"/>
    <col min="8720" max="8720" width="17.42578125" style="1986" customWidth="1"/>
    <col min="8721" max="8721" width="17.140625" style="1986" customWidth="1"/>
    <col min="8722" max="8722" width="9.42578125" style="1986" customWidth="1"/>
    <col min="8723" max="8723" width="8.85546875" style="1986" customWidth="1"/>
    <col min="8724" max="8960" width="9.42578125" style="1986"/>
    <col min="8961" max="8961" width="14.85546875" style="1986" bestFit="1" customWidth="1"/>
    <col min="8962" max="8962" width="16.7109375" style="1986" customWidth="1"/>
    <col min="8963" max="8970" width="14.28515625" style="1986" customWidth="1"/>
    <col min="8971" max="8971" width="17.42578125" style="1986" bestFit="1" customWidth="1"/>
    <col min="8972" max="8972" width="1.42578125" style="1986" customWidth="1"/>
    <col min="8973" max="8973" width="7.7109375" style="1986" customWidth="1"/>
    <col min="8974" max="8974" width="1.42578125" style="1986" customWidth="1"/>
    <col min="8975" max="8975" width="9.42578125" style="1986" customWidth="1"/>
    <col min="8976" max="8976" width="17.42578125" style="1986" customWidth="1"/>
    <col min="8977" max="8977" width="17.140625" style="1986" customWidth="1"/>
    <col min="8978" max="8978" width="9.42578125" style="1986" customWidth="1"/>
    <col min="8979" max="8979" width="8.85546875" style="1986" customWidth="1"/>
    <col min="8980" max="9216" width="9.42578125" style="1986"/>
    <col min="9217" max="9217" width="14.85546875" style="1986" bestFit="1" customWidth="1"/>
    <col min="9218" max="9218" width="16.7109375" style="1986" customWidth="1"/>
    <col min="9219" max="9226" width="14.28515625" style="1986" customWidth="1"/>
    <col min="9227" max="9227" width="17.42578125" style="1986" bestFit="1" customWidth="1"/>
    <col min="9228" max="9228" width="1.42578125" style="1986" customWidth="1"/>
    <col min="9229" max="9229" width="7.7109375" style="1986" customWidth="1"/>
    <col min="9230" max="9230" width="1.42578125" style="1986" customWidth="1"/>
    <col min="9231" max="9231" width="9.42578125" style="1986" customWidth="1"/>
    <col min="9232" max="9232" width="17.42578125" style="1986" customWidth="1"/>
    <col min="9233" max="9233" width="17.140625" style="1986" customWidth="1"/>
    <col min="9234" max="9234" width="9.42578125" style="1986" customWidth="1"/>
    <col min="9235" max="9235" width="8.85546875" style="1986" customWidth="1"/>
    <col min="9236" max="9472" width="9.42578125" style="1986"/>
    <col min="9473" max="9473" width="14.85546875" style="1986" bestFit="1" customWidth="1"/>
    <col min="9474" max="9474" width="16.7109375" style="1986" customWidth="1"/>
    <col min="9475" max="9482" width="14.28515625" style="1986" customWidth="1"/>
    <col min="9483" max="9483" width="17.42578125" style="1986" bestFit="1" customWidth="1"/>
    <col min="9484" max="9484" width="1.42578125" style="1986" customWidth="1"/>
    <col min="9485" max="9485" width="7.7109375" style="1986" customWidth="1"/>
    <col min="9486" max="9486" width="1.42578125" style="1986" customWidth="1"/>
    <col min="9487" max="9487" width="9.42578125" style="1986" customWidth="1"/>
    <col min="9488" max="9488" width="17.42578125" style="1986" customWidth="1"/>
    <col min="9489" max="9489" width="17.140625" style="1986" customWidth="1"/>
    <col min="9490" max="9490" width="9.42578125" style="1986" customWidth="1"/>
    <col min="9491" max="9491" width="8.85546875" style="1986" customWidth="1"/>
    <col min="9492" max="9728" width="9.42578125" style="1986"/>
    <col min="9729" max="9729" width="14.85546875" style="1986" bestFit="1" customWidth="1"/>
    <col min="9730" max="9730" width="16.7109375" style="1986" customWidth="1"/>
    <col min="9731" max="9738" width="14.28515625" style="1986" customWidth="1"/>
    <col min="9739" max="9739" width="17.42578125" style="1986" bestFit="1" customWidth="1"/>
    <col min="9740" max="9740" width="1.42578125" style="1986" customWidth="1"/>
    <col min="9741" max="9741" width="7.7109375" style="1986" customWidth="1"/>
    <col min="9742" max="9742" width="1.42578125" style="1986" customWidth="1"/>
    <col min="9743" max="9743" width="9.42578125" style="1986" customWidth="1"/>
    <col min="9744" max="9744" width="17.42578125" style="1986" customWidth="1"/>
    <col min="9745" max="9745" width="17.140625" style="1986" customWidth="1"/>
    <col min="9746" max="9746" width="9.42578125" style="1986" customWidth="1"/>
    <col min="9747" max="9747" width="8.85546875" style="1986" customWidth="1"/>
    <col min="9748" max="9984" width="9.42578125" style="1986"/>
    <col min="9985" max="9985" width="14.85546875" style="1986" bestFit="1" customWidth="1"/>
    <col min="9986" max="9986" width="16.7109375" style="1986" customWidth="1"/>
    <col min="9987" max="9994" width="14.28515625" style="1986" customWidth="1"/>
    <col min="9995" max="9995" width="17.42578125" style="1986" bestFit="1" customWidth="1"/>
    <col min="9996" max="9996" width="1.42578125" style="1986" customWidth="1"/>
    <col min="9997" max="9997" width="7.7109375" style="1986" customWidth="1"/>
    <col min="9998" max="9998" width="1.42578125" style="1986" customWidth="1"/>
    <col min="9999" max="9999" width="9.42578125" style="1986" customWidth="1"/>
    <col min="10000" max="10000" width="17.42578125" style="1986" customWidth="1"/>
    <col min="10001" max="10001" width="17.140625" style="1986" customWidth="1"/>
    <col min="10002" max="10002" width="9.42578125" style="1986" customWidth="1"/>
    <col min="10003" max="10003" width="8.85546875" style="1986" customWidth="1"/>
    <col min="10004" max="10240" width="9.42578125" style="1986"/>
    <col min="10241" max="10241" width="14.85546875" style="1986" bestFit="1" customWidth="1"/>
    <col min="10242" max="10242" width="16.7109375" style="1986" customWidth="1"/>
    <col min="10243" max="10250" width="14.28515625" style="1986" customWidth="1"/>
    <col min="10251" max="10251" width="17.42578125" style="1986" bestFit="1" customWidth="1"/>
    <col min="10252" max="10252" width="1.42578125" style="1986" customWidth="1"/>
    <col min="10253" max="10253" width="7.7109375" style="1986" customWidth="1"/>
    <col min="10254" max="10254" width="1.42578125" style="1986" customWidth="1"/>
    <col min="10255" max="10255" width="9.42578125" style="1986" customWidth="1"/>
    <col min="10256" max="10256" width="17.42578125" style="1986" customWidth="1"/>
    <col min="10257" max="10257" width="17.140625" style="1986" customWidth="1"/>
    <col min="10258" max="10258" width="9.42578125" style="1986" customWidth="1"/>
    <col min="10259" max="10259" width="8.85546875" style="1986" customWidth="1"/>
    <col min="10260" max="10496" width="9.42578125" style="1986"/>
    <col min="10497" max="10497" width="14.85546875" style="1986" bestFit="1" customWidth="1"/>
    <col min="10498" max="10498" width="16.7109375" style="1986" customWidth="1"/>
    <col min="10499" max="10506" width="14.28515625" style="1986" customWidth="1"/>
    <col min="10507" max="10507" width="17.42578125" style="1986" bestFit="1" customWidth="1"/>
    <col min="10508" max="10508" width="1.42578125" style="1986" customWidth="1"/>
    <col min="10509" max="10509" width="7.7109375" style="1986" customWidth="1"/>
    <col min="10510" max="10510" width="1.42578125" style="1986" customWidth="1"/>
    <col min="10511" max="10511" width="9.42578125" style="1986" customWidth="1"/>
    <col min="10512" max="10512" width="17.42578125" style="1986" customWidth="1"/>
    <col min="10513" max="10513" width="17.140625" style="1986" customWidth="1"/>
    <col min="10514" max="10514" width="9.42578125" style="1986" customWidth="1"/>
    <col min="10515" max="10515" width="8.85546875" style="1986" customWidth="1"/>
    <col min="10516" max="10752" width="9.42578125" style="1986"/>
    <col min="10753" max="10753" width="14.85546875" style="1986" bestFit="1" customWidth="1"/>
    <col min="10754" max="10754" width="16.7109375" style="1986" customWidth="1"/>
    <col min="10755" max="10762" width="14.28515625" style="1986" customWidth="1"/>
    <col min="10763" max="10763" width="17.42578125" style="1986" bestFit="1" customWidth="1"/>
    <col min="10764" max="10764" width="1.42578125" style="1986" customWidth="1"/>
    <col min="10765" max="10765" width="7.7109375" style="1986" customWidth="1"/>
    <col min="10766" max="10766" width="1.42578125" style="1986" customWidth="1"/>
    <col min="10767" max="10767" width="9.42578125" style="1986" customWidth="1"/>
    <col min="10768" max="10768" width="17.42578125" style="1986" customWidth="1"/>
    <col min="10769" max="10769" width="17.140625" style="1986" customWidth="1"/>
    <col min="10770" max="10770" width="9.42578125" style="1986" customWidth="1"/>
    <col min="10771" max="10771" width="8.85546875" style="1986" customWidth="1"/>
    <col min="10772" max="11008" width="9.42578125" style="1986"/>
    <col min="11009" max="11009" width="14.85546875" style="1986" bestFit="1" customWidth="1"/>
    <col min="11010" max="11010" width="16.7109375" style="1986" customWidth="1"/>
    <col min="11011" max="11018" width="14.28515625" style="1986" customWidth="1"/>
    <col min="11019" max="11019" width="17.42578125" style="1986" bestFit="1" customWidth="1"/>
    <col min="11020" max="11020" width="1.42578125" style="1986" customWidth="1"/>
    <col min="11021" max="11021" width="7.7109375" style="1986" customWidth="1"/>
    <col min="11022" max="11022" width="1.42578125" style="1986" customWidth="1"/>
    <col min="11023" max="11023" width="9.42578125" style="1986" customWidth="1"/>
    <col min="11024" max="11024" width="17.42578125" style="1986" customWidth="1"/>
    <col min="11025" max="11025" width="17.140625" style="1986" customWidth="1"/>
    <col min="11026" max="11026" width="9.42578125" style="1986" customWidth="1"/>
    <col min="11027" max="11027" width="8.85546875" style="1986" customWidth="1"/>
    <col min="11028" max="11264" width="9.42578125" style="1986"/>
    <col min="11265" max="11265" width="14.85546875" style="1986" bestFit="1" customWidth="1"/>
    <col min="11266" max="11266" width="16.7109375" style="1986" customWidth="1"/>
    <col min="11267" max="11274" width="14.28515625" style="1986" customWidth="1"/>
    <col min="11275" max="11275" width="17.42578125" style="1986" bestFit="1" customWidth="1"/>
    <col min="11276" max="11276" width="1.42578125" style="1986" customWidth="1"/>
    <col min="11277" max="11277" width="7.7109375" style="1986" customWidth="1"/>
    <col min="11278" max="11278" width="1.42578125" style="1986" customWidth="1"/>
    <col min="11279" max="11279" width="9.42578125" style="1986" customWidth="1"/>
    <col min="11280" max="11280" width="17.42578125" style="1986" customWidth="1"/>
    <col min="11281" max="11281" width="17.140625" style="1986" customWidth="1"/>
    <col min="11282" max="11282" width="9.42578125" style="1986" customWidth="1"/>
    <col min="11283" max="11283" width="8.85546875" style="1986" customWidth="1"/>
    <col min="11284" max="11520" width="9.42578125" style="1986"/>
    <col min="11521" max="11521" width="14.85546875" style="1986" bestFit="1" customWidth="1"/>
    <col min="11522" max="11522" width="16.7109375" style="1986" customWidth="1"/>
    <col min="11523" max="11530" width="14.28515625" style="1986" customWidth="1"/>
    <col min="11531" max="11531" width="17.42578125" style="1986" bestFit="1" customWidth="1"/>
    <col min="11532" max="11532" width="1.42578125" style="1986" customWidth="1"/>
    <col min="11533" max="11533" width="7.7109375" style="1986" customWidth="1"/>
    <col min="11534" max="11534" width="1.42578125" style="1986" customWidth="1"/>
    <col min="11535" max="11535" width="9.42578125" style="1986" customWidth="1"/>
    <col min="11536" max="11536" width="17.42578125" style="1986" customWidth="1"/>
    <col min="11537" max="11537" width="17.140625" style="1986" customWidth="1"/>
    <col min="11538" max="11538" width="9.42578125" style="1986" customWidth="1"/>
    <col min="11539" max="11539" width="8.85546875" style="1986" customWidth="1"/>
    <col min="11540" max="11776" width="9.42578125" style="1986"/>
    <col min="11777" max="11777" width="14.85546875" style="1986" bestFit="1" customWidth="1"/>
    <col min="11778" max="11778" width="16.7109375" style="1986" customWidth="1"/>
    <col min="11779" max="11786" width="14.28515625" style="1986" customWidth="1"/>
    <col min="11787" max="11787" width="17.42578125" style="1986" bestFit="1" customWidth="1"/>
    <col min="11788" max="11788" width="1.42578125" style="1986" customWidth="1"/>
    <col min="11789" max="11789" width="7.7109375" style="1986" customWidth="1"/>
    <col min="11790" max="11790" width="1.42578125" style="1986" customWidth="1"/>
    <col min="11791" max="11791" width="9.42578125" style="1986" customWidth="1"/>
    <col min="11792" max="11792" width="17.42578125" style="1986" customWidth="1"/>
    <col min="11793" max="11793" width="17.140625" style="1986" customWidth="1"/>
    <col min="11794" max="11794" width="9.42578125" style="1986" customWidth="1"/>
    <col min="11795" max="11795" width="8.85546875" style="1986" customWidth="1"/>
    <col min="11796" max="12032" width="9.42578125" style="1986"/>
    <col min="12033" max="12033" width="14.85546875" style="1986" bestFit="1" customWidth="1"/>
    <col min="12034" max="12034" width="16.7109375" style="1986" customWidth="1"/>
    <col min="12035" max="12042" width="14.28515625" style="1986" customWidth="1"/>
    <col min="12043" max="12043" width="17.42578125" style="1986" bestFit="1" customWidth="1"/>
    <col min="12044" max="12044" width="1.42578125" style="1986" customWidth="1"/>
    <col min="12045" max="12045" width="7.7109375" style="1986" customWidth="1"/>
    <col min="12046" max="12046" width="1.42578125" style="1986" customWidth="1"/>
    <col min="12047" max="12047" width="9.42578125" style="1986" customWidth="1"/>
    <col min="12048" max="12048" width="17.42578125" style="1986" customWidth="1"/>
    <col min="12049" max="12049" width="17.140625" style="1986" customWidth="1"/>
    <col min="12050" max="12050" width="9.42578125" style="1986" customWidth="1"/>
    <col min="12051" max="12051" width="8.85546875" style="1986" customWidth="1"/>
    <col min="12052" max="12288" width="9.42578125" style="1986"/>
    <col min="12289" max="12289" width="14.85546875" style="1986" bestFit="1" customWidth="1"/>
    <col min="12290" max="12290" width="16.7109375" style="1986" customWidth="1"/>
    <col min="12291" max="12298" width="14.28515625" style="1986" customWidth="1"/>
    <col min="12299" max="12299" width="17.42578125" style="1986" bestFit="1" customWidth="1"/>
    <col min="12300" max="12300" width="1.42578125" style="1986" customWidth="1"/>
    <col min="12301" max="12301" width="7.7109375" style="1986" customWidth="1"/>
    <col min="12302" max="12302" width="1.42578125" style="1986" customWidth="1"/>
    <col min="12303" max="12303" width="9.42578125" style="1986" customWidth="1"/>
    <col min="12304" max="12304" width="17.42578125" style="1986" customWidth="1"/>
    <col min="12305" max="12305" width="17.140625" style="1986" customWidth="1"/>
    <col min="12306" max="12306" width="9.42578125" style="1986" customWidth="1"/>
    <col min="12307" max="12307" width="8.85546875" style="1986" customWidth="1"/>
    <col min="12308" max="12544" width="9.42578125" style="1986"/>
    <col min="12545" max="12545" width="14.85546875" style="1986" bestFit="1" customWidth="1"/>
    <col min="12546" max="12546" width="16.7109375" style="1986" customWidth="1"/>
    <col min="12547" max="12554" width="14.28515625" style="1986" customWidth="1"/>
    <col min="12555" max="12555" width="17.42578125" style="1986" bestFit="1" customWidth="1"/>
    <col min="12556" max="12556" width="1.42578125" style="1986" customWidth="1"/>
    <col min="12557" max="12557" width="7.7109375" style="1986" customWidth="1"/>
    <col min="12558" max="12558" width="1.42578125" style="1986" customWidth="1"/>
    <col min="12559" max="12559" width="9.42578125" style="1986" customWidth="1"/>
    <col min="12560" max="12560" width="17.42578125" style="1986" customWidth="1"/>
    <col min="12561" max="12561" width="17.140625" style="1986" customWidth="1"/>
    <col min="12562" max="12562" width="9.42578125" style="1986" customWidth="1"/>
    <col min="12563" max="12563" width="8.85546875" style="1986" customWidth="1"/>
    <col min="12564" max="12800" width="9.42578125" style="1986"/>
    <col min="12801" max="12801" width="14.85546875" style="1986" bestFit="1" customWidth="1"/>
    <col min="12802" max="12802" width="16.7109375" style="1986" customWidth="1"/>
    <col min="12803" max="12810" width="14.28515625" style="1986" customWidth="1"/>
    <col min="12811" max="12811" width="17.42578125" style="1986" bestFit="1" customWidth="1"/>
    <col min="12812" max="12812" width="1.42578125" style="1986" customWidth="1"/>
    <col min="12813" max="12813" width="7.7109375" style="1986" customWidth="1"/>
    <col min="12814" max="12814" width="1.42578125" style="1986" customWidth="1"/>
    <col min="12815" max="12815" width="9.42578125" style="1986" customWidth="1"/>
    <col min="12816" max="12816" width="17.42578125" style="1986" customWidth="1"/>
    <col min="12817" max="12817" width="17.140625" style="1986" customWidth="1"/>
    <col min="12818" max="12818" width="9.42578125" style="1986" customWidth="1"/>
    <col min="12819" max="12819" width="8.85546875" style="1986" customWidth="1"/>
    <col min="12820" max="13056" width="9.42578125" style="1986"/>
    <col min="13057" max="13057" width="14.85546875" style="1986" bestFit="1" customWidth="1"/>
    <col min="13058" max="13058" width="16.7109375" style="1986" customWidth="1"/>
    <col min="13059" max="13066" width="14.28515625" style="1986" customWidth="1"/>
    <col min="13067" max="13067" width="17.42578125" style="1986" bestFit="1" customWidth="1"/>
    <col min="13068" max="13068" width="1.42578125" style="1986" customWidth="1"/>
    <col min="13069" max="13069" width="7.7109375" style="1986" customWidth="1"/>
    <col min="13070" max="13070" width="1.42578125" style="1986" customWidth="1"/>
    <col min="13071" max="13071" width="9.42578125" style="1986" customWidth="1"/>
    <col min="13072" max="13072" width="17.42578125" style="1986" customWidth="1"/>
    <col min="13073" max="13073" width="17.140625" style="1986" customWidth="1"/>
    <col min="13074" max="13074" width="9.42578125" style="1986" customWidth="1"/>
    <col min="13075" max="13075" width="8.85546875" style="1986" customWidth="1"/>
    <col min="13076" max="13312" width="9.42578125" style="1986"/>
    <col min="13313" max="13313" width="14.85546875" style="1986" bestFit="1" customWidth="1"/>
    <col min="13314" max="13314" width="16.7109375" style="1986" customWidth="1"/>
    <col min="13315" max="13322" width="14.28515625" style="1986" customWidth="1"/>
    <col min="13323" max="13323" width="17.42578125" style="1986" bestFit="1" customWidth="1"/>
    <col min="13324" max="13324" width="1.42578125" style="1986" customWidth="1"/>
    <col min="13325" max="13325" width="7.7109375" style="1986" customWidth="1"/>
    <col min="13326" max="13326" width="1.42578125" style="1986" customWidth="1"/>
    <col min="13327" max="13327" width="9.42578125" style="1986" customWidth="1"/>
    <col min="13328" max="13328" width="17.42578125" style="1986" customWidth="1"/>
    <col min="13329" max="13329" width="17.140625" style="1986" customWidth="1"/>
    <col min="13330" max="13330" width="9.42578125" style="1986" customWidth="1"/>
    <col min="13331" max="13331" width="8.85546875" style="1986" customWidth="1"/>
    <col min="13332" max="13568" width="9.42578125" style="1986"/>
    <col min="13569" max="13569" width="14.85546875" style="1986" bestFit="1" customWidth="1"/>
    <col min="13570" max="13570" width="16.7109375" style="1986" customWidth="1"/>
    <col min="13571" max="13578" width="14.28515625" style="1986" customWidth="1"/>
    <col min="13579" max="13579" width="17.42578125" style="1986" bestFit="1" customWidth="1"/>
    <col min="13580" max="13580" width="1.42578125" style="1986" customWidth="1"/>
    <col min="13581" max="13581" width="7.7109375" style="1986" customWidth="1"/>
    <col min="13582" max="13582" width="1.42578125" style="1986" customWidth="1"/>
    <col min="13583" max="13583" width="9.42578125" style="1986" customWidth="1"/>
    <col min="13584" max="13584" width="17.42578125" style="1986" customWidth="1"/>
    <col min="13585" max="13585" width="17.140625" style="1986" customWidth="1"/>
    <col min="13586" max="13586" width="9.42578125" style="1986" customWidth="1"/>
    <col min="13587" max="13587" width="8.85546875" style="1986" customWidth="1"/>
    <col min="13588" max="13824" width="9.42578125" style="1986"/>
    <col min="13825" max="13825" width="14.85546875" style="1986" bestFit="1" customWidth="1"/>
    <col min="13826" max="13826" width="16.7109375" style="1986" customWidth="1"/>
    <col min="13827" max="13834" width="14.28515625" style="1986" customWidth="1"/>
    <col min="13835" max="13835" width="17.42578125" style="1986" bestFit="1" customWidth="1"/>
    <col min="13836" max="13836" width="1.42578125" style="1986" customWidth="1"/>
    <col min="13837" max="13837" width="7.7109375" style="1986" customWidth="1"/>
    <col min="13838" max="13838" width="1.42578125" style="1986" customWidth="1"/>
    <col min="13839" max="13839" width="9.42578125" style="1986" customWidth="1"/>
    <col min="13840" max="13840" width="17.42578125" style="1986" customWidth="1"/>
    <col min="13841" max="13841" width="17.140625" style="1986" customWidth="1"/>
    <col min="13842" max="13842" width="9.42578125" style="1986" customWidth="1"/>
    <col min="13843" max="13843" width="8.85546875" style="1986" customWidth="1"/>
    <col min="13844" max="14080" width="9.42578125" style="1986"/>
    <col min="14081" max="14081" width="14.85546875" style="1986" bestFit="1" customWidth="1"/>
    <col min="14082" max="14082" width="16.7109375" style="1986" customWidth="1"/>
    <col min="14083" max="14090" width="14.28515625" style="1986" customWidth="1"/>
    <col min="14091" max="14091" width="17.42578125" style="1986" bestFit="1" customWidth="1"/>
    <col min="14092" max="14092" width="1.42578125" style="1986" customWidth="1"/>
    <col min="14093" max="14093" width="7.7109375" style="1986" customWidth="1"/>
    <col min="14094" max="14094" width="1.42578125" style="1986" customWidth="1"/>
    <col min="14095" max="14095" width="9.42578125" style="1986" customWidth="1"/>
    <col min="14096" max="14096" width="17.42578125" style="1986" customWidth="1"/>
    <col min="14097" max="14097" width="17.140625" style="1986" customWidth="1"/>
    <col min="14098" max="14098" width="9.42578125" style="1986" customWidth="1"/>
    <col min="14099" max="14099" width="8.85546875" style="1986" customWidth="1"/>
    <col min="14100" max="14336" width="9.42578125" style="1986"/>
    <col min="14337" max="14337" width="14.85546875" style="1986" bestFit="1" customWidth="1"/>
    <col min="14338" max="14338" width="16.7109375" style="1986" customWidth="1"/>
    <col min="14339" max="14346" width="14.28515625" style="1986" customWidth="1"/>
    <col min="14347" max="14347" width="17.42578125" style="1986" bestFit="1" customWidth="1"/>
    <col min="14348" max="14348" width="1.42578125" style="1986" customWidth="1"/>
    <col min="14349" max="14349" width="7.7109375" style="1986" customWidth="1"/>
    <col min="14350" max="14350" width="1.42578125" style="1986" customWidth="1"/>
    <col min="14351" max="14351" width="9.42578125" style="1986" customWidth="1"/>
    <col min="14352" max="14352" width="17.42578125" style="1986" customWidth="1"/>
    <col min="14353" max="14353" width="17.140625" style="1986" customWidth="1"/>
    <col min="14354" max="14354" width="9.42578125" style="1986" customWidth="1"/>
    <col min="14355" max="14355" width="8.85546875" style="1986" customWidth="1"/>
    <col min="14356" max="14592" width="9.42578125" style="1986"/>
    <col min="14593" max="14593" width="14.85546875" style="1986" bestFit="1" customWidth="1"/>
    <col min="14594" max="14594" width="16.7109375" style="1986" customWidth="1"/>
    <col min="14595" max="14602" width="14.28515625" style="1986" customWidth="1"/>
    <col min="14603" max="14603" width="17.42578125" style="1986" bestFit="1" customWidth="1"/>
    <col min="14604" max="14604" width="1.42578125" style="1986" customWidth="1"/>
    <col min="14605" max="14605" width="7.7109375" style="1986" customWidth="1"/>
    <col min="14606" max="14606" width="1.42578125" style="1986" customWidth="1"/>
    <col min="14607" max="14607" width="9.42578125" style="1986" customWidth="1"/>
    <col min="14608" max="14608" width="17.42578125" style="1986" customWidth="1"/>
    <col min="14609" max="14609" width="17.140625" style="1986" customWidth="1"/>
    <col min="14610" max="14610" width="9.42578125" style="1986" customWidth="1"/>
    <col min="14611" max="14611" width="8.85546875" style="1986" customWidth="1"/>
    <col min="14612" max="14848" width="9.42578125" style="1986"/>
    <col min="14849" max="14849" width="14.85546875" style="1986" bestFit="1" customWidth="1"/>
    <col min="14850" max="14850" width="16.7109375" style="1986" customWidth="1"/>
    <col min="14851" max="14858" width="14.28515625" style="1986" customWidth="1"/>
    <col min="14859" max="14859" width="17.42578125" style="1986" bestFit="1" customWidth="1"/>
    <col min="14860" max="14860" width="1.42578125" style="1986" customWidth="1"/>
    <col min="14861" max="14861" width="7.7109375" style="1986" customWidth="1"/>
    <col min="14862" max="14862" width="1.42578125" style="1986" customWidth="1"/>
    <col min="14863" max="14863" width="9.42578125" style="1986" customWidth="1"/>
    <col min="14864" max="14864" width="17.42578125" style="1986" customWidth="1"/>
    <col min="14865" max="14865" width="17.140625" style="1986" customWidth="1"/>
    <col min="14866" max="14866" width="9.42578125" style="1986" customWidth="1"/>
    <col min="14867" max="14867" width="8.85546875" style="1986" customWidth="1"/>
    <col min="14868" max="15104" width="9.42578125" style="1986"/>
    <col min="15105" max="15105" width="14.85546875" style="1986" bestFit="1" customWidth="1"/>
    <col min="15106" max="15106" width="16.7109375" style="1986" customWidth="1"/>
    <col min="15107" max="15114" width="14.28515625" style="1986" customWidth="1"/>
    <col min="15115" max="15115" width="17.42578125" style="1986" bestFit="1" customWidth="1"/>
    <col min="15116" max="15116" width="1.42578125" style="1986" customWidth="1"/>
    <col min="15117" max="15117" width="7.7109375" style="1986" customWidth="1"/>
    <col min="15118" max="15118" width="1.42578125" style="1986" customWidth="1"/>
    <col min="15119" max="15119" width="9.42578125" style="1986" customWidth="1"/>
    <col min="15120" max="15120" width="17.42578125" style="1986" customWidth="1"/>
    <col min="15121" max="15121" width="17.140625" style="1986" customWidth="1"/>
    <col min="15122" max="15122" width="9.42578125" style="1986" customWidth="1"/>
    <col min="15123" max="15123" width="8.85546875" style="1986" customWidth="1"/>
    <col min="15124" max="15360" width="9.42578125" style="1986"/>
    <col min="15361" max="15361" width="14.85546875" style="1986" bestFit="1" customWidth="1"/>
    <col min="15362" max="15362" width="16.7109375" style="1986" customWidth="1"/>
    <col min="15363" max="15370" width="14.28515625" style="1986" customWidth="1"/>
    <col min="15371" max="15371" width="17.42578125" style="1986" bestFit="1" customWidth="1"/>
    <col min="15372" max="15372" width="1.42578125" style="1986" customWidth="1"/>
    <col min="15373" max="15373" width="7.7109375" style="1986" customWidth="1"/>
    <col min="15374" max="15374" width="1.42578125" style="1986" customWidth="1"/>
    <col min="15375" max="15375" width="9.42578125" style="1986" customWidth="1"/>
    <col min="15376" max="15376" width="17.42578125" style="1986" customWidth="1"/>
    <col min="15377" max="15377" width="17.140625" style="1986" customWidth="1"/>
    <col min="15378" max="15378" width="9.42578125" style="1986" customWidth="1"/>
    <col min="15379" max="15379" width="8.85546875" style="1986" customWidth="1"/>
    <col min="15380" max="15616" width="9.42578125" style="1986"/>
    <col min="15617" max="15617" width="14.85546875" style="1986" bestFit="1" customWidth="1"/>
    <col min="15618" max="15618" width="16.7109375" style="1986" customWidth="1"/>
    <col min="15619" max="15626" width="14.28515625" style="1986" customWidth="1"/>
    <col min="15627" max="15627" width="17.42578125" style="1986" bestFit="1" customWidth="1"/>
    <col min="15628" max="15628" width="1.42578125" style="1986" customWidth="1"/>
    <col min="15629" max="15629" width="7.7109375" style="1986" customWidth="1"/>
    <col min="15630" max="15630" width="1.42578125" style="1986" customWidth="1"/>
    <col min="15631" max="15631" width="9.42578125" style="1986" customWidth="1"/>
    <col min="15632" max="15632" width="17.42578125" style="1986" customWidth="1"/>
    <col min="15633" max="15633" width="17.140625" style="1986" customWidth="1"/>
    <col min="15634" max="15634" width="9.42578125" style="1986" customWidth="1"/>
    <col min="15635" max="15635" width="8.85546875" style="1986" customWidth="1"/>
    <col min="15636" max="15872" width="9.42578125" style="1986"/>
    <col min="15873" max="15873" width="14.85546875" style="1986" bestFit="1" customWidth="1"/>
    <col min="15874" max="15874" width="16.7109375" style="1986" customWidth="1"/>
    <col min="15875" max="15882" width="14.28515625" style="1986" customWidth="1"/>
    <col min="15883" max="15883" width="17.42578125" style="1986" bestFit="1" customWidth="1"/>
    <col min="15884" max="15884" width="1.42578125" style="1986" customWidth="1"/>
    <col min="15885" max="15885" width="7.7109375" style="1986" customWidth="1"/>
    <col min="15886" max="15886" width="1.42578125" style="1986" customWidth="1"/>
    <col min="15887" max="15887" width="9.42578125" style="1986" customWidth="1"/>
    <col min="15888" max="15888" width="17.42578125" style="1986" customWidth="1"/>
    <col min="15889" max="15889" width="17.140625" style="1986" customWidth="1"/>
    <col min="15890" max="15890" width="9.42578125" style="1986" customWidth="1"/>
    <col min="15891" max="15891" width="8.85546875" style="1986" customWidth="1"/>
    <col min="15892" max="16128" width="9.42578125" style="1986"/>
    <col min="16129" max="16129" width="14.85546875" style="1986" bestFit="1" customWidth="1"/>
    <col min="16130" max="16130" width="16.7109375" style="1986" customWidth="1"/>
    <col min="16131" max="16138" width="14.28515625" style="1986" customWidth="1"/>
    <col min="16139" max="16139" width="17.42578125" style="1986" bestFit="1" customWidth="1"/>
    <col min="16140" max="16140" width="1.42578125" style="1986" customWidth="1"/>
    <col min="16141" max="16141" width="7.7109375" style="1986" customWidth="1"/>
    <col min="16142" max="16142" width="1.42578125" style="1986" customWidth="1"/>
    <col min="16143" max="16143" width="9.42578125" style="1986" customWidth="1"/>
    <col min="16144" max="16144" width="17.42578125" style="1986" customWidth="1"/>
    <col min="16145" max="16145" width="17.140625" style="1986" customWidth="1"/>
    <col min="16146" max="16146" width="9.42578125" style="1986" customWidth="1"/>
    <col min="16147" max="16147" width="8.85546875" style="1986" customWidth="1"/>
    <col min="16148" max="16384" width="9.42578125" style="1986"/>
  </cols>
  <sheetData>
    <row r="1" spans="3:17" ht="28.35" customHeight="1"/>
    <row r="2" spans="3:17" ht="28.35" customHeight="1">
      <c r="H2" s="1192"/>
    </row>
    <row r="3" spans="3:17" s="2848" customFormat="1" ht="28.35" customHeight="1">
      <c r="C3" s="4856" t="s">
        <v>1462</v>
      </c>
      <c r="D3" s="4856"/>
      <c r="E3" s="4856"/>
      <c r="F3" s="4856"/>
      <c r="G3" s="4856"/>
      <c r="H3" s="4856"/>
      <c r="I3" s="4856"/>
      <c r="J3" s="4856"/>
      <c r="K3" s="4856"/>
      <c r="L3" s="4856"/>
      <c r="M3" s="4856"/>
      <c r="N3" s="4856"/>
    </row>
    <row r="4" spans="3:17" s="2366" customFormat="1" ht="28.35" customHeight="1">
      <c r="C4" s="4713" t="s">
        <v>1463</v>
      </c>
      <c r="D4" s="4713"/>
      <c r="E4" s="4713"/>
      <c r="F4" s="4713"/>
      <c r="G4" s="4713"/>
      <c r="H4" s="4713"/>
      <c r="I4" s="4713"/>
      <c r="J4" s="4713"/>
      <c r="K4" s="4713"/>
      <c r="L4" s="4713"/>
      <c r="M4" s="4713"/>
      <c r="N4" s="4713"/>
    </row>
    <row r="5" spans="3:17" s="2362" customFormat="1" ht="17.100000000000001" customHeight="1">
      <c r="C5" s="1224" t="s">
        <v>1306</v>
      </c>
      <c r="D5" s="1265"/>
      <c r="E5" s="1274"/>
      <c r="F5" s="1275"/>
      <c r="G5" s="1274"/>
      <c r="H5" s="1274"/>
      <c r="I5" s="1274"/>
      <c r="J5" s="1274"/>
      <c r="K5" s="1274"/>
      <c r="L5" s="1265"/>
      <c r="M5" s="1975"/>
      <c r="N5" s="1276" t="s">
        <v>1343</v>
      </c>
    </row>
    <row r="6" spans="3:17" ht="4.3499999999999996" customHeight="1">
      <c r="C6" s="1220"/>
      <c r="D6" s="1220"/>
      <c r="E6" s="1220"/>
      <c r="F6" s="1220"/>
      <c r="G6" s="1220"/>
      <c r="H6" s="1220"/>
      <c r="I6" s="1220"/>
      <c r="J6" s="1222"/>
      <c r="K6" s="1222"/>
      <c r="L6" s="1222"/>
      <c r="M6" s="1223"/>
      <c r="N6" s="1224"/>
    </row>
    <row r="7" spans="3:17" s="2390" customFormat="1" ht="5.25" customHeight="1">
      <c r="C7" s="3316"/>
      <c r="D7" s="3317"/>
      <c r="E7" s="3318"/>
      <c r="F7" s="3318"/>
      <c r="G7" s="3318"/>
      <c r="H7" s="3319"/>
      <c r="I7" s="3318"/>
      <c r="J7" s="3318"/>
      <c r="K7" s="3320"/>
      <c r="L7" s="1407"/>
      <c r="M7" s="1407"/>
      <c r="N7" s="1230"/>
    </row>
    <row r="8" spans="3:17" s="2390" customFormat="1" ht="24.95" customHeight="1">
      <c r="C8" s="3321"/>
      <c r="D8" s="3322"/>
      <c r="E8" s="1605"/>
      <c r="F8" s="1603"/>
      <c r="G8" s="1605" t="s">
        <v>1439</v>
      </c>
      <c r="H8" s="1605" t="s">
        <v>1440</v>
      </c>
      <c r="I8" s="1605" t="s">
        <v>1441</v>
      </c>
      <c r="J8" s="1605"/>
      <c r="K8" s="3323"/>
      <c r="L8" s="1997"/>
      <c r="M8" s="1997"/>
      <c r="N8" s="1237"/>
    </row>
    <row r="9" spans="3:17" s="2390" customFormat="1" ht="24.95" customHeight="1">
      <c r="C9" s="3321" t="s">
        <v>1442</v>
      </c>
      <c r="D9" s="3322"/>
      <c r="E9" s="1605"/>
      <c r="F9" s="1605" t="s">
        <v>1443</v>
      </c>
      <c r="G9" s="1605" t="s">
        <v>1444</v>
      </c>
      <c r="H9" s="1605" t="s">
        <v>1445</v>
      </c>
      <c r="I9" s="1603" t="s">
        <v>34</v>
      </c>
      <c r="J9" s="1605" t="s">
        <v>1440</v>
      </c>
      <c r="K9" s="3323" t="s">
        <v>170</v>
      </c>
      <c r="L9" s="1997"/>
      <c r="M9" s="1997"/>
      <c r="N9" s="1237"/>
    </row>
    <row r="10" spans="3:17" s="2390" customFormat="1" ht="24.95" customHeight="1">
      <c r="C10" s="3321" t="s">
        <v>98</v>
      </c>
      <c r="D10" s="3322" t="s">
        <v>1446</v>
      </c>
      <c r="E10" s="1605" t="s">
        <v>1447</v>
      </c>
      <c r="F10" s="1603" t="s">
        <v>1448</v>
      </c>
      <c r="G10" s="1605" t="s">
        <v>1449</v>
      </c>
      <c r="H10" s="1603" t="s">
        <v>98</v>
      </c>
      <c r="I10" s="1605" t="s">
        <v>1450</v>
      </c>
      <c r="J10" s="1605" t="s">
        <v>1451</v>
      </c>
      <c r="K10" s="3323" t="s">
        <v>395</v>
      </c>
      <c r="L10" s="1997"/>
      <c r="M10" s="1997"/>
      <c r="N10" s="1237"/>
    </row>
    <row r="11" spans="3:17" s="2390" customFormat="1" ht="12" customHeight="1">
      <c r="C11" s="3324"/>
      <c r="D11" s="3325"/>
      <c r="E11" s="3323"/>
      <c r="F11" s="3323"/>
      <c r="G11" s="3323"/>
      <c r="H11" s="3326"/>
      <c r="I11" s="3327"/>
      <c r="J11" s="3323"/>
      <c r="K11" s="3323"/>
      <c r="L11" s="1997"/>
      <c r="M11" s="1997"/>
      <c r="N11" s="1237"/>
    </row>
    <row r="12" spans="3:17" s="2390" customFormat="1" ht="24.95" customHeight="1">
      <c r="C12" s="3321"/>
      <c r="D12" s="3322"/>
      <c r="E12" s="1605"/>
      <c r="F12" s="1605"/>
      <c r="G12" s="1605"/>
      <c r="H12" s="1605" t="s">
        <v>119</v>
      </c>
      <c r="I12" s="1605" t="s">
        <v>1452</v>
      </c>
      <c r="J12" s="1605"/>
      <c r="K12" s="3323"/>
      <c r="L12" s="1997"/>
      <c r="M12" s="1997"/>
      <c r="N12" s="1237"/>
    </row>
    <row r="13" spans="3:17" s="2399" customFormat="1" ht="17.100000000000001" customHeight="1">
      <c r="C13" s="3321" t="s">
        <v>119</v>
      </c>
      <c r="D13" s="3322"/>
      <c r="E13" s="1605"/>
      <c r="F13" s="1605"/>
      <c r="G13" s="1605"/>
      <c r="H13" s="1605" t="s">
        <v>1452</v>
      </c>
      <c r="I13" s="1605" t="s">
        <v>56</v>
      </c>
      <c r="J13" s="1605" t="s">
        <v>46</v>
      </c>
      <c r="K13" s="3323" t="s">
        <v>634</v>
      </c>
      <c r="L13" s="1997"/>
      <c r="M13" s="1283"/>
      <c r="N13" s="1237"/>
    </row>
    <row r="14" spans="3:17" s="2390" customFormat="1" ht="15.95" customHeight="1">
      <c r="C14" s="3328" t="s">
        <v>1453</v>
      </c>
      <c r="D14" s="3329" t="s">
        <v>946</v>
      </c>
      <c r="E14" s="3330" t="s">
        <v>1454</v>
      </c>
      <c r="F14" s="3330" t="s">
        <v>1455</v>
      </c>
      <c r="G14" s="3330" t="s">
        <v>1456</v>
      </c>
      <c r="H14" s="3330" t="s">
        <v>1453</v>
      </c>
      <c r="I14" s="3330" t="s">
        <v>1453</v>
      </c>
      <c r="J14" s="3330" t="s">
        <v>1453</v>
      </c>
      <c r="K14" s="3331" t="s">
        <v>187</v>
      </c>
      <c r="L14" s="1820"/>
      <c r="M14" s="2287"/>
      <c r="N14" s="1252"/>
    </row>
    <row r="15" spans="3:17" s="1999" customFormat="1" ht="23.1" customHeight="1">
      <c r="C15" s="1515">
        <v>4500</v>
      </c>
      <c r="D15" s="1162">
        <v>2298</v>
      </c>
      <c r="E15" s="1162">
        <v>750</v>
      </c>
      <c r="F15" s="1162">
        <v>784</v>
      </c>
      <c r="G15" s="1162">
        <v>11152</v>
      </c>
      <c r="H15" s="1162">
        <v>5375</v>
      </c>
      <c r="I15" s="1162">
        <v>19152</v>
      </c>
      <c r="J15" s="1162">
        <v>9547</v>
      </c>
      <c r="K15" s="1164">
        <f t="shared" ref="K15:K57" si="0">J15+I15+H15+G15+F15+E15+D15+C15</f>
        <v>53558</v>
      </c>
      <c r="L15" s="1474"/>
      <c r="M15" s="1475">
        <v>1964</v>
      </c>
      <c r="N15" s="1520"/>
      <c r="O15" s="3298"/>
      <c r="P15" s="3298"/>
      <c r="Q15" s="3298"/>
    </row>
    <row r="16" spans="3:17" s="1999" customFormat="1" ht="23.1" customHeight="1">
      <c r="C16" s="1492">
        <v>6020</v>
      </c>
      <c r="D16" s="1157">
        <v>2536</v>
      </c>
      <c r="E16" s="1157">
        <v>785</v>
      </c>
      <c r="F16" s="1157">
        <v>1316</v>
      </c>
      <c r="G16" s="1157">
        <v>8391</v>
      </c>
      <c r="H16" s="1157">
        <v>6171</v>
      </c>
      <c r="I16" s="1157">
        <v>20338</v>
      </c>
      <c r="J16" s="1157">
        <v>10495</v>
      </c>
      <c r="K16" s="1159">
        <f t="shared" si="0"/>
        <v>56052</v>
      </c>
      <c r="L16" s="1196"/>
      <c r="M16" s="1728">
        <v>1965</v>
      </c>
      <c r="N16" s="1519"/>
      <c r="O16" s="3298"/>
      <c r="P16" s="3298"/>
      <c r="Q16" s="3298"/>
    </row>
    <row r="17" spans="3:17" s="1999" customFormat="1" ht="23.1" customHeight="1">
      <c r="C17" s="1515">
        <v>6363</v>
      </c>
      <c r="D17" s="1162">
        <v>2860</v>
      </c>
      <c r="E17" s="1162">
        <v>1546</v>
      </c>
      <c r="F17" s="1162">
        <v>1998</v>
      </c>
      <c r="G17" s="1162">
        <v>11952</v>
      </c>
      <c r="H17" s="1162">
        <v>5942</v>
      </c>
      <c r="I17" s="1162">
        <v>24062</v>
      </c>
      <c r="J17" s="1162">
        <v>13488</v>
      </c>
      <c r="K17" s="1164">
        <f t="shared" si="0"/>
        <v>68211</v>
      </c>
      <c r="L17" s="1474"/>
      <c r="M17" s="1475">
        <v>1966</v>
      </c>
      <c r="N17" s="1520"/>
      <c r="O17" s="3298"/>
      <c r="P17" s="3298"/>
      <c r="Q17" s="3298"/>
    </row>
    <row r="18" spans="3:17" s="1999" customFormat="1" ht="23.1" customHeight="1">
      <c r="C18" s="1492">
        <v>6951</v>
      </c>
      <c r="D18" s="1157">
        <v>2034</v>
      </c>
      <c r="E18" s="1157">
        <v>1106</v>
      </c>
      <c r="F18" s="1157">
        <v>1473</v>
      </c>
      <c r="G18" s="1157">
        <v>6769</v>
      </c>
      <c r="H18" s="1157">
        <v>5203</v>
      </c>
      <c r="I18" s="1157">
        <v>20755</v>
      </c>
      <c r="J18" s="1157">
        <v>10757</v>
      </c>
      <c r="K18" s="1159">
        <f t="shared" si="0"/>
        <v>55048</v>
      </c>
      <c r="L18" s="1196"/>
      <c r="M18" s="1728">
        <v>1967</v>
      </c>
      <c r="N18" s="1519"/>
      <c r="O18" s="3298"/>
      <c r="P18" s="3298"/>
      <c r="Q18" s="3298"/>
    </row>
    <row r="19" spans="3:17" s="1999" customFormat="1" ht="23.1" customHeight="1">
      <c r="C19" s="1515">
        <v>7511</v>
      </c>
      <c r="D19" s="1162">
        <v>2894</v>
      </c>
      <c r="E19" s="1162">
        <v>1113</v>
      </c>
      <c r="F19" s="1162">
        <v>1639</v>
      </c>
      <c r="G19" s="1162">
        <v>6371</v>
      </c>
      <c r="H19" s="1162">
        <v>5746</v>
      </c>
      <c r="I19" s="1162">
        <v>21177</v>
      </c>
      <c r="J19" s="1162">
        <v>11041</v>
      </c>
      <c r="K19" s="1164">
        <f t="shared" si="0"/>
        <v>57492</v>
      </c>
      <c r="L19" s="1474"/>
      <c r="M19" s="1475">
        <v>1968</v>
      </c>
      <c r="N19" s="1520"/>
      <c r="O19" s="3298"/>
      <c r="P19" s="3298"/>
      <c r="Q19" s="3298"/>
    </row>
    <row r="20" spans="3:17" s="1999" customFormat="1" ht="23.1" customHeight="1">
      <c r="C20" s="1492">
        <v>6494</v>
      </c>
      <c r="D20" s="1157">
        <v>5149</v>
      </c>
      <c r="E20" s="1157">
        <v>1192</v>
      </c>
      <c r="F20" s="1157">
        <v>1750</v>
      </c>
      <c r="G20" s="1157">
        <v>6230</v>
      </c>
      <c r="H20" s="1157">
        <v>8238</v>
      </c>
      <c r="I20" s="1157">
        <v>24316</v>
      </c>
      <c r="J20" s="1157">
        <v>14383</v>
      </c>
      <c r="K20" s="1159">
        <f t="shared" si="0"/>
        <v>67752</v>
      </c>
      <c r="L20" s="1196"/>
      <c r="M20" s="1728">
        <v>1969</v>
      </c>
      <c r="N20" s="1519"/>
      <c r="O20" s="3298"/>
      <c r="P20" s="3298"/>
      <c r="Q20" s="3298"/>
    </row>
    <row r="21" spans="3:17" s="1999" customFormat="1" ht="23.1" customHeight="1">
      <c r="C21" s="1515">
        <v>6144</v>
      </c>
      <c r="D21" s="1162">
        <v>3869</v>
      </c>
      <c r="E21" s="1162">
        <v>1635</v>
      </c>
      <c r="F21" s="1162">
        <v>1497</v>
      </c>
      <c r="G21" s="1162">
        <v>7381</v>
      </c>
      <c r="H21" s="1162">
        <v>7948</v>
      </c>
      <c r="I21" s="1162">
        <v>24302</v>
      </c>
      <c r="J21" s="1162">
        <v>13106</v>
      </c>
      <c r="K21" s="1164">
        <f t="shared" si="0"/>
        <v>65882</v>
      </c>
      <c r="L21" s="1474"/>
      <c r="M21" s="1475">
        <v>1970</v>
      </c>
      <c r="N21" s="1520"/>
      <c r="O21" s="3298"/>
      <c r="P21" s="3298"/>
      <c r="Q21" s="3298"/>
    </row>
    <row r="22" spans="3:17" s="1999" customFormat="1" ht="23.1" customHeight="1">
      <c r="C22" s="1492">
        <v>9370</v>
      </c>
      <c r="D22" s="1157">
        <v>4191</v>
      </c>
      <c r="E22" s="1157">
        <v>1071</v>
      </c>
      <c r="F22" s="1157">
        <v>1556</v>
      </c>
      <c r="G22" s="1157">
        <v>18133</v>
      </c>
      <c r="H22" s="1157">
        <v>4028</v>
      </c>
      <c r="I22" s="1157">
        <v>21519</v>
      </c>
      <c r="J22" s="1157">
        <v>16759</v>
      </c>
      <c r="K22" s="1159">
        <f t="shared" si="0"/>
        <v>76627</v>
      </c>
      <c r="L22" s="1196"/>
      <c r="M22" s="1728">
        <v>1971</v>
      </c>
      <c r="N22" s="1519"/>
      <c r="O22" s="3298"/>
      <c r="P22" s="3298"/>
      <c r="Q22" s="3298"/>
    </row>
    <row r="23" spans="3:17" s="1999" customFormat="1" ht="23.1" customHeight="1">
      <c r="C23" s="1515">
        <v>17548</v>
      </c>
      <c r="D23" s="1162">
        <v>4598</v>
      </c>
      <c r="E23" s="1162">
        <v>1397</v>
      </c>
      <c r="F23" s="1162">
        <v>1997</v>
      </c>
      <c r="G23" s="1162">
        <v>16887</v>
      </c>
      <c r="H23" s="1162">
        <v>6508</v>
      </c>
      <c r="I23" s="1162">
        <v>29999</v>
      </c>
      <c r="J23" s="1162">
        <v>16376</v>
      </c>
      <c r="K23" s="1164">
        <f t="shared" si="0"/>
        <v>95310</v>
      </c>
      <c r="L23" s="1474"/>
      <c r="M23" s="1475">
        <v>1972</v>
      </c>
      <c r="N23" s="1520"/>
      <c r="O23" s="3298"/>
      <c r="P23" s="3298"/>
      <c r="Q23" s="3298"/>
    </row>
    <row r="24" spans="3:17" s="1999" customFormat="1" ht="23.1" customHeight="1">
      <c r="C24" s="1492">
        <v>26144</v>
      </c>
      <c r="D24" s="1157">
        <v>5349</v>
      </c>
      <c r="E24" s="1157">
        <v>1415</v>
      </c>
      <c r="F24" s="1157">
        <v>2087</v>
      </c>
      <c r="G24" s="1157">
        <v>11263</v>
      </c>
      <c r="H24" s="1157">
        <v>6569</v>
      </c>
      <c r="I24" s="1157">
        <v>33696</v>
      </c>
      <c r="J24" s="1157">
        <v>21724</v>
      </c>
      <c r="K24" s="1159">
        <f t="shared" si="0"/>
        <v>108247</v>
      </c>
      <c r="L24" s="1196"/>
      <c r="M24" s="1728">
        <v>1973</v>
      </c>
      <c r="N24" s="1519"/>
      <c r="O24" s="3298"/>
      <c r="P24" s="3298"/>
      <c r="Q24" s="3298"/>
    </row>
    <row r="25" spans="3:17" s="1999" customFormat="1" ht="23.1" customHeight="1">
      <c r="C25" s="1515">
        <v>34996</v>
      </c>
      <c r="D25" s="1162">
        <v>7379</v>
      </c>
      <c r="E25" s="1162">
        <v>2968</v>
      </c>
      <c r="F25" s="1162">
        <v>4322</v>
      </c>
      <c r="G25" s="1162">
        <v>17583</v>
      </c>
      <c r="H25" s="1162">
        <v>11334</v>
      </c>
      <c r="I25" s="1162">
        <v>51574</v>
      </c>
      <c r="J25" s="1162">
        <v>26451</v>
      </c>
      <c r="K25" s="1164">
        <f t="shared" si="0"/>
        <v>156607</v>
      </c>
      <c r="L25" s="1474"/>
      <c r="M25" s="1475">
        <v>1974</v>
      </c>
      <c r="N25" s="1520"/>
      <c r="O25" s="3298"/>
      <c r="P25" s="3298"/>
      <c r="Q25" s="3298"/>
    </row>
    <row r="26" spans="3:17" s="1999" customFormat="1" ht="23.1" customHeight="1">
      <c r="C26" s="1492">
        <v>29666</v>
      </c>
      <c r="D26" s="1157">
        <v>17106</v>
      </c>
      <c r="E26" s="1157">
        <v>4339</v>
      </c>
      <c r="F26" s="1157">
        <v>2695</v>
      </c>
      <c r="G26" s="1157">
        <v>24176</v>
      </c>
      <c r="H26" s="1157">
        <v>18445</v>
      </c>
      <c r="I26" s="1157">
        <v>91251</v>
      </c>
      <c r="J26" s="1157">
        <v>46335</v>
      </c>
      <c r="K26" s="1159">
        <f t="shared" si="0"/>
        <v>234013</v>
      </c>
      <c r="L26" s="1196"/>
      <c r="M26" s="1728">
        <v>1975</v>
      </c>
      <c r="N26" s="1519"/>
      <c r="O26" s="3298"/>
      <c r="P26" s="3298"/>
      <c r="Q26" s="3298"/>
    </row>
    <row r="27" spans="3:17" s="1999" customFormat="1" ht="23.1" customHeight="1">
      <c r="C27" s="1515">
        <f>41129+44</f>
        <v>41173</v>
      </c>
      <c r="D27" s="1162">
        <v>21512</v>
      </c>
      <c r="E27" s="1162">
        <v>13239</v>
      </c>
      <c r="F27" s="1162">
        <v>4586</v>
      </c>
      <c r="G27" s="1162">
        <v>31047</v>
      </c>
      <c r="H27" s="1162">
        <v>23562</v>
      </c>
      <c r="I27" s="1162">
        <v>143528</v>
      </c>
      <c r="J27" s="1162">
        <v>60892</v>
      </c>
      <c r="K27" s="1164">
        <f t="shared" si="0"/>
        <v>339539</v>
      </c>
      <c r="L27" s="1474"/>
      <c r="M27" s="1475">
        <v>1976</v>
      </c>
      <c r="N27" s="1520"/>
      <c r="O27" s="3298"/>
      <c r="P27" s="3298"/>
      <c r="Q27" s="3298"/>
    </row>
    <row r="28" spans="3:17" s="1999" customFormat="1" ht="23.1" customHeight="1">
      <c r="C28" s="1492">
        <v>56055</v>
      </c>
      <c r="D28" s="1157">
        <v>28717</v>
      </c>
      <c r="E28" s="1157">
        <v>4112</v>
      </c>
      <c r="F28" s="1157">
        <v>7425</v>
      </c>
      <c r="G28" s="1157">
        <v>67355</v>
      </c>
      <c r="H28" s="1157">
        <v>39217</v>
      </c>
      <c r="I28" s="1157">
        <v>179130</v>
      </c>
      <c r="J28" s="1157">
        <v>72507</v>
      </c>
      <c r="K28" s="1159">
        <f t="shared" si="0"/>
        <v>454518</v>
      </c>
      <c r="L28" s="1196"/>
      <c r="M28" s="1728">
        <v>1977</v>
      </c>
      <c r="N28" s="1519"/>
      <c r="O28" s="3298"/>
      <c r="P28" s="3298"/>
      <c r="Q28" s="3298"/>
    </row>
    <row r="29" spans="3:17" s="1999" customFormat="1" ht="23.1" customHeight="1">
      <c r="C29" s="1515">
        <v>58693</v>
      </c>
      <c r="D29" s="1162">
        <v>30819</v>
      </c>
      <c r="E29" s="1162">
        <v>2778</v>
      </c>
      <c r="F29" s="1162">
        <v>7199</v>
      </c>
      <c r="G29" s="1162">
        <v>33636</v>
      </c>
      <c r="H29" s="1162">
        <v>48706</v>
      </c>
      <c r="I29" s="1162">
        <v>190418</v>
      </c>
      <c r="J29" s="1162">
        <v>86577</v>
      </c>
      <c r="K29" s="1164">
        <f t="shared" si="0"/>
        <v>458826</v>
      </c>
      <c r="L29" s="1474"/>
      <c r="M29" s="1475">
        <v>1978</v>
      </c>
      <c r="N29" s="1520"/>
      <c r="O29" s="3298"/>
      <c r="P29" s="3298"/>
      <c r="Q29" s="3298"/>
    </row>
    <row r="30" spans="3:17" s="1999" customFormat="1" ht="23.1" customHeight="1">
      <c r="C30" s="1492">
        <v>78063</v>
      </c>
      <c r="D30" s="1157">
        <v>37312</v>
      </c>
      <c r="E30" s="1157">
        <v>3264</v>
      </c>
      <c r="F30" s="1157">
        <v>8486</v>
      </c>
      <c r="G30" s="1157">
        <v>43538</v>
      </c>
      <c r="H30" s="1157">
        <v>49460</v>
      </c>
      <c r="I30" s="1157">
        <v>255295</v>
      </c>
      <c r="J30" s="1157">
        <v>110248</v>
      </c>
      <c r="K30" s="1159">
        <f t="shared" si="0"/>
        <v>585666</v>
      </c>
      <c r="L30" s="1196"/>
      <c r="M30" s="1728">
        <v>1979</v>
      </c>
      <c r="N30" s="1519"/>
      <c r="O30" s="3298"/>
      <c r="P30" s="3298"/>
      <c r="Q30" s="3298"/>
    </row>
    <row r="31" spans="3:17" s="1999" customFormat="1" ht="23.1" customHeight="1">
      <c r="C31" s="1515">
        <v>92819</v>
      </c>
      <c r="D31" s="1162">
        <v>51338</v>
      </c>
      <c r="E31" s="1162">
        <v>1940</v>
      </c>
      <c r="F31" s="1162">
        <v>10012</v>
      </c>
      <c r="G31" s="1162">
        <v>61587</v>
      </c>
      <c r="H31" s="1162">
        <v>45876</v>
      </c>
      <c r="I31" s="1162">
        <v>303168</v>
      </c>
      <c r="J31" s="1162">
        <v>149237</v>
      </c>
      <c r="K31" s="1164">
        <f t="shared" si="0"/>
        <v>715977</v>
      </c>
      <c r="L31" s="1474"/>
      <c r="M31" s="1475">
        <v>1980</v>
      </c>
      <c r="N31" s="1520"/>
      <c r="O31" s="3298"/>
      <c r="P31" s="3298"/>
      <c r="Q31" s="3298"/>
    </row>
    <row r="32" spans="3:17" s="1999" customFormat="1" ht="23.1" customHeight="1">
      <c r="C32" s="1492">
        <v>114683</v>
      </c>
      <c r="D32" s="1157">
        <v>71534</v>
      </c>
      <c r="E32" s="1157">
        <v>2071</v>
      </c>
      <c r="F32" s="1157">
        <v>13532</v>
      </c>
      <c r="G32" s="1157">
        <v>166674</v>
      </c>
      <c r="H32" s="1157">
        <v>76246</v>
      </c>
      <c r="I32" s="1157">
        <v>389699</v>
      </c>
      <c r="J32" s="1157">
        <v>213066</v>
      </c>
      <c r="K32" s="1159">
        <f t="shared" si="0"/>
        <v>1047505</v>
      </c>
      <c r="L32" s="1196"/>
      <c r="M32" s="1728">
        <v>1981</v>
      </c>
      <c r="N32" s="1519"/>
      <c r="O32" s="3298"/>
      <c r="P32" s="3298"/>
      <c r="Q32" s="3298"/>
    </row>
    <row r="33" spans="1:17" s="1999" customFormat="1" ht="23.1" customHeight="1">
      <c r="C33" s="1515">
        <v>145104</v>
      </c>
      <c r="D33" s="1162">
        <v>87375</v>
      </c>
      <c r="E33" s="1162">
        <v>2342</v>
      </c>
      <c r="F33" s="1162">
        <v>14826</v>
      </c>
      <c r="G33" s="1162">
        <v>144341</v>
      </c>
      <c r="H33" s="1162">
        <v>103494</v>
      </c>
      <c r="I33" s="1162">
        <v>375229</v>
      </c>
      <c r="J33" s="1162">
        <v>269782</v>
      </c>
      <c r="K33" s="1164">
        <f t="shared" si="0"/>
        <v>1142493</v>
      </c>
      <c r="L33" s="1474"/>
      <c r="M33" s="1475">
        <v>1982</v>
      </c>
      <c r="N33" s="1520"/>
      <c r="O33" s="3298"/>
      <c r="P33" s="3298"/>
      <c r="Q33" s="3298"/>
    </row>
    <row r="34" spans="1:17" s="1999" customFormat="1" ht="23.1" customHeight="1">
      <c r="C34" s="1492">
        <v>156654</v>
      </c>
      <c r="D34" s="1157">
        <v>102889</v>
      </c>
      <c r="E34" s="1157">
        <v>1460</v>
      </c>
      <c r="F34" s="1157">
        <v>11807</v>
      </c>
      <c r="G34" s="1157">
        <v>131047</v>
      </c>
      <c r="H34" s="1157">
        <v>82759</v>
      </c>
      <c r="I34" s="1157">
        <v>366072</v>
      </c>
      <c r="J34" s="1157">
        <v>250622</v>
      </c>
      <c r="K34" s="1159">
        <f t="shared" si="0"/>
        <v>1103310</v>
      </c>
      <c r="L34" s="1196"/>
      <c r="M34" s="1728">
        <v>1983</v>
      </c>
      <c r="N34" s="1519"/>
      <c r="O34" s="3298"/>
      <c r="P34" s="3298"/>
      <c r="Q34" s="3298"/>
    </row>
    <row r="35" spans="1:17" s="1999" customFormat="1" ht="23.1" customHeight="1">
      <c r="C35" s="1515">
        <v>154117</v>
      </c>
      <c r="D35" s="1162">
        <v>79064</v>
      </c>
      <c r="E35" s="1162">
        <v>1250</v>
      </c>
      <c r="F35" s="1162">
        <v>9872</v>
      </c>
      <c r="G35" s="1162">
        <v>119263</v>
      </c>
      <c r="H35" s="1162">
        <v>102330</v>
      </c>
      <c r="I35" s="1162">
        <v>359748</v>
      </c>
      <c r="J35" s="1162">
        <v>245696</v>
      </c>
      <c r="K35" s="1164">
        <f t="shared" si="0"/>
        <v>1071340</v>
      </c>
      <c r="L35" s="1474"/>
      <c r="M35" s="1475">
        <v>1984</v>
      </c>
      <c r="N35" s="1520"/>
      <c r="O35" s="3298"/>
      <c r="P35" s="3298"/>
      <c r="Q35" s="3298"/>
    </row>
    <row r="36" spans="1:17" s="1999" customFormat="1" ht="23.1" customHeight="1">
      <c r="C36" s="1492">
        <v>135370</v>
      </c>
      <c r="D36" s="1157">
        <v>67813</v>
      </c>
      <c r="E36" s="1157">
        <v>1781</v>
      </c>
      <c r="F36" s="1157">
        <v>13582</v>
      </c>
      <c r="G36" s="1157">
        <v>128045</v>
      </c>
      <c r="H36" s="1157">
        <v>123014</v>
      </c>
      <c r="I36" s="1157">
        <v>341267</v>
      </c>
      <c r="J36" s="1157">
        <v>263573</v>
      </c>
      <c r="K36" s="1159">
        <f t="shared" si="0"/>
        <v>1074445</v>
      </c>
      <c r="L36" s="1196"/>
      <c r="M36" s="1728">
        <v>1985</v>
      </c>
      <c r="N36" s="1519"/>
      <c r="O36" s="3298"/>
      <c r="P36" s="3298"/>
      <c r="Q36" s="3298"/>
    </row>
    <row r="37" spans="1:17" s="1999" customFormat="1" ht="23.1" customHeight="1">
      <c r="C37" s="1515">
        <v>140083</v>
      </c>
      <c r="D37" s="1162">
        <v>66642</v>
      </c>
      <c r="E37" s="1162">
        <v>4927</v>
      </c>
      <c r="F37" s="1162">
        <v>11243</v>
      </c>
      <c r="G37" s="1162">
        <v>75529</v>
      </c>
      <c r="H37" s="1162">
        <v>60215</v>
      </c>
      <c r="I37" s="1162">
        <v>319352</v>
      </c>
      <c r="J37" s="1162">
        <v>172208</v>
      </c>
      <c r="K37" s="1164">
        <f t="shared" si="0"/>
        <v>850199</v>
      </c>
      <c r="L37" s="1474"/>
      <c r="M37" s="1475">
        <v>1986</v>
      </c>
      <c r="N37" s="1520"/>
      <c r="O37" s="3298"/>
      <c r="P37" s="3298"/>
      <c r="Q37" s="3298"/>
    </row>
    <row r="38" spans="1:17" s="1999" customFormat="1" ht="23.1" customHeight="1">
      <c r="C38" s="1492">
        <v>139303</v>
      </c>
      <c r="D38" s="1157">
        <v>55664</v>
      </c>
      <c r="E38" s="1157">
        <v>1438</v>
      </c>
      <c r="F38" s="1157">
        <v>14363</v>
      </c>
      <c r="G38" s="1157">
        <v>93389</v>
      </c>
      <c r="H38" s="1157">
        <v>66583</v>
      </c>
      <c r="I38" s="1157">
        <v>311041</v>
      </c>
      <c r="J38" s="1157">
        <v>233774</v>
      </c>
      <c r="K38" s="1159">
        <f t="shared" si="0"/>
        <v>915555</v>
      </c>
      <c r="L38" s="1196"/>
      <c r="M38" s="1728">
        <v>1987</v>
      </c>
      <c r="N38" s="1519"/>
      <c r="O38" s="3298"/>
      <c r="P38" s="3298"/>
      <c r="Q38" s="3298"/>
    </row>
    <row r="39" spans="1:17" ht="23.1" customHeight="1">
      <c r="C39" s="1515">
        <v>145584</v>
      </c>
      <c r="D39" s="1162">
        <v>54142</v>
      </c>
      <c r="E39" s="1162">
        <v>2786</v>
      </c>
      <c r="F39" s="1162">
        <v>17575</v>
      </c>
      <c r="G39" s="1162">
        <v>128860</v>
      </c>
      <c r="H39" s="1162">
        <v>87526</v>
      </c>
      <c r="I39" s="1162">
        <v>324315</v>
      </c>
      <c r="J39" s="1162">
        <v>261681</v>
      </c>
      <c r="K39" s="1164">
        <f t="shared" si="0"/>
        <v>1022469</v>
      </c>
      <c r="L39" s="1474"/>
      <c r="M39" s="1475">
        <v>1988</v>
      </c>
      <c r="N39" s="1520"/>
      <c r="O39" s="3298"/>
      <c r="P39" s="3298"/>
      <c r="Q39" s="3298"/>
    </row>
    <row r="40" spans="1:17" ht="23.1" customHeight="1">
      <c r="C40" s="1492">
        <v>164498</v>
      </c>
      <c r="D40" s="1157">
        <v>45759</v>
      </c>
      <c r="E40" s="1157">
        <v>8733</v>
      </c>
      <c r="F40" s="1157">
        <v>21995</v>
      </c>
      <c r="G40" s="1157">
        <v>170007</v>
      </c>
      <c r="H40" s="1157">
        <v>83874</v>
      </c>
      <c r="I40" s="1157">
        <v>397887</v>
      </c>
      <c r="J40" s="1157">
        <v>337257</v>
      </c>
      <c r="K40" s="1159">
        <f t="shared" si="0"/>
        <v>1230010</v>
      </c>
      <c r="L40" s="1196"/>
      <c r="M40" s="1728">
        <v>1989</v>
      </c>
      <c r="N40" s="1519"/>
      <c r="O40" s="3298"/>
      <c r="P40" s="3298"/>
      <c r="Q40" s="3298"/>
    </row>
    <row r="41" spans="1:17" ht="23.1" customHeight="1">
      <c r="C41" s="1515">
        <v>247218</v>
      </c>
      <c r="D41" s="1162">
        <v>54320</v>
      </c>
      <c r="E41" s="1162">
        <v>22134</v>
      </c>
      <c r="F41" s="1162">
        <v>25020</v>
      </c>
      <c r="G41" s="1162">
        <v>299480</v>
      </c>
      <c r="H41" s="1162">
        <v>107843</v>
      </c>
      <c r="I41" s="1162">
        <v>531408</v>
      </c>
      <c r="J41" s="1162">
        <v>438405</v>
      </c>
      <c r="K41" s="1164">
        <f t="shared" si="0"/>
        <v>1725828</v>
      </c>
      <c r="L41" s="1474"/>
      <c r="M41" s="1475">
        <v>1990</v>
      </c>
      <c r="N41" s="1520"/>
      <c r="O41" s="3298"/>
      <c r="P41" s="3332"/>
      <c r="Q41" s="3332"/>
    </row>
    <row r="42" spans="1:17" ht="23.1" customHeight="1">
      <c r="C42" s="1492">
        <v>392844</v>
      </c>
      <c r="D42" s="1157">
        <v>61115</v>
      </c>
      <c r="E42" s="1157">
        <v>53480</v>
      </c>
      <c r="F42" s="1157">
        <v>29149</v>
      </c>
      <c r="G42" s="1157">
        <v>178157</v>
      </c>
      <c r="H42" s="1157">
        <v>104546</v>
      </c>
      <c r="I42" s="1157">
        <v>552544</v>
      </c>
      <c r="J42" s="1157">
        <v>338628</v>
      </c>
      <c r="K42" s="1159">
        <f t="shared" si="0"/>
        <v>1710463</v>
      </c>
      <c r="L42" s="1196"/>
      <c r="M42" s="1728">
        <v>1991</v>
      </c>
      <c r="N42" s="1519"/>
      <c r="O42" s="3298"/>
      <c r="Q42" s="3332"/>
    </row>
    <row r="43" spans="1:17" ht="23.1" customHeight="1">
      <c r="C43" s="1515">
        <v>435447</v>
      </c>
      <c r="D43" s="1162">
        <v>132193</v>
      </c>
      <c r="E43" s="1162">
        <v>31206</v>
      </c>
      <c r="F43" s="1162">
        <v>52147</v>
      </c>
      <c r="G43" s="1162">
        <v>246153</v>
      </c>
      <c r="H43" s="1162">
        <v>156173</v>
      </c>
      <c r="I43" s="1162">
        <v>698716</v>
      </c>
      <c r="J43" s="1162">
        <v>461967</v>
      </c>
      <c r="K43" s="1164">
        <f t="shared" si="0"/>
        <v>2214002</v>
      </c>
      <c r="L43" s="1474"/>
      <c r="M43" s="1475">
        <v>1992</v>
      </c>
      <c r="N43" s="1520"/>
      <c r="O43" s="3298"/>
      <c r="P43" s="3333"/>
      <c r="Q43" s="3333"/>
    </row>
    <row r="44" spans="1:17" ht="23.1" customHeight="1">
      <c r="C44" s="1492">
        <v>440425</v>
      </c>
      <c r="D44" s="1157">
        <v>123618</v>
      </c>
      <c r="E44" s="1157">
        <v>43476</v>
      </c>
      <c r="F44" s="1157">
        <v>50585</v>
      </c>
      <c r="G44" s="1157">
        <v>311492</v>
      </c>
      <c r="H44" s="1157">
        <v>170853</v>
      </c>
      <c r="I44" s="1157">
        <v>814351</v>
      </c>
      <c r="J44" s="1157">
        <v>498825</v>
      </c>
      <c r="K44" s="1159">
        <f t="shared" si="0"/>
        <v>2453625</v>
      </c>
      <c r="L44" s="1196"/>
      <c r="M44" s="1728">
        <v>1993</v>
      </c>
      <c r="N44" s="1519"/>
      <c r="O44" s="3298"/>
      <c r="P44" s="3333"/>
      <c r="Q44" s="3333"/>
    </row>
    <row r="45" spans="1:17" ht="23.1" customHeight="1">
      <c r="C45" s="1515">
        <v>404201</v>
      </c>
      <c r="D45" s="1162">
        <v>93613</v>
      </c>
      <c r="E45" s="1162">
        <v>38895</v>
      </c>
      <c r="F45" s="1162">
        <v>62519</v>
      </c>
      <c r="G45" s="1162">
        <v>232545</v>
      </c>
      <c r="H45" s="1162">
        <v>162139</v>
      </c>
      <c r="I45" s="1162">
        <v>838152</v>
      </c>
      <c r="J45" s="1162">
        <v>530519</v>
      </c>
      <c r="K45" s="1164">
        <f t="shared" si="0"/>
        <v>2362583</v>
      </c>
      <c r="L45" s="1474"/>
      <c r="M45" s="1475">
        <v>1994</v>
      </c>
      <c r="N45" s="1520"/>
      <c r="O45" s="3298"/>
      <c r="P45" s="3333"/>
      <c r="Q45" s="3333"/>
    </row>
    <row r="46" spans="1:17" ht="23.1" customHeight="1">
      <c r="C46" s="1492">
        <v>517327</v>
      </c>
      <c r="D46" s="1157">
        <v>91441</v>
      </c>
      <c r="E46" s="1157">
        <v>48689</v>
      </c>
      <c r="F46" s="1157">
        <v>58986</v>
      </c>
      <c r="G46" s="1157">
        <v>240512</v>
      </c>
      <c r="H46" s="1157">
        <v>165489</v>
      </c>
      <c r="I46" s="1157">
        <v>859261</v>
      </c>
      <c r="J46" s="1157">
        <v>608545</v>
      </c>
      <c r="K46" s="1159">
        <f t="shared" si="0"/>
        <v>2590250</v>
      </c>
      <c r="L46" s="1196"/>
      <c r="M46" s="1728">
        <v>1995</v>
      </c>
      <c r="N46" s="1519"/>
      <c r="O46" s="3298"/>
      <c r="P46" s="3333"/>
      <c r="Q46" s="3333"/>
    </row>
    <row r="47" spans="1:17" ht="23.1" customHeight="1">
      <c r="B47" s="3299"/>
      <c r="C47" s="1515">
        <v>710918</v>
      </c>
      <c r="D47" s="1162">
        <v>12924</v>
      </c>
      <c r="E47" s="1162">
        <v>52653</v>
      </c>
      <c r="F47" s="1162">
        <v>63630</v>
      </c>
      <c r="G47" s="1162">
        <v>294904</v>
      </c>
      <c r="H47" s="1162">
        <v>183081</v>
      </c>
      <c r="I47" s="1162">
        <v>963627</v>
      </c>
      <c r="J47" s="1162">
        <v>761819</v>
      </c>
      <c r="K47" s="1164">
        <f t="shared" si="0"/>
        <v>3043556</v>
      </c>
      <c r="L47" s="1474"/>
      <c r="M47" s="1475">
        <v>1996</v>
      </c>
      <c r="N47" s="1520"/>
      <c r="O47" s="3298"/>
      <c r="P47" s="3333"/>
      <c r="Q47" s="3333"/>
    </row>
    <row r="48" spans="1:17" ht="23.1" customHeight="1">
      <c r="A48" s="3299"/>
      <c r="C48" s="1492">
        <v>533656</v>
      </c>
      <c r="D48" s="1157">
        <v>147673</v>
      </c>
      <c r="E48" s="1157">
        <v>54296</v>
      </c>
      <c r="F48" s="1157">
        <v>72329</v>
      </c>
      <c r="G48" s="1157">
        <v>274980</v>
      </c>
      <c r="H48" s="1157">
        <v>195116</v>
      </c>
      <c r="I48" s="1157">
        <v>946995</v>
      </c>
      <c r="J48" s="1157">
        <v>683040</v>
      </c>
      <c r="K48" s="1159">
        <f t="shared" si="0"/>
        <v>2908085</v>
      </c>
      <c r="L48" s="1196"/>
      <c r="M48" s="1728">
        <v>1997</v>
      </c>
      <c r="N48" s="1519"/>
      <c r="O48" s="3298"/>
      <c r="P48" s="3333"/>
      <c r="Q48" s="3333"/>
    </row>
    <row r="49" spans="1:17" ht="23.1" customHeight="1">
      <c r="A49" s="3299"/>
      <c r="C49" s="1515">
        <v>572243</v>
      </c>
      <c r="D49" s="1162">
        <v>158936</v>
      </c>
      <c r="E49" s="1162">
        <v>48899</v>
      </c>
      <c r="F49" s="1162">
        <v>71973</v>
      </c>
      <c r="G49" s="1162">
        <v>258072</v>
      </c>
      <c r="H49" s="1162">
        <v>194833</v>
      </c>
      <c r="I49" s="1162">
        <v>887829</v>
      </c>
      <c r="J49" s="1162">
        <v>521589</v>
      </c>
      <c r="K49" s="1164">
        <f t="shared" si="0"/>
        <v>2714374</v>
      </c>
      <c r="L49" s="1474"/>
      <c r="M49" s="1475">
        <v>1998</v>
      </c>
      <c r="N49" s="1520"/>
      <c r="O49" s="3298"/>
      <c r="P49" s="3333"/>
      <c r="Q49" s="3333"/>
    </row>
    <row r="50" spans="1:17" ht="23.1" customHeight="1">
      <c r="A50" s="3299"/>
      <c r="C50" s="1492">
        <v>505912</v>
      </c>
      <c r="D50" s="1157">
        <v>166233</v>
      </c>
      <c r="E50" s="1157">
        <v>42329</v>
      </c>
      <c r="F50" s="1157">
        <v>83742</v>
      </c>
      <c r="G50" s="1157">
        <v>259655</v>
      </c>
      <c r="H50" s="1157">
        <v>173062</v>
      </c>
      <c r="I50" s="1157">
        <v>834939</v>
      </c>
      <c r="J50" s="1157">
        <v>569335</v>
      </c>
      <c r="K50" s="1159">
        <f t="shared" si="0"/>
        <v>2635207</v>
      </c>
      <c r="L50" s="1196"/>
      <c r="M50" s="1728">
        <v>1999</v>
      </c>
      <c r="N50" s="1519"/>
      <c r="O50" s="3298"/>
      <c r="P50" s="3333"/>
      <c r="Q50" s="3333"/>
    </row>
    <row r="51" spans="1:17" ht="23.1" customHeight="1">
      <c r="A51" s="3299"/>
      <c r="B51" s="3299"/>
      <c r="C51" s="1515">
        <v>616530</v>
      </c>
      <c r="D51" s="1162">
        <v>127769</v>
      </c>
      <c r="E51" s="1162">
        <v>45596</v>
      </c>
      <c r="F51" s="1162">
        <v>125642</v>
      </c>
      <c r="G51" s="1162">
        <v>321982</v>
      </c>
      <c r="H51" s="1162">
        <v>173957</v>
      </c>
      <c r="I51" s="1162">
        <v>1074188</v>
      </c>
      <c r="J51" s="1162">
        <v>773740</v>
      </c>
      <c r="K51" s="1164">
        <f t="shared" si="0"/>
        <v>3259404</v>
      </c>
      <c r="L51" s="1474"/>
      <c r="M51" s="1475">
        <v>2000</v>
      </c>
      <c r="N51" s="1520"/>
      <c r="O51" s="3298"/>
      <c r="Q51" s="3332"/>
    </row>
    <row r="52" spans="1:17" ht="23.1" customHeight="1">
      <c r="A52" s="3299"/>
      <c r="B52" s="3299"/>
      <c r="C52" s="1492">
        <f>294138+104189-280722+835446+110953-124106-168625-52056</f>
        <v>719217</v>
      </c>
      <c r="D52" s="1157">
        <v>124106</v>
      </c>
      <c r="E52" s="1157">
        <v>52056</v>
      </c>
      <c r="F52" s="1157">
        <v>168625</v>
      </c>
      <c r="G52" s="1157">
        <v>280722</v>
      </c>
      <c r="H52" s="1157">
        <v>171934</v>
      </c>
      <c r="I52" s="1157">
        <v>1113911</v>
      </c>
      <c r="J52" s="1157">
        <v>823158</v>
      </c>
      <c r="K52" s="1159">
        <f t="shared" si="0"/>
        <v>3453729</v>
      </c>
      <c r="L52" s="1196"/>
      <c r="M52" s="1728">
        <v>2001</v>
      </c>
      <c r="N52" s="1519"/>
      <c r="O52" s="3298"/>
      <c r="P52" s="3333"/>
      <c r="Q52" s="3333"/>
    </row>
    <row r="53" spans="1:17" ht="23.1" customHeight="1">
      <c r="A53" s="3299"/>
      <c r="B53" s="3299"/>
      <c r="C53" s="1515">
        <f>292063-278608+96104+962681+116094-112447-236853-58271</f>
        <v>780763</v>
      </c>
      <c r="D53" s="1162">
        <v>112447</v>
      </c>
      <c r="E53" s="1162">
        <v>58271</v>
      </c>
      <c r="F53" s="1162">
        <v>236853</v>
      </c>
      <c r="G53" s="1162">
        <v>278608</v>
      </c>
      <c r="H53" s="1162">
        <v>160521</v>
      </c>
      <c r="I53" s="1162">
        <v>1063850</v>
      </c>
      <c r="J53" s="1162">
        <v>907847</v>
      </c>
      <c r="K53" s="1164">
        <f t="shared" si="0"/>
        <v>3599160</v>
      </c>
      <c r="L53" s="1474"/>
      <c r="M53" s="1475">
        <v>2002</v>
      </c>
      <c r="N53" s="1520"/>
      <c r="O53" s="3298"/>
      <c r="P53" s="3333"/>
      <c r="Q53" s="3333"/>
    </row>
    <row r="54" spans="1:17" ht="23.1" customHeight="1">
      <c r="A54" s="3299"/>
      <c r="B54" s="3299"/>
      <c r="C54" s="1492">
        <f>290109+119150+1146720-276223+117631-141525-322438-60283</f>
        <v>873141</v>
      </c>
      <c r="D54" s="1157">
        <v>141525</v>
      </c>
      <c r="E54" s="1157">
        <v>60283</v>
      </c>
      <c r="F54" s="1157">
        <v>322438</v>
      </c>
      <c r="G54" s="1157">
        <v>276223</v>
      </c>
      <c r="H54" s="1157">
        <v>166994</v>
      </c>
      <c r="I54" s="1157">
        <v>1109594</v>
      </c>
      <c r="J54" s="1157">
        <v>1121810</v>
      </c>
      <c r="K54" s="1159">
        <f>J54+I54+H54+G54+F54+E54+D54+C54</f>
        <v>4072008</v>
      </c>
      <c r="L54" s="1196"/>
      <c r="M54" s="1728">
        <v>2003</v>
      </c>
      <c r="N54" s="1519"/>
      <c r="O54" s="3298"/>
      <c r="P54" s="3333"/>
      <c r="Q54" s="3333"/>
    </row>
    <row r="55" spans="1:17" ht="23.1" customHeight="1">
      <c r="A55" s="3299"/>
      <c r="B55" s="3299"/>
      <c r="C55" s="1515">
        <f>412684-393924+115339+1676430+107495-189926-489336-103235</f>
        <v>1135527</v>
      </c>
      <c r="D55" s="1162">
        <v>189926</v>
      </c>
      <c r="E55" s="1162">
        <v>103235</v>
      </c>
      <c r="F55" s="1162">
        <v>489336</v>
      </c>
      <c r="G55" s="1162">
        <v>393924</v>
      </c>
      <c r="H55" s="1162">
        <v>292835</v>
      </c>
      <c r="I55" s="1162">
        <v>1418499</v>
      </c>
      <c r="J55" s="1162">
        <v>1775959</v>
      </c>
      <c r="K55" s="1164">
        <f t="shared" si="0"/>
        <v>5799241</v>
      </c>
      <c r="L55" s="1474"/>
      <c r="M55" s="1475">
        <v>2004</v>
      </c>
      <c r="N55" s="1520"/>
      <c r="O55" s="3298"/>
      <c r="P55" s="3333"/>
      <c r="Q55" s="3333"/>
    </row>
    <row r="56" spans="1:17" ht="21.95" customHeight="1">
      <c r="C56" s="1492">
        <f>446179-416989+127271+2030132+100354-210409-686691-104368</f>
        <v>1285479</v>
      </c>
      <c r="D56" s="1157">
        <v>210409</v>
      </c>
      <c r="E56" s="1157">
        <v>104368</v>
      </c>
      <c r="F56" s="1157">
        <v>686691</v>
      </c>
      <c r="G56" s="1157">
        <v>416989</v>
      </c>
      <c r="H56" s="1157">
        <v>388278</v>
      </c>
      <c r="I56" s="1157">
        <v>1834667</v>
      </c>
      <c r="J56" s="1157">
        <v>2515983</v>
      </c>
      <c r="K56" s="1159">
        <f t="shared" si="0"/>
        <v>7442864</v>
      </c>
      <c r="L56" s="1196"/>
      <c r="M56" s="1728">
        <v>2005</v>
      </c>
      <c r="N56" s="1519"/>
      <c r="O56" s="3298"/>
      <c r="P56" s="3333"/>
      <c r="Q56" s="3333"/>
    </row>
    <row r="57" spans="1:17" ht="21.95" customHeight="1">
      <c r="C57" s="1515">
        <f>429514-393293+142428+2288218+126416-253368-860390-126090</f>
        <v>1353435</v>
      </c>
      <c r="D57" s="1162">
        <v>253368</v>
      </c>
      <c r="E57" s="1162">
        <v>126090</v>
      </c>
      <c r="F57" s="1162">
        <v>860390</v>
      </c>
      <c r="G57" s="1162">
        <v>393293</v>
      </c>
      <c r="H57" s="1162">
        <v>342653</v>
      </c>
      <c r="I57" s="1162">
        <v>1928210</v>
      </c>
      <c r="J57" s="1162">
        <v>2930286</v>
      </c>
      <c r="K57" s="1164">
        <f t="shared" si="0"/>
        <v>8187725</v>
      </c>
      <c r="L57" s="1474"/>
      <c r="M57" s="1475">
        <v>2006</v>
      </c>
      <c r="N57" s="1520"/>
      <c r="O57" s="3298"/>
      <c r="P57" s="3333"/>
      <c r="Q57" s="3333"/>
    </row>
    <row r="58" spans="1:17" ht="21.95" customHeight="1">
      <c r="C58" s="1492">
        <f>117573+2695913+233866+500389-D58-E58-F58-G58</f>
        <v>1663408</v>
      </c>
      <c r="D58" s="1157">
        <v>291979</v>
      </c>
      <c r="E58" s="1157">
        <v>215086</v>
      </c>
      <c r="F58" s="1157">
        <v>928247</v>
      </c>
      <c r="G58" s="1157">
        <v>449021</v>
      </c>
      <c r="H58" s="1157">
        <v>597598</v>
      </c>
      <c r="I58" s="1157">
        <v>2366213</v>
      </c>
      <c r="J58" s="1157">
        <v>3210642</v>
      </c>
      <c r="K58" s="1159">
        <f>J58+I58+H58+G58+F58+E58+D58+C58</f>
        <v>9722194</v>
      </c>
      <c r="L58" s="1196"/>
      <c r="M58" s="1728">
        <v>2007</v>
      </c>
      <c r="N58" s="1519"/>
      <c r="O58" s="3298"/>
      <c r="P58" s="3333"/>
      <c r="Q58" s="3333"/>
    </row>
    <row r="59" spans="1:17" s="2254" customFormat="1" ht="21.75" customHeight="1">
      <c r="C59" s="1515">
        <f>12060895-D59-E59-F59-G59-H59-I59-J59</f>
        <v>2013578</v>
      </c>
      <c r="D59" s="1162">
        <v>348952</v>
      </c>
      <c r="E59" s="1162">
        <v>357272</v>
      </c>
      <c r="F59" s="1162">
        <v>1252224</v>
      </c>
      <c r="G59" s="1162">
        <v>551110</v>
      </c>
      <c r="H59" s="1162">
        <v>996272</v>
      </c>
      <c r="I59" s="1162">
        <v>2541474</v>
      </c>
      <c r="J59" s="1162">
        <v>4000013</v>
      </c>
      <c r="K59" s="1164">
        <f>J59+I59+H59+G59+F59+E59+D59+C59</f>
        <v>12060895</v>
      </c>
      <c r="L59" s="1474"/>
      <c r="M59" s="1475">
        <v>2008</v>
      </c>
      <c r="N59" s="1520"/>
      <c r="P59" s="3333"/>
      <c r="Q59" s="3333"/>
    </row>
    <row r="60" spans="1:17" ht="21.95" customHeight="1">
      <c r="C60" s="1492">
        <f>10107696-D60-E60-F60-G60-H60-I60-J60</f>
        <v>1739416</v>
      </c>
      <c r="D60" s="1157">
        <v>374429</v>
      </c>
      <c r="E60" s="1157">
        <v>212189</v>
      </c>
      <c r="F60" s="1157">
        <v>1112967</v>
      </c>
      <c r="G60" s="1157">
        <v>707326</v>
      </c>
      <c r="H60" s="1157">
        <v>597643</v>
      </c>
      <c r="I60" s="1157">
        <v>2125435</v>
      </c>
      <c r="J60" s="1157">
        <v>3238291</v>
      </c>
      <c r="K60" s="1159">
        <f>J60+I60+H60+G60+F60+E60+D60+C60</f>
        <v>10107696</v>
      </c>
      <c r="L60" s="1196"/>
      <c r="M60" s="1728">
        <v>2009</v>
      </c>
      <c r="N60" s="1519"/>
      <c r="O60" s="3298"/>
      <c r="P60" s="3333"/>
      <c r="Q60" s="3333"/>
    </row>
    <row r="61" spans="1:17" ht="21.95" customHeight="1">
      <c r="C61" s="1515">
        <f>11050126-D61-E61-F61-G61-H61-I61-J61</f>
        <v>2023543</v>
      </c>
      <c r="D61" s="1162">
        <v>343509</v>
      </c>
      <c r="E61" s="1162">
        <v>275289</v>
      </c>
      <c r="F61" s="1162">
        <v>1188598</v>
      </c>
      <c r="G61" s="1162">
        <v>615623</v>
      </c>
      <c r="H61" s="1162">
        <v>475694</v>
      </c>
      <c r="I61" s="1162">
        <v>2277937</v>
      </c>
      <c r="J61" s="1162">
        <v>3849933</v>
      </c>
      <c r="K61" s="1164">
        <f>J61+I61+H61+G61+F61+E61+D61+C61</f>
        <v>11050126</v>
      </c>
      <c r="L61" s="1474"/>
      <c r="M61" s="1475">
        <v>2010</v>
      </c>
      <c r="N61" s="1520"/>
      <c r="O61" s="3298"/>
      <c r="P61" s="3333"/>
      <c r="Q61" s="3333"/>
    </row>
    <row r="62" spans="1:17" ht="21.95" customHeight="1">
      <c r="C62" s="1492">
        <f>13440215-D62-E62-F62-G62-H62-I62-J62</f>
        <v>2163208</v>
      </c>
      <c r="D62" s="1157">
        <v>258996</v>
      </c>
      <c r="E62" s="1157">
        <v>360158</v>
      </c>
      <c r="F62" s="1157">
        <v>1317428</v>
      </c>
      <c r="G62" s="1157">
        <v>861355</v>
      </c>
      <c r="H62" s="1157">
        <v>788487</v>
      </c>
      <c r="I62" s="1157">
        <v>2742887</v>
      </c>
      <c r="J62" s="1157">
        <v>4947696</v>
      </c>
      <c r="K62" s="1159">
        <f>J62+I62+H62+G62+F62+E62+D62+C62</f>
        <v>13440215</v>
      </c>
      <c r="L62" s="1196"/>
      <c r="M62" s="4480">
        <v>2011</v>
      </c>
      <c r="N62" s="1519"/>
      <c r="O62" s="3298"/>
      <c r="Q62" s="3332"/>
    </row>
    <row r="63" spans="1:17" ht="21.95" customHeight="1">
      <c r="C63" s="1515">
        <f>14733750-D63-E63-F63-G63-H63-I63-J63</f>
        <v>2767872</v>
      </c>
      <c r="D63" s="1162">
        <v>277528</v>
      </c>
      <c r="E63" s="1162">
        <v>506829</v>
      </c>
      <c r="F63" s="1162">
        <v>1416419</v>
      </c>
      <c r="G63" s="1162">
        <v>977504</v>
      </c>
      <c r="H63" s="1162">
        <v>947810</v>
      </c>
      <c r="I63" s="1162">
        <v>2578842</v>
      </c>
      <c r="J63" s="1162">
        <v>5260946</v>
      </c>
      <c r="K63" s="1164">
        <v>14733749</v>
      </c>
      <c r="L63" s="1474"/>
      <c r="M63" s="1475">
        <v>2012</v>
      </c>
      <c r="N63" s="1520"/>
      <c r="O63" s="3298"/>
      <c r="P63" s="3333"/>
      <c r="Q63" s="3333"/>
    </row>
    <row r="64" spans="1:17" ht="21.95" customHeight="1">
      <c r="C64" s="1492">
        <f>1055306-969292+527489+4678255-341622-1620145-789865+350478</f>
        <v>2890604</v>
      </c>
      <c r="D64" s="1157">
        <v>341622</v>
      </c>
      <c r="E64" s="1157">
        <v>789865</v>
      </c>
      <c r="F64" s="1157">
        <v>1620145</v>
      </c>
      <c r="G64" s="1157">
        <v>969292</v>
      </c>
      <c r="H64" s="1157">
        <v>847648</v>
      </c>
      <c r="I64" s="1157">
        <v>3398825</v>
      </c>
      <c r="J64" s="1157">
        <v>4809341</v>
      </c>
      <c r="K64" s="1159">
        <v>15667344</v>
      </c>
      <c r="L64" s="1196"/>
      <c r="M64" s="4480">
        <v>2013</v>
      </c>
      <c r="N64" s="1519"/>
      <c r="O64" s="3298"/>
      <c r="P64" s="3333"/>
      <c r="Q64" s="3333"/>
    </row>
    <row r="65" spans="2:17" ht="21.95" customHeight="1">
      <c r="C65" s="1515">
        <f>16280188-D65-E65-F65-G65-H65-I65-J65</f>
        <v>3053947</v>
      </c>
      <c r="D65" s="1162">
        <v>395537</v>
      </c>
      <c r="E65" s="1162">
        <v>869622</v>
      </c>
      <c r="F65" s="1162">
        <v>1705877</v>
      </c>
      <c r="G65" s="1162">
        <v>937581</v>
      </c>
      <c r="H65" s="1162">
        <v>1223331</v>
      </c>
      <c r="I65" s="1162">
        <v>3205541</v>
      </c>
      <c r="J65" s="1162">
        <v>4888752</v>
      </c>
      <c r="K65" s="1164">
        <v>16280189</v>
      </c>
      <c r="L65" s="1474"/>
      <c r="M65" s="1475">
        <v>2014</v>
      </c>
      <c r="N65" s="1520"/>
      <c r="O65" s="3298"/>
      <c r="P65" s="3332"/>
      <c r="Q65" s="3332"/>
    </row>
    <row r="66" spans="2:17" ht="21.95" customHeight="1">
      <c r="C66" s="1492">
        <f>14537182-D66-E66-F66-G66-H66-I66-J66</f>
        <v>3289947</v>
      </c>
      <c r="D66" s="1157">
        <v>423366</v>
      </c>
      <c r="E66" s="1157">
        <v>401481</v>
      </c>
      <c r="F66" s="1157">
        <v>1874650</v>
      </c>
      <c r="G66" s="1157">
        <v>894660</v>
      </c>
      <c r="H66" s="1157">
        <v>801449</v>
      </c>
      <c r="I66" s="1157">
        <v>3137173</v>
      </c>
      <c r="J66" s="1157">
        <v>3714456</v>
      </c>
      <c r="K66" s="1159">
        <v>14537182</v>
      </c>
      <c r="L66" s="1196"/>
      <c r="M66" s="4480">
        <v>2015</v>
      </c>
      <c r="N66" s="1519"/>
      <c r="O66" s="3298"/>
      <c r="P66" s="3333"/>
      <c r="Q66" s="3333"/>
    </row>
    <row r="67" spans="2:17" ht="21.95" customHeight="1">
      <c r="C67" s="1515">
        <v>3109068</v>
      </c>
      <c r="D67" s="1162">
        <v>449241</v>
      </c>
      <c r="E67" s="1162">
        <v>331915</v>
      </c>
      <c r="F67" s="1162">
        <v>1911672</v>
      </c>
      <c r="G67" s="1162">
        <v>952204</v>
      </c>
      <c r="H67" s="1162">
        <v>539635</v>
      </c>
      <c r="I67" s="1162">
        <v>3288428</v>
      </c>
      <c r="J67" s="1162">
        <v>3138211</v>
      </c>
      <c r="K67" s="1164">
        <v>13720374</v>
      </c>
      <c r="L67" s="1474"/>
      <c r="M67" s="1658" t="s">
        <v>2618</v>
      </c>
      <c r="N67" s="1520"/>
      <c r="O67" s="3298"/>
      <c r="P67" s="3332"/>
      <c r="Q67" s="3332"/>
    </row>
    <row r="68" spans="2:17" ht="21.95" customHeight="1">
      <c r="C68" s="1492">
        <v>3244214</v>
      </c>
      <c r="D68" s="1157">
        <v>404672</v>
      </c>
      <c r="E68" s="1157">
        <v>355792</v>
      </c>
      <c r="F68" s="1157">
        <v>1963054</v>
      </c>
      <c r="G68" s="1157">
        <v>1420257</v>
      </c>
      <c r="H68" s="1157">
        <v>492097</v>
      </c>
      <c r="I68" s="1157">
        <v>3201530</v>
      </c>
      <c r="J68" s="1157">
        <v>3472104</v>
      </c>
      <c r="K68" s="1159">
        <v>14553720</v>
      </c>
      <c r="L68" s="1196"/>
      <c r="M68" s="4501" t="s">
        <v>2748</v>
      </c>
      <c r="N68" s="1519"/>
      <c r="O68" s="3298"/>
      <c r="P68" s="3332"/>
      <c r="Q68" s="3332"/>
    </row>
    <row r="69" spans="2:17" ht="21.95" customHeight="1">
      <c r="C69" s="1515">
        <v>3002964</v>
      </c>
      <c r="D69" s="1162">
        <v>290308</v>
      </c>
      <c r="E69" s="1162">
        <v>402508</v>
      </c>
      <c r="F69" s="1162">
        <v>1964655</v>
      </c>
      <c r="G69" s="1162">
        <v>1252574</v>
      </c>
      <c r="H69" s="1162">
        <v>532419</v>
      </c>
      <c r="I69" s="1162">
        <v>3123915</v>
      </c>
      <c r="J69" s="1162">
        <v>3850684</v>
      </c>
      <c r="K69" s="1164">
        <v>14420027</v>
      </c>
      <c r="L69" s="1474"/>
      <c r="M69" s="1658" t="s">
        <v>2928</v>
      </c>
      <c r="N69" s="1520"/>
      <c r="O69" s="3298"/>
      <c r="P69" s="3332"/>
      <c r="Q69" s="3332"/>
    </row>
    <row r="70" spans="2:17" ht="21.95" customHeight="1">
      <c r="C70" s="1492">
        <v>2581811.2955399994</v>
      </c>
      <c r="D70" s="1157">
        <v>287457.73659999995</v>
      </c>
      <c r="E70" s="1157">
        <v>653727.3046700001</v>
      </c>
      <c r="F70" s="1157">
        <v>2220763.1387499995</v>
      </c>
      <c r="G70" s="1157">
        <v>1108913.80522</v>
      </c>
      <c r="H70" s="1157">
        <v>401161.69850000006</v>
      </c>
      <c r="I70" s="1157">
        <v>2751781.5727399997</v>
      </c>
      <c r="J70" s="1157">
        <v>3605335.4479799997</v>
      </c>
      <c r="K70" s="1159">
        <v>13610952</v>
      </c>
      <c r="L70" s="1196"/>
      <c r="M70" s="4501" t="s">
        <v>3028</v>
      </c>
      <c r="N70" s="1519"/>
      <c r="O70" s="3298"/>
      <c r="P70" s="3332"/>
      <c r="Q70" s="3332"/>
    </row>
    <row r="71" spans="2:17" ht="21.95" customHeight="1">
      <c r="C71" s="1515">
        <v>2906998</v>
      </c>
      <c r="D71" s="1162">
        <v>234371</v>
      </c>
      <c r="E71" s="1162">
        <v>347476</v>
      </c>
      <c r="F71" s="1162">
        <v>1924157</v>
      </c>
      <c r="G71" s="1162">
        <v>976238</v>
      </c>
      <c r="H71" s="1162">
        <v>447410</v>
      </c>
      <c r="I71" s="1162">
        <v>2516319</v>
      </c>
      <c r="J71" s="1162">
        <v>2882453</v>
      </c>
      <c r="K71" s="1164">
        <v>12235422</v>
      </c>
      <c r="L71" s="1474"/>
      <c r="M71" s="1658" t="s">
        <v>3101</v>
      </c>
      <c r="N71" s="1520"/>
      <c r="O71" s="3298"/>
      <c r="P71" s="3332"/>
      <c r="Q71" s="3332"/>
    </row>
    <row r="72" spans="2:17" ht="18.95" customHeight="1">
      <c r="B72" s="3299"/>
      <c r="C72" s="1492">
        <v>3448543</v>
      </c>
      <c r="D72" s="1157">
        <v>256134</v>
      </c>
      <c r="E72" s="1157">
        <v>420201</v>
      </c>
      <c r="F72" s="1157">
        <v>2230156</v>
      </c>
      <c r="G72" s="1157">
        <v>987960</v>
      </c>
      <c r="H72" s="1157">
        <v>749630</v>
      </c>
      <c r="I72" s="1157">
        <v>2858109</v>
      </c>
      <c r="J72" s="1157">
        <v>4344396</v>
      </c>
      <c r="K72" s="1159">
        <v>15295129</v>
      </c>
      <c r="L72" s="1196"/>
      <c r="M72" s="4529" t="s">
        <v>3106</v>
      </c>
      <c r="N72" s="1519"/>
      <c r="P72" s="3332"/>
      <c r="Q72" s="3332"/>
    </row>
    <row r="73" spans="2:17" ht="21.95" customHeight="1">
      <c r="C73" s="4546">
        <v>4284331.5000000009</v>
      </c>
      <c r="D73" s="4547">
        <v>246757.4</v>
      </c>
      <c r="E73" s="4547">
        <v>992525.5</v>
      </c>
      <c r="F73" s="4547">
        <v>2958995.7</v>
      </c>
      <c r="G73" s="4547">
        <v>1065241.8999999999</v>
      </c>
      <c r="H73" s="4547">
        <v>925428.8</v>
      </c>
      <c r="I73" s="4547">
        <v>3167375.5</v>
      </c>
      <c r="J73" s="4547">
        <v>5787824.7000000002</v>
      </c>
      <c r="K73" s="4548">
        <v>19428481.000000004</v>
      </c>
      <c r="L73" s="4551"/>
      <c r="M73" s="4552" t="s">
        <v>3116</v>
      </c>
      <c r="N73" s="4554"/>
      <c r="O73" s="3298"/>
      <c r="P73" s="3332"/>
      <c r="Q73" s="3332"/>
    </row>
    <row r="74" spans="2:17" ht="18.95" customHeight="1">
      <c r="C74" s="428" t="s">
        <v>1464</v>
      </c>
      <c r="D74" s="1265"/>
      <c r="E74" s="1274"/>
      <c r="F74" s="1265"/>
      <c r="G74" s="1274"/>
      <c r="H74" s="3305"/>
      <c r="I74" s="3305"/>
      <c r="J74" s="3305"/>
      <c r="K74" s="3306"/>
      <c r="L74" s="4495"/>
      <c r="M74" s="3288" t="s">
        <v>1465</v>
      </c>
      <c r="N74" s="1798"/>
      <c r="P74" s="3333"/>
      <c r="Q74" s="3333"/>
    </row>
    <row r="75" spans="2:17" ht="18.95" customHeight="1">
      <c r="C75" s="4491" t="s">
        <v>1466</v>
      </c>
      <c r="D75" s="1265"/>
      <c r="E75" s="1274"/>
      <c r="F75" s="1265"/>
      <c r="G75" s="1274"/>
      <c r="H75" s="3305"/>
      <c r="I75" s="4943" t="s">
        <v>1467</v>
      </c>
      <c r="J75" s="4943"/>
      <c r="K75" s="4943"/>
      <c r="L75" s="4943"/>
      <c r="M75" s="4943"/>
      <c r="N75" s="3334"/>
      <c r="P75" s="3333"/>
      <c r="Q75" s="3333"/>
    </row>
    <row r="76" spans="2:17" ht="17.100000000000001" customHeight="1">
      <c r="C76" s="4941" t="s">
        <v>3110</v>
      </c>
      <c r="D76" s="4941"/>
      <c r="E76" s="4941"/>
      <c r="F76" s="4941"/>
      <c r="G76" s="4941"/>
      <c r="H76" s="3335"/>
      <c r="I76" s="4942" t="s">
        <v>3111</v>
      </c>
      <c r="J76" s="4942"/>
      <c r="K76" s="4942"/>
      <c r="L76" s="4942"/>
      <c r="M76" s="4942"/>
      <c r="N76" s="3311"/>
      <c r="P76" s="3332"/>
      <c r="Q76" s="3332"/>
    </row>
    <row r="77" spans="2:17" ht="17.100000000000001" customHeight="1">
      <c r="Q77" s="3333"/>
    </row>
    <row r="78" spans="2:17" ht="17.100000000000001" customHeight="1">
      <c r="P78" s="3333"/>
      <c r="Q78" s="3333"/>
    </row>
    <row r="79" spans="2:17" ht="17.100000000000001" customHeight="1">
      <c r="P79" s="3333"/>
      <c r="Q79" s="3333"/>
    </row>
    <row r="80" spans="2:17" ht="17.100000000000001" customHeight="1">
      <c r="Q80" s="3333"/>
    </row>
    <row r="81" spans="16:17" ht="17.100000000000001" customHeight="1">
      <c r="P81" s="3333"/>
      <c r="Q81" s="3333"/>
    </row>
    <row r="82" spans="16:17" ht="17.100000000000001" customHeight="1">
      <c r="Q82" s="3333"/>
    </row>
    <row r="83" spans="16:17" ht="17.100000000000001" customHeight="1">
      <c r="P83" s="3333"/>
      <c r="Q83" s="3333"/>
    </row>
    <row r="84" spans="16:17" ht="17.100000000000001" customHeight="1">
      <c r="P84" s="3333"/>
      <c r="Q84" s="3333"/>
    </row>
    <row r="85" spans="16:17" ht="17.100000000000001" customHeight="1">
      <c r="P85" s="3332"/>
      <c r="Q85" s="3332"/>
    </row>
    <row r="86" spans="16:17" ht="17.100000000000001" customHeight="1">
      <c r="P86" s="3298"/>
    </row>
  </sheetData>
  <mergeCells count="5">
    <mergeCell ref="C76:G76"/>
    <mergeCell ref="I76:M76"/>
    <mergeCell ref="C3:N3"/>
    <mergeCell ref="C4:N4"/>
    <mergeCell ref="I75:M75"/>
  </mergeCells>
  <printOptions horizontalCentered="1"/>
  <pageMargins left="0.62992125984252001" right="0.62992125984252001" top="0.78740157480314998" bottom="0.98425196850393704" header="0.511811023622047" footer="0.511811023622047"/>
  <pageSetup paperSize="9" scale="50" orientation="portrait" r:id="rId1"/>
  <headerFooter alignWithMargins="0">
    <oddFooter>&amp;C&amp;"+,Regular"&amp;22-52-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W126"/>
  <sheetViews>
    <sheetView topLeftCell="A56" zoomScale="75" zoomScaleNormal="75" workbookViewId="0">
      <selection activeCell="J73" sqref="J73"/>
    </sheetView>
  </sheetViews>
  <sheetFormatPr defaultColWidth="2.5703125" defaultRowHeight="20.25"/>
  <cols>
    <col min="1" max="1" width="13" style="1174" customWidth="1"/>
    <col min="2" max="2" width="14.42578125" style="1174" customWidth="1"/>
    <col min="3" max="4" width="12.5703125" style="2688" customWidth="1"/>
    <col min="5" max="5" width="17.42578125" style="1192" bestFit="1" customWidth="1"/>
    <col min="6" max="6" width="14" style="1192" bestFit="1" customWidth="1"/>
    <col min="7" max="7" width="12.5703125" style="2688" customWidth="1"/>
    <col min="8" max="8" width="14.5703125" style="1192" bestFit="1" customWidth="1"/>
    <col min="9" max="9" width="16" style="1192" bestFit="1" customWidth="1"/>
    <col min="10" max="10" width="14.42578125" style="1192" bestFit="1" customWidth="1"/>
    <col min="11" max="11" width="15.5703125" style="1192" bestFit="1" customWidth="1"/>
    <col min="12" max="12" width="12.5703125" style="1192" customWidth="1"/>
    <col min="13" max="13" width="15.140625" style="1192" customWidth="1"/>
    <col min="14" max="14" width="1.42578125" style="1192" customWidth="1"/>
    <col min="15" max="15" width="8.140625" style="1192" customWidth="1"/>
    <col min="16" max="16" width="1.42578125" style="1192" customWidth="1"/>
    <col min="17" max="17" width="6.5703125" style="1174" customWidth="1"/>
    <col min="18" max="18" width="16.140625" style="1174" customWidth="1"/>
    <col min="19" max="19" width="24.85546875" customWidth="1"/>
    <col min="20" max="20" width="2.42578125" customWidth="1"/>
    <col min="21" max="21" width="6.140625" customWidth="1"/>
    <col min="22" max="127" width="10.42578125" customWidth="1"/>
    <col min="128" max="230" width="10.42578125" style="1174" customWidth="1"/>
    <col min="231" max="256" width="2.5703125" style="1174"/>
    <col min="257" max="257" width="13" style="1174" customWidth="1"/>
    <col min="258" max="258" width="14.42578125" style="1174" customWidth="1"/>
    <col min="259" max="268" width="12.5703125" style="1174" customWidth="1"/>
    <col min="269" max="269" width="13.42578125" style="1174" customWidth="1"/>
    <col min="270" max="270" width="1.42578125" style="1174" customWidth="1"/>
    <col min="271" max="271" width="7.140625" style="1174" customWidth="1"/>
    <col min="272" max="272" width="1.42578125" style="1174" customWidth="1"/>
    <col min="273" max="273" width="6.5703125" style="1174" customWidth="1"/>
    <col min="274" max="274" width="16.140625" style="1174" customWidth="1"/>
    <col min="275" max="275" width="24.85546875" style="1174" customWidth="1"/>
    <col min="276" max="276" width="2.42578125" style="1174" customWidth="1"/>
    <col min="277" max="277" width="6.140625" style="1174" customWidth="1"/>
    <col min="278" max="486" width="10.42578125" style="1174" customWidth="1"/>
    <col min="487" max="512" width="2.5703125" style="1174"/>
    <col min="513" max="513" width="13" style="1174" customWidth="1"/>
    <col min="514" max="514" width="14.42578125" style="1174" customWidth="1"/>
    <col min="515" max="524" width="12.5703125" style="1174" customWidth="1"/>
    <col min="525" max="525" width="13.42578125" style="1174" customWidth="1"/>
    <col min="526" max="526" width="1.42578125" style="1174" customWidth="1"/>
    <col min="527" max="527" width="7.140625" style="1174" customWidth="1"/>
    <col min="528" max="528" width="1.42578125" style="1174" customWidth="1"/>
    <col min="529" max="529" width="6.5703125" style="1174" customWidth="1"/>
    <col min="530" max="530" width="16.140625" style="1174" customWidth="1"/>
    <col min="531" max="531" width="24.85546875" style="1174" customWidth="1"/>
    <col min="532" max="532" width="2.42578125" style="1174" customWidth="1"/>
    <col min="533" max="533" width="6.140625" style="1174" customWidth="1"/>
    <col min="534" max="742" width="10.42578125" style="1174" customWidth="1"/>
    <col min="743" max="768" width="2.5703125" style="1174"/>
    <col min="769" max="769" width="13" style="1174" customWidth="1"/>
    <col min="770" max="770" width="14.42578125" style="1174" customWidth="1"/>
    <col min="771" max="780" width="12.5703125" style="1174" customWidth="1"/>
    <col min="781" max="781" width="13.42578125" style="1174" customWidth="1"/>
    <col min="782" max="782" width="1.42578125" style="1174" customWidth="1"/>
    <col min="783" max="783" width="7.140625" style="1174" customWidth="1"/>
    <col min="784" max="784" width="1.42578125" style="1174" customWidth="1"/>
    <col min="785" max="785" width="6.5703125" style="1174" customWidth="1"/>
    <col min="786" max="786" width="16.140625" style="1174" customWidth="1"/>
    <col min="787" max="787" width="24.85546875" style="1174" customWidth="1"/>
    <col min="788" max="788" width="2.42578125" style="1174" customWidth="1"/>
    <col min="789" max="789" width="6.140625" style="1174" customWidth="1"/>
    <col min="790" max="998" width="10.42578125" style="1174" customWidth="1"/>
    <col min="999" max="1024" width="2.5703125" style="1174"/>
    <col min="1025" max="1025" width="13" style="1174" customWidth="1"/>
    <col min="1026" max="1026" width="14.42578125" style="1174" customWidth="1"/>
    <col min="1027" max="1036" width="12.5703125" style="1174" customWidth="1"/>
    <col min="1037" max="1037" width="13.42578125" style="1174" customWidth="1"/>
    <col min="1038" max="1038" width="1.42578125" style="1174" customWidth="1"/>
    <col min="1039" max="1039" width="7.140625" style="1174" customWidth="1"/>
    <col min="1040" max="1040" width="1.42578125" style="1174" customWidth="1"/>
    <col min="1041" max="1041" width="6.5703125" style="1174" customWidth="1"/>
    <col min="1042" max="1042" width="16.140625" style="1174" customWidth="1"/>
    <col min="1043" max="1043" width="24.85546875" style="1174" customWidth="1"/>
    <col min="1044" max="1044" width="2.42578125" style="1174" customWidth="1"/>
    <col min="1045" max="1045" width="6.140625" style="1174" customWidth="1"/>
    <col min="1046" max="1254" width="10.42578125" style="1174" customWidth="1"/>
    <col min="1255" max="1280" width="2.5703125" style="1174"/>
    <col min="1281" max="1281" width="13" style="1174" customWidth="1"/>
    <col min="1282" max="1282" width="14.42578125" style="1174" customWidth="1"/>
    <col min="1283" max="1292" width="12.5703125" style="1174" customWidth="1"/>
    <col min="1293" max="1293" width="13.42578125" style="1174" customWidth="1"/>
    <col min="1294" max="1294" width="1.42578125" style="1174" customWidth="1"/>
    <col min="1295" max="1295" width="7.140625" style="1174" customWidth="1"/>
    <col min="1296" max="1296" width="1.42578125" style="1174" customWidth="1"/>
    <col min="1297" max="1297" width="6.5703125" style="1174" customWidth="1"/>
    <col min="1298" max="1298" width="16.140625" style="1174" customWidth="1"/>
    <col min="1299" max="1299" width="24.85546875" style="1174" customWidth="1"/>
    <col min="1300" max="1300" width="2.42578125" style="1174" customWidth="1"/>
    <col min="1301" max="1301" width="6.140625" style="1174" customWidth="1"/>
    <col min="1302" max="1510" width="10.42578125" style="1174" customWidth="1"/>
    <col min="1511" max="1536" width="2.5703125" style="1174"/>
    <col min="1537" max="1537" width="13" style="1174" customWidth="1"/>
    <col min="1538" max="1538" width="14.42578125" style="1174" customWidth="1"/>
    <col min="1539" max="1548" width="12.5703125" style="1174" customWidth="1"/>
    <col min="1549" max="1549" width="13.42578125" style="1174" customWidth="1"/>
    <col min="1550" max="1550" width="1.42578125" style="1174" customWidth="1"/>
    <col min="1551" max="1551" width="7.140625" style="1174" customWidth="1"/>
    <col min="1552" max="1552" width="1.42578125" style="1174" customWidth="1"/>
    <col min="1553" max="1553" width="6.5703125" style="1174" customWidth="1"/>
    <col min="1554" max="1554" width="16.140625" style="1174" customWidth="1"/>
    <col min="1555" max="1555" width="24.85546875" style="1174" customWidth="1"/>
    <col min="1556" max="1556" width="2.42578125" style="1174" customWidth="1"/>
    <col min="1557" max="1557" width="6.140625" style="1174" customWidth="1"/>
    <col min="1558" max="1766" width="10.42578125" style="1174" customWidth="1"/>
    <col min="1767" max="1792" width="2.5703125" style="1174"/>
    <col min="1793" max="1793" width="13" style="1174" customWidth="1"/>
    <col min="1794" max="1794" width="14.42578125" style="1174" customWidth="1"/>
    <col min="1795" max="1804" width="12.5703125" style="1174" customWidth="1"/>
    <col min="1805" max="1805" width="13.42578125" style="1174" customWidth="1"/>
    <col min="1806" max="1806" width="1.42578125" style="1174" customWidth="1"/>
    <col min="1807" max="1807" width="7.140625" style="1174" customWidth="1"/>
    <col min="1808" max="1808" width="1.42578125" style="1174" customWidth="1"/>
    <col min="1809" max="1809" width="6.5703125" style="1174" customWidth="1"/>
    <col min="1810" max="1810" width="16.140625" style="1174" customWidth="1"/>
    <col min="1811" max="1811" width="24.85546875" style="1174" customWidth="1"/>
    <col min="1812" max="1812" width="2.42578125" style="1174" customWidth="1"/>
    <col min="1813" max="1813" width="6.140625" style="1174" customWidth="1"/>
    <col min="1814" max="2022" width="10.42578125" style="1174" customWidth="1"/>
    <col min="2023" max="2048" width="2.5703125" style="1174"/>
    <col min="2049" max="2049" width="13" style="1174" customWidth="1"/>
    <col min="2050" max="2050" width="14.42578125" style="1174" customWidth="1"/>
    <col min="2051" max="2060" width="12.5703125" style="1174" customWidth="1"/>
    <col min="2061" max="2061" width="13.42578125" style="1174" customWidth="1"/>
    <col min="2062" max="2062" width="1.42578125" style="1174" customWidth="1"/>
    <col min="2063" max="2063" width="7.140625" style="1174" customWidth="1"/>
    <col min="2064" max="2064" width="1.42578125" style="1174" customWidth="1"/>
    <col min="2065" max="2065" width="6.5703125" style="1174" customWidth="1"/>
    <col min="2066" max="2066" width="16.140625" style="1174" customWidth="1"/>
    <col min="2067" max="2067" width="24.85546875" style="1174" customWidth="1"/>
    <col min="2068" max="2068" width="2.42578125" style="1174" customWidth="1"/>
    <col min="2069" max="2069" width="6.140625" style="1174" customWidth="1"/>
    <col min="2070" max="2278" width="10.42578125" style="1174" customWidth="1"/>
    <col min="2279" max="2304" width="2.5703125" style="1174"/>
    <col min="2305" max="2305" width="13" style="1174" customWidth="1"/>
    <col min="2306" max="2306" width="14.42578125" style="1174" customWidth="1"/>
    <col min="2307" max="2316" width="12.5703125" style="1174" customWidth="1"/>
    <col min="2317" max="2317" width="13.42578125" style="1174" customWidth="1"/>
    <col min="2318" max="2318" width="1.42578125" style="1174" customWidth="1"/>
    <col min="2319" max="2319" width="7.140625" style="1174" customWidth="1"/>
    <col min="2320" max="2320" width="1.42578125" style="1174" customWidth="1"/>
    <col min="2321" max="2321" width="6.5703125" style="1174" customWidth="1"/>
    <col min="2322" max="2322" width="16.140625" style="1174" customWidth="1"/>
    <col min="2323" max="2323" width="24.85546875" style="1174" customWidth="1"/>
    <col min="2324" max="2324" width="2.42578125" style="1174" customWidth="1"/>
    <col min="2325" max="2325" width="6.140625" style="1174" customWidth="1"/>
    <col min="2326" max="2534" width="10.42578125" style="1174" customWidth="1"/>
    <col min="2535" max="2560" width="2.5703125" style="1174"/>
    <col min="2561" max="2561" width="13" style="1174" customWidth="1"/>
    <col min="2562" max="2562" width="14.42578125" style="1174" customWidth="1"/>
    <col min="2563" max="2572" width="12.5703125" style="1174" customWidth="1"/>
    <col min="2573" max="2573" width="13.42578125" style="1174" customWidth="1"/>
    <col min="2574" max="2574" width="1.42578125" style="1174" customWidth="1"/>
    <col min="2575" max="2575" width="7.140625" style="1174" customWidth="1"/>
    <col min="2576" max="2576" width="1.42578125" style="1174" customWidth="1"/>
    <col min="2577" max="2577" width="6.5703125" style="1174" customWidth="1"/>
    <col min="2578" max="2578" width="16.140625" style="1174" customWidth="1"/>
    <col min="2579" max="2579" width="24.85546875" style="1174" customWidth="1"/>
    <col min="2580" max="2580" width="2.42578125" style="1174" customWidth="1"/>
    <col min="2581" max="2581" width="6.140625" style="1174" customWidth="1"/>
    <col min="2582" max="2790" width="10.42578125" style="1174" customWidth="1"/>
    <col min="2791" max="2816" width="2.5703125" style="1174"/>
    <col min="2817" max="2817" width="13" style="1174" customWidth="1"/>
    <col min="2818" max="2818" width="14.42578125" style="1174" customWidth="1"/>
    <col min="2819" max="2828" width="12.5703125" style="1174" customWidth="1"/>
    <col min="2829" max="2829" width="13.42578125" style="1174" customWidth="1"/>
    <col min="2830" max="2830" width="1.42578125" style="1174" customWidth="1"/>
    <col min="2831" max="2831" width="7.140625" style="1174" customWidth="1"/>
    <col min="2832" max="2832" width="1.42578125" style="1174" customWidth="1"/>
    <col min="2833" max="2833" width="6.5703125" style="1174" customWidth="1"/>
    <col min="2834" max="2834" width="16.140625" style="1174" customWidth="1"/>
    <col min="2835" max="2835" width="24.85546875" style="1174" customWidth="1"/>
    <col min="2836" max="2836" width="2.42578125" style="1174" customWidth="1"/>
    <col min="2837" max="2837" width="6.140625" style="1174" customWidth="1"/>
    <col min="2838" max="3046" width="10.42578125" style="1174" customWidth="1"/>
    <col min="3047" max="3072" width="2.5703125" style="1174"/>
    <col min="3073" max="3073" width="13" style="1174" customWidth="1"/>
    <col min="3074" max="3074" width="14.42578125" style="1174" customWidth="1"/>
    <col min="3075" max="3084" width="12.5703125" style="1174" customWidth="1"/>
    <col min="3085" max="3085" width="13.42578125" style="1174" customWidth="1"/>
    <col min="3086" max="3086" width="1.42578125" style="1174" customWidth="1"/>
    <col min="3087" max="3087" width="7.140625" style="1174" customWidth="1"/>
    <col min="3088" max="3088" width="1.42578125" style="1174" customWidth="1"/>
    <col min="3089" max="3089" width="6.5703125" style="1174" customWidth="1"/>
    <col min="3090" max="3090" width="16.140625" style="1174" customWidth="1"/>
    <col min="3091" max="3091" width="24.85546875" style="1174" customWidth="1"/>
    <col min="3092" max="3092" width="2.42578125" style="1174" customWidth="1"/>
    <col min="3093" max="3093" width="6.140625" style="1174" customWidth="1"/>
    <col min="3094" max="3302" width="10.42578125" style="1174" customWidth="1"/>
    <col min="3303" max="3328" width="2.5703125" style="1174"/>
    <col min="3329" max="3329" width="13" style="1174" customWidth="1"/>
    <col min="3330" max="3330" width="14.42578125" style="1174" customWidth="1"/>
    <col min="3331" max="3340" width="12.5703125" style="1174" customWidth="1"/>
    <col min="3341" max="3341" width="13.42578125" style="1174" customWidth="1"/>
    <col min="3342" max="3342" width="1.42578125" style="1174" customWidth="1"/>
    <col min="3343" max="3343" width="7.140625" style="1174" customWidth="1"/>
    <col min="3344" max="3344" width="1.42578125" style="1174" customWidth="1"/>
    <col min="3345" max="3345" width="6.5703125" style="1174" customWidth="1"/>
    <col min="3346" max="3346" width="16.140625" style="1174" customWidth="1"/>
    <col min="3347" max="3347" width="24.85546875" style="1174" customWidth="1"/>
    <col min="3348" max="3348" width="2.42578125" style="1174" customWidth="1"/>
    <col min="3349" max="3349" width="6.140625" style="1174" customWidth="1"/>
    <col min="3350" max="3558" width="10.42578125" style="1174" customWidth="1"/>
    <col min="3559" max="3584" width="2.5703125" style="1174"/>
    <col min="3585" max="3585" width="13" style="1174" customWidth="1"/>
    <col min="3586" max="3586" width="14.42578125" style="1174" customWidth="1"/>
    <col min="3587" max="3596" width="12.5703125" style="1174" customWidth="1"/>
    <col min="3597" max="3597" width="13.42578125" style="1174" customWidth="1"/>
    <col min="3598" max="3598" width="1.42578125" style="1174" customWidth="1"/>
    <col min="3599" max="3599" width="7.140625" style="1174" customWidth="1"/>
    <col min="3600" max="3600" width="1.42578125" style="1174" customWidth="1"/>
    <col min="3601" max="3601" width="6.5703125" style="1174" customWidth="1"/>
    <col min="3602" max="3602" width="16.140625" style="1174" customWidth="1"/>
    <col min="3603" max="3603" width="24.85546875" style="1174" customWidth="1"/>
    <col min="3604" max="3604" width="2.42578125" style="1174" customWidth="1"/>
    <col min="3605" max="3605" width="6.140625" style="1174" customWidth="1"/>
    <col min="3606" max="3814" width="10.42578125" style="1174" customWidth="1"/>
    <col min="3815" max="3840" width="2.5703125" style="1174"/>
    <col min="3841" max="3841" width="13" style="1174" customWidth="1"/>
    <col min="3842" max="3842" width="14.42578125" style="1174" customWidth="1"/>
    <col min="3843" max="3852" width="12.5703125" style="1174" customWidth="1"/>
    <col min="3853" max="3853" width="13.42578125" style="1174" customWidth="1"/>
    <col min="3854" max="3854" width="1.42578125" style="1174" customWidth="1"/>
    <col min="3855" max="3855" width="7.140625" style="1174" customWidth="1"/>
    <col min="3856" max="3856" width="1.42578125" style="1174" customWidth="1"/>
    <col min="3857" max="3857" width="6.5703125" style="1174" customWidth="1"/>
    <col min="3858" max="3858" width="16.140625" style="1174" customWidth="1"/>
    <col min="3859" max="3859" width="24.85546875" style="1174" customWidth="1"/>
    <col min="3860" max="3860" width="2.42578125" style="1174" customWidth="1"/>
    <col min="3861" max="3861" width="6.140625" style="1174" customWidth="1"/>
    <col min="3862" max="4070" width="10.42578125" style="1174" customWidth="1"/>
    <col min="4071" max="4096" width="2.5703125" style="1174"/>
    <col min="4097" max="4097" width="13" style="1174" customWidth="1"/>
    <col min="4098" max="4098" width="14.42578125" style="1174" customWidth="1"/>
    <col min="4099" max="4108" width="12.5703125" style="1174" customWidth="1"/>
    <col min="4109" max="4109" width="13.42578125" style="1174" customWidth="1"/>
    <col min="4110" max="4110" width="1.42578125" style="1174" customWidth="1"/>
    <col min="4111" max="4111" width="7.140625" style="1174" customWidth="1"/>
    <col min="4112" max="4112" width="1.42578125" style="1174" customWidth="1"/>
    <col min="4113" max="4113" width="6.5703125" style="1174" customWidth="1"/>
    <col min="4114" max="4114" width="16.140625" style="1174" customWidth="1"/>
    <col min="4115" max="4115" width="24.85546875" style="1174" customWidth="1"/>
    <col min="4116" max="4116" width="2.42578125" style="1174" customWidth="1"/>
    <col min="4117" max="4117" width="6.140625" style="1174" customWidth="1"/>
    <col min="4118" max="4326" width="10.42578125" style="1174" customWidth="1"/>
    <col min="4327" max="4352" width="2.5703125" style="1174"/>
    <col min="4353" max="4353" width="13" style="1174" customWidth="1"/>
    <col min="4354" max="4354" width="14.42578125" style="1174" customWidth="1"/>
    <col min="4355" max="4364" width="12.5703125" style="1174" customWidth="1"/>
    <col min="4365" max="4365" width="13.42578125" style="1174" customWidth="1"/>
    <col min="4366" max="4366" width="1.42578125" style="1174" customWidth="1"/>
    <col min="4367" max="4367" width="7.140625" style="1174" customWidth="1"/>
    <col min="4368" max="4368" width="1.42578125" style="1174" customWidth="1"/>
    <col min="4369" max="4369" width="6.5703125" style="1174" customWidth="1"/>
    <col min="4370" max="4370" width="16.140625" style="1174" customWidth="1"/>
    <col min="4371" max="4371" width="24.85546875" style="1174" customWidth="1"/>
    <col min="4372" max="4372" width="2.42578125" style="1174" customWidth="1"/>
    <col min="4373" max="4373" width="6.140625" style="1174" customWidth="1"/>
    <col min="4374" max="4582" width="10.42578125" style="1174" customWidth="1"/>
    <col min="4583" max="4608" width="2.5703125" style="1174"/>
    <col min="4609" max="4609" width="13" style="1174" customWidth="1"/>
    <col min="4610" max="4610" width="14.42578125" style="1174" customWidth="1"/>
    <col min="4611" max="4620" width="12.5703125" style="1174" customWidth="1"/>
    <col min="4621" max="4621" width="13.42578125" style="1174" customWidth="1"/>
    <col min="4622" max="4622" width="1.42578125" style="1174" customWidth="1"/>
    <col min="4623" max="4623" width="7.140625" style="1174" customWidth="1"/>
    <col min="4624" max="4624" width="1.42578125" style="1174" customWidth="1"/>
    <col min="4625" max="4625" width="6.5703125" style="1174" customWidth="1"/>
    <col min="4626" max="4626" width="16.140625" style="1174" customWidth="1"/>
    <col min="4627" max="4627" width="24.85546875" style="1174" customWidth="1"/>
    <col min="4628" max="4628" width="2.42578125" style="1174" customWidth="1"/>
    <col min="4629" max="4629" width="6.140625" style="1174" customWidth="1"/>
    <col min="4630" max="4838" width="10.42578125" style="1174" customWidth="1"/>
    <col min="4839" max="4864" width="2.5703125" style="1174"/>
    <col min="4865" max="4865" width="13" style="1174" customWidth="1"/>
    <col min="4866" max="4866" width="14.42578125" style="1174" customWidth="1"/>
    <col min="4867" max="4876" width="12.5703125" style="1174" customWidth="1"/>
    <col min="4877" max="4877" width="13.42578125" style="1174" customWidth="1"/>
    <col min="4878" max="4878" width="1.42578125" style="1174" customWidth="1"/>
    <col min="4879" max="4879" width="7.140625" style="1174" customWidth="1"/>
    <col min="4880" max="4880" width="1.42578125" style="1174" customWidth="1"/>
    <col min="4881" max="4881" width="6.5703125" style="1174" customWidth="1"/>
    <col min="4882" max="4882" width="16.140625" style="1174" customWidth="1"/>
    <col min="4883" max="4883" width="24.85546875" style="1174" customWidth="1"/>
    <col min="4884" max="4884" width="2.42578125" style="1174" customWidth="1"/>
    <col min="4885" max="4885" width="6.140625" style="1174" customWidth="1"/>
    <col min="4886" max="5094" width="10.42578125" style="1174" customWidth="1"/>
    <col min="5095" max="5120" width="2.5703125" style="1174"/>
    <col min="5121" max="5121" width="13" style="1174" customWidth="1"/>
    <col min="5122" max="5122" width="14.42578125" style="1174" customWidth="1"/>
    <col min="5123" max="5132" width="12.5703125" style="1174" customWidth="1"/>
    <col min="5133" max="5133" width="13.42578125" style="1174" customWidth="1"/>
    <col min="5134" max="5134" width="1.42578125" style="1174" customWidth="1"/>
    <col min="5135" max="5135" width="7.140625" style="1174" customWidth="1"/>
    <col min="5136" max="5136" width="1.42578125" style="1174" customWidth="1"/>
    <col min="5137" max="5137" width="6.5703125" style="1174" customWidth="1"/>
    <col min="5138" max="5138" width="16.140625" style="1174" customWidth="1"/>
    <col min="5139" max="5139" width="24.85546875" style="1174" customWidth="1"/>
    <col min="5140" max="5140" width="2.42578125" style="1174" customWidth="1"/>
    <col min="5141" max="5141" width="6.140625" style="1174" customWidth="1"/>
    <col min="5142" max="5350" width="10.42578125" style="1174" customWidth="1"/>
    <col min="5351" max="5376" width="2.5703125" style="1174"/>
    <col min="5377" max="5377" width="13" style="1174" customWidth="1"/>
    <col min="5378" max="5378" width="14.42578125" style="1174" customWidth="1"/>
    <col min="5379" max="5388" width="12.5703125" style="1174" customWidth="1"/>
    <col min="5389" max="5389" width="13.42578125" style="1174" customWidth="1"/>
    <col min="5390" max="5390" width="1.42578125" style="1174" customWidth="1"/>
    <col min="5391" max="5391" width="7.140625" style="1174" customWidth="1"/>
    <col min="5392" max="5392" width="1.42578125" style="1174" customWidth="1"/>
    <col min="5393" max="5393" width="6.5703125" style="1174" customWidth="1"/>
    <col min="5394" max="5394" width="16.140625" style="1174" customWidth="1"/>
    <col min="5395" max="5395" width="24.85546875" style="1174" customWidth="1"/>
    <col min="5396" max="5396" width="2.42578125" style="1174" customWidth="1"/>
    <col min="5397" max="5397" width="6.140625" style="1174" customWidth="1"/>
    <col min="5398" max="5606" width="10.42578125" style="1174" customWidth="1"/>
    <col min="5607" max="5632" width="2.5703125" style="1174"/>
    <col min="5633" max="5633" width="13" style="1174" customWidth="1"/>
    <col min="5634" max="5634" width="14.42578125" style="1174" customWidth="1"/>
    <col min="5635" max="5644" width="12.5703125" style="1174" customWidth="1"/>
    <col min="5645" max="5645" width="13.42578125" style="1174" customWidth="1"/>
    <col min="5646" max="5646" width="1.42578125" style="1174" customWidth="1"/>
    <col min="5647" max="5647" width="7.140625" style="1174" customWidth="1"/>
    <col min="5648" max="5648" width="1.42578125" style="1174" customWidth="1"/>
    <col min="5649" max="5649" width="6.5703125" style="1174" customWidth="1"/>
    <col min="5650" max="5650" width="16.140625" style="1174" customWidth="1"/>
    <col min="5651" max="5651" width="24.85546875" style="1174" customWidth="1"/>
    <col min="5652" max="5652" width="2.42578125" style="1174" customWidth="1"/>
    <col min="5653" max="5653" width="6.140625" style="1174" customWidth="1"/>
    <col min="5654" max="5862" width="10.42578125" style="1174" customWidth="1"/>
    <col min="5863" max="5888" width="2.5703125" style="1174"/>
    <col min="5889" max="5889" width="13" style="1174" customWidth="1"/>
    <col min="5890" max="5890" width="14.42578125" style="1174" customWidth="1"/>
    <col min="5891" max="5900" width="12.5703125" style="1174" customWidth="1"/>
    <col min="5901" max="5901" width="13.42578125" style="1174" customWidth="1"/>
    <col min="5902" max="5902" width="1.42578125" style="1174" customWidth="1"/>
    <col min="5903" max="5903" width="7.140625" style="1174" customWidth="1"/>
    <col min="5904" max="5904" width="1.42578125" style="1174" customWidth="1"/>
    <col min="5905" max="5905" width="6.5703125" style="1174" customWidth="1"/>
    <col min="5906" max="5906" width="16.140625" style="1174" customWidth="1"/>
    <col min="5907" max="5907" width="24.85546875" style="1174" customWidth="1"/>
    <col min="5908" max="5908" width="2.42578125" style="1174" customWidth="1"/>
    <col min="5909" max="5909" width="6.140625" style="1174" customWidth="1"/>
    <col min="5910" max="6118" width="10.42578125" style="1174" customWidth="1"/>
    <col min="6119" max="6144" width="2.5703125" style="1174"/>
    <col min="6145" max="6145" width="13" style="1174" customWidth="1"/>
    <col min="6146" max="6146" width="14.42578125" style="1174" customWidth="1"/>
    <col min="6147" max="6156" width="12.5703125" style="1174" customWidth="1"/>
    <col min="6157" max="6157" width="13.42578125" style="1174" customWidth="1"/>
    <col min="6158" max="6158" width="1.42578125" style="1174" customWidth="1"/>
    <col min="6159" max="6159" width="7.140625" style="1174" customWidth="1"/>
    <col min="6160" max="6160" width="1.42578125" style="1174" customWidth="1"/>
    <col min="6161" max="6161" width="6.5703125" style="1174" customWidth="1"/>
    <col min="6162" max="6162" width="16.140625" style="1174" customWidth="1"/>
    <col min="6163" max="6163" width="24.85546875" style="1174" customWidth="1"/>
    <col min="6164" max="6164" width="2.42578125" style="1174" customWidth="1"/>
    <col min="6165" max="6165" width="6.140625" style="1174" customWidth="1"/>
    <col min="6166" max="6374" width="10.42578125" style="1174" customWidth="1"/>
    <col min="6375" max="6400" width="2.5703125" style="1174"/>
    <col min="6401" max="6401" width="13" style="1174" customWidth="1"/>
    <col min="6402" max="6402" width="14.42578125" style="1174" customWidth="1"/>
    <col min="6403" max="6412" width="12.5703125" style="1174" customWidth="1"/>
    <col min="6413" max="6413" width="13.42578125" style="1174" customWidth="1"/>
    <col min="6414" max="6414" width="1.42578125" style="1174" customWidth="1"/>
    <col min="6415" max="6415" width="7.140625" style="1174" customWidth="1"/>
    <col min="6416" max="6416" width="1.42578125" style="1174" customWidth="1"/>
    <col min="6417" max="6417" width="6.5703125" style="1174" customWidth="1"/>
    <col min="6418" max="6418" width="16.140625" style="1174" customWidth="1"/>
    <col min="6419" max="6419" width="24.85546875" style="1174" customWidth="1"/>
    <col min="6420" max="6420" width="2.42578125" style="1174" customWidth="1"/>
    <col min="6421" max="6421" width="6.140625" style="1174" customWidth="1"/>
    <col min="6422" max="6630" width="10.42578125" style="1174" customWidth="1"/>
    <col min="6631" max="6656" width="2.5703125" style="1174"/>
    <col min="6657" max="6657" width="13" style="1174" customWidth="1"/>
    <col min="6658" max="6658" width="14.42578125" style="1174" customWidth="1"/>
    <col min="6659" max="6668" width="12.5703125" style="1174" customWidth="1"/>
    <col min="6669" max="6669" width="13.42578125" style="1174" customWidth="1"/>
    <col min="6670" max="6670" width="1.42578125" style="1174" customWidth="1"/>
    <col min="6671" max="6671" width="7.140625" style="1174" customWidth="1"/>
    <col min="6672" max="6672" width="1.42578125" style="1174" customWidth="1"/>
    <col min="6673" max="6673" width="6.5703125" style="1174" customWidth="1"/>
    <col min="6674" max="6674" width="16.140625" style="1174" customWidth="1"/>
    <col min="6675" max="6675" width="24.85546875" style="1174" customWidth="1"/>
    <col min="6676" max="6676" width="2.42578125" style="1174" customWidth="1"/>
    <col min="6677" max="6677" width="6.140625" style="1174" customWidth="1"/>
    <col min="6678" max="6886" width="10.42578125" style="1174" customWidth="1"/>
    <col min="6887" max="6912" width="2.5703125" style="1174"/>
    <col min="6913" max="6913" width="13" style="1174" customWidth="1"/>
    <col min="6914" max="6914" width="14.42578125" style="1174" customWidth="1"/>
    <col min="6915" max="6924" width="12.5703125" style="1174" customWidth="1"/>
    <col min="6925" max="6925" width="13.42578125" style="1174" customWidth="1"/>
    <col min="6926" max="6926" width="1.42578125" style="1174" customWidth="1"/>
    <col min="6927" max="6927" width="7.140625" style="1174" customWidth="1"/>
    <col min="6928" max="6928" width="1.42578125" style="1174" customWidth="1"/>
    <col min="6929" max="6929" width="6.5703125" style="1174" customWidth="1"/>
    <col min="6930" max="6930" width="16.140625" style="1174" customWidth="1"/>
    <col min="6931" max="6931" width="24.85546875" style="1174" customWidth="1"/>
    <col min="6932" max="6932" width="2.42578125" style="1174" customWidth="1"/>
    <col min="6933" max="6933" width="6.140625" style="1174" customWidth="1"/>
    <col min="6934" max="7142" width="10.42578125" style="1174" customWidth="1"/>
    <col min="7143" max="7168" width="2.5703125" style="1174"/>
    <col min="7169" max="7169" width="13" style="1174" customWidth="1"/>
    <col min="7170" max="7170" width="14.42578125" style="1174" customWidth="1"/>
    <col min="7171" max="7180" width="12.5703125" style="1174" customWidth="1"/>
    <col min="7181" max="7181" width="13.42578125" style="1174" customWidth="1"/>
    <col min="7182" max="7182" width="1.42578125" style="1174" customWidth="1"/>
    <col min="7183" max="7183" width="7.140625" style="1174" customWidth="1"/>
    <col min="7184" max="7184" width="1.42578125" style="1174" customWidth="1"/>
    <col min="7185" max="7185" width="6.5703125" style="1174" customWidth="1"/>
    <col min="7186" max="7186" width="16.140625" style="1174" customWidth="1"/>
    <col min="7187" max="7187" width="24.85546875" style="1174" customWidth="1"/>
    <col min="7188" max="7188" width="2.42578125" style="1174" customWidth="1"/>
    <col min="7189" max="7189" width="6.140625" style="1174" customWidth="1"/>
    <col min="7190" max="7398" width="10.42578125" style="1174" customWidth="1"/>
    <col min="7399" max="7424" width="2.5703125" style="1174"/>
    <col min="7425" max="7425" width="13" style="1174" customWidth="1"/>
    <col min="7426" max="7426" width="14.42578125" style="1174" customWidth="1"/>
    <col min="7427" max="7436" width="12.5703125" style="1174" customWidth="1"/>
    <col min="7437" max="7437" width="13.42578125" style="1174" customWidth="1"/>
    <col min="7438" max="7438" width="1.42578125" style="1174" customWidth="1"/>
    <col min="7439" max="7439" width="7.140625" style="1174" customWidth="1"/>
    <col min="7440" max="7440" width="1.42578125" style="1174" customWidth="1"/>
    <col min="7441" max="7441" width="6.5703125" style="1174" customWidth="1"/>
    <col min="7442" max="7442" width="16.140625" style="1174" customWidth="1"/>
    <col min="7443" max="7443" width="24.85546875" style="1174" customWidth="1"/>
    <col min="7444" max="7444" width="2.42578125" style="1174" customWidth="1"/>
    <col min="7445" max="7445" width="6.140625" style="1174" customWidth="1"/>
    <col min="7446" max="7654" width="10.42578125" style="1174" customWidth="1"/>
    <col min="7655" max="7680" width="2.5703125" style="1174"/>
    <col min="7681" max="7681" width="13" style="1174" customWidth="1"/>
    <col min="7682" max="7682" width="14.42578125" style="1174" customWidth="1"/>
    <col min="7683" max="7692" width="12.5703125" style="1174" customWidth="1"/>
    <col min="7693" max="7693" width="13.42578125" style="1174" customWidth="1"/>
    <col min="7694" max="7694" width="1.42578125" style="1174" customWidth="1"/>
    <col min="7695" max="7695" width="7.140625" style="1174" customWidth="1"/>
    <col min="7696" max="7696" width="1.42578125" style="1174" customWidth="1"/>
    <col min="7697" max="7697" width="6.5703125" style="1174" customWidth="1"/>
    <col min="7698" max="7698" width="16.140625" style="1174" customWidth="1"/>
    <col min="7699" max="7699" width="24.85546875" style="1174" customWidth="1"/>
    <col min="7700" max="7700" width="2.42578125" style="1174" customWidth="1"/>
    <col min="7701" max="7701" width="6.140625" style="1174" customWidth="1"/>
    <col min="7702" max="7910" width="10.42578125" style="1174" customWidth="1"/>
    <col min="7911" max="7936" width="2.5703125" style="1174"/>
    <col min="7937" max="7937" width="13" style="1174" customWidth="1"/>
    <col min="7938" max="7938" width="14.42578125" style="1174" customWidth="1"/>
    <col min="7939" max="7948" width="12.5703125" style="1174" customWidth="1"/>
    <col min="7949" max="7949" width="13.42578125" style="1174" customWidth="1"/>
    <col min="7950" max="7950" width="1.42578125" style="1174" customWidth="1"/>
    <col min="7951" max="7951" width="7.140625" style="1174" customWidth="1"/>
    <col min="7952" max="7952" width="1.42578125" style="1174" customWidth="1"/>
    <col min="7953" max="7953" width="6.5703125" style="1174" customWidth="1"/>
    <col min="7954" max="7954" width="16.140625" style="1174" customWidth="1"/>
    <col min="7955" max="7955" width="24.85546875" style="1174" customWidth="1"/>
    <col min="7956" max="7956" width="2.42578125" style="1174" customWidth="1"/>
    <col min="7957" max="7957" width="6.140625" style="1174" customWidth="1"/>
    <col min="7958" max="8166" width="10.42578125" style="1174" customWidth="1"/>
    <col min="8167" max="8192" width="2.5703125" style="1174"/>
    <col min="8193" max="8193" width="13" style="1174" customWidth="1"/>
    <col min="8194" max="8194" width="14.42578125" style="1174" customWidth="1"/>
    <col min="8195" max="8204" width="12.5703125" style="1174" customWidth="1"/>
    <col min="8205" max="8205" width="13.42578125" style="1174" customWidth="1"/>
    <col min="8206" max="8206" width="1.42578125" style="1174" customWidth="1"/>
    <col min="8207" max="8207" width="7.140625" style="1174" customWidth="1"/>
    <col min="8208" max="8208" width="1.42578125" style="1174" customWidth="1"/>
    <col min="8209" max="8209" width="6.5703125" style="1174" customWidth="1"/>
    <col min="8210" max="8210" width="16.140625" style="1174" customWidth="1"/>
    <col min="8211" max="8211" width="24.85546875" style="1174" customWidth="1"/>
    <col min="8212" max="8212" width="2.42578125" style="1174" customWidth="1"/>
    <col min="8213" max="8213" width="6.140625" style="1174" customWidth="1"/>
    <col min="8214" max="8422" width="10.42578125" style="1174" customWidth="1"/>
    <col min="8423" max="8448" width="2.5703125" style="1174"/>
    <col min="8449" max="8449" width="13" style="1174" customWidth="1"/>
    <col min="8450" max="8450" width="14.42578125" style="1174" customWidth="1"/>
    <col min="8451" max="8460" width="12.5703125" style="1174" customWidth="1"/>
    <col min="8461" max="8461" width="13.42578125" style="1174" customWidth="1"/>
    <col min="8462" max="8462" width="1.42578125" style="1174" customWidth="1"/>
    <col min="8463" max="8463" width="7.140625" style="1174" customWidth="1"/>
    <col min="8464" max="8464" width="1.42578125" style="1174" customWidth="1"/>
    <col min="8465" max="8465" width="6.5703125" style="1174" customWidth="1"/>
    <col min="8466" max="8466" width="16.140625" style="1174" customWidth="1"/>
    <col min="8467" max="8467" width="24.85546875" style="1174" customWidth="1"/>
    <col min="8468" max="8468" width="2.42578125" style="1174" customWidth="1"/>
    <col min="8469" max="8469" width="6.140625" style="1174" customWidth="1"/>
    <col min="8470" max="8678" width="10.42578125" style="1174" customWidth="1"/>
    <col min="8679" max="8704" width="2.5703125" style="1174"/>
    <col min="8705" max="8705" width="13" style="1174" customWidth="1"/>
    <col min="8706" max="8706" width="14.42578125" style="1174" customWidth="1"/>
    <col min="8707" max="8716" width="12.5703125" style="1174" customWidth="1"/>
    <col min="8717" max="8717" width="13.42578125" style="1174" customWidth="1"/>
    <col min="8718" max="8718" width="1.42578125" style="1174" customWidth="1"/>
    <col min="8719" max="8719" width="7.140625" style="1174" customWidth="1"/>
    <col min="8720" max="8720" width="1.42578125" style="1174" customWidth="1"/>
    <col min="8721" max="8721" width="6.5703125" style="1174" customWidth="1"/>
    <col min="8722" max="8722" width="16.140625" style="1174" customWidth="1"/>
    <col min="8723" max="8723" width="24.85546875" style="1174" customWidth="1"/>
    <col min="8724" max="8724" width="2.42578125" style="1174" customWidth="1"/>
    <col min="8725" max="8725" width="6.140625" style="1174" customWidth="1"/>
    <col min="8726" max="8934" width="10.42578125" style="1174" customWidth="1"/>
    <col min="8935" max="8960" width="2.5703125" style="1174"/>
    <col min="8961" max="8961" width="13" style="1174" customWidth="1"/>
    <col min="8962" max="8962" width="14.42578125" style="1174" customWidth="1"/>
    <col min="8963" max="8972" width="12.5703125" style="1174" customWidth="1"/>
    <col min="8973" max="8973" width="13.42578125" style="1174" customWidth="1"/>
    <col min="8974" max="8974" width="1.42578125" style="1174" customWidth="1"/>
    <col min="8975" max="8975" width="7.140625" style="1174" customWidth="1"/>
    <col min="8976" max="8976" width="1.42578125" style="1174" customWidth="1"/>
    <col min="8977" max="8977" width="6.5703125" style="1174" customWidth="1"/>
    <col min="8978" max="8978" width="16.140625" style="1174" customWidth="1"/>
    <col min="8979" max="8979" width="24.85546875" style="1174" customWidth="1"/>
    <col min="8980" max="8980" width="2.42578125" style="1174" customWidth="1"/>
    <col min="8981" max="8981" width="6.140625" style="1174" customWidth="1"/>
    <col min="8982" max="9190" width="10.42578125" style="1174" customWidth="1"/>
    <col min="9191" max="9216" width="2.5703125" style="1174"/>
    <col min="9217" max="9217" width="13" style="1174" customWidth="1"/>
    <col min="9218" max="9218" width="14.42578125" style="1174" customWidth="1"/>
    <col min="9219" max="9228" width="12.5703125" style="1174" customWidth="1"/>
    <col min="9229" max="9229" width="13.42578125" style="1174" customWidth="1"/>
    <col min="9230" max="9230" width="1.42578125" style="1174" customWidth="1"/>
    <col min="9231" max="9231" width="7.140625" style="1174" customWidth="1"/>
    <col min="9232" max="9232" width="1.42578125" style="1174" customWidth="1"/>
    <col min="9233" max="9233" width="6.5703125" style="1174" customWidth="1"/>
    <col min="9234" max="9234" width="16.140625" style="1174" customWidth="1"/>
    <col min="9235" max="9235" width="24.85546875" style="1174" customWidth="1"/>
    <col min="9236" max="9236" width="2.42578125" style="1174" customWidth="1"/>
    <col min="9237" max="9237" width="6.140625" style="1174" customWidth="1"/>
    <col min="9238" max="9446" width="10.42578125" style="1174" customWidth="1"/>
    <col min="9447" max="9472" width="2.5703125" style="1174"/>
    <col min="9473" max="9473" width="13" style="1174" customWidth="1"/>
    <col min="9474" max="9474" width="14.42578125" style="1174" customWidth="1"/>
    <col min="9475" max="9484" width="12.5703125" style="1174" customWidth="1"/>
    <col min="9485" max="9485" width="13.42578125" style="1174" customWidth="1"/>
    <col min="9486" max="9486" width="1.42578125" style="1174" customWidth="1"/>
    <col min="9487" max="9487" width="7.140625" style="1174" customWidth="1"/>
    <col min="9488" max="9488" width="1.42578125" style="1174" customWidth="1"/>
    <col min="9489" max="9489" width="6.5703125" style="1174" customWidth="1"/>
    <col min="9490" max="9490" width="16.140625" style="1174" customWidth="1"/>
    <col min="9491" max="9491" width="24.85546875" style="1174" customWidth="1"/>
    <col min="9492" max="9492" width="2.42578125" style="1174" customWidth="1"/>
    <col min="9493" max="9493" width="6.140625" style="1174" customWidth="1"/>
    <col min="9494" max="9702" width="10.42578125" style="1174" customWidth="1"/>
    <col min="9703" max="9728" width="2.5703125" style="1174"/>
    <col min="9729" max="9729" width="13" style="1174" customWidth="1"/>
    <col min="9730" max="9730" width="14.42578125" style="1174" customWidth="1"/>
    <col min="9731" max="9740" width="12.5703125" style="1174" customWidth="1"/>
    <col min="9741" max="9741" width="13.42578125" style="1174" customWidth="1"/>
    <col min="9742" max="9742" width="1.42578125" style="1174" customWidth="1"/>
    <col min="9743" max="9743" width="7.140625" style="1174" customWidth="1"/>
    <col min="9744" max="9744" width="1.42578125" style="1174" customWidth="1"/>
    <col min="9745" max="9745" width="6.5703125" style="1174" customWidth="1"/>
    <col min="9746" max="9746" width="16.140625" style="1174" customWidth="1"/>
    <col min="9747" max="9747" width="24.85546875" style="1174" customWidth="1"/>
    <col min="9748" max="9748" width="2.42578125" style="1174" customWidth="1"/>
    <col min="9749" max="9749" width="6.140625" style="1174" customWidth="1"/>
    <col min="9750" max="9958" width="10.42578125" style="1174" customWidth="1"/>
    <col min="9959" max="9984" width="2.5703125" style="1174"/>
    <col min="9985" max="9985" width="13" style="1174" customWidth="1"/>
    <col min="9986" max="9986" width="14.42578125" style="1174" customWidth="1"/>
    <col min="9987" max="9996" width="12.5703125" style="1174" customWidth="1"/>
    <col min="9997" max="9997" width="13.42578125" style="1174" customWidth="1"/>
    <col min="9998" max="9998" width="1.42578125" style="1174" customWidth="1"/>
    <col min="9999" max="9999" width="7.140625" style="1174" customWidth="1"/>
    <col min="10000" max="10000" width="1.42578125" style="1174" customWidth="1"/>
    <col min="10001" max="10001" width="6.5703125" style="1174" customWidth="1"/>
    <col min="10002" max="10002" width="16.140625" style="1174" customWidth="1"/>
    <col min="10003" max="10003" width="24.85546875" style="1174" customWidth="1"/>
    <col min="10004" max="10004" width="2.42578125" style="1174" customWidth="1"/>
    <col min="10005" max="10005" width="6.140625" style="1174" customWidth="1"/>
    <col min="10006" max="10214" width="10.42578125" style="1174" customWidth="1"/>
    <col min="10215" max="10240" width="2.5703125" style="1174"/>
    <col min="10241" max="10241" width="13" style="1174" customWidth="1"/>
    <col min="10242" max="10242" width="14.42578125" style="1174" customWidth="1"/>
    <col min="10243" max="10252" width="12.5703125" style="1174" customWidth="1"/>
    <col min="10253" max="10253" width="13.42578125" style="1174" customWidth="1"/>
    <col min="10254" max="10254" width="1.42578125" style="1174" customWidth="1"/>
    <col min="10255" max="10255" width="7.140625" style="1174" customWidth="1"/>
    <col min="10256" max="10256" width="1.42578125" style="1174" customWidth="1"/>
    <col min="10257" max="10257" width="6.5703125" style="1174" customWidth="1"/>
    <col min="10258" max="10258" width="16.140625" style="1174" customWidth="1"/>
    <col min="10259" max="10259" width="24.85546875" style="1174" customWidth="1"/>
    <col min="10260" max="10260" width="2.42578125" style="1174" customWidth="1"/>
    <col min="10261" max="10261" width="6.140625" style="1174" customWidth="1"/>
    <col min="10262" max="10470" width="10.42578125" style="1174" customWidth="1"/>
    <col min="10471" max="10496" width="2.5703125" style="1174"/>
    <col min="10497" max="10497" width="13" style="1174" customWidth="1"/>
    <col min="10498" max="10498" width="14.42578125" style="1174" customWidth="1"/>
    <col min="10499" max="10508" width="12.5703125" style="1174" customWidth="1"/>
    <col min="10509" max="10509" width="13.42578125" style="1174" customWidth="1"/>
    <col min="10510" max="10510" width="1.42578125" style="1174" customWidth="1"/>
    <col min="10511" max="10511" width="7.140625" style="1174" customWidth="1"/>
    <col min="10512" max="10512" width="1.42578125" style="1174" customWidth="1"/>
    <col min="10513" max="10513" width="6.5703125" style="1174" customWidth="1"/>
    <col min="10514" max="10514" width="16.140625" style="1174" customWidth="1"/>
    <col min="10515" max="10515" width="24.85546875" style="1174" customWidth="1"/>
    <col min="10516" max="10516" width="2.42578125" style="1174" customWidth="1"/>
    <col min="10517" max="10517" width="6.140625" style="1174" customWidth="1"/>
    <col min="10518" max="10726" width="10.42578125" style="1174" customWidth="1"/>
    <col min="10727" max="10752" width="2.5703125" style="1174"/>
    <col min="10753" max="10753" width="13" style="1174" customWidth="1"/>
    <col min="10754" max="10754" width="14.42578125" style="1174" customWidth="1"/>
    <col min="10755" max="10764" width="12.5703125" style="1174" customWidth="1"/>
    <col min="10765" max="10765" width="13.42578125" style="1174" customWidth="1"/>
    <col min="10766" max="10766" width="1.42578125" style="1174" customWidth="1"/>
    <col min="10767" max="10767" width="7.140625" style="1174" customWidth="1"/>
    <col min="10768" max="10768" width="1.42578125" style="1174" customWidth="1"/>
    <col min="10769" max="10769" width="6.5703125" style="1174" customWidth="1"/>
    <col min="10770" max="10770" width="16.140625" style="1174" customWidth="1"/>
    <col min="10771" max="10771" width="24.85546875" style="1174" customWidth="1"/>
    <col min="10772" max="10772" width="2.42578125" style="1174" customWidth="1"/>
    <col min="10773" max="10773" width="6.140625" style="1174" customWidth="1"/>
    <col min="10774" max="10982" width="10.42578125" style="1174" customWidth="1"/>
    <col min="10983" max="11008" width="2.5703125" style="1174"/>
    <col min="11009" max="11009" width="13" style="1174" customWidth="1"/>
    <col min="11010" max="11010" width="14.42578125" style="1174" customWidth="1"/>
    <col min="11011" max="11020" width="12.5703125" style="1174" customWidth="1"/>
    <col min="11021" max="11021" width="13.42578125" style="1174" customWidth="1"/>
    <col min="11022" max="11022" width="1.42578125" style="1174" customWidth="1"/>
    <col min="11023" max="11023" width="7.140625" style="1174" customWidth="1"/>
    <col min="11024" max="11024" width="1.42578125" style="1174" customWidth="1"/>
    <col min="11025" max="11025" width="6.5703125" style="1174" customWidth="1"/>
    <col min="11026" max="11026" width="16.140625" style="1174" customWidth="1"/>
    <col min="11027" max="11027" width="24.85546875" style="1174" customWidth="1"/>
    <col min="11028" max="11028" width="2.42578125" style="1174" customWidth="1"/>
    <col min="11029" max="11029" width="6.140625" style="1174" customWidth="1"/>
    <col min="11030" max="11238" width="10.42578125" style="1174" customWidth="1"/>
    <col min="11239" max="11264" width="2.5703125" style="1174"/>
    <col min="11265" max="11265" width="13" style="1174" customWidth="1"/>
    <col min="11266" max="11266" width="14.42578125" style="1174" customWidth="1"/>
    <col min="11267" max="11276" width="12.5703125" style="1174" customWidth="1"/>
    <col min="11277" max="11277" width="13.42578125" style="1174" customWidth="1"/>
    <col min="11278" max="11278" width="1.42578125" style="1174" customWidth="1"/>
    <col min="11279" max="11279" width="7.140625" style="1174" customWidth="1"/>
    <col min="11280" max="11280" width="1.42578125" style="1174" customWidth="1"/>
    <col min="11281" max="11281" width="6.5703125" style="1174" customWidth="1"/>
    <col min="11282" max="11282" width="16.140625" style="1174" customWidth="1"/>
    <col min="11283" max="11283" width="24.85546875" style="1174" customWidth="1"/>
    <col min="11284" max="11284" width="2.42578125" style="1174" customWidth="1"/>
    <col min="11285" max="11285" width="6.140625" style="1174" customWidth="1"/>
    <col min="11286" max="11494" width="10.42578125" style="1174" customWidth="1"/>
    <col min="11495" max="11520" width="2.5703125" style="1174"/>
    <col min="11521" max="11521" width="13" style="1174" customWidth="1"/>
    <col min="11522" max="11522" width="14.42578125" style="1174" customWidth="1"/>
    <col min="11523" max="11532" width="12.5703125" style="1174" customWidth="1"/>
    <col min="11533" max="11533" width="13.42578125" style="1174" customWidth="1"/>
    <col min="11534" max="11534" width="1.42578125" style="1174" customWidth="1"/>
    <col min="11535" max="11535" width="7.140625" style="1174" customWidth="1"/>
    <col min="11536" max="11536" width="1.42578125" style="1174" customWidth="1"/>
    <col min="11537" max="11537" width="6.5703125" style="1174" customWidth="1"/>
    <col min="11538" max="11538" width="16.140625" style="1174" customWidth="1"/>
    <col min="11539" max="11539" width="24.85546875" style="1174" customWidth="1"/>
    <col min="11540" max="11540" width="2.42578125" style="1174" customWidth="1"/>
    <col min="11541" max="11541" width="6.140625" style="1174" customWidth="1"/>
    <col min="11542" max="11750" width="10.42578125" style="1174" customWidth="1"/>
    <col min="11751" max="11776" width="2.5703125" style="1174"/>
    <col min="11777" max="11777" width="13" style="1174" customWidth="1"/>
    <col min="11778" max="11778" width="14.42578125" style="1174" customWidth="1"/>
    <col min="11779" max="11788" width="12.5703125" style="1174" customWidth="1"/>
    <col min="11789" max="11789" width="13.42578125" style="1174" customWidth="1"/>
    <col min="11790" max="11790" width="1.42578125" style="1174" customWidth="1"/>
    <col min="11791" max="11791" width="7.140625" style="1174" customWidth="1"/>
    <col min="11792" max="11792" width="1.42578125" style="1174" customWidth="1"/>
    <col min="11793" max="11793" width="6.5703125" style="1174" customWidth="1"/>
    <col min="11794" max="11794" width="16.140625" style="1174" customWidth="1"/>
    <col min="11795" max="11795" width="24.85546875" style="1174" customWidth="1"/>
    <col min="11796" max="11796" width="2.42578125" style="1174" customWidth="1"/>
    <col min="11797" max="11797" width="6.140625" style="1174" customWidth="1"/>
    <col min="11798" max="12006" width="10.42578125" style="1174" customWidth="1"/>
    <col min="12007" max="12032" width="2.5703125" style="1174"/>
    <col min="12033" max="12033" width="13" style="1174" customWidth="1"/>
    <col min="12034" max="12034" width="14.42578125" style="1174" customWidth="1"/>
    <col min="12035" max="12044" width="12.5703125" style="1174" customWidth="1"/>
    <col min="12045" max="12045" width="13.42578125" style="1174" customWidth="1"/>
    <col min="12046" max="12046" width="1.42578125" style="1174" customWidth="1"/>
    <col min="12047" max="12047" width="7.140625" style="1174" customWidth="1"/>
    <col min="12048" max="12048" width="1.42578125" style="1174" customWidth="1"/>
    <col min="12049" max="12049" width="6.5703125" style="1174" customWidth="1"/>
    <col min="12050" max="12050" width="16.140625" style="1174" customWidth="1"/>
    <col min="12051" max="12051" width="24.85546875" style="1174" customWidth="1"/>
    <col min="12052" max="12052" width="2.42578125" style="1174" customWidth="1"/>
    <col min="12053" max="12053" width="6.140625" style="1174" customWidth="1"/>
    <col min="12054" max="12262" width="10.42578125" style="1174" customWidth="1"/>
    <col min="12263" max="12288" width="2.5703125" style="1174"/>
    <col min="12289" max="12289" width="13" style="1174" customWidth="1"/>
    <col min="12290" max="12290" width="14.42578125" style="1174" customWidth="1"/>
    <col min="12291" max="12300" width="12.5703125" style="1174" customWidth="1"/>
    <col min="12301" max="12301" width="13.42578125" style="1174" customWidth="1"/>
    <col min="12302" max="12302" width="1.42578125" style="1174" customWidth="1"/>
    <col min="12303" max="12303" width="7.140625" style="1174" customWidth="1"/>
    <col min="12304" max="12304" width="1.42578125" style="1174" customWidth="1"/>
    <col min="12305" max="12305" width="6.5703125" style="1174" customWidth="1"/>
    <col min="12306" max="12306" width="16.140625" style="1174" customWidth="1"/>
    <col min="12307" max="12307" width="24.85546875" style="1174" customWidth="1"/>
    <col min="12308" max="12308" width="2.42578125" style="1174" customWidth="1"/>
    <col min="12309" max="12309" width="6.140625" style="1174" customWidth="1"/>
    <col min="12310" max="12518" width="10.42578125" style="1174" customWidth="1"/>
    <col min="12519" max="12544" width="2.5703125" style="1174"/>
    <col min="12545" max="12545" width="13" style="1174" customWidth="1"/>
    <col min="12546" max="12546" width="14.42578125" style="1174" customWidth="1"/>
    <col min="12547" max="12556" width="12.5703125" style="1174" customWidth="1"/>
    <col min="12557" max="12557" width="13.42578125" style="1174" customWidth="1"/>
    <col min="12558" max="12558" width="1.42578125" style="1174" customWidth="1"/>
    <col min="12559" max="12559" width="7.140625" style="1174" customWidth="1"/>
    <col min="12560" max="12560" width="1.42578125" style="1174" customWidth="1"/>
    <col min="12561" max="12561" width="6.5703125" style="1174" customWidth="1"/>
    <col min="12562" max="12562" width="16.140625" style="1174" customWidth="1"/>
    <col min="12563" max="12563" width="24.85546875" style="1174" customWidth="1"/>
    <col min="12564" max="12564" width="2.42578125" style="1174" customWidth="1"/>
    <col min="12565" max="12565" width="6.140625" style="1174" customWidth="1"/>
    <col min="12566" max="12774" width="10.42578125" style="1174" customWidth="1"/>
    <col min="12775" max="12800" width="2.5703125" style="1174"/>
    <col min="12801" max="12801" width="13" style="1174" customWidth="1"/>
    <col min="12802" max="12802" width="14.42578125" style="1174" customWidth="1"/>
    <col min="12803" max="12812" width="12.5703125" style="1174" customWidth="1"/>
    <col min="12813" max="12813" width="13.42578125" style="1174" customWidth="1"/>
    <col min="12814" max="12814" width="1.42578125" style="1174" customWidth="1"/>
    <col min="12815" max="12815" width="7.140625" style="1174" customWidth="1"/>
    <col min="12816" max="12816" width="1.42578125" style="1174" customWidth="1"/>
    <col min="12817" max="12817" width="6.5703125" style="1174" customWidth="1"/>
    <col min="12818" max="12818" width="16.140625" style="1174" customWidth="1"/>
    <col min="12819" max="12819" width="24.85546875" style="1174" customWidth="1"/>
    <col min="12820" max="12820" width="2.42578125" style="1174" customWidth="1"/>
    <col min="12821" max="12821" width="6.140625" style="1174" customWidth="1"/>
    <col min="12822" max="13030" width="10.42578125" style="1174" customWidth="1"/>
    <col min="13031" max="13056" width="2.5703125" style="1174"/>
    <col min="13057" max="13057" width="13" style="1174" customWidth="1"/>
    <col min="13058" max="13058" width="14.42578125" style="1174" customWidth="1"/>
    <col min="13059" max="13068" width="12.5703125" style="1174" customWidth="1"/>
    <col min="13069" max="13069" width="13.42578125" style="1174" customWidth="1"/>
    <col min="13070" max="13070" width="1.42578125" style="1174" customWidth="1"/>
    <col min="13071" max="13071" width="7.140625" style="1174" customWidth="1"/>
    <col min="13072" max="13072" width="1.42578125" style="1174" customWidth="1"/>
    <col min="13073" max="13073" width="6.5703125" style="1174" customWidth="1"/>
    <col min="13074" max="13074" width="16.140625" style="1174" customWidth="1"/>
    <col min="13075" max="13075" width="24.85546875" style="1174" customWidth="1"/>
    <col min="13076" max="13076" width="2.42578125" style="1174" customWidth="1"/>
    <col min="13077" max="13077" width="6.140625" style="1174" customWidth="1"/>
    <col min="13078" max="13286" width="10.42578125" style="1174" customWidth="1"/>
    <col min="13287" max="13312" width="2.5703125" style="1174"/>
    <col min="13313" max="13313" width="13" style="1174" customWidth="1"/>
    <col min="13314" max="13314" width="14.42578125" style="1174" customWidth="1"/>
    <col min="13315" max="13324" width="12.5703125" style="1174" customWidth="1"/>
    <col min="13325" max="13325" width="13.42578125" style="1174" customWidth="1"/>
    <col min="13326" max="13326" width="1.42578125" style="1174" customWidth="1"/>
    <col min="13327" max="13327" width="7.140625" style="1174" customWidth="1"/>
    <col min="13328" max="13328" width="1.42578125" style="1174" customWidth="1"/>
    <col min="13329" max="13329" width="6.5703125" style="1174" customWidth="1"/>
    <col min="13330" max="13330" width="16.140625" style="1174" customWidth="1"/>
    <col min="13331" max="13331" width="24.85546875" style="1174" customWidth="1"/>
    <col min="13332" max="13332" width="2.42578125" style="1174" customWidth="1"/>
    <col min="13333" max="13333" width="6.140625" style="1174" customWidth="1"/>
    <col min="13334" max="13542" width="10.42578125" style="1174" customWidth="1"/>
    <col min="13543" max="13568" width="2.5703125" style="1174"/>
    <col min="13569" max="13569" width="13" style="1174" customWidth="1"/>
    <col min="13570" max="13570" width="14.42578125" style="1174" customWidth="1"/>
    <col min="13571" max="13580" width="12.5703125" style="1174" customWidth="1"/>
    <col min="13581" max="13581" width="13.42578125" style="1174" customWidth="1"/>
    <col min="13582" max="13582" width="1.42578125" style="1174" customWidth="1"/>
    <col min="13583" max="13583" width="7.140625" style="1174" customWidth="1"/>
    <col min="13584" max="13584" width="1.42578125" style="1174" customWidth="1"/>
    <col min="13585" max="13585" width="6.5703125" style="1174" customWidth="1"/>
    <col min="13586" max="13586" width="16.140625" style="1174" customWidth="1"/>
    <col min="13587" max="13587" width="24.85546875" style="1174" customWidth="1"/>
    <col min="13588" max="13588" width="2.42578125" style="1174" customWidth="1"/>
    <col min="13589" max="13589" width="6.140625" style="1174" customWidth="1"/>
    <col min="13590" max="13798" width="10.42578125" style="1174" customWidth="1"/>
    <col min="13799" max="13824" width="2.5703125" style="1174"/>
    <col min="13825" max="13825" width="13" style="1174" customWidth="1"/>
    <col min="13826" max="13826" width="14.42578125" style="1174" customWidth="1"/>
    <col min="13827" max="13836" width="12.5703125" style="1174" customWidth="1"/>
    <col min="13837" max="13837" width="13.42578125" style="1174" customWidth="1"/>
    <col min="13838" max="13838" width="1.42578125" style="1174" customWidth="1"/>
    <col min="13839" max="13839" width="7.140625" style="1174" customWidth="1"/>
    <col min="13840" max="13840" width="1.42578125" style="1174" customWidth="1"/>
    <col min="13841" max="13841" width="6.5703125" style="1174" customWidth="1"/>
    <col min="13842" max="13842" width="16.140625" style="1174" customWidth="1"/>
    <col min="13843" max="13843" width="24.85546875" style="1174" customWidth="1"/>
    <col min="13844" max="13844" width="2.42578125" style="1174" customWidth="1"/>
    <col min="13845" max="13845" width="6.140625" style="1174" customWidth="1"/>
    <col min="13846" max="14054" width="10.42578125" style="1174" customWidth="1"/>
    <col min="14055" max="14080" width="2.5703125" style="1174"/>
    <col min="14081" max="14081" width="13" style="1174" customWidth="1"/>
    <col min="14082" max="14082" width="14.42578125" style="1174" customWidth="1"/>
    <col min="14083" max="14092" width="12.5703125" style="1174" customWidth="1"/>
    <col min="14093" max="14093" width="13.42578125" style="1174" customWidth="1"/>
    <col min="14094" max="14094" width="1.42578125" style="1174" customWidth="1"/>
    <col min="14095" max="14095" width="7.140625" style="1174" customWidth="1"/>
    <col min="14096" max="14096" width="1.42578125" style="1174" customWidth="1"/>
    <col min="14097" max="14097" width="6.5703125" style="1174" customWidth="1"/>
    <col min="14098" max="14098" width="16.140625" style="1174" customWidth="1"/>
    <col min="14099" max="14099" width="24.85546875" style="1174" customWidth="1"/>
    <col min="14100" max="14100" width="2.42578125" style="1174" customWidth="1"/>
    <col min="14101" max="14101" width="6.140625" style="1174" customWidth="1"/>
    <col min="14102" max="14310" width="10.42578125" style="1174" customWidth="1"/>
    <col min="14311" max="14336" width="2.5703125" style="1174"/>
    <col min="14337" max="14337" width="13" style="1174" customWidth="1"/>
    <col min="14338" max="14338" width="14.42578125" style="1174" customWidth="1"/>
    <col min="14339" max="14348" width="12.5703125" style="1174" customWidth="1"/>
    <col min="14349" max="14349" width="13.42578125" style="1174" customWidth="1"/>
    <col min="14350" max="14350" width="1.42578125" style="1174" customWidth="1"/>
    <col min="14351" max="14351" width="7.140625" style="1174" customWidth="1"/>
    <col min="14352" max="14352" width="1.42578125" style="1174" customWidth="1"/>
    <col min="14353" max="14353" width="6.5703125" style="1174" customWidth="1"/>
    <col min="14354" max="14354" width="16.140625" style="1174" customWidth="1"/>
    <col min="14355" max="14355" width="24.85546875" style="1174" customWidth="1"/>
    <col min="14356" max="14356" width="2.42578125" style="1174" customWidth="1"/>
    <col min="14357" max="14357" width="6.140625" style="1174" customWidth="1"/>
    <col min="14358" max="14566" width="10.42578125" style="1174" customWidth="1"/>
    <col min="14567" max="14592" width="2.5703125" style="1174"/>
    <col min="14593" max="14593" width="13" style="1174" customWidth="1"/>
    <col min="14594" max="14594" width="14.42578125" style="1174" customWidth="1"/>
    <col min="14595" max="14604" width="12.5703125" style="1174" customWidth="1"/>
    <col min="14605" max="14605" width="13.42578125" style="1174" customWidth="1"/>
    <col min="14606" max="14606" width="1.42578125" style="1174" customWidth="1"/>
    <col min="14607" max="14607" width="7.140625" style="1174" customWidth="1"/>
    <col min="14608" max="14608" width="1.42578125" style="1174" customWidth="1"/>
    <col min="14609" max="14609" width="6.5703125" style="1174" customWidth="1"/>
    <col min="14610" max="14610" width="16.140625" style="1174" customWidth="1"/>
    <col min="14611" max="14611" width="24.85546875" style="1174" customWidth="1"/>
    <col min="14612" max="14612" width="2.42578125" style="1174" customWidth="1"/>
    <col min="14613" max="14613" width="6.140625" style="1174" customWidth="1"/>
    <col min="14614" max="14822" width="10.42578125" style="1174" customWidth="1"/>
    <col min="14823" max="14848" width="2.5703125" style="1174"/>
    <col min="14849" max="14849" width="13" style="1174" customWidth="1"/>
    <col min="14850" max="14850" width="14.42578125" style="1174" customWidth="1"/>
    <col min="14851" max="14860" width="12.5703125" style="1174" customWidth="1"/>
    <col min="14861" max="14861" width="13.42578125" style="1174" customWidth="1"/>
    <col min="14862" max="14862" width="1.42578125" style="1174" customWidth="1"/>
    <col min="14863" max="14863" width="7.140625" style="1174" customWidth="1"/>
    <col min="14864" max="14864" width="1.42578125" style="1174" customWidth="1"/>
    <col min="14865" max="14865" width="6.5703125" style="1174" customWidth="1"/>
    <col min="14866" max="14866" width="16.140625" style="1174" customWidth="1"/>
    <col min="14867" max="14867" width="24.85546875" style="1174" customWidth="1"/>
    <col min="14868" max="14868" width="2.42578125" style="1174" customWidth="1"/>
    <col min="14869" max="14869" width="6.140625" style="1174" customWidth="1"/>
    <col min="14870" max="15078" width="10.42578125" style="1174" customWidth="1"/>
    <col min="15079" max="15104" width="2.5703125" style="1174"/>
    <col min="15105" max="15105" width="13" style="1174" customWidth="1"/>
    <col min="15106" max="15106" width="14.42578125" style="1174" customWidth="1"/>
    <col min="15107" max="15116" width="12.5703125" style="1174" customWidth="1"/>
    <col min="15117" max="15117" width="13.42578125" style="1174" customWidth="1"/>
    <col min="15118" max="15118" width="1.42578125" style="1174" customWidth="1"/>
    <col min="15119" max="15119" width="7.140625" style="1174" customWidth="1"/>
    <col min="15120" max="15120" width="1.42578125" style="1174" customWidth="1"/>
    <col min="15121" max="15121" width="6.5703125" style="1174" customWidth="1"/>
    <col min="15122" max="15122" width="16.140625" style="1174" customWidth="1"/>
    <col min="15123" max="15123" width="24.85546875" style="1174" customWidth="1"/>
    <col min="15124" max="15124" width="2.42578125" style="1174" customWidth="1"/>
    <col min="15125" max="15125" width="6.140625" style="1174" customWidth="1"/>
    <col min="15126" max="15334" width="10.42578125" style="1174" customWidth="1"/>
    <col min="15335" max="15360" width="2.5703125" style="1174"/>
    <col min="15361" max="15361" width="13" style="1174" customWidth="1"/>
    <col min="15362" max="15362" width="14.42578125" style="1174" customWidth="1"/>
    <col min="15363" max="15372" width="12.5703125" style="1174" customWidth="1"/>
    <col min="15373" max="15373" width="13.42578125" style="1174" customWidth="1"/>
    <col min="15374" max="15374" width="1.42578125" style="1174" customWidth="1"/>
    <col min="15375" max="15375" width="7.140625" style="1174" customWidth="1"/>
    <col min="15376" max="15376" width="1.42578125" style="1174" customWidth="1"/>
    <col min="15377" max="15377" width="6.5703125" style="1174" customWidth="1"/>
    <col min="15378" max="15378" width="16.140625" style="1174" customWidth="1"/>
    <col min="15379" max="15379" width="24.85546875" style="1174" customWidth="1"/>
    <col min="15380" max="15380" width="2.42578125" style="1174" customWidth="1"/>
    <col min="15381" max="15381" width="6.140625" style="1174" customWidth="1"/>
    <col min="15382" max="15590" width="10.42578125" style="1174" customWidth="1"/>
    <col min="15591" max="15616" width="2.5703125" style="1174"/>
    <col min="15617" max="15617" width="13" style="1174" customWidth="1"/>
    <col min="15618" max="15618" width="14.42578125" style="1174" customWidth="1"/>
    <col min="15619" max="15628" width="12.5703125" style="1174" customWidth="1"/>
    <col min="15629" max="15629" width="13.42578125" style="1174" customWidth="1"/>
    <col min="15630" max="15630" width="1.42578125" style="1174" customWidth="1"/>
    <col min="15631" max="15631" width="7.140625" style="1174" customWidth="1"/>
    <col min="15632" max="15632" width="1.42578125" style="1174" customWidth="1"/>
    <col min="15633" max="15633" width="6.5703125" style="1174" customWidth="1"/>
    <col min="15634" max="15634" width="16.140625" style="1174" customWidth="1"/>
    <col min="15635" max="15635" width="24.85546875" style="1174" customWidth="1"/>
    <col min="15636" max="15636" width="2.42578125" style="1174" customWidth="1"/>
    <col min="15637" max="15637" width="6.140625" style="1174" customWidth="1"/>
    <col min="15638" max="15846" width="10.42578125" style="1174" customWidth="1"/>
    <col min="15847" max="15872" width="2.5703125" style="1174"/>
    <col min="15873" max="15873" width="13" style="1174" customWidth="1"/>
    <col min="15874" max="15874" width="14.42578125" style="1174" customWidth="1"/>
    <col min="15875" max="15884" width="12.5703125" style="1174" customWidth="1"/>
    <col min="15885" max="15885" width="13.42578125" style="1174" customWidth="1"/>
    <col min="15886" max="15886" width="1.42578125" style="1174" customWidth="1"/>
    <col min="15887" max="15887" width="7.140625" style="1174" customWidth="1"/>
    <col min="15888" max="15888" width="1.42578125" style="1174" customWidth="1"/>
    <col min="15889" max="15889" width="6.5703125" style="1174" customWidth="1"/>
    <col min="15890" max="15890" width="16.140625" style="1174" customWidth="1"/>
    <col min="15891" max="15891" width="24.85546875" style="1174" customWidth="1"/>
    <col min="15892" max="15892" width="2.42578125" style="1174" customWidth="1"/>
    <col min="15893" max="15893" width="6.140625" style="1174" customWidth="1"/>
    <col min="15894" max="16102" width="10.42578125" style="1174" customWidth="1"/>
    <col min="16103" max="16128" width="2.5703125" style="1174"/>
    <col min="16129" max="16129" width="13" style="1174" customWidth="1"/>
    <col min="16130" max="16130" width="14.42578125" style="1174" customWidth="1"/>
    <col min="16131" max="16140" width="12.5703125" style="1174" customWidth="1"/>
    <col min="16141" max="16141" width="13.42578125" style="1174" customWidth="1"/>
    <col min="16142" max="16142" width="1.42578125" style="1174" customWidth="1"/>
    <col min="16143" max="16143" width="7.140625" style="1174" customWidth="1"/>
    <col min="16144" max="16144" width="1.42578125" style="1174" customWidth="1"/>
    <col min="16145" max="16145" width="6.5703125" style="1174" customWidth="1"/>
    <col min="16146" max="16146" width="16.140625" style="1174" customWidth="1"/>
    <col min="16147" max="16147" width="24.85546875" style="1174" customWidth="1"/>
    <col min="16148" max="16148" width="2.42578125" style="1174" customWidth="1"/>
    <col min="16149" max="16149" width="6.140625" style="1174" customWidth="1"/>
    <col min="16150" max="16358" width="10.42578125" style="1174" customWidth="1"/>
    <col min="16359" max="16384" width="2.5703125" style="1174"/>
  </cols>
  <sheetData>
    <row r="1" spans="2:127" ht="28.35" customHeight="1">
      <c r="B1" s="1801"/>
      <c r="C1" s="1793"/>
      <c r="D1" s="1793"/>
      <c r="E1" s="1793"/>
      <c r="F1" s="1793"/>
      <c r="G1" s="1192"/>
      <c r="J1" s="2724"/>
      <c r="K1" s="2724"/>
      <c r="R1" s="1801"/>
    </row>
    <row r="2" spans="2:127" ht="28.35" customHeight="1">
      <c r="B2" s="1809"/>
      <c r="C2" s="3209"/>
      <c r="D2" s="3209"/>
      <c r="E2" s="3209"/>
      <c r="F2" s="3209"/>
      <c r="G2" s="2724"/>
      <c r="H2" s="2724"/>
      <c r="J2" s="2724"/>
      <c r="K2" s="3172"/>
      <c r="R2" s="1801"/>
    </row>
    <row r="3" spans="2:127" ht="28.35" customHeight="1">
      <c r="B3" s="3336"/>
      <c r="C3" s="4856" t="s">
        <v>1468</v>
      </c>
      <c r="D3" s="4856"/>
      <c r="E3" s="4856"/>
      <c r="F3" s="4856"/>
      <c r="G3" s="4856"/>
      <c r="H3" s="4856"/>
      <c r="I3" s="4856"/>
      <c r="J3" s="4856"/>
      <c r="K3" s="4856"/>
      <c r="L3" s="4856"/>
      <c r="M3" s="4856"/>
      <c r="N3" s="4856"/>
      <c r="O3" s="4856"/>
      <c r="P3" s="4856"/>
      <c r="Q3" s="3337"/>
      <c r="R3" s="3338"/>
    </row>
    <row r="4" spans="2:127" ht="28.35" customHeight="1">
      <c r="B4" s="3336"/>
      <c r="C4" s="4713" t="s">
        <v>1469</v>
      </c>
      <c r="D4" s="4713"/>
      <c r="E4" s="4713"/>
      <c r="F4" s="4713"/>
      <c r="G4" s="4713"/>
      <c r="H4" s="4713"/>
      <c r="I4" s="4713"/>
      <c r="J4" s="4713"/>
      <c r="K4" s="4713"/>
      <c r="L4" s="4713"/>
      <c r="M4" s="4713"/>
      <c r="N4" s="4713"/>
      <c r="O4" s="4713"/>
      <c r="P4" s="4713"/>
      <c r="Q4" s="3337"/>
      <c r="R4" s="3338"/>
    </row>
    <row r="5" spans="2:127" s="1849" customFormat="1" ht="17.100000000000001" customHeight="1">
      <c r="B5" s="3212"/>
      <c r="C5" s="3213" t="s">
        <v>1470</v>
      </c>
      <c r="D5" s="2159"/>
      <c r="E5" s="2159"/>
      <c r="F5" s="2159"/>
      <c r="G5" s="1318"/>
      <c r="H5" s="1318"/>
      <c r="I5" s="1318"/>
      <c r="J5" s="1318"/>
      <c r="K5" s="1318"/>
      <c r="L5" s="1318"/>
      <c r="M5" s="1318"/>
      <c r="N5" s="1318"/>
      <c r="O5" s="2263"/>
      <c r="P5" s="2279" t="s">
        <v>1343</v>
      </c>
      <c r="R5" s="1857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</row>
    <row r="6" spans="2:127" s="1801" customFormat="1" ht="4.3499999999999996" customHeight="1">
      <c r="B6" s="3270"/>
      <c r="C6" s="3121"/>
      <c r="D6" s="3121"/>
      <c r="E6" s="3121"/>
      <c r="F6" s="3121"/>
      <c r="G6" s="3121"/>
      <c r="H6" s="3121"/>
      <c r="I6" s="3121"/>
      <c r="J6" s="3121"/>
      <c r="K6" s="3121"/>
      <c r="L6" s="3121"/>
      <c r="M6" s="1176"/>
      <c r="N6" s="1176"/>
      <c r="O6" s="1176"/>
      <c r="P6" s="117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</row>
    <row r="7" spans="2:127" s="1801" customFormat="1" ht="23.25" customHeight="1">
      <c r="B7" s="3270"/>
      <c r="C7" s="2506"/>
      <c r="D7" s="2589"/>
      <c r="E7" s="2589"/>
      <c r="F7" s="2589"/>
      <c r="G7" s="2589"/>
      <c r="H7" s="2589"/>
      <c r="I7" s="2589"/>
      <c r="J7" s="2589"/>
      <c r="K7" s="2589"/>
      <c r="L7" s="2589"/>
      <c r="M7" s="2182"/>
      <c r="N7" s="1992"/>
      <c r="O7" s="1992"/>
      <c r="P7" s="2133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</row>
    <row r="8" spans="2:127" s="1801" customFormat="1" ht="21.95" customHeight="1">
      <c r="C8" s="2316"/>
      <c r="D8" s="1235"/>
      <c r="E8" s="1235"/>
      <c r="F8" s="2271" t="s">
        <v>1371</v>
      </c>
      <c r="G8" s="1235"/>
      <c r="H8" s="1235"/>
      <c r="I8" s="2271" t="s">
        <v>1372</v>
      </c>
      <c r="J8" s="1235"/>
      <c r="K8" s="1235"/>
      <c r="L8" s="1235"/>
      <c r="M8" s="3123"/>
      <c r="N8" s="1283"/>
      <c r="O8" s="1283"/>
      <c r="P8" s="1294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</row>
    <row r="9" spans="2:127" s="1801" customFormat="1" ht="21.95" customHeight="1">
      <c r="C9" s="2513"/>
      <c r="D9" s="1235"/>
      <c r="E9" s="1235"/>
      <c r="F9" s="2271" t="s">
        <v>1373</v>
      </c>
      <c r="G9" s="1235"/>
      <c r="H9" s="2271" t="s">
        <v>1374</v>
      </c>
      <c r="I9" s="2271" t="s">
        <v>1375</v>
      </c>
      <c r="J9" s="2271" t="s">
        <v>1376</v>
      </c>
      <c r="K9" s="1235"/>
      <c r="L9" s="2271" t="s">
        <v>1317</v>
      </c>
      <c r="M9" s="3123"/>
      <c r="N9" s="1283"/>
      <c r="O9" s="1283"/>
      <c r="P9" s="1294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</row>
    <row r="10" spans="2:127" s="1801" customFormat="1" ht="21.95" customHeight="1">
      <c r="B10" s="1803"/>
      <c r="C10" s="2513"/>
      <c r="D10" s="2271"/>
      <c r="E10" s="2271" t="s">
        <v>1348</v>
      </c>
      <c r="F10" s="2271" t="s">
        <v>1377</v>
      </c>
      <c r="G10" s="2271"/>
      <c r="H10" s="2271" t="s">
        <v>1378</v>
      </c>
      <c r="I10" s="2271" t="s">
        <v>1379</v>
      </c>
      <c r="J10" s="2271" t="s">
        <v>1380</v>
      </c>
      <c r="K10" s="2271"/>
      <c r="L10" s="2271" t="s">
        <v>1381</v>
      </c>
      <c r="M10" s="3339"/>
      <c r="N10" s="1283"/>
      <c r="O10" s="1283"/>
      <c r="P10" s="1294"/>
      <c r="Q10" s="1804"/>
      <c r="R10" s="1804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</row>
    <row r="11" spans="2:127" s="1801" customFormat="1" ht="21.75" customHeight="1">
      <c r="B11" s="1804"/>
      <c r="C11" s="2513"/>
      <c r="D11" s="2271" t="s">
        <v>1382</v>
      </c>
      <c r="E11" s="2271" t="s">
        <v>1349</v>
      </c>
      <c r="F11" s="2271" t="s">
        <v>1383</v>
      </c>
      <c r="G11" s="2271" t="s">
        <v>1317</v>
      </c>
      <c r="H11" s="2271" t="s">
        <v>1384</v>
      </c>
      <c r="I11" s="2271" t="s">
        <v>1375</v>
      </c>
      <c r="J11" s="2271" t="s">
        <v>1385</v>
      </c>
      <c r="K11" s="2271" t="s">
        <v>1386</v>
      </c>
      <c r="L11" s="2271" t="s">
        <v>1387</v>
      </c>
      <c r="M11" s="2344" t="s">
        <v>170</v>
      </c>
      <c r="N11" s="1283"/>
      <c r="O11" s="1283"/>
      <c r="P11" s="1294"/>
      <c r="Q11" s="1804"/>
      <c r="R11" s="1804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</row>
    <row r="12" spans="2:127" s="1801" customFormat="1" ht="21.95" customHeight="1">
      <c r="B12" s="2351"/>
      <c r="C12" s="2513" t="s">
        <v>330</v>
      </c>
      <c r="D12" s="2271" t="s">
        <v>1388</v>
      </c>
      <c r="E12" s="2271" t="s">
        <v>668</v>
      </c>
      <c r="F12" s="2271" t="s">
        <v>1389</v>
      </c>
      <c r="G12" s="2271" t="s">
        <v>1390</v>
      </c>
      <c r="H12" s="2271" t="s">
        <v>1391</v>
      </c>
      <c r="I12" s="2271" t="s">
        <v>1392</v>
      </c>
      <c r="J12" s="2271" t="s">
        <v>1351</v>
      </c>
      <c r="K12" s="2271" t="s">
        <v>1393</v>
      </c>
      <c r="L12" s="2271" t="s">
        <v>1394</v>
      </c>
      <c r="M12" s="2344" t="s">
        <v>1471</v>
      </c>
      <c r="N12" s="4750"/>
      <c r="O12" s="4750"/>
      <c r="P12" s="4751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</row>
    <row r="13" spans="2:127" s="1801" customFormat="1" ht="12" customHeight="1">
      <c r="B13" s="3340"/>
      <c r="C13" s="3341"/>
      <c r="D13" s="3342"/>
      <c r="E13" s="3342"/>
      <c r="F13" s="3342"/>
      <c r="G13" s="3342"/>
      <c r="H13" s="3342"/>
      <c r="I13" s="3342"/>
      <c r="J13" s="3342"/>
      <c r="K13" s="3342"/>
      <c r="L13" s="3342"/>
      <c r="M13" s="2514"/>
      <c r="N13" s="1250"/>
      <c r="O13" s="2296"/>
      <c r="P13" s="2303"/>
      <c r="Q13" s="3343"/>
      <c r="R13" s="334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</row>
    <row r="14" spans="2:127" s="1801" customFormat="1" ht="21.95" customHeight="1">
      <c r="B14" s="3340"/>
      <c r="C14" s="2316"/>
      <c r="D14" s="1235"/>
      <c r="E14" s="1235"/>
      <c r="F14" s="2271" t="s">
        <v>1396</v>
      </c>
      <c r="G14" s="1235"/>
      <c r="H14" s="1235"/>
      <c r="I14" s="2271" t="s">
        <v>1397</v>
      </c>
      <c r="J14" s="2271" t="s">
        <v>1398</v>
      </c>
      <c r="K14" s="1235"/>
      <c r="L14" s="1235"/>
      <c r="M14" s="3123"/>
      <c r="N14" s="4750"/>
      <c r="O14" s="4750"/>
      <c r="P14" s="4751"/>
      <c r="Q14" s="3343"/>
      <c r="R14" s="3343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</row>
    <row r="15" spans="2:127" s="1801" customFormat="1" ht="21.75" customHeight="1">
      <c r="B15" s="3345"/>
      <c r="C15" s="2513"/>
      <c r="D15" s="2271" t="s">
        <v>1431</v>
      </c>
      <c r="E15" s="2271" t="s">
        <v>1399</v>
      </c>
      <c r="F15" s="2271" t="s">
        <v>1400</v>
      </c>
      <c r="G15" s="1731"/>
      <c r="H15" s="2271" t="s">
        <v>1401</v>
      </c>
      <c r="I15" s="2271" t="s">
        <v>1402</v>
      </c>
      <c r="J15" s="2271" t="s">
        <v>1403</v>
      </c>
      <c r="K15" s="1235"/>
      <c r="L15" s="2271" t="s">
        <v>1404</v>
      </c>
      <c r="M15" s="3123"/>
      <c r="N15" s="1250"/>
      <c r="O15" s="1283"/>
      <c r="P15" s="1294"/>
      <c r="Q15" s="3346"/>
      <c r="R15" s="2863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</row>
    <row r="16" spans="2:127" s="1801" customFormat="1" ht="21.75" customHeight="1">
      <c r="B16" s="3345"/>
      <c r="C16" s="2513"/>
      <c r="D16" s="2271" t="s">
        <v>1432</v>
      </c>
      <c r="E16" s="2271" t="s">
        <v>127</v>
      </c>
      <c r="F16" s="2271" t="s">
        <v>1329</v>
      </c>
      <c r="G16" s="2271"/>
      <c r="H16" s="2271" t="s">
        <v>1406</v>
      </c>
      <c r="I16" s="2271" t="s">
        <v>1407</v>
      </c>
      <c r="J16" s="2271" t="s">
        <v>1408</v>
      </c>
      <c r="K16" s="2271" t="s">
        <v>1409</v>
      </c>
      <c r="L16" s="2271" t="s">
        <v>127</v>
      </c>
      <c r="M16" s="2344"/>
      <c r="N16" s="1250"/>
      <c r="O16" s="1240"/>
      <c r="P16" s="2273"/>
      <c r="Q16" s="3346"/>
      <c r="R16" s="334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</row>
    <row r="17" spans="1:127" s="1801" customFormat="1" ht="21.75" customHeight="1">
      <c r="B17" s="3345"/>
      <c r="C17" s="2513"/>
      <c r="D17" s="2271" t="s">
        <v>1433</v>
      </c>
      <c r="E17" s="2271" t="s">
        <v>1411</v>
      </c>
      <c r="F17" s="2271" t="s">
        <v>1412</v>
      </c>
      <c r="G17" s="2271"/>
      <c r="H17" s="2271" t="s">
        <v>1413</v>
      </c>
      <c r="I17" s="2271" t="s">
        <v>1414</v>
      </c>
      <c r="J17" s="2271" t="s">
        <v>1415</v>
      </c>
      <c r="K17" s="2271" t="s">
        <v>127</v>
      </c>
      <c r="L17" s="2271" t="s">
        <v>1416</v>
      </c>
      <c r="M17" s="2344" t="s">
        <v>634</v>
      </c>
      <c r="N17" s="1283"/>
      <c r="O17" s="1283"/>
      <c r="P17" s="1294"/>
      <c r="Q17" s="3346"/>
      <c r="R17" s="3346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</row>
    <row r="18" spans="1:127" s="1801" customFormat="1" ht="21.75" customHeight="1">
      <c r="B18" s="3345"/>
      <c r="C18" s="2008" t="s">
        <v>119</v>
      </c>
      <c r="D18" s="1818" t="s">
        <v>1417</v>
      </c>
      <c r="E18" s="1818" t="s">
        <v>1359</v>
      </c>
      <c r="F18" s="1818" t="s">
        <v>1472</v>
      </c>
      <c r="G18" s="1818" t="s">
        <v>1419</v>
      </c>
      <c r="H18" s="1818" t="s">
        <v>1420</v>
      </c>
      <c r="I18" s="1818" t="s">
        <v>1330</v>
      </c>
      <c r="J18" s="1818" t="s">
        <v>1360</v>
      </c>
      <c r="K18" s="1818" t="s">
        <v>1421</v>
      </c>
      <c r="L18" s="1818" t="s">
        <v>1422</v>
      </c>
      <c r="M18" s="3347" t="s">
        <v>187</v>
      </c>
      <c r="N18" s="1375"/>
      <c r="O18" s="1375"/>
      <c r="P18" s="2123"/>
      <c r="Q18" s="3346"/>
      <c r="R18" s="3346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</row>
    <row r="19" spans="1:127" s="3217" customFormat="1" ht="27.75" hidden="1" customHeight="1">
      <c r="A19" s="1801"/>
      <c r="B19" s="3345"/>
      <c r="C19" s="3348"/>
      <c r="D19" s="3349"/>
      <c r="E19" s="3350"/>
      <c r="F19" s="3350"/>
      <c r="G19" s="3350"/>
      <c r="H19" s="3350"/>
      <c r="I19" s="3350"/>
      <c r="J19" s="3350"/>
      <c r="K19" s="3350"/>
      <c r="L19" s="3350"/>
      <c r="M19" s="3351"/>
      <c r="N19" s="3352"/>
      <c r="O19" s="3353"/>
      <c r="P19" s="3354"/>
      <c r="Q19" s="3346"/>
      <c r="R19" s="3346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</row>
    <row r="20" spans="1:127" ht="25.5" customHeight="1">
      <c r="B20" s="3340"/>
      <c r="C20" s="1492">
        <v>27</v>
      </c>
      <c r="D20" s="1157">
        <v>1271</v>
      </c>
      <c r="E20" s="1260">
        <f t="shared" ref="E20:E27" si="0">M20-L20-K20-J20-I20-H20-G20-F20-D20-C20</f>
        <v>326</v>
      </c>
      <c r="F20" s="1260">
        <v>3547</v>
      </c>
      <c r="G20" s="1260">
        <v>2519</v>
      </c>
      <c r="H20" s="1260">
        <v>407</v>
      </c>
      <c r="I20" s="1260">
        <v>330</v>
      </c>
      <c r="J20" s="1260">
        <v>1908</v>
      </c>
      <c r="K20" s="1260">
        <v>918</v>
      </c>
      <c r="L20" s="1260">
        <v>5642</v>
      </c>
      <c r="M20" s="1159">
        <v>16895</v>
      </c>
      <c r="N20" s="1757"/>
      <c r="O20" s="1757">
        <v>1975</v>
      </c>
      <c r="P20" s="1722"/>
      <c r="Q20" s="3355"/>
      <c r="R20" s="3355"/>
    </row>
    <row r="21" spans="1:127" s="3357" customFormat="1" ht="30" customHeight="1">
      <c r="A21" s="1174"/>
      <c r="B21" s="3340"/>
      <c r="C21" s="1496">
        <v>0</v>
      </c>
      <c r="D21" s="1254">
        <v>1380</v>
      </c>
      <c r="E21" s="1254">
        <f t="shared" si="0"/>
        <v>1117</v>
      </c>
      <c r="F21" s="1254">
        <v>3944</v>
      </c>
      <c r="G21" s="1254">
        <v>4244</v>
      </c>
      <c r="H21" s="1254">
        <v>709</v>
      </c>
      <c r="I21" s="1254">
        <v>801</v>
      </c>
      <c r="J21" s="1254">
        <v>593</v>
      </c>
      <c r="K21" s="1254">
        <v>1211</v>
      </c>
      <c r="L21" s="1254">
        <v>9908</v>
      </c>
      <c r="M21" s="1256">
        <v>23907</v>
      </c>
      <c r="N21" s="1756"/>
      <c r="O21" s="1756">
        <v>1976</v>
      </c>
      <c r="P21" s="1721"/>
      <c r="Q21" s="3355"/>
      <c r="R21" s="3355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</row>
    <row r="22" spans="1:127" ht="30" customHeight="1">
      <c r="B22" s="3345"/>
      <c r="C22" s="1492">
        <v>0</v>
      </c>
      <c r="D22" s="1157">
        <v>3098</v>
      </c>
      <c r="E22" s="1260">
        <f t="shared" si="0"/>
        <v>750</v>
      </c>
      <c r="F22" s="1260">
        <v>9148</v>
      </c>
      <c r="G22" s="1260">
        <v>6067</v>
      </c>
      <c r="H22" s="1260">
        <v>362</v>
      </c>
      <c r="I22" s="1260">
        <v>721</v>
      </c>
      <c r="J22" s="1260">
        <v>1394</v>
      </c>
      <c r="K22" s="1260">
        <v>1277</v>
      </c>
      <c r="L22" s="1260">
        <v>13248</v>
      </c>
      <c r="M22" s="1159">
        <v>36065</v>
      </c>
      <c r="N22" s="1757"/>
      <c r="O22" s="1757">
        <v>1977</v>
      </c>
      <c r="P22" s="1722"/>
      <c r="Q22" s="3299"/>
      <c r="R22" s="3299"/>
    </row>
    <row r="23" spans="1:127" s="3357" customFormat="1" ht="30" customHeight="1">
      <c r="A23" s="1174"/>
      <c r="B23" s="3340"/>
      <c r="C23" s="1496">
        <v>0</v>
      </c>
      <c r="D23" s="1254">
        <v>3721</v>
      </c>
      <c r="E23" s="1254">
        <f t="shared" si="0"/>
        <v>1539</v>
      </c>
      <c r="F23" s="1254">
        <v>12101</v>
      </c>
      <c r="G23" s="1254">
        <v>7110</v>
      </c>
      <c r="H23" s="1254">
        <v>786</v>
      </c>
      <c r="I23" s="1254">
        <v>366</v>
      </c>
      <c r="J23" s="1254">
        <v>1444</v>
      </c>
      <c r="K23" s="1254">
        <v>1630</v>
      </c>
      <c r="L23" s="1254">
        <v>13919</v>
      </c>
      <c r="M23" s="1256">
        <v>42616</v>
      </c>
      <c r="N23" s="1756"/>
      <c r="O23" s="1756">
        <v>1978</v>
      </c>
      <c r="P23" s="1721"/>
      <c r="Q23" s="3355"/>
      <c r="R23" s="3355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</row>
    <row r="24" spans="1:127" ht="30" customHeight="1">
      <c r="B24" s="1801"/>
      <c r="C24" s="1492">
        <v>225</v>
      </c>
      <c r="D24" s="1157">
        <v>4089</v>
      </c>
      <c r="E24" s="1260">
        <f t="shared" si="0"/>
        <v>3025</v>
      </c>
      <c r="F24" s="1260">
        <v>13545</v>
      </c>
      <c r="G24" s="1260">
        <v>8831</v>
      </c>
      <c r="H24" s="1260">
        <v>485</v>
      </c>
      <c r="I24" s="1260">
        <v>12</v>
      </c>
      <c r="J24" s="1260">
        <v>1547</v>
      </c>
      <c r="K24" s="1260">
        <v>3855</v>
      </c>
      <c r="L24" s="1260">
        <v>20128</v>
      </c>
      <c r="M24" s="1159">
        <v>55742</v>
      </c>
      <c r="N24" s="1757"/>
      <c r="O24" s="1757">
        <v>1979</v>
      </c>
      <c r="P24" s="1722"/>
      <c r="Q24" s="1964"/>
      <c r="R24" s="1964"/>
    </row>
    <row r="25" spans="1:127" s="3357" customFormat="1" ht="30" customHeight="1">
      <c r="A25" s="1174"/>
      <c r="B25" s="1801"/>
      <c r="C25" s="1496">
        <v>19</v>
      </c>
      <c r="D25" s="1254">
        <v>6344</v>
      </c>
      <c r="E25" s="1254">
        <f t="shared" si="0"/>
        <v>3302</v>
      </c>
      <c r="F25" s="1254">
        <v>18060</v>
      </c>
      <c r="G25" s="1254">
        <v>13582</v>
      </c>
      <c r="H25" s="1254">
        <v>1012</v>
      </c>
      <c r="I25" s="1254">
        <v>19</v>
      </c>
      <c r="J25" s="1254">
        <v>1719</v>
      </c>
      <c r="K25" s="1254">
        <v>5604</v>
      </c>
      <c r="L25" s="1254">
        <v>23252</v>
      </c>
      <c r="M25" s="1256">
        <v>72913</v>
      </c>
      <c r="N25" s="1756"/>
      <c r="O25" s="1756">
        <v>1980</v>
      </c>
      <c r="P25" s="1721"/>
      <c r="Q25" s="1963"/>
      <c r="R25" s="1174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</row>
    <row r="26" spans="1:127" ht="30" customHeight="1">
      <c r="B26" s="1801"/>
      <c r="C26" s="1492">
        <v>0</v>
      </c>
      <c r="D26" s="1157">
        <v>9291</v>
      </c>
      <c r="E26" s="1260">
        <f t="shared" si="0"/>
        <v>6388</v>
      </c>
      <c r="F26" s="1260">
        <v>31683</v>
      </c>
      <c r="G26" s="1260">
        <v>20837</v>
      </c>
      <c r="H26" s="1260">
        <v>1243</v>
      </c>
      <c r="I26" s="1260">
        <v>65</v>
      </c>
      <c r="J26" s="1260">
        <v>6106</v>
      </c>
      <c r="K26" s="1260">
        <v>6608</v>
      </c>
      <c r="L26" s="1260">
        <v>32252</v>
      </c>
      <c r="M26" s="1159">
        <v>114473</v>
      </c>
      <c r="N26" s="1757"/>
      <c r="O26" s="1757">
        <v>1981</v>
      </c>
      <c r="P26" s="1722"/>
      <c r="Q26" s="1963"/>
    </row>
    <row r="27" spans="1:127" s="3357" customFormat="1" ht="30" customHeight="1">
      <c r="A27" s="1174"/>
      <c r="B27" s="1801"/>
      <c r="C27" s="1496">
        <v>4</v>
      </c>
      <c r="D27" s="1254">
        <v>17592</v>
      </c>
      <c r="E27" s="1254">
        <f t="shared" si="0"/>
        <v>3873</v>
      </c>
      <c r="F27" s="1254">
        <v>28941</v>
      </c>
      <c r="G27" s="1254">
        <v>24524</v>
      </c>
      <c r="H27" s="1254">
        <v>703</v>
      </c>
      <c r="I27" s="1254">
        <v>29</v>
      </c>
      <c r="J27" s="1254">
        <v>3224</v>
      </c>
      <c r="K27" s="1254">
        <v>6451</v>
      </c>
      <c r="L27" s="1254">
        <v>37966</v>
      </c>
      <c r="M27" s="1256">
        <v>123307</v>
      </c>
      <c r="N27" s="1756"/>
      <c r="O27" s="1756">
        <v>1982</v>
      </c>
      <c r="P27" s="1721"/>
      <c r="Q27" s="1963"/>
      <c r="R27" s="1174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</row>
    <row r="28" spans="1:127" ht="30" customHeight="1">
      <c r="B28" s="1801"/>
      <c r="C28" s="1492">
        <v>31</v>
      </c>
      <c r="D28" s="1157">
        <v>9201</v>
      </c>
      <c r="E28" s="1260">
        <v>1984</v>
      </c>
      <c r="F28" s="1260">
        <v>17849</v>
      </c>
      <c r="G28" s="1260">
        <v>15727</v>
      </c>
      <c r="H28" s="1260">
        <v>1180</v>
      </c>
      <c r="I28" s="1260">
        <v>54</v>
      </c>
      <c r="J28" s="1260">
        <v>9650</v>
      </c>
      <c r="K28" s="1260">
        <v>3633</v>
      </c>
      <c r="L28" s="1260">
        <v>27748</v>
      </c>
      <c r="M28" s="1159">
        <f t="shared" ref="M28:M51" si="1">L28+K28+J28+I28+H28+G28+F28+E28+D28+C28</f>
        <v>87057</v>
      </c>
      <c r="N28" s="1757"/>
      <c r="O28" s="1757">
        <v>1983</v>
      </c>
      <c r="P28" s="1722"/>
      <c r="Q28" s="1963"/>
    </row>
    <row r="29" spans="1:127" s="3357" customFormat="1" ht="27.75" customHeight="1">
      <c r="A29" s="1174"/>
      <c r="B29" s="1801"/>
      <c r="C29" s="1496">
        <v>0</v>
      </c>
      <c r="D29" s="1254">
        <v>23395</v>
      </c>
      <c r="E29" s="1254">
        <v>1907</v>
      </c>
      <c r="F29" s="1254">
        <v>32765</v>
      </c>
      <c r="G29" s="1254">
        <v>24880</v>
      </c>
      <c r="H29" s="1254">
        <v>1123</v>
      </c>
      <c r="I29" s="1254">
        <v>11</v>
      </c>
      <c r="J29" s="1254">
        <v>5632</v>
      </c>
      <c r="K29" s="1254">
        <v>4254</v>
      </c>
      <c r="L29" s="1254">
        <v>38595</v>
      </c>
      <c r="M29" s="1256">
        <f t="shared" si="1"/>
        <v>132562</v>
      </c>
      <c r="N29" s="1756"/>
      <c r="O29" s="1756">
        <v>1984</v>
      </c>
      <c r="P29" s="1721"/>
      <c r="Q29" s="1963"/>
      <c r="R29" s="1174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</row>
    <row r="30" spans="1:127" ht="30" customHeight="1">
      <c r="B30" s="1801"/>
      <c r="C30" s="1492">
        <v>0</v>
      </c>
      <c r="D30" s="1157">
        <v>18455</v>
      </c>
      <c r="E30" s="1260">
        <v>2011</v>
      </c>
      <c r="F30" s="1260">
        <v>39038</v>
      </c>
      <c r="G30" s="1260">
        <v>29638</v>
      </c>
      <c r="H30" s="1260">
        <v>174</v>
      </c>
      <c r="I30" s="1260">
        <v>8</v>
      </c>
      <c r="J30" s="1260">
        <v>1779</v>
      </c>
      <c r="K30" s="1260">
        <v>1898</v>
      </c>
      <c r="L30" s="1260">
        <v>38525</v>
      </c>
      <c r="M30" s="1159">
        <f t="shared" si="1"/>
        <v>131526</v>
      </c>
      <c r="N30" s="1757"/>
      <c r="O30" s="1757">
        <v>1985</v>
      </c>
      <c r="P30" s="1722"/>
      <c r="Q30" s="1963"/>
    </row>
    <row r="31" spans="1:127" s="3357" customFormat="1" ht="30" customHeight="1">
      <c r="A31" s="1174"/>
      <c r="B31" s="1801"/>
      <c r="C31" s="1496">
        <v>0</v>
      </c>
      <c r="D31" s="1254">
        <v>6952</v>
      </c>
      <c r="E31" s="1254">
        <v>1378</v>
      </c>
      <c r="F31" s="1254">
        <v>18806</v>
      </c>
      <c r="G31" s="1254">
        <v>30416</v>
      </c>
      <c r="H31" s="1254">
        <v>1514</v>
      </c>
      <c r="I31" s="1254">
        <v>104</v>
      </c>
      <c r="J31" s="1254">
        <v>1854</v>
      </c>
      <c r="K31" s="1254">
        <v>1383</v>
      </c>
      <c r="L31" s="1254">
        <v>39649</v>
      </c>
      <c r="M31" s="1256">
        <f t="shared" si="1"/>
        <v>102056</v>
      </c>
      <c r="N31" s="1756"/>
      <c r="O31" s="1756">
        <v>1986</v>
      </c>
      <c r="P31" s="1721"/>
      <c r="Q31" s="1963"/>
      <c r="R31" s="1174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</row>
    <row r="32" spans="1:127" ht="30" customHeight="1">
      <c r="B32" s="1801"/>
      <c r="C32" s="1492">
        <v>0</v>
      </c>
      <c r="D32" s="1157">
        <v>9121</v>
      </c>
      <c r="E32" s="1260">
        <v>2455</v>
      </c>
      <c r="F32" s="1260">
        <v>37226</v>
      </c>
      <c r="G32" s="1260">
        <v>41998</v>
      </c>
      <c r="H32" s="1260">
        <v>437</v>
      </c>
      <c r="I32" s="1260">
        <v>339</v>
      </c>
      <c r="J32" s="1260">
        <v>1640</v>
      </c>
      <c r="K32" s="1260">
        <v>3037</v>
      </c>
      <c r="L32" s="1260">
        <v>33585</v>
      </c>
      <c r="M32" s="1159">
        <f t="shared" si="1"/>
        <v>129838</v>
      </c>
      <c r="N32" s="1757"/>
      <c r="O32" s="1757">
        <v>1987</v>
      </c>
      <c r="P32" s="1722"/>
    </row>
    <row r="33" spans="1:127" s="3357" customFormat="1" ht="30" customHeight="1">
      <c r="A33" s="1174"/>
      <c r="B33" s="1801"/>
      <c r="C33" s="1496">
        <v>0</v>
      </c>
      <c r="D33" s="1254">
        <v>12270</v>
      </c>
      <c r="E33" s="1254">
        <v>3682</v>
      </c>
      <c r="F33" s="1254">
        <v>35242</v>
      </c>
      <c r="G33" s="1254">
        <v>50327</v>
      </c>
      <c r="H33" s="1254">
        <v>632</v>
      </c>
      <c r="I33" s="1254">
        <v>338</v>
      </c>
      <c r="J33" s="1254">
        <v>2527</v>
      </c>
      <c r="K33" s="1254">
        <v>1488</v>
      </c>
      <c r="L33" s="1254">
        <v>29610</v>
      </c>
      <c r="M33" s="1256">
        <f t="shared" si="1"/>
        <v>136116</v>
      </c>
      <c r="N33" s="1756"/>
      <c r="O33" s="1756">
        <v>1988</v>
      </c>
      <c r="P33" s="1721"/>
      <c r="Q33" s="1174"/>
      <c r="R33" s="1174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</row>
    <row r="34" spans="1:127" ht="37.5" customHeight="1">
      <c r="B34" s="1801"/>
      <c r="C34" s="1492">
        <v>627</v>
      </c>
      <c r="D34" s="1157">
        <v>21169</v>
      </c>
      <c r="E34" s="1260">
        <v>10458</v>
      </c>
      <c r="F34" s="1260">
        <v>62923</v>
      </c>
      <c r="G34" s="1260">
        <v>90642</v>
      </c>
      <c r="H34" s="1260">
        <v>2446</v>
      </c>
      <c r="I34" s="1260">
        <v>6</v>
      </c>
      <c r="J34" s="1260">
        <v>6355</v>
      </c>
      <c r="K34" s="1260">
        <v>2822</v>
      </c>
      <c r="L34" s="1260">
        <v>44432</v>
      </c>
      <c r="M34" s="1159">
        <f t="shared" si="1"/>
        <v>241880</v>
      </c>
      <c r="N34" s="1757"/>
      <c r="O34" s="1757">
        <v>1989</v>
      </c>
      <c r="P34" s="1722"/>
      <c r="R34" s="3199"/>
    </row>
    <row r="35" spans="1:127" ht="30" customHeight="1">
      <c r="B35" s="1801"/>
      <c r="C35" s="1515">
        <v>0</v>
      </c>
      <c r="D35" s="1162">
        <v>21705</v>
      </c>
      <c r="E35" s="3281">
        <v>12746</v>
      </c>
      <c r="F35" s="3281">
        <v>58643</v>
      </c>
      <c r="G35" s="3281">
        <v>101239</v>
      </c>
      <c r="H35" s="3281">
        <v>643</v>
      </c>
      <c r="I35" s="3281">
        <v>5</v>
      </c>
      <c r="J35" s="3281">
        <v>2935</v>
      </c>
      <c r="K35" s="3281">
        <v>3608</v>
      </c>
      <c r="L35" s="3281">
        <v>57344</v>
      </c>
      <c r="M35" s="1164">
        <f t="shared" si="1"/>
        <v>258868</v>
      </c>
      <c r="N35" s="1473"/>
      <c r="O35" s="1473">
        <v>1990</v>
      </c>
      <c r="P35" s="1521"/>
    </row>
    <row r="36" spans="1:127" s="3357" customFormat="1" ht="30" customHeight="1">
      <c r="A36" s="1174"/>
      <c r="B36" s="1801"/>
      <c r="C36" s="1492">
        <v>841</v>
      </c>
      <c r="D36" s="1157">
        <v>12143</v>
      </c>
      <c r="E36" s="1157">
        <v>2878</v>
      </c>
      <c r="F36" s="1157">
        <v>15599</v>
      </c>
      <c r="G36" s="1157">
        <v>51183</v>
      </c>
      <c r="H36" s="1157">
        <v>2311</v>
      </c>
      <c r="I36" s="1157">
        <v>23</v>
      </c>
      <c r="J36" s="1157">
        <v>1635</v>
      </c>
      <c r="K36" s="1157">
        <v>5181</v>
      </c>
      <c r="L36" s="1157">
        <v>81334</v>
      </c>
      <c r="M36" s="1159">
        <f t="shared" si="1"/>
        <v>173128</v>
      </c>
      <c r="N36" s="1757"/>
      <c r="O36" s="1757">
        <v>1991</v>
      </c>
      <c r="P36" s="1722"/>
      <c r="Q36" s="1174"/>
      <c r="R36" s="3199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</row>
    <row r="37" spans="1:127" ht="30" customHeight="1">
      <c r="B37" s="1801"/>
      <c r="C37" s="1515">
        <v>0</v>
      </c>
      <c r="D37" s="1162">
        <v>15532</v>
      </c>
      <c r="E37" s="3281">
        <v>5067</v>
      </c>
      <c r="F37" s="3281">
        <v>27841</v>
      </c>
      <c r="G37" s="3281">
        <v>78266</v>
      </c>
      <c r="H37" s="3281">
        <v>1856</v>
      </c>
      <c r="I37" s="3281">
        <v>5</v>
      </c>
      <c r="J37" s="3281">
        <v>2014</v>
      </c>
      <c r="K37" s="3281">
        <v>2296</v>
      </c>
      <c r="L37" s="3281">
        <v>89539</v>
      </c>
      <c r="M37" s="1164">
        <f t="shared" si="1"/>
        <v>222416</v>
      </c>
      <c r="N37" s="1473"/>
      <c r="O37" s="1473">
        <v>1992</v>
      </c>
      <c r="P37" s="1521"/>
    </row>
    <row r="38" spans="1:127" s="3357" customFormat="1" ht="30" customHeight="1">
      <c r="A38" s="1174"/>
      <c r="B38" s="1801"/>
      <c r="C38" s="1492">
        <v>0</v>
      </c>
      <c r="D38" s="1157">
        <v>10183</v>
      </c>
      <c r="E38" s="1157">
        <v>10601</v>
      </c>
      <c r="F38" s="1157">
        <v>41087</v>
      </c>
      <c r="G38" s="1157">
        <v>84932</v>
      </c>
      <c r="H38" s="1157">
        <v>1710</v>
      </c>
      <c r="I38" s="1157">
        <v>38</v>
      </c>
      <c r="J38" s="1157">
        <v>2011</v>
      </c>
      <c r="K38" s="1157">
        <v>2734</v>
      </c>
      <c r="L38" s="1157">
        <v>132054</v>
      </c>
      <c r="M38" s="1159">
        <f t="shared" si="1"/>
        <v>285350</v>
      </c>
      <c r="N38" s="1757"/>
      <c r="O38" s="1757">
        <v>1993</v>
      </c>
      <c r="P38" s="1722"/>
      <c r="Q38" s="1174"/>
      <c r="R38" s="1174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</row>
    <row r="39" spans="1:127" ht="30" customHeight="1">
      <c r="B39" s="1801"/>
      <c r="C39" s="1515">
        <v>0</v>
      </c>
      <c r="D39" s="1162">
        <v>9135</v>
      </c>
      <c r="E39" s="3281">
        <v>8951</v>
      </c>
      <c r="F39" s="3281">
        <v>50218</v>
      </c>
      <c r="G39" s="3281">
        <v>116342</v>
      </c>
      <c r="H39" s="3281">
        <v>62410</v>
      </c>
      <c r="I39" s="3281">
        <v>24</v>
      </c>
      <c r="J39" s="3281">
        <v>3248</v>
      </c>
      <c r="K39" s="3281">
        <v>2423</v>
      </c>
      <c r="L39" s="3281">
        <v>84224</v>
      </c>
      <c r="M39" s="1164">
        <f t="shared" si="1"/>
        <v>336975</v>
      </c>
      <c r="N39" s="1473"/>
      <c r="O39" s="1473">
        <v>1994</v>
      </c>
      <c r="P39" s="1521"/>
    </row>
    <row r="40" spans="1:127" s="3357" customFormat="1" ht="30" customHeight="1">
      <c r="A40" s="1174"/>
      <c r="B40" s="1801"/>
      <c r="C40" s="1492">
        <v>0</v>
      </c>
      <c r="D40" s="1157">
        <v>13176</v>
      </c>
      <c r="E40" s="1157">
        <v>9720</v>
      </c>
      <c r="F40" s="1157">
        <v>62866</v>
      </c>
      <c r="G40" s="1157">
        <v>123748</v>
      </c>
      <c r="H40" s="1157">
        <v>145534</v>
      </c>
      <c r="I40" s="1157">
        <v>21</v>
      </c>
      <c r="J40" s="1157">
        <v>4501</v>
      </c>
      <c r="K40" s="1157">
        <v>2745</v>
      </c>
      <c r="L40" s="1157">
        <v>89262</v>
      </c>
      <c r="M40" s="1159">
        <f t="shared" si="1"/>
        <v>451573</v>
      </c>
      <c r="N40" s="1757"/>
      <c r="O40" s="1757">
        <v>1995</v>
      </c>
      <c r="P40" s="1722"/>
      <c r="Q40" s="1174"/>
      <c r="R40" s="1174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</row>
    <row r="41" spans="1:127" ht="30" customHeight="1">
      <c r="B41" s="1801"/>
      <c r="C41" s="1515">
        <v>216</v>
      </c>
      <c r="D41" s="1162">
        <v>17238</v>
      </c>
      <c r="E41" s="3281">
        <v>13889</v>
      </c>
      <c r="F41" s="3281">
        <v>83275</v>
      </c>
      <c r="G41" s="3281">
        <v>152136</v>
      </c>
      <c r="H41" s="3281">
        <v>63656</v>
      </c>
      <c r="I41" s="3281">
        <v>23</v>
      </c>
      <c r="J41" s="3281">
        <v>5389</v>
      </c>
      <c r="K41" s="3281">
        <v>2175</v>
      </c>
      <c r="L41" s="3281">
        <v>147348</v>
      </c>
      <c r="M41" s="1164">
        <f t="shared" si="1"/>
        <v>485345</v>
      </c>
      <c r="N41" s="1473"/>
      <c r="O41" s="1473">
        <v>1996</v>
      </c>
      <c r="P41" s="1521"/>
    </row>
    <row r="42" spans="1:127" s="3357" customFormat="1" ht="30" customHeight="1">
      <c r="A42" s="1174"/>
      <c r="B42" s="1801"/>
      <c r="C42" s="1492">
        <v>41</v>
      </c>
      <c r="D42" s="1157">
        <v>19590</v>
      </c>
      <c r="E42" s="1157">
        <v>16511</v>
      </c>
      <c r="F42" s="1157">
        <v>69157</v>
      </c>
      <c r="G42" s="1157">
        <v>185650</v>
      </c>
      <c r="H42" s="1157">
        <v>86211</v>
      </c>
      <c r="I42" s="1157">
        <v>11</v>
      </c>
      <c r="J42" s="1157">
        <v>6110</v>
      </c>
      <c r="K42" s="1157">
        <v>1553</v>
      </c>
      <c r="L42" s="1157">
        <v>169450</v>
      </c>
      <c r="M42" s="1159">
        <f t="shared" si="1"/>
        <v>554284</v>
      </c>
      <c r="N42" s="1757"/>
      <c r="O42" s="1757">
        <v>1997</v>
      </c>
      <c r="P42" s="1722"/>
      <c r="Q42" s="1174"/>
      <c r="R42" s="1174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</row>
    <row r="43" spans="1:127" ht="30" customHeight="1">
      <c r="B43" s="1801"/>
      <c r="C43" s="1515">
        <v>0</v>
      </c>
      <c r="D43" s="1162">
        <v>17753</v>
      </c>
      <c r="E43" s="3281">
        <v>17535</v>
      </c>
      <c r="F43" s="3281">
        <v>62138</v>
      </c>
      <c r="G43" s="3281">
        <v>151811</v>
      </c>
      <c r="H43" s="3281">
        <v>58440</v>
      </c>
      <c r="I43" s="3281">
        <v>34</v>
      </c>
      <c r="J43" s="3281">
        <v>4930</v>
      </c>
      <c r="K43" s="3281">
        <v>872</v>
      </c>
      <c r="L43" s="3281">
        <v>152909</v>
      </c>
      <c r="M43" s="1164">
        <f t="shared" si="1"/>
        <v>466422</v>
      </c>
      <c r="N43" s="1473"/>
      <c r="O43" s="1473">
        <v>1998</v>
      </c>
      <c r="P43" s="1521"/>
      <c r="R43" s="3358"/>
    </row>
    <row r="44" spans="1:127" s="3357" customFormat="1" ht="30" customHeight="1">
      <c r="A44" s="1174"/>
      <c r="B44" s="1801"/>
      <c r="C44" s="1492">
        <v>24</v>
      </c>
      <c r="D44" s="1157">
        <v>18162</v>
      </c>
      <c r="E44" s="1157">
        <v>26846</v>
      </c>
      <c r="F44" s="1157">
        <v>63438</v>
      </c>
      <c r="G44" s="1157">
        <v>148404</v>
      </c>
      <c r="H44" s="1157">
        <v>46996</v>
      </c>
      <c r="I44" s="1157">
        <v>33</v>
      </c>
      <c r="J44" s="1157">
        <v>6053</v>
      </c>
      <c r="K44" s="1157">
        <v>1079</v>
      </c>
      <c r="L44" s="1157">
        <v>115665</v>
      </c>
      <c r="M44" s="1159">
        <f t="shared" si="1"/>
        <v>426700</v>
      </c>
      <c r="N44" s="1757"/>
      <c r="O44" s="1757">
        <v>1999</v>
      </c>
      <c r="P44" s="1722"/>
      <c r="Q44" s="1174"/>
      <c r="R44" s="117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</row>
    <row r="45" spans="1:127" ht="30" customHeight="1">
      <c r="B45" s="1801"/>
      <c r="C45" s="1515">
        <v>75</v>
      </c>
      <c r="D45" s="1162">
        <v>22359</v>
      </c>
      <c r="E45" s="3281">
        <v>17891</v>
      </c>
      <c r="F45" s="3281">
        <v>67521</v>
      </c>
      <c r="G45" s="3281">
        <v>162361</v>
      </c>
      <c r="H45" s="3281">
        <v>43983</v>
      </c>
      <c r="I45" s="3281">
        <v>29</v>
      </c>
      <c r="J45" s="3281">
        <v>5280</v>
      </c>
      <c r="K45" s="3281">
        <v>1587</v>
      </c>
      <c r="L45" s="3281">
        <v>110201</v>
      </c>
      <c r="M45" s="1164">
        <f t="shared" si="1"/>
        <v>431287</v>
      </c>
      <c r="N45" s="1473"/>
      <c r="O45" s="1473">
        <v>2000</v>
      </c>
      <c r="P45" s="1521"/>
      <c r="R45" s="3359"/>
    </row>
    <row r="46" spans="1:127" s="3357" customFormat="1" ht="30" customHeight="1">
      <c r="A46" s="1174"/>
      <c r="B46" s="1801"/>
      <c r="C46" s="1492">
        <v>0</v>
      </c>
      <c r="D46" s="1157">
        <v>38579</v>
      </c>
      <c r="E46" s="1157">
        <v>86679</v>
      </c>
      <c r="F46" s="1157">
        <v>133220</v>
      </c>
      <c r="G46" s="1157">
        <v>222529</v>
      </c>
      <c r="H46" s="1157">
        <v>42408</v>
      </c>
      <c r="I46" s="1157">
        <v>76</v>
      </c>
      <c r="J46" s="1157">
        <v>8663</v>
      </c>
      <c r="K46" s="1157">
        <v>18253</v>
      </c>
      <c r="L46" s="1157">
        <v>130456</v>
      </c>
      <c r="M46" s="1159">
        <f t="shared" si="1"/>
        <v>680863</v>
      </c>
      <c r="N46" s="1757"/>
      <c r="O46" s="1757">
        <v>2001</v>
      </c>
      <c r="P46" s="1722"/>
      <c r="Q46" s="1174"/>
      <c r="R46" s="3359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</row>
    <row r="47" spans="1:127" ht="30" customHeight="1">
      <c r="B47" s="1801"/>
      <c r="C47" s="1515">
        <v>0</v>
      </c>
      <c r="D47" s="1162">
        <v>29235</v>
      </c>
      <c r="E47" s="3281">
        <v>79011</v>
      </c>
      <c r="F47" s="3281">
        <v>141669</v>
      </c>
      <c r="G47" s="3281">
        <v>253671</v>
      </c>
      <c r="H47" s="3281">
        <v>67390</v>
      </c>
      <c r="I47" s="3281">
        <v>16</v>
      </c>
      <c r="J47" s="3281">
        <v>7177</v>
      </c>
      <c r="K47" s="3281">
        <v>27333</v>
      </c>
      <c r="L47" s="3281">
        <v>135292</v>
      </c>
      <c r="M47" s="1164">
        <f t="shared" si="1"/>
        <v>740794</v>
      </c>
      <c r="N47" s="1473"/>
      <c r="O47" s="1473">
        <v>2002</v>
      </c>
      <c r="P47" s="1521"/>
      <c r="R47" s="3359"/>
    </row>
    <row r="48" spans="1:127" s="3357" customFormat="1" ht="30" customHeight="1">
      <c r="A48" s="1174"/>
      <c r="B48" s="1801"/>
      <c r="C48" s="1492">
        <v>2189</v>
      </c>
      <c r="D48" s="1157">
        <v>36354</v>
      </c>
      <c r="E48" s="1157">
        <v>53843</v>
      </c>
      <c r="F48" s="1157">
        <v>112188</v>
      </c>
      <c r="G48" s="1157">
        <v>246985</v>
      </c>
      <c r="H48" s="1157">
        <v>39511</v>
      </c>
      <c r="I48" s="1157">
        <v>4534</v>
      </c>
      <c r="J48" s="1157">
        <v>9632</v>
      </c>
      <c r="K48" s="1157">
        <v>38654</v>
      </c>
      <c r="L48" s="1157">
        <v>147977</v>
      </c>
      <c r="M48" s="1159">
        <f>L48+K48+J48+I48+H48+G48+F48+E48+D48+C48</f>
        <v>691867</v>
      </c>
      <c r="N48" s="1757"/>
      <c r="O48" s="1757">
        <v>2003</v>
      </c>
      <c r="P48" s="1722"/>
      <c r="Q48" s="1174"/>
      <c r="R48" s="3359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</row>
    <row r="49" spans="1:127" ht="30" customHeight="1">
      <c r="B49" s="1801"/>
      <c r="C49" s="1515">
        <v>2381</v>
      </c>
      <c r="D49" s="1162">
        <v>48090</v>
      </c>
      <c r="E49" s="3281">
        <v>89216</v>
      </c>
      <c r="F49" s="3281">
        <v>139573</v>
      </c>
      <c r="G49" s="3281">
        <v>294281</v>
      </c>
      <c r="H49" s="3281">
        <v>109839</v>
      </c>
      <c r="I49" s="3281">
        <v>15592</v>
      </c>
      <c r="J49" s="3281">
        <v>14149</v>
      </c>
      <c r="K49" s="3281">
        <v>39929</v>
      </c>
      <c r="L49" s="3281">
        <v>193246</v>
      </c>
      <c r="M49" s="1164">
        <f t="shared" si="1"/>
        <v>946296</v>
      </c>
      <c r="N49" s="1473"/>
      <c r="O49" s="1473">
        <v>2004</v>
      </c>
      <c r="P49" s="1521"/>
      <c r="R49" s="3359"/>
    </row>
    <row r="50" spans="1:127" s="3360" customFormat="1" ht="30.75" customHeight="1">
      <c r="A50" s="1801"/>
      <c r="B50" s="1801"/>
      <c r="C50" s="1492">
        <v>21</v>
      </c>
      <c r="D50" s="1157">
        <v>73203</v>
      </c>
      <c r="E50" s="1157">
        <v>114859</v>
      </c>
      <c r="F50" s="1157">
        <v>165983</v>
      </c>
      <c r="G50" s="1157">
        <v>351474</v>
      </c>
      <c r="H50" s="1157">
        <v>67551</v>
      </c>
      <c r="I50" s="1157">
        <v>4620</v>
      </c>
      <c r="J50" s="1157">
        <v>18091</v>
      </c>
      <c r="K50" s="1157">
        <v>44700</v>
      </c>
      <c r="L50" s="1157">
        <v>255295</v>
      </c>
      <c r="M50" s="1159">
        <f t="shared" si="1"/>
        <v>1095797</v>
      </c>
      <c r="N50" s="1757"/>
      <c r="O50" s="1757">
        <v>2005</v>
      </c>
      <c r="P50" s="1722"/>
      <c r="Q50" s="1801"/>
      <c r="R50" s="1801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</row>
    <row r="51" spans="1:127" s="1801" customFormat="1" ht="30.75" customHeight="1">
      <c r="C51" s="1515">
        <v>5429</v>
      </c>
      <c r="D51" s="1162">
        <v>95915</v>
      </c>
      <c r="E51" s="1162">
        <v>141636</v>
      </c>
      <c r="F51" s="1162">
        <v>183810</v>
      </c>
      <c r="G51" s="1162">
        <v>352154</v>
      </c>
      <c r="H51" s="1162">
        <v>55753</v>
      </c>
      <c r="I51" s="1162">
        <v>29741</v>
      </c>
      <c r="J51" s="1162">
        <v>29586</v>
      </c>
      <c r="K51" s="1162">
        <v>58022</v>
      </c>
      <c r="L51" s="1162">
        <v>296725</v>
      </c>
      <c r="M51" s="1164">
        <f t="shared" si="1"/>
        <v>1248771</v>
      </c>
      <c r="N51" s="1473"/>
      <c r="O51" s="1473">
        <v>2006</v>
      </c>
      <c r="P51" s="1521"/>
      <c r="R51" s="3358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</row>
    <row r="52" spans="1:127" s="3360" customFormat="1" ht="30.75" customHeight="1">
      <c r="A52" s="1801"/>
      <c r="B52" s="1801"/>
      <c r="C52" s="1492">
        <v>1105</v>
      </c>
      <c r="D52" s="1157">
        <v>81477</v>
      </c>
      <c r="E52" s="1157">
        <v>151196</v>
      </c>
      <c r="F52" s="1157">
        <v>222893</v>
      </c>
      <c r="G52" s="1157">
        <v>438616</v>
      </c>
      <c r="H52" s="1157">
        <v>11541</v>
      </c>
      <c r="I52" s="1157">
        <v>25741</v>
      </c>
      <c r="J52" s="1157">
        <v>36915</v>
      </c>
      <c r="K52" s="1157">
        <v>61817</v>
      </c>
      <c r="L52" s="1157">
        <v>362193</v>
      </c>
      <c r="M52" s="1159">
        <f>L52+K52+J52+I52+H52+G52+F52+E52+D52+C52</f>
        <v>1393494</v>
      </c>
      <c r="N52" s="1757"/>
      <c r="O52" s="1757">
        <v>2007</v>
      </c>
      <c r="P52" s="1722"/>
      <c r="Q52" s="1801"/>
      <c r="R52" s="1801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</row>
    <row r="53" spans="1:127" s="1191" customFormat="1" ht="30.75" customHeight="1">
      <c r="C53" s="1515">
        <v>2562</v>
      </c>
      <c r="D53" s="1162">
        <v>111149</v>
      </c>
      <c r="E53" s="1162">
        <v>206002</v>
      </c>
      <c r="F53" s="1162">
        <v>356347</v>
      </c>
      <c r="G53" s="1162">
        <v>548493</v>
      </c>
      <c r="H53" s="1162">
        <v>15016</v>
      </c>
      <c r="I53" s="1162">
        <v>34266</v>
      </c>
      <c r="J53" s="1162">
        <v>61152</v>
      </c>
      <c r="K53" s="1162">
        <v>61478</v>
      </c>
      <c r="L53" s="1162">
        <v>452840</v>
      </c>
      <c r="M53" s="1164">
        <f>L53+K53+J53+I53+H53+G53+F53+E53+D53+C53</f>
        <v>1849305</v>
      </c>
      <c r="N53" s="1473"/>
      <c r="O53" s="1473">
        <v>2008</v>
      </c>
      <c r="P53" s="1521"/>
      <c r="R53" s="3359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</row>
    <row r="54" spans="1:127" s="1191" customFormat="1" ht="30.75" customHeight="1">
      <c r="C54" s="1492">
        <v>65754</v>
      </c>
      <c r="D54" s="1157">
        <v>105272</v>
      </c>
      <c r="E54" s="1157">
        <v>186363</v>
      </c>
      <c r="F54" s="1157">
        <v>375782</v>
      </c>
      <c r="G54" s="1157">
        <v>541578</v>
      </c>
      <c r="H54" s="1157">
        <v>3211</v>
      </c>
      <c r="I54" s="1157">
        <v>20056</v>
      </c>
      <c r="J54" s="1157">
        <v>43953</v>
      </c>
      <c r="K54" s="1157">
        <v>47371</v>
      </c>
      <c r="L54" s="1157">
        <v>457231</v>
      </c>
      <c r="M54" s="1159">
        <f>L54+K54+J54+I54+H54+G54+F54+E54+D54+C54</f>
        <v>1846571</v>
      </c>
      <c r="N54" s="1757"/>
      <c r="O54" s="1757">
        <v>2009</v>
      </c>
      <c r="P54" s="1722"/>
      <c r="R54" s="3359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</row>
    <row r="55" spans="1:127" s="1191" customFormat="1" ht="30.75" customHeight="1">
      <c r="C55" s="1515">
        <v>77035</v>
      </c>
      <c r="D55" s="1162">
        <v>110150</v>
      </c>
      <c r="E55" s="1162">
        <v>206837</v>
      </c>
      <c r="F55" s="1162">
        <v>409547</v>
      </c>
      <c r="G55" s="1162">
        <v>647791</v>
      </c>
      <c r="H55" s="1162">
        <v>5888</v>
      </c>
      <c r="I55" s="1162">
        <v>10760</v>
      </c>
      <c r="J55" s="1162">
        <v>52966</v>
      </c>
      <c r="K55" s="1162">
        <v>39979</v>
      </c>
      <c r="L55" s="1162">
        <v>566762</v>
      </c>
      <c r="M55" s="1164">
        <f>L55+K55+J55+I55+H55+G55+F55+E55+D55+C55</f>
        <v>2127715</v>
      </c>
      <c r="N55" s="1473"/>
      <c r="O55" s="1473">
        <v>2010</v>
      </c>
      <c r="P55" s="1521"/>
      <c r="R55" s="3358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</row>
    <row r="56" spans="1:127" s="1191" customFormat="1" ht="30.75" customHeight="1">
      <c r="C56" s="1492">
        <v>128375</v>
      </c>
      <c r="D56" s="1157">
        <v>121277</v>
      </c>
      <c r="E56" s="1157">
        <v>237166</v>
      </c>
      <c r="F56" s="1157">
        <v>392186</v>
      </c>
      <c r="G56" s="1157">
        <v>604228</v>
      </c>
      <c r="H56" s="1157">
        <v>10833</v>
      </c>
      <c r="I56" s="1157">
        <v>10692</v>
      </c>
      <c r="J56" s="1157">
        <v>62798</v>
      </c>
      <c r="K56" s="1157">
        <v>34884</v>
      </c>
      <c r="L56" s="1157">
        <v>659760</v>
      </c>
      <c r="M56" s="1159">
        <f>L56+K56+J56+I56+H56+G56+F56+E56+D56+C56</f>
        <v>2262199</v>
      </c>
      <c r="N56" s="1757"/>
      <c r="O56" s="1757">
        <v>2011</v>
      </c>
      <c r="P56" s="4479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</row>
    <row r="57" spans="1:127" s="1191" customFormat="1" ht="30.75" customHeight="1">
      <c r="C57" s="1515">
        <v>82833</v>
      </c>
      <c r="D57" s="1162">
        <v>158043</v>
      </c>
      <c r="E57" s="1162">
        <v>204320</v>
      </c>
      <c r="F57" s="1162">
        <v>365666</v>
      </c>
      <c r="G57" s="1162">
        <v>669019</v>
      </c>
      <c r="H57" s="1162">
        <v>13666</v>
      </c>
      <c r="I57" s="1162">
        <v>12490</v>
      </c>
      <c r="J57" s="1162">
        <v>56844</v>
      </c>
      <c r="K57" s="1162">
        <v>37058</v>
      </c>
      <c r="L57" s="1162">
        <v>707091</v>
      </c>
      <c r="M57" s="1164">
        <v>2307031</v>
      </c>
      <c r="N57" s="1473"/>
      <c r="O57" s="1473">
        <v>2012</v>
      </c>
      <c r="P57" s="1521"/>
      <c r="R57" s="3358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</row>
    <row r="58" spans="1:127" s="1191" customFormat="1" ht="27" customHeight="1">
      <c r="C58" s="1492">
        <v>4077</v>
      </c>
      <c r="D58" s="1157">
        <v>179428</v>
      </c>
      <c r="E58" s="1157">
        <v>241322</v>
      </c>
      <c r="F58" s="1157">
        <v>401707</v>
      </c>
      <c r="G58" s="1157">
        <v>775139</v>
      </c>
      <c r="H58" s="1157">
        <v>9537</v>
      </c>
      <c r="I58" s="1157">
        <v>7475</v>
      </c>
      <c r="J58" s="1157">
        <v>60911</v>
      </c>
      <c r="K58" s="1157">
        <v>53374</v>
      </c>
      <c r="L58" s="1157">
        <v>838748</v>
      </c>
      <c r="M58" s="1159">
        <v>2571718</v>
      </c>
      <c r="N58" s="1757"/>
      <c r="O58" s="1757">
        <v>2013</v>
      </c>
      <c r="P58" s="4479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</row>
    <row r="59" spans="1:127" s="1191" customFormat="1" ht="30.75" customHeight="1">
      <c r="C59" s="1515">
        <v>20</v>
      </c>
      <c r="D59" s="1162">
        <v>220024</v>
      </c>
      <c r="E59" s="1162">
        <v>224183</v>
      </c>
      <c r="F59" s="1162">
        <v>409917</v>
      </c>
      <c r="G59" s="1162">
        <v>763160</v>
      </c>
      <c r="H59" s="1162">
        <v>6214</v>
      </c>
      <c r="I59" s="1162">
        <v>8108</v>
      </c>
      <c r="J59" s="1162">
        <v>56515</v>
      </c>
      <c r="K59" s="1162">
        <v>58267</v>
      </c>
      <c r="L59" s="1162">
        <v>909962</v>
      </c>
      <c r="M59" s="1164">
        <v>2656370</v>
      </c>
      <c r="N59" s="1473"/>
      <c r="O59" s="1473">
        <v>2014</v>
      </c>
      <c r="P59" s="1521"/>
      <c r="R59" s="3358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</row>
    <row r="60" spans="1:127" s="1191" customFormat="1" ht="27" customHeight="1">
      <c r="C60" s="1492">
        <v>11</v>
      </c>
      <c r="D60" s="1157">
        <v>182042</v>
      </c>
      <c r="E60" s="1157">
        <v>178282</v>
      </c>
      <c r="F60" s="1157">
        <v>368340</v>
      </c>
      <c r="G60" s="1157">
        <v>710253</v>
      </c>
      <c r="H60" s="1157">
        <v>3631</v>
      </c>
      <c r="I60" s="1157">
        <v>5802</v>
      </c>
      <c r="J60" s="1157">
        <v>74407</v>
      </c>
      <c r="K60" s="1157">
        <v>57577</v>
      </c>
      <c r="L60" s="1157">
        <v>863689</v>
      </c>
      <c r="M60" s="1159">
        <v>2444034</v>
      </c>
      <c r="N60" s="1757"/>
      <c r="O60" s="1757">
        <v>2015</v>
      </c>
      <c r="P60" s="4479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</row>
    <row r="61" spans="1:127" s="1191" customFormat="1" ht="27" customHeight="1">
      <c r="C61" s="1515">
        <v>8952</v>
      </c>
      <c r="D61" s="1162">
        <v>156271</v>
      </c>
      <c r="E61" s="1162">
        <v>146770</v>
      </c>
      <c r="F61" s="1162">
        <v>316489</v>
      </c>
      <c r="G61" s="1162">
        <v>694272</v>
      </c>
      <c r="H61" s="1162">
        <v>5519</v>
      </c>
      <c r="I61" s="1162">
        <v>4418</v>
      </c>
      <c r="J61" s="1162">
        <v>81433</v>
      </c>
      <c r="K61" s="1162">
        <v>44835</v>
      </c>
      <c r="L61" s="1162">
        <v>682946</v>
      </c>
      <c r="M61" s="1164">
        <v>2141905</v>
      </c>
      <c r="N61" s="1473"/>
      <c r="O61" s="1656" t="s">
        <v>2618</v>
      </c>
      <c r="P61" s="152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</row>
    <row r="62" spans="1:127" s="1191" customFormat="1" ht="27" customHeight="1">
      <c r="C62" s="1492">
        <v>10797</v>
      </c>
      <c r="D62" s="1157">
        <v>124841</v>
      </c>
      <c r="E62" s="1157">
        <v>125964</v>
      </c>
      <c r="F62" s="1157">
        <v>328295</v>
      </c>
      <c r="G62" s="1157">
        <v>676293</v>
      </c>
      <c r="H62" s="1157">
        <v>2146</v>
      </c>
      <c r="I62" s="1157">
        <v>5238</v>
      </c>
      <c r="J62" s="1157">
        <v>94033</v>
      </c>
      <c r="K62" s="1157">
        <v>31400</v>
      </c>
      <c r="L62" s="1157">
        <v>676163</v>
      </c>
      <c r="M62" s="1159">
        <v>2075170</v>
      </c>
      <c r="N62" s="1757"/>
      <c r="O62" s="3201" t="s">
        <v>2748</v>
      </c>
      <c r="P62" s="4489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</row>
    <row r="63" spans="1:127" s="1191" customFormat="1" ht="27" customHeight="1">
      <c r="C63" s="1515">
        <v>310</v>
      </c>
      <c r="D63" s="1162">
        <v>104082</v>
      </c>
      <c r="E63" s="1162">
        <v>147590</v>
      </c>
      <c r="F63" s="1162">
        <v>307398</v>
      </c>
      <c r="G63" s="1162">
        <v>673148</v>
      </c>
      <c r="H63" s="1162">
        <v>2129</v>
      </c>
      <c r="I63" s="1162">
        <v>59412</v>
      </c>
      <c r="J63" s="1162">
        <v>103241</v>
      </c>
      <c r="K63" s="1162">
        <v>32348</v>
      </c>
      <c r="L63" s="1162">
        <v>600733</v>
      </c>
      <c r="M63" s="1164">
        <v>2030391</v>
      </c>
      <c r="N63" s="1473"/>
      <c r="O63" s="1656" t="s">
        <v>2928</v>
      </c>
      <c r="P63" s="1521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</row>
    <row r="64" spans="1:127" s="1191" customFormat="1" ht="27" customHeight="1">
      <c r="C64" s="1492">
        <v>61118.703000000001</v>
      </c>
      <c r="D64" s="1157">
        <v>98766.794000000009</v>
      </c>
      <c r="E64" s="1157">
        <v>107268.13600000001</v>
      </c>
      <c r="F64" s="1157">
        <v>339509.08024000004</v>
      </c>
      <c r="G64" s="1157">
        <v>699785.20873999991</v>
      </c>
      <c r="H64" s="1157">
        <v>1746.8620000000001</v>
      </c>
      <c r="I64" s="1157">
        <v>8803.4920000000002</v>
      </c>
      <c r="J64" s="1157">
        <v>111673.306898</v>
      </c>
      <c r="K64" s="1157">
        <v>35107.095000000001</v>
      </c>
      <c r="L64" s="1157">
        <v>614835.00900000008</v>
      </c>
      <c r="M64" s="1159">
        <v>2078613.6868779999</v>
      </c>
      <c r="N64" s="1757"/>
      <c r="O64" s="3201" t="s">
        <v>3028</v>
      </c>
      <c r="P64" s="4489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</row>
    <row r="65" spans="3:127" s="1191" customFormat="1" ht="27" customHeight="1">
      <c r="C65" s="1515">
        <v>67965</v>
      </c>
      <c r="D65" s="1162">
        <v>100167</v>
      </c>
      <c r="E65" s="1162">
        <v>104276</v>
      </c>
      <c r="F65" s="1162">
        <v>299724</v>
      </c>
      <c r="G65" s="1162">
        <v>674048</v>
      </c>
      <c r="H65" s="1162">
        <v>5412</v>
      </c>
      <c r="I65" s="1162">
        <v>27906</v>
      </c>
      <c r="J65" s="1162">
        <v>79072</v>
      </c>
      <c r="K65" s="1162">
        <v>32824</v>
      </c>
      <c r="L65" s="1162">
        <v>624480</v>
      </c>
      <c r="M65" s="1164">
        <v>2015874</v>
      </c>
      <c r="N65" s="1473"/>
      <c r="O65" s="1656" t="s">
        <v>3101</v>
      </c>
      <c r="P65" s="1521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</row>
    <row r="66" spans="3:127" ht="24">
      <c r="C66" s="1492">
        <v>3777</v>
      </c>
      <c r="D66" s="1157">
        <v>100182</v>
      </c>
      <c r="E66" s="1157">
        <v>150214</v>
      </c>
      <c r="F66" s="1157">
        <v>408044</v>
      </c>
      <c r="G66" s="1157">
        <v>693305</v>
      </c>
      <c r="H66" s="1157">
        <v>3011</v>
      </c>
      <c r="I66" s="1157">
        <v>14299</v>
      </c>
      <c r="J66" s="1157">
        <v>138396</v>
      </c>
      <c r="K66" s="1157">
        <v>37015</v>
      </c>
      <c r="L66" s="1157">
        <v>722128</v>
      </c>
      <c r="M66" s="1159">
        <v>2270371</v>
      </c>
      <c r="N66" s="1757"/>
      <c r="O66" s="3201" t="s">
        <v>3106</v>
      </c>
      <c r="P66" s="4515"/>
    </row>
    <row r="67" spans="3:127" s="1191" customFormat="1" ht="27" customHeight="1">
      <c r="C67" s="4546">
        <v>12043.1</v>
      </c>
      <c r="D67" s="4547">
        <v>144117.4</v>
      </c>
      <c r="E67" s="4547">
        <v>205254</v>
      </c>
      <c r="F67" s="4547">
        <v>443760.6</v>
      </c>
      <c r="G67" s="4547">
        <v>882375.9</v>
      </c>
      <c r="H67" s="4547">
        <v>3585.8</v>
      </c>
      <c r="I67" s="4547">
        <v>18387.2</v>
      </c>
      <c r="J67" s="4547">
        <v>192466.1</v>
      </c>
      <c r="K67" s="4547">
        <v>41360.6</v>
      </c>
      <c r="L67" s="4547">
        <v>797363.4</v>
      </c>
      <c r="M67" s="4548">
        <v>2740714.1</v>
      </c>
      <c r="N67" s="4555"/>
      <c r="O67" s="4556" t="s">
        <v>3116</v>
      </c>
      <c r="P67" s="455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</row>
    <row r="68" spans="3:127" ht="22.5">
      <c r="C68" s="434" t="s">
        <v>1473</v>
      </c>
      <c r="D68" s="435"/>
      <c r="E68" s="1185"/>
      <c r="F68" s="1318"/>
      <c r="G68" s="3361"/>
      <c r="H68" s="1318"/>
      <c r="I68" s="1318"/>
      <c r="J68" s="1318"/>
      <c r="K68" s="1318"/>
      <c r="L68" s="1185"/>
      <c r="M68" s="1185"/>
      <c r="N68" s="4494"/>
      <c r="O68" s="3202" t="s">
        <v>1474</v>
      </c>
      <c r="P68" s="3362"/>
      <c r="R68" s="3359"/>
    </row>
    <row r="69" spans="3:127" ht="22.5">
      <c r="C69" s="427" t="s">
        <v>1475</v>
      </c>
      <c r="D69" s="426"/>
      <c r="E69" s="1318"/>
      <c r="F69" s="1318"/>
      <c r="G69" s="1838"/>
      <c r="H69" s="1318"/>
      <c r="I69" s="1318"/>
      <c r="J69" s="1318"/>
      <c r="K69" s="1318"/>
      <c r="L69" s="1318"/>
      <c r="M69" s="1318"/>
      <c r="N69" s="1318"/>
      <c r="O69" s="3288" t="s">
        <v>1476</v>
      </c>
      <c r="P69" s="1323"/>
      <c r="R69" s="3359"/>
    </row>
    <row r="70" spans="3:127" ht="22.5">
      <c r="C70" s="1793"/>
      <c r="D70" s="1793"/>
      <c r="G70" s="1793"/>
      <c r="R70" s="3359"/>
    </row>
    <row r="71" spans="3:127" ht="22.5">
      <c r="C71" s="1793"/>
      <c r="D71" s="1793"/>
      <c r="G71" s="1793"/>
      <c r="R71" s="3359"/>
    </row>
    <row r="72" spans="3:127" ht="22.5">
      <c r="C72" s="1793"/>
      <c r="D72" s="1793"/>
      <c r="G72" s="1793"/>
      <c r="R72" s="3359"/>
    </row>
    <row r="73" spans="3:127" ht="22.5">
      <c r="C73" s="1793"/>
      <c r="D73" s="1793"/>
      <c r="G73" s="1793"/>
      <c r="R73" s="3359"/>
    </row>
    <row r="74" spans="3:127" ht="22.5">
      <c r="C74" s="1793"/>
      <c r="D74" s="1793"/>
      <c r="G74" s="1793"/>
      <c r="R74" s="3359"/>
    </row>
    <row r="75" spans="3:127" ht="22.5">
      <c r="C75" s="1793"/>
      <c r="D75" s="1793"/>
      <c r="G75" s="1793"/>
      <c r="R75" s="3358"/>
    </row>
    <row r="76" spans="3:127">
      <c r="C76" s="1793"/>
      <c r="D76" s="1793"/>
      <c r="G76" s="1793"/>
    </row>
    <row r="77" spans="3:127" ht="22.5">
      <c r="C77" s="1793"/>
      <c r="D77" s="1793"/>
      <c r="G77" s="1793"/>
      <c r="R77" s="3359"/>
    </row>
    <row r="78" spans="3:127" ht="22.5">
      <c r="C78" s="1793"/>
      <c r="D78" s="1793"/>
      <c r="G78" s="1793"/>
      <c r="R78" s="3358"/>
    </row>
    <row r="79" spans="3:127" ht="22.5">
      <c r="C79" s="1793"/>
      <c r="D79" s="1793"/>
      <c r="G79" s="1793"/>
      <c r="R79" s="3359"/>
    </row>
    <row r="80" spans="3:127" ht="22.5">
      <c r="C80" s="1793"/>
      <c r="D80" s="1793"/>
      <c r="G80" s="1793"/>
      <c r="R80" s="3359"/>
    </row>
    <row r="81" spans="3:18" ht="22.5">
      <c r="C81" s="1793"/>
      <c r="D81" s="1793"/>
      <c r="G81" s="1793"/>
      <c r="R81" s="3359"/>
    </row>
    <row r="82" spans="3:18">
      <c r="C82" s="1793"/>
      <c r="D82" s="1793"/>
      <c r="G82" s="1793"/>
    </row>
    <row r="83" spans="3:18" ht="22.5">
      <c r="C83" s="1793"/>
      <c r="D83" s="1793"/>
      <c r="G83" s="1793"/>
      <c r="R83" s="3359"/>
    </row>
    <row r="84" spans="3:18" ht="22.5">
      <c r="C84" s="1793"/>
      <c r="D84" s="1793"/>
      <c r="G84" s="1793"/>
      <c r="R84" s="3359"/>
    </row>
    <row r="85" spans="3:18" ht="22.5">
      <c r="C85" s="1793"/>
      <c r="D85" s="1793"/>
      <c r="G85" s="1793"/>
      <c r="R85" s="3359"/>
    </row>
    <row r="86" spans="3:18" ht="22.5">
      <c r="C86" s="1793"/>
      <c r="D86" s="1793"/>
      <c r="G86" s="1793"/>
      <c r="R86" s="3359"/>
    </row>
    <row r="87" spans="3:18">
      <c r="C87" s="1793"/>
      <c r="D87" s="1793"/>
      <c r="G87" s="1793"/>
    </row>
    <row r="88" spans="3:18" ht="22.5">
      <c r="C88" s="1793"/>
      <c r="D88" s="1793"/>
      <c r="G88" s="1793"/>
      <c r="R88" s="3359"/>
    </row>
    <row r="89" spans="3:18" ht="22.5">
      <c r="C89" s="1793"/>
      <c r="D89" s="1793"/>
      <c r="G89" s="1793"/>
      <c r="R89" s="3359"/>
    </row>
    <row r="90" spans="3:18" ht="22.5">
      <c r="C90" s="1793"/>
      <c r="D90" s="1793"/>
      <c r="G90" s="1793"/>
      <c r="R90" s="3359"/>
    </row>
    <row r="91" spans="3:18" ht="22.5">
      <c r="C91" s="1793"/>
      <c r="D91" s="1793"/>
      <c r="G91" s="1793"/>
      <c r="R91" s="3359"/>
    </row>
    <row r="92" spans="3:18" ht="22.5">
      <c r="C92" s="1793"/>
      <c r="D92" s="1793"/>
      <c r="G92" s="1793"/>
      <c r="R92" s="3358"/>
    </row>
    <row r="93" spans="3:18">
      <c r="C93" s="1793"/>
      <c r="D93" s="1793"/>
      <c r="G93" s="1793"/>
    </row>
    <row r="94" spans="3:18">
      <c r="C94" s="1793"/>
      <c r="D94" s="1793"/>
      <c r="G94" s="1793"/>
    </row>
    <row r="95" spans="3:18">
      <c r="C95" s="1793"/>
      <c r="D95" s="1793"/>
      <c r="G95" s="1793"/>
    </row>
    <row r="96" spans="3:18">
      <c r="C96" s="1793"/>
      <c r="D96" s="1793"/>
      <c r="G96" s="1793"/>
    </row>
    <row r="97" spans="3:7">
      <c r="C97" s="1793"/>
      <c r="D97" s="1793"/>
      <c r="G97" s="1793"/>
    </row>
    <row r="98" spans="3:7">
      <c r="C98" s="1793"/>
      <c r="D98" s="1793"/>
      <c r="G98" s="1793"/>
    </row>
    <row r="99" spans="3:7">
      <c r="C99" s="1793"/>
      <c r="D99" s="1793"/>
      <c r="G99" s="1793"/>
    </row>
    <row r="100" spans="3:7">
      <c r="C100" s="1793"/>
      <c r="D100" s="1793"/>
      <c r="G100" s="1793"/>
    </row>
    <row r="101" spans="3:7">
      <c r="C101" s="1793"/>
      <c r="D101" s="1793"/>
      <c r="G101" s="1793"/>
    </row>
    <row r="102" spans="3:7">
      <c r="C102" s="1793"/>
      <c r="D102" s="1793"/>
      <c r="G102" s="1793"/>
    </row>
    <row r="103" spans="3:7">
      <c r="C103" s="1793"/>
      <c r="D103" s="1793"/>
      <c r="G103" s="1793"/>
    </row>
    <row r="104" spans="3:7">
      <c r="C104" s="1793"/>
      <c r="D104" s="1793"/>
      <c r="G104" s="1793"/>
    </row>
    <row r="105" spans="3:7">
      <c r="C105" s="1793"/>
      <c r="D105" s="1793"/>
      <c r="G105" s="1793"/>
    </row>
    <row r="106" spans="3:7">
      <c r="C106" s="1793"/>
      <c r="D106" s="1793"/>
      <c r="G106" s="1793"/>
    </row>
    <row r="107" spans="3:7">
      <c r="C107" s="1793"/>
      <c r="D107" s="1793"/>
      <c r="G107" s="1793"/>
    </row>
    <row r="108" spans="3:7">
      <c r="C108" s="1793"/>
      <c r="D108" s="1793"/>
      <c r="G108" s="1793"/>
    </row>
    <row r="109" spans="3:7">
      <c r="C109" s="1793"/>
      <c r="D109" s="1793"/>
      <c r="G109" s="1793"/>
    </row>
    <row r="110" spans="3:7">
      <c r="C110" s="1793"/>
      <c r="D110" s="1793"/>
      <c r="G110" s="1793"/>
    </row>
    <row r="111" spans="3:7">
      <c r="C111" s="1793"/>
      <c r="D111" s="1793"/>
      <c r="G111" s="1793"/>
    </row>
    <row r="112" spans="3:7">
      <c r="C112" s="1793"/>
      <c r="D112" s="1793"/>
      <c r="G112" s="1793"/>
    </row>
    <row r="113" spans="3:7">
      <c r="C113" s="1793"/>
      <c r="D113" s="1793"/>
      <c r="G113" s="1793"/>
    </row>
    <row r="114" spans="3:7">
      <c r="C114" s="1793"/>
      <c r="D114" s="1793"/>
      <c r="G114" s="1793"/>
    </row>
    <row r="115" spans="3:7">
      <c r="C115" s="1793"/>
      <c r="D115" s="1793"/>
      <c r="G115" s="1793"/>
    </row>
    <row r="116" spans="3:7">
      <c r="C116" s="1793"/>
      <c r="D116" s="1793"/>
      <c r="G116" s="1793"/>
    </row>
    <row r="117" spans="3:7">
      <c r="C117" s="1793"/>
      <c r="D117" s="1793"/>
      <c r="G117" s="1793"/>
    </row>
    <row r="118" spans="3:7">
      <c r="C118" s="1793"/>
      <c r="D118" s="1793"/>
      <c r="G118" s="1793"/>
    </row>
    <row r="119" spans="3:7">
      <c r="C119" s="1793"/>
      <c r="D119" s="1793"/>
      <c r="G119" s="1793"/>
    </row>
    <row r="120" spans="3:7">
      <c r="C120" s="1793"/>
      <c r="D120" s="1793"/>
      <c r="G120" s="1793"/>
    </row>
    <row r="121" spans="3:7">
      <c r="C121" s="1793"/>
      <c r="D121" s="1793"/>
      <c r="G121" s="1793"/>
    </row>
    <row r="122" spans="3:7">
      <c r="C122" s="1793"/>
      <c r="D122" s="1793"/>
      <c r="G122" s="1793"/>
    </row>
    <row r="123" spans="3:7">
      <c r="C123" s="1793"/>
      <c r="D123" s="1793"/>
      <c r="G123" s="1793"/>
    </row>
    <row r="124" spans="3:7">
      <c r="C124" s="1793"/>
      <c r="D124" s="1793"/>
      <c r="G124" s="1793"/>
    </row>
    <row r="125" spans="3:7">
      <c r="C125" s="1793"/>
      <c r="D125" s="1793"/>
      <c r="G125" s="1793"/>
    </row>
    <row r="126" spans="3:7">
      <c r="C126" s="1793"/>
      <c r="D126" s="1793"/>
      <c r="G126" s="1793"/>
    </row>
  </sheetData>
  <mergeCells count="4">
    <mergeCell ref="C3:P3"/>
    <mergeCell ref="C4:P4"/>
    <mergeCell ref="N12:P12"/>
    <mergeCell ref="N14:P14"/>
  </mergeCells>
  <printOptions horizontalCentered="1"/>
  <pageMargins left="0.62992125984252001" right="0.62992125984252001" top="0.78740157480314998" bottom="0.98425196850393704" header="0.511811023622047" footer="0.511811023622047"/>
  <pageSetup paperSize="9" scale="46" orientation="portrait" r:id="rId1"/>
  <headerFooter alignWithMargins="0">
    <oddFooter>&amp;C&amp;"+,Regular"&amp;22-53-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4"/>
  <sheetViews>
    <sheetView topLeftCell="A52" zoomScale="75" zoomScaleNormal="75" workbookViewId="0">
      <selection activeCell="L69" sqref="L69"/>
    </sheetView>
  </sheetViews>
  <sheetFormatPr defaultColWidth="0.42578125" defaultRowHeight="20.25"/>
  <cols>
    <col min="1" max="2" width="6.42578125" style="1174" customWidth="1"/>
    <col min="3" max="3" width="8.85546875" style="1174" customWidth="1"/>
    <col min="4" max="4" width="13.42578125" style="1793" customWidth="1"/>
    <col min="5" max="5" width="12.5703125" style="1793" bestFit="1" customWidth="1"/>
    <col min="6" max="6" width="17.42578125" style="1793" bestFit="1" customWidth="1"/>
    <col min="7" max="7" width="14" style="1793" bestFit="1" customWidth="1"/>
    <col min="8" max="8" width="14.85546875" style="1793" bestFit="1" customWidth="1"/>
    <col min="9" max="9" width="14.5703125" style="1192" bestFit="1" customWidth="1"/>
    <col min="10" max="10" width="16" style="1192" bestFit="1" customWidth="1"/>
    <col min="11" max="11" width="14.42578125" style="1192" bestFit="1" customWidth="1"/>
    <col min="12" max="12" width="15.5703125" style="1192" bestFit="1" customWidth="1"/>
    <col min="13" max="13" width="13.42578125" style="1192" customWidth="1"/>
    <col min="14" max="14" width="16.42578125" style="1192" customWidth="1"/>
    <col min="15" max="15" width="1.42578125" style="1192" customWidth="1"/>
    <col min="16" max="16" width="8.85546875" style="1192" customWidth="1"/>
    <col min="17" max="17" width="1.42578125" style="1192" customWidth="1"/>
    <col min="18" max="18" width="8.85546875" style="1174" customWidth="1"/>
    <col min="19" max="19" width="17.42578125" style="1174" customWidth="1"/>
    <col min="20" max="20" width="22.7109375" style="1174" customWidth="1"/>
    <col min="21" max="214" width="12" style="1174" customWidth="1"/>
    <col min="215" max="258" width="0.42578125" style="1174"/>
    <col min="259" max="259" width="8.85546875" style="1174" customWidth="1"/>
    <col min="260" max="270" width="13.42578125" style="1174" customWidth="1"/>
    <col min="271" max="271" width="1.42578125" style="1174" customWidth="1"/>
    <col min="272" max="272" width="7.7109375" style="1174" customWidth="1"/>
    <col min="273" max="273" width="1.42578125" style="1174" customWidth="1"/>
    <col min="274" max="274" width="8.85546875" style="1174" customWidth="1"/>
    <col min="275" max="275" width="17.42578125" style="1174" customWidth="1"/>
    <col min="276" max="276" width="22.7109375" style="1174" customWidth="1"/>
    <col min="277" max="470" width="12" style="1174" customWidth="1"/>
    <col min="471" max="514" width="0.42578125" style="1174"/>
    <col min="515" max="515" width="8.85546875" style="1174" customWidth="1"/>
    <col min="516" max="526" width="13.42578125" style="1174" customWidth="1"/>
    <col min="527" max="527" width="1.42578125" style="1174" customWidth="1"/>
    <col min="528" max="528" width="7.7109375" style="1174" customWidth="1"/>
    <col min="529" max="529" width="1.42578125" style="1174" customWidth="1"/>
    <col min="530" max="530" width="8.85546875" style="1174" customWidth="1"/>
    <col min="531" max="531" width="17.42578125" style="1174" customWidth="1"/>
    <col min="532" max="532" width="22.7109375" style="1174" customWidth="1"/>
    <col min="533" max="726" width="12" style="1174" customWidth="1"/>
    <col min="727" max="770" width="0.42578125" style="1174"/>
    <col min="771" max="771" width="8.85546875" style="1174" customWidth="1"/>
    <col min="772" max="782" width="13.42578125" style="1174" customWidth="1"/>
    <col min="783" max="783" width="1.42578125" style="1174" customWidth="1"/>
    <col min="784" max="784" width="7.7109375" style="1174" customWidth="1"/>
    <col min="785" max="785" width="1.42578125" style="1174" customWidth="1"/>
    <col min="786" max="786" width="8.85546875" style="1174" customWidth="1"/>
    <col min="787" max="787" width="17.42578125" style="1174" customWidth="1"/>
    <col min="788" max="788" width="22.7109375" style="1174" customWidth="1"/>
    <col min="789" max="982" width="12" style="1174" customWidth="1"/>
    <col min="983" max="1026" width="0.42578125" style="1174"/>
    <col min="1027" max="1027" width="8.85546875" style="1174" customWidth="1"/>
    <col min="1028" max="1038" width="13.42578125" style="1174" customWidth="1"/>
    <col min="1039" max="1039" width="1.42578125" style="1174" customWidth="1"/>
    <col min="1040" max="1040" width="7.7109375" style="1174" customWidth="1"/>
    <col min="1041" max="1041" width="1.42578125" style="1174" customWidth="1"/>
    <col min="1042" max="1042" width="8.85546875" style="1174" customWidth="1"/>
    <col min="1043" max="1043" width="17.42578125" style="1174" customWidth="1"/>
    <col min="1044" max="1044" width="22.7109375" style="1174" customWidth="1"/>
    <col min="1045" max="1238" width="12" style="1174" customWidth="1"/>
    <col min="1239" max="1282" width="0.42578125" style="1174"/>
    <col min="1283" max="1283" width="8.85546875" style="1174" customWidth="1"/>
    <col min="1284" max="1294" width="13.42578125" style="1174" customWidth="1"/>
    <col min="1295" max="1295" width="1.42578125" style="1174" customWidth="1"/>
    <col min="1296" max="1296" width="7.7109375" style="1174" customWidth="1"/>
    <col min="1297" max="1297" width="1.42578125" style="1174" customWidth="1"/>
    <col min="1298" max="1298" width="8.85546875" style="1174" customWidth="1"/>
    <col min="1299" max="1299" width="17.42578125" style="1174" customWidth="1"/>
    <col min="1300" max="1300" width="22.7109375" style="1174" customWidth="1"/>
    <col min="1301" max="1494" width="12" style="1174" customWidth="1"/>
    <col min="1495" max="1538" width="0.42578125" style="1174"/>
    <col min="1539" max="1539" width="8.85546875" style="1174" customWidth="1"/>
    <col min="1540" max="1550" width="13.42578125" style="1174" customWidth="1"/>
    <col min="1551" max="1551" width="1.42578125" style="1174" customWidth="1"/>
    <col min="1552" max="1552" width="7.7109375" style="1174" customWidth="1"/>
    <col min="1553" max="1553" width="1.42578125" style="1174" customWidth="1"/>
    <col min="1554" max="1554" width="8.85546875" style="1174" customWidth="1"/>
    <col min="1555" max="1555" width="17.42578125" style="1174" customWidth="1"/>
    <col min="1556" max="1556" width="22.7109375" style="1174" customWidth="1"/>
    <col min="1557" max="1750" width="12" style="1174" customWidth="1"/>
    <col min="1751" max="1794" width="0.42578125" style="1174"/>
    <col min="1795" max="1795" width="8.85546875" style="1174" customWidth="1"/>
    <col min="1796" max="1806" width="13.42578125" style="1174" customWidth="1"/>
    <col min="1807" max="1807" width="1.42578125" style="1174" customWidth="1"/>
    <col min="1808" max="1808" width="7.7109375" style="1174" customWidth="1"/>
    <col min="1809" max="1809" width="1.42578125" style="1174" customWidth="1"/>
    <col min="1810" max="1810" width="8.85546875" style="1174" customWidth="1"/>
    <col min="1811" max="1811" width="17.42578125" style="1174" customWidth="1"/>
    <col min="1812" max="1812" width="22.7109375" style="1174" customWidth="1"/>
    <col min="1813" max="2006" width="12" style="1174" customWidth="1"/>
    <col min="2007" max="2050" width="0.42578125" style="1174"/>
    <col min="2051" max="2051" width="8.85546875" style="1174" customWidth="1"/>
    <col min="2052" max="2062" width="13.42578125" style="1174" customWidth="1"/>
    <col min="2063" max="2063" width="1.42578125" style="1174" customWidth="1"/>
    <col min="2064" max="2064" width="7.7109375" style="1174" customWidth="1"/>
    <col min="2065" max="2065" width="1.42578125" style="1174" customWidth="1"/>
    <col min="2066" max="2066" width="8.85546875" style="1174" customWidth="1"/>
    <col min="2067" max="2067" width="17.42578125" style="1174" customWidth="1"/>
    <col min="2068" max="2068" width="22.7109375" style="1174" customWidth="1"/>
    <col min="2069" max="2262" width="12" style="1174" customWidth="1"/>
    <col min="2263" max="2306" width="0.42578125" style="1174"/>
    <col min="2307" max="2307" width="8.85546875" style="1174" customWidth="1"/>
    <col min="2308" max="2318" width="13.42578125" style="1174" customWidth="1"/>
    <col min="2319" max="2319" width="1.42578125" style="1174" customWidth="1"/>
    <col min="2320" max="2320" width="7.7109375" style="1174" customWidth="1"/>
    <col min="2321" max="2321" width="1.42578125" style="1174" customWidth="1"/>
    <col min="2322" max="2322" width="8.85546875" style="1174" customWidth="1"/>
    <col min="2323" max="2323" width="17.42578125" style="1174" customWidth="1"/>
    <col min="2324" max="2324" width="22.7109375" style="1174" customWidth="1"/>
    <col min="2325" max="2518" width="12" style="1174" customWidth="1"/>
    <col min="2519" max="2562" width="0.42578125" style="1174"/>
    <col min="2563" max="2563" width="8.85546875" style="1174" customWidth="1"/>
    <col min="2564" max="2574" width="13.42578125" style="1174" customWidth="1"/>
    <col min="2575" max="2575" width="1.42578125" style="1174" customWidth="1"/>
    <col min="2576" max="2576" width="7.7109375" style="1174" customWidth="1"/>
    <col min="2577" max="2577" width="1.42578125" style="1174" customWidth="1"/>
    <col min="2578" max="2578" width="8.85546875" style="1174" customWidth="1"/>
    <col min="2579" max="2579" width="17.42578125" style="1174" customWidth="1"/>
    <col min="2580" max="2580" width="22.7109375" style="1174" customWidth="1"/>
    <col min="2581" max="2774" width="12" style="1174" customWidth="1"/>
    <col min="2775" max="2818" width="0.42578125" style="1174"/>
    <col min="2819" max="2819" width="8.85546875" style="1174" customWidth="1"/>
    <col min="2820" max="2830" width="13.42578125" style="1174" customWidth="1"/>
    <col min="2831" max="2831" width="1.42578125" style="1174" customWidth="1"/>
    <col min="2832" max="2832" width="7.7109375" style="1174" customWidth="1"/>
    <col min="2833" max="2833" width="1.42578125" style="1174" customWidth="1"/>
    <col min="2834" max="2834" width="8.85546875" style="1174" customWidth="1"/>
    <col min="2835" max="2835" width="17.42578125" style="1174" customWidth="1"/>
    <col min="2836" max="2836" width="22.7109375" style="1174" customWidth="1"/>
    <col min="2837" max="3030" width="12" style="1174" customWidth="1"/>
    <col min="3031" max="3074" width="0.42578125" style="1174"/>
    <col min="3075" max="3075" width="8.85546875" style="1174" customWidth="1"/>
    <col min="3076" max="3086" width="13.42578125" style="1174" customWidth="1"/>
    <col min="3087" max="3087" width="1.42578125" style="1174" customWidth="1"/>
    <col min="3088" max="3088" width="7.7109375" style="1174" customWidth="1"/>
    <col min="3089" max="3089" width="1.42578125" style="1174" customWidth="1"/>
    <col min="3090" max="3090" width="8.85546875" style="1174" customWidth="1"/>
    <col min="3091" max="3091" width="17.42578125" style="1174" customWidth="1"/>
    <col min="3092" max="3092" width="22.7109375" style="1174" customWidth="1"/>
    <col min="3093" max="3286" width="12" style="1174" customWidth="1"/>
    <col min="3287" max="3330" width="0.42578125" style="1174"/>
    <col min="3331" max="3331" width="8.85546875" style="1174" customWidth="1"/>
    <col min="3332" max="3342" width="13.42578125" style="1174" customWidth="1"/>
    <col min="3343" max="3343" width="1.42578125" style="1174" customWidth="1"/>
    <col min="3344" max="3344" width="7.7109375" style="1174" customWidth="1"/>
    <col min="3345" max="3345" width="1.42578125" style="1174" customWidth="1"/>
    <col min="3346" max="3346" width="8.85546875" style="1174" customWidth="1"/>
    <col min="3347" max="3347" width="17.42578125" style="1174" customWidth="1"/>
    <col min="3348" max="3348" width="22.7109375" style="1174" customWidth="1"/>
    <col min="3349" max="3542" width="12" style="1174" customWidth="1"/>
    <col min="3543" max="3586" width="0.42578125" style="1174"/>
    <col min="3587" max="3587" width="8.85546875" style="1174" customWidth="1"/>
    <col min="3588" max="3598" width="13.42578125" style="1174" customWidth="1"/>
    <col min="3599" max="3599" width="1.42578125" style="1174" customWidth="1"/>
    <col min="3600" max="3600" width="7.7109375" style="1174" customWidth="1"/>
    <col min="3601" max="3601" width="1.42578125" style="1174" customWidth="1"/>
    <col min="3602" max="3602" width="8.85546875" style="1174" customWidth="1"/>
    <col min="3603" max="3603" width="17.42578125" style="1174" customWidth="1"/>
    <col min="3604" max="3604" width="22.7109375" style="1174" customWidth="1"/>
    <col min="3605" max="3798" width="12" style="1174" customWidth="1"/>
    <col min="3799" max="3842" width="0.42578125" style="1174"/>
    <col min="3843" max="3843" width="8.85546875" style="1174" customWidth="1"/>
    <col min="3844" max="3854" width="13.42578125" style="1174" customWidth="1"/>
    <col min="3855" max="3855" width="1.42578125" style="1174" customWidth="1"/>
    <col min="3856" max="3856" width="7.7109375" style="1174" customWidth="1"/>
    <col min="3857" max="3857" width="1.42578125" style="1174" customWidth="1"/>
    <col min="3858" max="3858" width="8.85546875" style="1174" customWidth="1"/>
    <col min="3859" max="3859" width="17.42578125" style="1174" customWidth="1"/>
    <col min="3860" max="3860" width="22.7109375" style="1174" customWidth="1"/>
    <col min="3861" max="4054" width="12" style="1174" customWidth="1"/>
    <col min="4055" max="4098" width="0.42578125" style="1174"/>
    <col min="4099" max="4099" width="8.85546875" style="1174" customWidth="1"/>
    <col min="4100" max="4110" width="13.42578125" style="1174" customWidth="1"/>
    <col min="4111" max="4111" width="1.42578125" style="1174" customWidth="1"/>
    <col min="4112" max="4112" width="7.7109375" style="1174" customWidth="1"/>
    <col min="4113" max="4113" width="1.42578125" style="1174" customWidth="1"/>
    <col min="4114" max="4114" width="8.85546875" style="1174" customWidth="1"/>
    <col min="4115" max="4115" width="17.42578125" style="1174" customWidth="1"/>
    <col min="4116" max="4116" width="22.7109375" style="1174" customWidth="1"/>
    <col min="4117" max="4310" width="12" style="1174" customWidth="1"/>
    <col min="4311" max="4354" width="0.42578125" style="1174"/>
    <col min="4355" max="4355" width="8.85546875" style="1174" customWidth="1"/>
    <col min="4356" max="4366" width="13.42578125" style="1174" customWidth="1"/>
    <col min="4367" max="4367" width="1.42578125" style="1174" customWidth="1"/>
    <col min="4368" max="4368" width="7.7109375" style="1174" customWidth="1"/>
    <col min="4369" max="4369" width="1.42578125" style="1174" customWidth="1"/>
    <col min="4370" max="4370" width="8.85546875" style="1174" customWidth="1"/>
    <col min="4371" max="4371" width="17.42578125" style="1174" customWidth="1"/>
    <col min="4372" max="4372" width="22.7109375" style="1174" customWidth="1"/>
    <col min="4373" max="4566" width="12" style="1174" customWidth="1"/>
    <col min="4567" max="4610" width="0.42578125" style="1174"/>
    <col min="4611" max="4611" width="8.85546875" style="1174" customWidth="1"/>
    <col min="4612" max="4622" width="13.42578125" style="1174" customWidth="1"/>
    <col min="4623" max="4623" width="1.42578125" style="1174" customWidth="1"/>
    <col min="4624" max="4624" width="7.7109375" style="1174" customWidth="1"/>
    <col min="4625" max="4625" width="1.42578125" style="1174" customWidth="1"/>
    <col min="4626" max="4626" width="8.85546875" style="1174" customWidth="1"/>
    <col min="4627" max="4627" width="17.42578125" style="1174" customWidth="1"/>
    <col min="4628" max="4628" width="22.7109375" style="1174" customWidth="1"/>
    <col min="4629" max="4822" width="12" style="1174" customWidth="1"/>
    <col min="4823" max="4866" width="0.42578125" style="1174"/>
    <col min="4867" max="4867" width="8.85546875" style="1174" customWidth="1"/>
    <col min="4868" max="4878" width="13.42578125" style="1174" customWidth="1"/>
    <col min="4879" max="4879" width="1.42578125" style="1174" customWidth="1"/>
    <col min="4880" max="4880" width="7.7109375" style="1174" customWidth="1"/>
    <col min="4881" max="4881" width="1.42578125" style="1174" customWidth="1"/>
    <col min="4882" max="4882" width="8.85546875" style="1174" customWidth="1"/>
    <col min="4883" max="4883" width="17.42578125" style="1174" customWidth="1"/>
    <col min="4884" max="4884" width="22.7109375" style="1174" customWidth="1"/>
    <col min="4885" max="5078" width="12" style="1174" customWidth="1"/>
    <col min="5079" max="5122" width="0.42578125" style="1174"/>
    <col min="5123" max="5123" width="8.85546875" style="1174" customWidth="1"/>
    <col min="5124" max="5134" width="13.42578125" style="1174" customWidth="1"/>
    <col min="5135" max="5135" width="1.42578125" style="1174" customWidth="1"/>
    <col min="5136" max="5136" width="7.7109375" style="1174" customWidth="1"/>
    <col min="5137" max="5137" width="1.42578125" style="1174" customWidth="1"/>
    <col min="5138" max="5138" width="8.85546875" style="1174" customWidth="1"/>
    <col min="5139" max="5139" width="17.42578125" style="1174" customWidth="1"/>
    <col min="5140" max="5140" width="22.7109375" style="1174" customWidth="1"/>
    <col min="5141" max="5334" width="12" style="1174" customWidth="1"/>
    <col min="5335" max="5378" width="0.42578125" style="1174"/>
    <col min="5379" max="5379" width="8.85546875" style="1174" customWidth="1"/>
    <col min="5380" max="5390" width="13.42578125" style="1174" customWidth="1"/>
    <col min="5391" max="5391" width="1.42578125" style="1174" customWidth="1"/>
    <col min="5392" max="5392" width="7.7109375" style="1174" customWidth="1"/>
    <col min="5393" max="5393" width="1.42578125" style="1174" customWidth="1"/>
    <col min="5394" max="5394" width="8.85546875" style="1174" customWidth="1"/>
    <col min="5395" max="5395" width="17.42578125" style="1174" customWidth="1"/>
    <col min="5396" max="5396" width="22.7109375" style="1174" customWidth="1"/>
    <col min="5397" max="5590" width="12" style="1174" customWidth="1"/>
    <col min="5591" max="5634" width="0.42578125" style="1174"/>
    <col min="5635" max="5635" width="8.85546875" style="1174" customWidth="1"/>
    <col min="5636" max="5646" width="13.42578125" style="1174" customWidth="1"/>
    <col min="5647" max="5647" width="1.42578125" style="1174" customWidth="1"/>
    <col min="5648" max="5648" width="7.7109375" style="1174" customWidth="1"/>
    <col min="5649" max="5649" width="1.42578125" style="1174" customWidth="1"/>
    <col min="5650" max="5650" width="8.85546875" style="1174" customWidth="1"/>
    <col min="5651" max="5651" width="17.42578125" style="1174" customWidth="1"/>
    <col min="5652" max="5652" width="22.7109375" style="1174" customWidth="1"/>
    <col min="5653" max="5846" width="12" style="1174" customWidth="1"/>
    <col min="5847" max="5890" width="0.42578125" style="1174"/>
    <col min="5891" max="5891" width="8.85546875" style="1174" customWidth="1"/>
    <col min="5892" max="5902" width="13.42578125" style="1174" customWidth="1"/>
    <col min="5903" max="5903" width="1.42578125" style="1174" customWidth="1"/>
    <col min="5904" max="5904" width="7.7109375" style="1174" customWidth="1"/>
    <col min="5905" max="5905" width="1.42578125" style="1174" customWidth="1"/>
    <col min="5906" max="5906" width="8.85546875" style="1174" customWidth="1"/>
    <col min="5907" max="5907" width="17.42578125" style="1174" customWidth="1"/>
    <col min="5908" max="5908" width="22.7109375" style="1174" customWidth="1"/>
    <col min="5909" max="6102" width="12" style="1174" customWidth="1"/>
    <col min="6103" max="6146" width="0.42578125" style="1174"/>
    <col min="6147" max="6147" width="8.85546875" style="1174" customWidth="1"/>
    <col min="6148" max="6158" width="13.42578125" style="1174" customWidth="1"/>
    <col min="6159" max="6159" width="1.42578125" style="1174" customWidth="1"/>
    <col min="6160" max="6160" width="7.7109375" style="1174" customWidth="1"/>
    <col min="6161" max="6161" width="1.42578125" style="1174" customWidth="1"/>
    <col min="6162" max="6162" width="8.85546875" style="1174" customWidth="1"/>
    <col min="6163" max="6163" width="17.42578125" style="1174" customWidth="1"/>
    <col min="6164" max="6164" width="22.7109375" style="1174" customWidth="1"/>
    <col min="6165" max="6358" width="12" style="1174" customWidth="1"/>
    <col min="6359" max="6402" width="0.42578125" style="1174"/>
    <col min="6403" max="6403" width="8.85546875" style="1174" customWidth="1"/>
    <col min="6404" max="6414" width="13.42578125" style="1174" customWidth="1"/>
    <col min="6415" max="6415" width="1.42578125" style="1174" customWidth="1"/>
    <col min="6416" max="6416" width="7.7109375" style="1174" customWidth="1"/>
    <col min="6417" max="6417" width="1.42578125" style="1174" customWidth="1"/>
    <col min="6418" max="6418" width="8.85546875" style="1174" customWidth="1"/>
    <col min="6419" max="6419" width="17.42578125" style="1174" customWidth="1"/>
    <col min="6420" max="6420" width="22.7109375" style="1174" customWidth="1"/>
    <col min="6421" max="6614" width="12" style="1174" customWidth="1"/>
    <col min="6615" max="6658" width="0.42578125" style="1174"/>
    <col min="6659" max="6659" width="8.85546875" style="1174" customWidth="1"/>
    <col min="6660" max="6670" width="13.42578125" style="1174" customWidth="1"/>
    <col min="6671" max="6671" width="1.42578125" style="1174" customWidth="1"/>
    <col min="6672" max="6672" width="7.7109375" style="1174" customWidth="1"/>
    <col min="6673" max="6673" width="1.42578125" style="1174" customWidth="1"/>
    <col min="6674" max="6674" width="8.85546875" style="1174" customWidth="1"/>
    <col min="6675" max="6675" width="17.42578125" style="1174" customWidth="1"/>
    <col min="6676" max="6676" width="22.7109375" style="1174" customWidth="1"/>
    <col min="6677" max="6870" width="12" style="1174" customWidth="1"/>
    <col min="6871" max="6914" width="0.42578125" style="1174"/>
    <col min="6915" max="6915" width="8.85546875" style="1174" customWidth="1"/>
    <col min="6916" max="6926" width="13.42578125" style="1174" customWidth="1"/>
    <col min="6927" max="6927" width="1.42578125" style="1174" customWidth="1"/>
    <col min="6928" max="6928" width="7.7109375" style="1174" customWidth="1"/>
    <col min="6929" max="6929" width="1.42578125" style="1174" customWidth="1"/>
    <col min="6930" max="6930" width="8.85546875" style="1174" customWidth="1"/>
    <col min="6931" max="6931" width="17.42578125" style="1174" customWidth="1"/>
    <col min="6932" max="6932" width="22.7109375" style="1174" customWidth="1"/>
    <col min="6933" max="7126" width="12" style="1174" customWidth="1"/>
    <col min="7127" max="7170" width="0.42578125" style="1174"/>
    <col min="7171" max="7171" width="8.85546875" style="1174" customWidth="1"/>
    <col min="7172" max="7182" width="13.42578125" style="1174" customWidth="1"/>
    <col min="7183" max="7183" width="1.42578125" style="1174" customWidth="1"/>
    <col min="7184" max="7184" width="7.7109375" style="1174" customWidth="1"/>
    <col min="7185" max="7185" width="1.42578125" style="1174" customWidth="1"/>
    <col min="7186" max="7186" width="8.85546875" style="1174" customWidth="1"/>
    <col min="7187" max="7187" width="17.42578125" style="1174" customWidth="1"/>
    <col min="7188" max="7188" width="22.7109375" style="1174" customWidth="1"/>
    <col min="7189" max="7382" width="12" style="1174" customWidth="1"/>
    <col min="7383" max="7426" width="0.42578125" style="1174"/>
    <col min="7427" max="7427" width="8.85546875" style="1174" customWidth="1"/>
    <col min="7428" max="7438" width="13.42578125" style="1174" customWidth="1"/>
    <col min="7439" max="7439" width="1.42578125" style="1174" customWidth="1"/>
    <col min="7440" max="7440" width="7.7109375" style="1174" customWidth="1"/>
    <col min="7441" max="7441" width="1.42578125" style="1174" customWidth="1"/>
    <col min="7442" max="7442" width="8.85546875" style="1174" customWidth="1"/>
    <col min="7443" max="7443" width="17.42578125" style="1174" customWidth="1"/>
    <col min="7444" max="7444" width="22.7109375" style="1174" customWidth="1"/>
    <col min="7445" max="7638" width="12" style="1174" customWidth="1"/>
    <col min="7639" max="7682" width="0.42578125" style="1174"/>
    <col min="7683" max="7683" width="8.85546875" style="1174" customWidth="1"/>
    <col min="7684" max="7694" width="13.42578125" style="1174" customWidth="1"/>
    <col min="7695" max="7695" width="1.42578125" style="1174" customWidth="1"/>
    <col min="7696" max="7696" width="7.7109375" style="1174" customWidth="1"/>
    <col min="7697" max="7697" width="1.42578125" style="1174" customWidth="1"/>
    <col min="7698" max="7698" width="8.85546875" style="1174" customWidth="1"/>
    <col min="7699" max="7699" width="17.42578125" style="1174" customWidth="1"/>
    <col min="7700" max="7700" width="22.7109375" style="1174" customWidth="1"/>
    <col min="7701" max="7894" width="12" style="1174" customWidth="1"/>
    <col min="7895" max="7938" width="0.42578125" style="1174"/>
    <col min="7939" max="7939" width="8.85546875" style="1174" customWidth="1"/>
    <col min="7940" max="7950" width="13.42578125" style="1174" customWidth="1"/>
    <col min="7951" max="7951" width="1.42578125" style="1174" customWidth="1"/>
    <col min="7952" max="7952" width="7.7109375" style="1174" customWidth="1"/>
    <col min="7953" max="7953" width="1.42578125" style="1174" customWidth="1"/>
    <col min="7954" max="7954" width="8.85546875" style="1174" customWidth="1"/>
    <col min="7955" max="7955" width="17.42578125" style="1174" customWidth="1"/>
    <col min="7956" max="7956" width="22.7109375" style="1174" customWidth="1"/>
    <col min="7957" max="8150" width="12" style="1174" customWidth="1"/>
    <col min="8151" max="8194" width="0.42578125" style="1174"/>
    <col min="8195" max="8195" width="8.85546875" style="1174" customWidth="1"/>
    <col min="8196" max="8206" width="13.42578125" style="1174" customWidth="1"/>
    <col min="8207" max="8207" width="1.42578125" style="1174" customWidth="1"/>
    <col min="8208" max="8208" width="7.7109375" style="1174" customWidth="1"/>
    <col min="8209" max="8209" width="1.42578125" style="1174" customWidth="1"/>
    <col min="8210" max="8210" width="8.85546875" style="1174" customWidth="1"/>
    <col min="8211" max="8211" width="17.42578125" style="1174" customWidth="1"/>
    <col min="8212" max="8212" width="22.7109375" style="1174" customWidth="1"/>
    <col min="8213" max="8406" width="12" style="1174" customWidth="1"/>
    <col min="8407" max="8450" width="0.42578125" style="1174"/>
    <col min="8451" max="8451" width="8.85546875" style="1174" customWidth="1"/>
    <col min="8452" max="8462" width="13.42578125" style="1174" customWidth="1"/>
    <col min="8463" max="8463" width="1.42578125" style="1174" customWidth="1"/>
    <col min="8464" max="8464" width="7.7109375" style="1174" customWidth="1"/>
    <col min="8465" max="8465" width="1.42578125" style="1174" customWidth="1"/>
    <col min="8466" max="8466" width="8.85546875" style="1174" customWidth="1"/>
    <col min="8467" max="8467" width="17.42578125" style="1174" customWidth="1"/>
    <col min="8468" max="8468" width="22.7109375" style="1174" customWidth="1"/>
    <col min="8469" max="8662" width="12" style="1174" customWidth="1"/>
    <col min="8663" max="8706" width="0.42578125" style="1174"/>
    <col min="8707" max="8707" width="8.85546875" style="1174" customWidth="1"/>
    <col min="8708" max="8718" width="13.42578125" style="1174" customWidth="1"/>
    <col min="8719" max="8719" width="1.42578125" style="1174" customWidth="1"/>
    <col min="8720" max="8720" width="7.7109375" style="1174" customWidth="1"/>
    <col min="8721" max="8721" width="1.42578125" style="1174" customWidth="1"/>
    <col min="8722" max="8722" width="8.85546875" style="1174" customWidth="1"/>
    <col min="8723" max="8723" width="17.42578125" style="1174" customWidth="1"/>
    <col min="8724" max="8724" width="22.7109375" style="1174" customWidth="1"/>
    <col min="8725" max="8918" width="12" style="1174" customWidth="1"/>
    <col min="8919" max="8962" width="0.42578125" style="1174"/>
    <col min="8963" max="8963" width="8.85546875" style="1174" customWidth="1"/>
    <col min="8964" max="8974" width="13.42578125" style="1174" customWidth="1"/>
    <col min="8975" max="8975" width="1.42578125" style="1174" customWidth="1"/>
    <col min="8976" max="8976" width="7.7109375" style="1174" customWidth="1"/>
    <col min="8977" max="8977" width="1.42578125" style="1174" customWidth="1"/>
    <col min="8978" max="8978" width="8.85546875" style="1174" customWidth="1"/>
    <col min="8979" max="8979" width="17.42578125" style="1174" customWidth="1"/>
    <col min="8980" max="8980" width="22.7109375" style="1174" customWidth="1"/>
    <col min="8981" max="9174" width="12" style="1174" customWidth="1"/>
    <col min="9175" max="9218" width="0.42578125" style="1174"/>
    <col min="9219" max="9219" width="8.85546875" style="1174" customWidth="1"/>
    <col min="9220" max="9230" width="13.42578125" style="1174" customWidth="1"/>
    <col min="9231" max="9231" width="1.42578125" style="1174" customWidth="1"/>
    <col min="9232" max="9232" width="7.7109375" style="1174" customWidth="1"/>
    <col min="9233" max="9233" width="1.42578125" style="1174" customWidth="1"/>
    <col min="9234" max="9234" width="8.85546875" style="1174" customWidth="1"/>
    <col min="9235" max="9235" width="17.42578125" style="1174" customWidth="1"/>
    <col min="9236" max="9236" width="22.7109375" style="1174" customWidth="1"/>
    <col min="9237" max="9430" width="12" style="1174" customWidth="1"/>
    <col min="9431" max="9474" width="0.42578125" style="1174"/>
    <col min="9475" max="9475" width="8.85546875" style="1174" customWidth="1"/>
    <col min="9476" max="9486" width="13.42578125" style="1174" customWidth="1"/>
    <col min="9487" max="9487" width="1.42578125" style="1174" customWidth="1"/>
    <col min="9488" max="9488" width="7.7109375" style="1174" customWidth="1"/>
    <col min="9489" max="9489" width="1.42578125" style="1174" customWidth="1"/>
    <col min="9490" max="9490" width="8.85546875" style="1174" customWidth="1"/>
    <col min="9491" max="9491" width="17.42578125" style="1174" customWidth="1"/>
    <col min="9492" max="9492" width="22.7109375" style="1174" customWidth="1"/>
    <col min="9493" max="9686" width="12" style="1174" customWidth="1"/>
    <col min="9687" max="9730" width="0.42578125" style="1174"/>
    <col min="9731" max="9731" width="8.85546875" style="1174" customWidth="1"/>
    <col min="9732" max="9742" width="13.42578125" style="1174" customWidth="1"/>
    <col min="9743" max="9743" width="1.42578125" style="1174" customWidth="1"/>
    <col min="9744" max="9744" width="7.7109375" style="1174" customWidth="1"/>
    <col min="9745" max="9745" width="1.42578125" style="1174" customWidth="1"/>
    <col min="9746" max="9746" width="8.85546875" style="1174" customWidth="1"/>
    <col min="9747" max="9747" width="17.42578125" style="1174" customWidth="1"/>
    <col min="9748" max="9748" width="22.7109375" style="1174" customWidth="1"/>
    <col min="9749" max="9942" width="12" style="1174" customWidth="1"/>
    <col min="9943" max="9986" width="0.42578125" style="1174"/>
    <col min="9987" max="9987" width="8.85546875" style="1174" customWidth="1"/>
    <col min="9988" max="9998" width="13.42578125" style="1174" customWidth="1"/>
    <col min="9999" max="9999" width="1.42578125" style="1174" customWidth="1"/>
    <col min="10000" max="10000" width="7.7109375" style="1174" customWidth="1"/>
    <col min="10001" max="10001" width="1.42578125" style="1174" customWidth="1"/>
    <col min="10002" max="10002" width="8.85546875" style="1174" customWidth="1"/>
    <col min="10003" max="10003" width="17.42578125" style="1174" customWidth="1"/>
    <col min="10004" max="10004" width="22.7109375" style="1174" customWidth="1"/>
    <col min="10005" max="10198" width="12" style="1174" customWidth="1"/>
    <col min="10199" max="10242" width="0.42578125" style="1174"/>
    <col min="10243" max="10243" width="8.85546875" style="1174" customWidth="1"/>
    <col min="10244" max="10254" width="13.42578125" style="1174" customWidth="1"/>
    <col min="10255" max="10255" width="1.42578125" style="1174" customWidth="1"/>
    <col min="10256" max="10256" width="7.7109375" style="1174" customWidth="1"/>
    <col min="10257" max="10257" width="1.42578125" style="1174" customWidth="1"/>
    <col min="10258" max="10258" width="8.85546875" style="1174" customWidth="1"/>
    <col min="10259" max="10259" width="17.42578125" style="1174" customWidth="1"/>
    <col min="10260" max="10260" width="22.7109375" style="1174" customWidth="1"/>
    <col min="10261" max="10454" width="12" style="1174" customWidth="1"/>
    <col min="10455" max="10498" width="0.42578125" style="1174"/>
    <col min="10499" max="10499" width="8.85546875" style="1174" customWidth="1"/>
    <col min="10500" max="10510" width="13.42578125" style="1174" customWidth="1"/>
    <col min="10511" max="10511" width="1.42578125" style="1174" customWidth="1"/>
    <col min="10512" max="10512" width="7.7109375" style="1174" customWidth="1"/>
    <col min="10513" max="10513" width="1.42578125" style="1174" customWidth="1"/>
    <col min="10514" max="10514" width="8.85546875" style="1174" customWidth="1"/>
    <col min="10515" max="10515" width="17.42578125" style="1174" customWidth="1"/>
    <col min="10516" max="10516" width="22.7109375" style="1174" customWidth="1"/>
    <col min="10517" max="10710" width="12" style="1174" customWidth="1"/>
    <col min="10711" max="10754" width="0.42578125" style="1174"/>
    <col min="10755" max="10755" width="8.85546875" style="1174" customWidth="1"/>
    <col min="10756" max="10766" width="13.42578125" style="1174" customWidth="1"/>
    <col min="10767" max="10767" width="1.42578125" style="1174" customWidth="1"/>
    <col min="10768" max="10768" width="7.7109375" style="1174" customWidth="1"/>
    <col min="10769" max="10769" width="1.42578125" style="1174" customWidth="1"/>
    <col min="10770" max="10770" width="8.85546875" style="1174" customWidth="1"/>
    <col min="10771" max="10771" width="17.42578125" style="1174" customWidth="1"/>
    <col min="10772" max="10772" width="22.7109375" style="1174" customWidth="1"/>
    <col min="10773" max="10966" width="12" style="1174" customWidth="1"/>
    <col min="10967" max="11010" width="0.42578125" style="1174"/>
    <col min="11011" max="11011" width="8.85546875" style="1174" customWidth="1"/>
    <col min="11012" max="11022" width="13.42578125" style="1174" customWidth="1"/>
    <col min="11023" max="11023" width="1.42578125" style="1174" customWidth="1"/>
    <col min="11024" max="11024" width="7.7109375" style="1174" customWidth="1"/>
    <col min="11025" max="11025" width="1.42578125" style="1174" customWidth="1"/>
    <col min="11026" max="11026" width="8.85546875" style="1174" customWidth="1"/>
    <col min="11027" max="11027" width="17.42578125" style="1174" customWidth="1"/>
    <col min="11028" max="11028" width="22.7109375" style="1174" customWidth="1"/>
    <col min="11029" max="11222" width="12" style="1174" customWidth="1"/>
    <col min="11223" max="11266" width="0.42578125" style="1174"/>
    <col min="11267" max="11267" width="8.85546875" style="1174" customWidth="1"/>
    <col min="11268" max="11278" width="13.42578125" style="1174" customWidth="1"/>
    <col min="11279" max="11279" width="1.42578125" style="1174" customWidth="1"/>
    <col min="11280" max="11280" width="7.7109375" style="1174" customWidth="1"/>
    <col min="11281" max="11281" width="1.42578125" style="1174" customWidth="1"/>
    <col min="11282" max="11282" width="8.85546875" style="1174" customWidth="1"/>
    <col min="11283" max="11283" width="17.42578125" style="1174" customWidth="1"/>
    <col min="11284" max="11284" width="22.7109375" style="1174" customWidth="1"/>
    <col min="11285" max="11478" width="12" style="1174" customWidth="1"/>
    <col min="11479" max="11522" width="0.42578125" style="1174"/>
    <col min="11523" max="11523" width="8.85546875" style="1174" customWidth="1"/>
    <col min="11524" max="11534" width="13.42578125" style="1174" customWidth="1"/>
    <col min="11535" max="11535" width="1.42578125" style="1174" customWidth="1"/>
    <col min="11536" max="11536" width="7.7109375" style="1174" customWidth="1"/>
    <col min="11537" max="11537" width="1.42578125" style="1174" customWidth="1"/>
    <col min="11538" max="11538" width="8.85546875" style="1174" customWidth="1"/>
    <col min="11539" max="11539" width="17.42578125" style="1174" customWidth="1"/>
    <col min="11540" max="11540" width="22.7109375" style="1174" customWidth="1"/>
    <col min="11541" max="11734" width="12" style="1174" customWidth="1"/>
    <col min="11735" max="11778" width="0.42578125" style="1174"/>
    <col min="11779" max="11779" width="8.85546875" style="1174" customWidth="1"/>
    <col min="11780" max="11790" width="13.42578125" style="1174" customWidth="1"/>
    <col min="11791" max="11791" width="1.42578125" style="1174" customWidth="1"/>
    <col min="11792" max="11792" width="7.7109375" style="1174" customWidth="1"/>
    <col min="11793" max="11793" width="1.42578125" style="1174" customWidth="1"/>
    <col min="11794" max="11794" width="8.85546875" style="1174" customWidth="1"/>
    <col min="11795" max="11795" width="17.42578125" style="1174" customWidth="1"/>
    <col min="11796" max="11796" width="22.7109375" style="1174" customWidth="1"/>
    <col min="11797" max="11990" width="12" style="1174" customWidth="1"/>
    <col min="11991" max="12034" width="0.42578125" style="1174"/>
    <col min="12035" max="12035" width="8.85546875" style="1174" customWidth="1"/>
    <col min="12036" max="12046" width="13.42578125" style="1174" customWidth="1"/>
    <col min="12047" max="12047" width="1.42578125" style="1174" customWidth="1"/>
    <col min="12048" max="12048" width="7.7109375" style="1174" customWidth="1"/>
    <col min="12049" max="12049" width="1.42578125" style="1174" customWidth="1"/>
    <col min="12050" max="12050" width="8.85546875" style="1174" customWidth="1"/>
    <col min="12051" max="12051" width="17.42578125" style="1174" customWidth="1"/>
    <col min="12052" max="12052" width="22.7109375" style="1174" customWidth="1"/>
    <col min="12053" max="12246" width="12" style="1174" customWidth="1"/>
    <col min="12247" max="12290" width="0.42578125" style="1174"/>
    <col min="12291" max="12291" width="8.85546875" style="1174" customWidth="1"/>
    <col min="12292" max="12302" width="13.42578125" style="1174" customWidth="1"/>
    <col min="12303" max="12303" width="1.42578125" style="1174" customWidth="1"/>
    <col min="12304" max="12304" width="7.7109375" style="1174" customWidth="1"/>
    <col min="12305" max="12305" width="1.42578125" style="1174" customWidth="1"/>
    <col min="12306" max="12306" width="8.85546875" style="1174" customWidth="1"/>
    <col min="12307" max="12307" width="17.42578125" style="1174" customWidth="1"/>
    <col min="12308" max="12308" width="22.7109375" style="1174" customWidth="1"/>
    <col min="12309" max="12502" width="12" style="1174" customWidth="1"/>
    <col min="12503" max="12546" width="0.42578125" style="1174"/>
    <col min="12547" max="12547" width="8.85546875" style="1174" customWidth="1"/>
    <col min="12548" max="12558" width="13.42578125" style="1174" customWidth="1"/>
    <col min="12559" max="12559" width="1.42578125" style="1174" customWidth="1"/>
    <col min="12560" max="12560" width="7.7109375" style="1174" customWidth="1"/>
    <col min="12561" max="12561" width="1.42578125" style="1174" customWidth="1"/>
    <col min="12562" max="12562" width="8.85546875" style="1174" customWidth="1"/>
    <col min="12563" max="12563" width="17.42578125" style="1174" customWidth="1"/>
    <col min="12564" max="12564" width="22.7109375" style="1174" customWidth="1"/>
    <col min="12565" max="12758" width="12" style="1174" customWidth="1"/>
    <col min="12759" max="12802" width="0.42578125" style="1174"/>
    <col min="12803" max="12803" width="8.85546875" style="1174" customWidth="1"/>
    <col min="12804" max="12814" width="13.42578125" style="1174" customWidth="1"/>
    <col min="12815" max="12815" width="1.42578125" style="1174" customWidth="1"/>
    <col min="12816" max="12816" width="7.7109375" style="1174" customWidth="1"/>
    <col min="12817" max="12817" width="1.42578125" style="1174" customWidth="1"/>
    <col min="12818" max="12818" width="8.85546875" style="1174" customWidth="1"/>
    <col min="12819" max="12819" width="17.42578125" style="1174" customWidth="1"/>
    <col min="12820" max="12820" width="22.7109375" style="1174" customWidth="1"/>
    <col min="12821" max="13014" width="12" style="1174" customWidth="1"/>
    <col min="13015" max="13058" width="0.42578125" style="1174"/>
    <col min="13059" max="13059" width="8.85546875" style="1174" customWidth="1"/>
    <col min="13060" max="13070" width="13.42578125" style="1174" customWidth="1"/>
    <col min="13071" max="13071" width="1.42578125" style="1174" customWidth="1"/>
    <col min="13072" max="13072" width="7.7109375" style="1174" customWidth="1"/>
    <col min="13073" max="13073" width="1.42578125" style="1174" customWidth="1"/>
    <col min="13074" max="13074" width="8.85546875" style="1174" customWidth="1"/>
    <col min="13075" max="13075" width="17.42578125" style="1174" customWidth="1"/>
    <col min="13076" max="13076" width="22.7109375" style="1174" customWidth="1"/>
    <col min="13077" max="13270" width="12" style="1174" customWidth="1"/>
    <col min="13271" max="13314" width="0.42578125" style="1174"/>
    <col min="13315" max="13315" width="8.85546875" style="1174" customWidth="1"/>
    <col min="13316" max="13326" width="13.42578125" style="1174" customWidth="1"/>
    <col min="13327" max="13327" width="1.42578125" style="1174" customWidth="1"/>
    <col min="13328" max="13328" width="7.7109375" style="1174" customWidth="1"/>
    <col min="13329" max="13329" width="1.42578125" style="1174" customWidth="1"/>
    <col min="13330" max="13330" width="8.85546875" style="1174" customWidth="1"/>
    <col min="13331" max="13331" width="17.42578125" style="1174" customWidth="1"/>
    <col min="13332" max="13332" width="22.7109375" style="1174" customWidth="1"/>
    <col min="13333" max="13526" width="12" style="1174" customWidth="1"/>
    <col min="13527" max="13570" width="0.42578125" style="1174"/>
    <col min="13571" max="13571" width="8.85546875" style="1174" customWidth="1"/>
    <col min="13572" max="13582" width="13.42578125" style="1174" customWidth="1"/>
    <col min="13583" max="13583" width="1.42578125" style="1174" customWidth="1"/>
    <col min="13584" max="13584" width="7.7109375" style="1174" customWidth="1"/>
    <col min="13585" max="13585" width="1.42578125" style="1174" customWidth="1"/>
    <col min="13586" max="13586" width="8.85546875" style="1174" customWidth="1"/>
    <col min="13587" max="13587" width="17.42578125" style="1174" customWidth="1"/>
    <col min="13588" max="13588" width="22.7109375" style="1174" customWidth="1"/>
    <col min="13589" max="13782" width="12" style="1174" customWidth="1"/>
    <col min="13783" max="13826" width="0.42578125" style="1174"/>
    <col min="13827" max="13827" width="8.85546875" style="1174" customWidth="1"/>
    <col min="13828" max="13838" width="13.42578125" style="1174" customWidth="1"/>
    <col min="13839" max="13839" width="1.42578125" style="1174" customWidth="1"/>
    <col min="13840" max="13840" width="7.7109375" style="1174" customWidth="1"/>
    <col min="13841" max="13841" width="1.42578125" style="1174" customWidth="1"/>
    <col min="13842" max="13842" width="8.85546875" style="1174" customWidth="1"/>
    <col min="13843" max="13843" width="17.42578125" style="1174" customWidth="1"/>
    <col min="13844" max="13844" width="22.7109375" style="1174" customWidth="1"/>
    <col min="13845" max="14038" width="12" style="1174" customWidth="1"/>
    <col min="14039" max="14082" width="0.42578125" style="1174"/>
    <col min="14083" max="14083" width="8.85546875" style="1174" customWidth="1"/>
    <col min="14084" max="14094" width="13.42578125" style="1174" customWidth="1"/>
    <col min="14095" max="14095" width="1.42578125" style="1174" customWidth="1"/>
    <col min="14096" max="14096" width="7.7109375" style="1174" customWidth="1"/>
    <col min="14097" max="14097" width="1.42578125" style="1174" customWidth="1"/>
    <col min="14098" max="14098" width="8.85546875" style="1174" customWidth="1"/>
    <col min="14099" max="14099" width="17.42578125" style="1174" customWidth="1"/>
    <col min="14100" max="14100" width="22.7109375" style="1174" customWidth="1"/>
    <col min="14101" max="14294" width="12" style="1174" customWidth="1"/>
    <col min="14295" max="14338" width="0.42578125" style="1174"/>
    <col min="14339" max="14339" width="8.85546875" style="1174" customWidth="1"/>
    <col min="14340" max="14350" width="13.42578125" style="1174" customWidth="1"/>
    <col min="14351" max="14351" width="1.42578125" style="1174" customWidth="1"/>
    <col min="14352" max="14352" width="7.7109375" style="1174" customWidth="1"/>
    <col min="14353" max="14353" width="1.42578125" style="1174" customWidth="1"/>
    <col min="14354" max="14354" width="8.85546875" style="1174" customWidth="1"/>
    <col min="14355" max="14355" width="17.42578125" style="1174" customWidth="1"/>
    <col min="14356" max="14356" width="22.7109375" style="1174" customWidth="1"/>
    <col min="14357" max="14550" width="12" style="1174" customWidth="1"/>
    <col min="14551" max="14594" width="0.42578125" style="1174"/>
    <col min="14595" max="14595" width="8.85546875" style="1174" customWidth="1"/>
    <col min="14596" max="14606" width="13.42578125" style="1174" customWidth="1"/>
    <col min="14607" max="14607" width="1.42578125" style="1174" customWidth="1"/>
    <col min="14608" max="14608" width="7.7109375" style="1174" customWidth="1"/>
    <col min="14609" max="14609" width="1.42578125" style="1174" customWidth="1"/>
    <col min="14610" max="14610" width="8.85546875" style="1174" customWidth="1"/>
    <col min="14611" max="14611" width="17.42578125" style="1174" customWidth="1"/>
    <col min="14612" max="14612" width="22.7109375" style="1174" customWidth="1"/>
    <col min="14613" max="14806" width="12" style="1174" customWidth="1"/>
    <col min="14807" max="14850" width="0.42578125" style="1174"/>
    <col min="14851" max="14851" width="8.85546875" style="1174" customWidth="1"/>
    <col min="14852" max="14862" width="13.42578125" style="1174" customWidth="1"/>
    <col min="14863" max="14863" width="1.42578125" style="1174" customWidth="1"/>
    <col min="14864" max="14864" width="7.7109375" style="1174" customWidth="1"/>
    <col min="14865" max="14865" width="1.42578125" style="1174" customWidth="1"/>
    <col min="14866" max="14866" width="8.85546875" style="1174" customWidth="1"/>
    <col min="14867" max="14867" width="17.42578125" style="1174" customWidth="1"/>
    <col min="14868" max="14868" width="22.7109375" style="1174" customWidth="1"/>
    <col min="14869" max="15062" width="12" style="1174" customWidth="1"/>
    <col min="15063" max="15106" width="0.42578125" style="1174"/>
    <col min="15107" max="15107" width="8.85546875" style="1174" customWidth="1"/>
    <col min="15108" max="15118" width="13.42578125" style="1174" customWidth="1"/>
    <col min="15119" max="15119" width="1.42578125" style="1174" customWidth="1"/>
    <col min="15120" max="15120" width="7.7109375" style="1174" customWidth="1"/>
    <col min="15121" max="15121" width="1.42578125" style="1174" customWidth="1"/>
    <col min="15122" max="15122" width="8.85546875" style="1174" customWidth="1"/>
    <col min="15123" max="15123" width="17.42578125" style="1174" customWidth="1"/>
    <col min="15124" max="15124" width="22.7109375" style="1174" customWidth="1"/>
    <col min="15125" max="15318" width="12" style="1174" customWidth="1"/>
    <col min="15319" max="15362" width="0.42578125" style="1174"/>
    <col min="15363" max="15363" width="8.85546875" style="1174" customWidth="1"/>
    <col min="15364" max="15374" width="13.42578125" style="1174" customWidth="1"/>
    <col min="15375" max="15375" width="1.42578125" style="1174" customWidth="1"/>
    <col min="15376" max="15376" width="7.7109375" style="1174" customWidth="1"/>
    <col min="15377" max="15377" width="1.42578125" style="1174" customWidth="1"/>
    <col min="15378" max="15378" width="8.85546875" style="1174" customWidth="1"/>
    <col min="15379" max="15379" width="17.42578125" style="1174" customWidth="1"/>
    <col min="15380" max="15380" width="22.7109375" style="1174" customWidth="1"/>
    <col min="15381" max="15574" width="12" style="1174" customWidth="1"/>
    <col min="15575" max="15618" width="0.42578125" style="1174"/>
    <col min="15619" max="15619" width="8.85546875" style="1174" customWidth="1"/>
    <col min="15620" max="15630" width="13.42578125" style="1174" customWidth="1"/>
    <col min="15631" max="15631" width="1.42578125" style="1174" customWidth="1"/>
    <col min="15632" max="15632" width="7.7109375" style="1174" customWidth="1"/>
    <col min="15633" max="15633" width="1.42578125" style="1174" customWidth="1"/>
    <col min="15634" max="15634" width="8.85546875" style="1174" customWidth="1"/>
    <col min="15635" max="15635" width="17.42578125" style="1174" customWidth="1"/>
    <col min="15636" max="15636" width="22.7109375" style="1174" customWidth="1"/>
    <col min="15637" max="15830" width="12" style="1174" customWidth="1"/>
    <col min="15831" max="15874" width="0.42578125" style="1174"/>
    <col min="15875" max="15875" width="8.85546875" style="1174" customWidth="1"/>
    <col min="15876" max="15886" width="13.42578125" style="1174" customWidth="1"/>
    <col min="15887" max="15887" width="1.42578125" style="1174" customWidth="1"/>
    <col min="15888" max="15888" width="7.7109375" style="1174" customWidth="1"/>
    <col min="15889" max="15889" width="1.42578125" style="1174" customWidth="1"/>
    <col min="15890" max="15890" width="8.85546875" style="1174" customWidth="1"/>
    <col min="15891" max="15891" width="17.42578125" style="1174" customWidth="1"/>
    <col min="15892" max="15892" width="22.7109375" style="1174" customWidth="1"/>
    <col min="15893" max="16086" width="12" style="1174" customWidth="1"/>
    <col min="16087" max="16130" width="0.42578125" style="1174"/>
    <col min="16131" max="16131" width="8.85546875" style="1174" customWidth="1"/>
    <col min="16132" max="16142" width="13.42578125" style="1174" customWidth="1"/>
    <col min="16143" max="16143" width="1.42578125" style="1174" customWidth="1"/>
    <col min="16144" max="16144" width="7.7109375" style="1174" customWidth="1"/>
    <col min="16145" max="16145" width="1.42578125" style="1174" customWidth="1"/>
    <col min="16146" max="16146" width="8.85546875" style="1174" customWidth="1"/>
    <col min="16147" max="16147" width="17.42578125" style="1174" customWidth="1"/>
    <col min="16148" max="16148" width="22.7109375" style="1174" customWidth="1"/>
    <col min="16149" max="16342" width="12" style="1174" customWidth="1"/>
    <col min="16343" max="16384" width="0.42578125" style="1174"/>
  </cols>
  <sheetData>
    <row r="1" spans="3:17" ht="28.35" customHeight="1">
      <c r="C1" s="1801"/>
      <c r="K1" s="2724"/>
      <c r="L1" s="2724"/>
    </row>
    <row r="2" spans="3:17" ht="28.35" customHeight="1">
      <c r="C2" s="1809"/>
      <c r="D2" s="3209"/>
      <c r="E2" s="3209"/>
      <c r="F2" s="3209"/>
      <c r="G2" s="3209"/>
      <c r="H2" s="2495"/>
      <c r="I2" s="2724"/>
      <c r="K2" s="2724"/>
      <c r="L2" s="3172"/>
    </row>
    <row r="3" spans="3:17" s="1845" customFormat="1" ht="28.35" customHeight="1">
      <c r="D3" s="4895" t="s">
        <v>1477</v>
      </c>
      <c r="E3" s="4895"/>
      <c r="F3" s="4895"/>
      <c r="G3" s="4895"/>
      <c r="H3" s="4895"/>
      <c r="I3" s="4895"/>
      <c r="J3" s="4895"/>
      <c r="K3" s="4895"/>
      <c r="L3" s="4895"/>
      <c r="M3" s="4895"/>
      <c r="N3" s="4895"/>
      <c r="O3" s="4895"/>
      <c r="P3" s="4895"/>
      <c r="Q3" s="4895"/>
    </row>
    <row r="4" spans="3:17" s="2498" customFormat="1" ht="28.35" customHeight="1">
      <c r="D4" s="4944" t="s">
        <v>1478</v>
      </c>
      <c r="E4" s="4944"/>
      <c r="F4" s="4944"/>
      <c r="G4" s="4944"/>
      <c r="H4" s="4944"/>
      <c r="I4" s="4944"/>
      <c r="J4" s="4944"/>
      <c r="K4" s="4944"/>
      <c r="L4" s="4944"/>
      <c r="M4" s="4944"/>
      <c r="N4" s="4944"/>
      <c r="O4" s="4944"/>
      <c r="P4" s="4944"/>
      <c r="Q4" s="4944"/>
    </row>
    <row r="5" spans="3:17" s="1857" customFormat="1" ht="17.100000000000001" customHeight="1">
      <c r="C5" s="3363"/>
      <c r="D5" s="3213" t="s">
        <v>1306</v>
      </c>
      <c r="E5" s="2159"/>
      <c r="F5" s="2159"/>
      <c r="G5" s="2159"/>
      <c r="H5" s="1838"/>
      <c r="I5" s="1318"/>
      <c r="J5" s="1318"/>
      <c r="K5" s="1318"/>
      <c r="L5" s="1318"/>
      <c r="M5" s="1318"/>
      <c r="N5" s="1318"/>
      <c r="O5" s="1318"/>
      <c r="P5" s="1318"/>
      <c r="Q5" s="2279" t="s">
        <v>1343</v>
      </c>
    </row>
    <row r="6" spans="3:17" s="1857" customFormat="1" ht="4.3499999999999996" customHeight="1">
      <c r="C6" s="3363"/>
      <c r="D6" s="3364"/>
      <c r="E6" s="3364"/>
      <c r="F6" s="2159"/>
      <c r="G6" s="2159"/>
      <c r="H6" s="1838"/>
      <c r="I6" s="1318"/>
      <c r="J6" s="1318"/>
      <c r="K6" s="1318"/>
      <c r="L6" s="1318"/>
      <c r="M6" s="1318"/>
      <c r="N6" s="1318"/>
      <c r="O6" s="1318"/>
      <c r="P6" s="1318"/>
      <c r="Q6" s="2544"/>
    </row>
    <row r="7" spans="3:17" s="1801" customFormat="1" ht="5.25" customHeight="1">
      <c r="D7" s="2506"/>
      <c r="E7" s="2589"/>
      <c r="F7" s="2589"/>
      <c r="G7" s="2589"/>
      <c r="H7" s="2589"/>
      <c r="I7" s="2589"/>
      <c r="J7" s="2589"/>
      <c r="K7" s="2589"/>
      <c r="L7" s="2589"/>
      <c r="M7" s="2589"/>
      <c r="N7" s="1329"/>
      <c r="O7" s="1992"/>
      <c r="P7" s="1992"/>
      <c r="Q7" s="2133"/>
    </row>
    <row r="8" spans="3:17" s="1801" customFormat="1" ht="21.95" customHeight="1">
      <c r="D8" s="2316"/>
      <c r="E8" s="1235"/>
      <c r="F8" s="1235"/>
      <c r="G8" s="2271" t="s">
        <v>1371</v>
      </c>
      <c r="H8" s="1235"/>
      <c r="I8" s="1235"/>
      <c r="J8" s="2271" t="s">
        <v>1372</v>
      </c>
      <c r="K8" s="1235"/>
      <c r="L8" s="1235"/>
      <c r="M8" s="1235"/>
      <c r="N8" s="1235"/>
      <c r="O8" s="1283"/>
      <c r="P8" s="1283"/>
      <c r="Q8" s="1294"/>
    </row>
    <row r="9" spans="3:17" s="1801" customFormat="1" ht="21.95" customHeight="1">
      <c r="C9" s="1804"/>
      <c r="D9" s="2513"/>
      <c r="E9" s="1235"/>
      <c r="F9" s="1235"/>
      <c r="G9" s="2271" t="s">
        <v>1373</v>
      </c>
      <c r="H9" s="1235"/>
      <c r="I9" s="2271" t="s">
        <v>1374</v>
      </c>
      <c r="J9" s="2271" t="s">
        <v>1375</v>
      </c>
      <c r="K9" s="2271" t="s">
        <v>1376</v>
      </c>
      <c r="L9" s="1235"/>
      <c r="M9" s="2271" t="s">
        <v>1317</v>
      </c>
      <c r="N9" s="1235"/>
      <c r="O9" s="1283"/>
      <c r="P9" s="1283"/>
      <c r="Q9" s="1294"/>
    </row>
    <row r="10" spans="3:17" s="1801" customFormat="1" ht="21.95" customHeight="1">
      <c r="C10" s="3344"/>
      <c r="D10" s="2513"/>
      <c r="E10" s="2271"/>
      <c r="F10" s="2271" t="s">
        <v>1348</v>
      </c>
      <c r="G10" s="2271" t="s">
        <v>1377</v>
      </c>
      <c r="H10" s="2271"/>
      <c r="I10" s="2271" t="s">
        <v>1378</v>
      </c>
      <c r="J10" s="2271" t="s">
        <v>1379</v>
      </c>
      <c r="K10" s="2271" t="s">
        <v>1380</v>
      </c>
      <c r="L10" s="2271"/>
      <c r="M10" s="2271" t="s">
        <v>1381</v>
      </c>
      <c r="N10" s="3365"/>
      <c r="O10" s="1283"/>
      <c r="P10" s="1283"/>
      <c r="Q10" s="1294"/>
    </row>
    <row r="11" spans="3:17" s="1801" customFormat="1" ht="21.95" customHeight="1">
      <c r="C11" s="3366"/>
      <c r="D11" s="2513"/>
      <c r="E11" s="2271" t="s">
        <v>1382</v>
      </c>
      <c r="F11" s="2271" t="s">
        <v>1349</v>
      </c>
      <c r="G11" s="2271" t="s">
        <v>1383</v>
      </c>
      <c r="H11" s="2271" t="s">
        <v>1317</v>
      </c>
      <c r="I11" s="2271" t="s">
        <v>1384</v>
      </c>
      <c r="J11" s="2271" t="s">
        <v>1375</v>
      </c>
      <c r="K11" s="2271" t="s">
        <v>1385</v>
      </c>
      <c r="L11" s="2271" t="s">
        <v>1386</v>
      </c>
      <c r="M11" s="2271" t="s">
        <v>1387</v>
      </c>
      <c r="N11" s="1249" t="s">
        <v>170</v>
      </c>
      <c r="O11" s="1283"/>
      <c r="P11" s="1283"/>
      <c r="Q11" s="1294"/>
    </row>
    <row r="12" spans="3:17" s="1801" customFormat="1" ht="21.95" customHeight="1">
      <c r="C12" s="3366"/>
      <c r="D12" s="2513" t="s">
        <v>330</v>
      </c>
      <c r="E12" s="2271" t="s">
        <v>1388</v>
      </c>
      <c r="F12" s="2271" t="s">
        <v>668</v>
      </c>
      <c r="G12" s="2271" t="s">
        <v>1389</v>
      </c>
      <c r="H12" s="2271" t="s">
        <v>1390</v>
      </c>
      <c r="I12" s="2271" t="s">
        <v>1391</v>
      </c>
      <c r="J12" s="2271" t="s">
        <v>1392</v>
      </c>
      <c r="K12" s="2271" t="s">
        <v>1351</v>
      </c>
      <c r="L12" s="2271" t="s">
        <v>1393</v>
      </c>
      <c r="M12" s="2271" t="s">
        <v>1394</v>
      </c>
      <c r="N12" s="1249" t="s">
        <v>395</v>
      </c>
      <c r="O12" s="1283"/>
      <c r="P12" s="2296"/>
      <c r="Q12" s="1294"/>
    </row>
    <row r="13" spans="3:17" s="1801" customFormat="1" ht="21.95" customHeight="1">
      <c r="C13" s="3367"/>
      <c r="D13" s="3341"/>
      <c r="E13" s="3342"/>
      <c r="F13" s="3342"/>
      <c r="G13" s="3342"/>
      <c r="H13" s="3342"/>
      <c r="I13" s="3342"/>
      <c r="J13" s="3342"/>
      <c r="K13" s="3342"/>
      <c r="L13" s="3342"/>
      <c r="M13" s="3342"/>
      <c r="N13" s="2271"/>
      <c r="O13" s="1250"/>
      <c r="P13" s="2296"/>
      <c r="Q13" s="2303"/>
    </row>
    <row r="14" spans="3:17" s="1801" customFormat="1" ht="21.75" customHeight="1">
      <c r="C14" s="3367"/>
      <c r="D14" s="2316"/>
      <c r="E14" s="1235"/>
      <c r="F14" s="1235"/>
      <c r="G14" s="2271" t="s">
        <v>1396</v>
      </c>
      <c r="H14" s="1235"/>
      <c r="I14" s="1235"/>
      <c r="J14" s="2271" t="s">
        <v>1397</v>
      </c>
      <c r="K14" s="2271" t="s">
        <v>1398</v>
      </c>
      <c r="L14" s="1235"/>
      <c r="M14" s="1235"/>
      <c r="N14" s="1235"/>
      <c r="O14" s="1250"/>
      <c r="P14" s="2296"/>
      <c r="Q14" s="2303"/>
    </row>
    <row r="15" spans="3:17" s="1801" customFormat="1" ht="21.95" customHeight="1">
      <c r="C15" s="3367"/>
      <c r="D15" s="2513"/>
      <c r="E15" s="2271" t="s">
        <v>1431</v>
      </c>
      <c r="F15" s="2271" t="s">
        <v>1399</v>
      </c>
      <c r="G15" s="2271" t="s">
        <v>1400</v>
      </c>
      <c r="H15" s="1731"/>
      <c r="I15" s="2271" t="s">
        <v>1401</v>
      </c>
      <c r="J15" s="2271" t="s">
        <v>1402</v>
      </c>
      <c r="K15" s="2271" t="s">
        <v>1403</v>
      </c>
      <c r="L15" s="1235"/>
      <c r="M15" s="2271" t="s">
        <v>1404</v>
      </c>
      <c r="N15" s="1235"/>
      <c r="O15" s="1250"/>
      <c r="P15" s="2296"/>
      <c r="Q15" s="1294"/>
    </row>
    <row r="16" spans="3:17" s="1801" customFormat="1" ht="21.95" customHeight="1">
      <c r="C16" s="3366"/>
      <c r="D16" s="2513"/>
      <c r="E16" s="2271" t="s">
        <v>1432</v>
      </c>
      <c r="F16" s="2271" t="s">
        <v>127</v>
      </c>
      <c r="G16" s="2271" t="s">
        <v>1329</v>
      </c>
      <c r="H16" s="2271"/>
      <c r="I16" s="2271" t="s">
        <v>1406</v>
      </c>
      <c r="J16" s="2271" t="s">
        <v>1407</v>
      </c>
      <c r="K16" s="2271" t="s">
        <v>1408</v>
      </c>
      <c r="L16" s="2271" t="s">
        <v>1409</v>
      </c>
      <c r="M16" s="2271" t="s">
        <v>127</v>
      </c>
      <c r="N16" s="1249"/>
      <c r="O16" s="1250"/>
      <c r="P16" s="1250"/>
      <c r="Q16" s="1294"/>
    </row>
    <row r="17" spans="1:30" s="3217" customFormat="1" ht="21.75" customHeight="1">
      <c r="A17" s="1801"/>
      <c r="B17" s="1801"/>
      <c r="C17" s="3367"/>
      <c r="D17" s="2513"/>
      <c r="E17" s="2271" t="s">
        <v>1433</v>
      </c>
      <c r="F17" s="2271" t="s">
        <v>1411</v>
      </c>
      <c r="G17" s="2271" t="s">
        <v>1412</v>
      </c>
      <c r="H17" s="2271"/>
      <c r="I17" s="2271" t="s">
        <v>1413</v>
      </c>
      <c r="J17" s="2271" t="s">
        <v>1414</v>
      </c>
      <c r="K17" s="2271" t="s">
        <v>1415</v>
      </c>
      <c r="L17" s="2271" t="s">
        <v>127</v>
      </c>
      <c r="M17" s="2271" t="s">
        <v>1416</v>
      </c>
      <c r="N17" s="1249" t="s">
        <v>634</v>
      </c>
      <c r="O17" s="1250"/>
      <c r="P17" s="1283"/>
      <c r="Q17" s="1294"/>
      <c r="R17" s="1801"/>
      <c r="S17" s="1801"/>
      <c r="T17" s="1801"/>
      <c r="U17" s="1801"/>
      <c r="V17" s="1801"/>
      <c r="W17" s="1801"/>
      <c r="X17" s="1801"/>
      <c r="Y17" s="1801"/>
      <c r="Z17" s="1801"/>
      <c r="AA17" s="1801"/>
      <c r="AB17" s="1801"/>
      <c r="AC17" s="1801"/>
      <c r="AD17" s="1801"/>
    </row>
    <row r="18" spans="1:30" ht="22.5" customHeight="1">
      <c r="A18" s="1801"/>
      <c r="B18" s="1801"/>
      <c r="C18" s="3367"/>
      <c r="D18" s="2008" t="s">
        <v>119</v>
      </c>
      <c r="E18" s="1818" t="s">
        <v>1417</v>
      </c>
      <c r="F18" s="1818" t="s">
        <v>1359</v>
      </c>
      <c r="G18" s="1818" t="s">
        <v>1472</v>
      </c>
      <c r="H18" s="1818" t="s">
        <v>1419</v>
      </c>
      <c r="I18" s="1818" t="s">
        <v>1420</v>
      </c>
      <c r="J18" s="1818" t="s">
        <v>1330</v>
      </c>
      <c r="K18" s="1818" t="s">
        <v>1360</v>
      </c>
      <c r="L18" s="1818" t="s">
        <v>1421</v>
      </c>
      <c r="M18" s="1818" t="s">
        <v>1422</v>
      </c>
      <c r="N18" s="2533" t="s">
        <v>187</v>
      </c>
      <c r="O18" s="1375"/>
      <c r="P18" s="1375"/>
      <c r="Q18" s="2123"/>
    </row>
    <row r="19" spans="1:30" s="3357" customFormat="1" ht="30" customHeight="1">
      <c r="A19" s="1801"/>
      <c r="B19" s="1801"/>
      <c r="C19" s="3367"/>
      <c r="D19" s="1492">
        <v>24</v>
      </c>
      <c r="E19" s="1157">
        <v>1858</v>
      </c>
      <c r="F19" s="1157">
        <v>304</v>
      </c>
      <c r="G19" s="1157">
        <v>5500</v>
      </c>
      <c r="H19" s="1157">
        <v>2198</v>
      </c>
      <c r="I19" s="1157">
        <v>305</v>
      </c>
      <c r="J19" s="1157">
        <v>23378</v>
      </c>
      <c r="K19" s="1157">
        <v>1129</v>
      </c>
      <c r="L19" s="1157">
        <v>37</v>
      </c>
      <c r="M19" s="1157">
        <v>11602</v>
      </c>
      <c r="N19" s="1159">
        <f t="shared" ref="N19:N51" si="0">SUM(D19:M19)</f>
        <v>46335</v>
      </c>
      <c r="O19" s="1757"/>
      <c r="P19" s="1757">
        <v>1975</v>
      </c>
      <c r="Q19" s="1506"/>
      <c r="R19" s="1174"/>
      <c r="S19" s="1174"/>
      <c r="T19" s="1174"/>
      <c r="U19" s="1174"/>
      <c r="V19" s="1174"/>
      <c r="W19" s="1174"/>
    </row>
    <row r="20" spans="1:30" ht="30" customHeight="1">
      <c r="A20" s="1801"/>
      <c r="B20" s="1801"/>
      <c r="C20" s="3366"/>
      <c r="D20" s="1515">
        <v>0</v>
      </c>
      <c r="E20" s="1162">
        <v>1309</v>
      </c>
      <c r="F20" s="1162">
        <v>863</v>
      </c>
      <c r="G20" s="1162">
        <v>5012</v>
      </c>
      <c r="H20" s="1162">
        <v>1671</v>
      </c>
      <c r="I20" s="3281">
        <v>169</v>
      </c>
      <c r="J20" s="3281">
        <v>34513</v>
      </c>
      <c r="K20" s="3281">
        <v>2044</v>
      </c>
      <c r="L20" s="3281">
        <v>105</v>
      </c>
      <c r="M20" s="3281">
        <v>15206</v>
      </c>
      <c r="N20" s="1164">
        <f t="shared" si="0"/>
        <v>60892</v>
      </c>
      <c r="O20" s="1473"/>
      <c r="P20" s="1473">
        <v>1976</v>
      </c>
      <c r="Q20" s="1522"/>
    </row>
    <row r="21" spans="1:30" s="3357" customFormat="1" ht="30" customHeight="1">
      <c r="A21" s="1801"/>
      <c r="B21" s="1801"/>
      <c r="C21" s="3368"/>
      <c r="D21" s="1492">
        <v>0</v>
      </c>
      <c r="E21" s="1157">
        <v>1991</v>
      </c>
      <c r="F21" s="1157">
        <v>581</v>
      </c>
      <c r="G21" s="1157">
        <v>9719</v>
      </c>
      <c r="H21" s="1157">
        <v>8614</v>
      </c>
      <c r="I21" s="1157">
        <v>72</v>
      </c>
      <c r="J21" s="1157">
        <v>37133</v>
      </c>
      <c r="K21" s="1157">
        <v>2843</v>
      </c>
      <c r="L21" s="1157">
        <v>127</v>
      </c>
      <c r="M21" s="1157">
        <v>11427</v>
      </c>
      <c r="N21" s="1159">
        <f t="shared" si="0"/>
        <v>72507</v>
      </c>
      <c r="O21" s="1757"/>
      <c r="P21" s="1757">
        <v>1977</v>
      </c>
      <c r="Q21" s="1506"/>
      <c r="R21" s="1174"/>
      <c r="S21" s="1174"/>
      <c r="T21" s="1174"/>
      <c r="U21" s="1174"/>
      <c r="V21" s="1174"/>
      <c r="W21" s="1174"/>
    </row>
    <row r="22" spans="1:30" ht="30" customHeight="1">
      <c r="A22" s="1801"/>
      <c r="B22" s="1801"/>
      <c r="C22" s="1801"/>
      <c r="D22" s="1515">
        <v>0</v>
      </c>
      <c r="E22" s="1162">
        <v>2163</v>
      </c>
      <c r="F22" s="1162">
        <v>996</v>
      </c>
      <c r="G22" s="1162">
        <v>14251</v>
      </c>
      <c r="H22" s="1162">
        <v>3179</v>
      </c>
      <c r="I22" s="3281">
        <v>276</v>
      </c>
      <c r="J22" s="3281">
        <v>43619</v>
      </c>
      <c r="K22" s="3281">
        <v>2821</v>
      </c>
      <c r="L22" s="3281">
        <v>143</v>
      </c>
      <c r="M22" s="3281">
        <v>19129</v>
      </c>
      <c r="N22" s="1164">
        <f t="shared" si="0"/>
        <v>86577</v>
      </c>
      <c r="O22" s="1473"/>
      <c r="P22" s="1473">
        <v>1978</v>
      </c>
      <c r="Q22" s="1522"/>
    </row>
    <row r="23" spans="1:30" s="3357" customFormat="1" ht="30" customHeight="1">
      <c r="A23" s="1801"/>
      <c r="B23" s="1801"/>
      <c r="C23" s="1801"/>
      <c r="D23" s="1492">
        <v>0</v>
      </c>
      <c r="E23" s="1157">
        <v>2382</v>
      </c>
      <c r="F23" s="1157">
        <v>1224</v>
      </c>
      <c r="G23" s="1157">
        <v>13601</v>
      </c>
      <c r="H23" s="1157">
        <v>1908</v>
      </c>
      <c r="I23" s="1157">
        <v>211</v>
      </c>
      <c r="J23" s="1157">
        <v>69365</v>
      </c>
      <c r="K23" s="1157">
        <v>3448</v>
      </c>
      <c r="L23" s="1157">
        <v>148</v>
      </c>
      <c r="M23" s="1157">
        <v>17961</v>
      </c>
      <c r="N23" s="1159">
        <f t="shared" si="0"/>
        <v>110248</v>
      </c>
      <c r="O23" s="1757"/>
      <c r="P23" s="1757">
        <v>1979</v>
      </c>
      <c r="Q23" s="1506"/>
      <c r="R23" s="1174"/>
      <c r="S23" s="3199"/>
      <c r="T23" s="3199"/>
      <c r="U23" s="1174"/>
      <c r="V23" s="1174"/>
      <c r="W23" s="1174"/>
    </row>
    <row r="24" spans="1:30" ht="30" customHeight="1">
      <c r="A24" s="1801"/>
      <c r="B24" s="1801"/>
      <c r="C24" s="1801"/>
      <c r="D24" s="1515">
        <v>0</v>
      </c>
      <c r="E24" s="1162">
        <v>2311</v>
      </c>
      <c r="F24" s="1162">
        <v>1018</v>
      </c>
      <c r="G24" s="1162">
        <v>6910</v>
      </c>
      <c r="H24" s="1162">
        <v>4111</v>
      </c>
      <c r="I24" s="3281">
        <v>1165</v>
      </c>
      <c r="J24" s="3281">
        <v>115144</v>
      </c>
      <c r="K24" s="3281">
        <v>3143</v>
      </c>
      <c r="L24" s="3281">
        <v>181</v>
      </c>
      <c r="M24" s="3281">
        <v>15254</v>
      </c>
      <c r="N24" s="1164">
        <f t="shared" si="0"/>
        <v>149237</v>
      </c>
      <c r="O24" s="1473"/>
      <c r="P24" s="1473">
        <v>1980</v>
      </c>
      <c r="Q24" s="1522"/>
    </row>
    <row r="25" spans="1:30" s="3357" customFormat="1" ht="30" customHeight="1">
      <c r="A25" s="1801"/>
      <c r="B25" s="1801"/>
      <c r="C25" s="1801"/>
      <c r="D25" s="1492">
        <v>25</v>
      </c>
      <c r="E25" s="1157">
        <v>2662</v>
      </c>
      <c r="F25" s="1157">
        <v>944</v>
      </c>
      <c r="G25" s="1157">
        <v>10114</v>
      </c>
      <c r="H25" s="1157">
        <v>2252</v>
      </c>
      <c r="I25" s="1157">
        <v>336</v>
      </c>
      <c r="J25" s="1157">
        <v>175873</v>
      </c>
      <c r="K25" s="1157">
        <v>3690</v>
      </c>
      <c r="L25" s="1157">
        <v>241</v>
      </c>
      <c r="M25" s="1157">
        <v>16929</v>
      </c>
      <c r="N25" s="1159">
        <f t="shared" si="0"/>
        <v>213066</v>
      </c>
      <c r="O25" s="1757"/>
      <c r="P25" s="1757">
        <v>1981</v>
      </c>
      <c r="Q25" s="1506"/>
      <c r="R25" s="1174"/>
      <c r="S25" s="1174"/>
      <c r="T25" s="1174"/>
      <c r="U25" s="1174"/>
      <c r="V25" s="1174"/>
      <c r="W25" s="1174"/>
    </row>
    <row r="26" spans="1:30" ht="30" customHeight="1">
      <c r="A26" s="1801"/>
      <c r="B26" s="1801"/>
      <c r="C26" s="1801"/>
      <c r="D26" s="1515">
        <v>0</v>
      </c>
      <c r="E26" s="1162">
        <v>1695</v>
      </c>
      <c r="F26" s="1162">
        <v>416</v>
      </c>
      <c r="G26" s="1162">
        <v>7242</v>
      </c>
      <c r="H26" s="1162">
        <v>3102</v>
      </c>
      <c r="I26" s="3281">
        <v>1061</v>
      </c>
      <c r="J26" s="3281">
        <v>231923</v>
      </c>
      <c r="K26" s="3281">
        <v>3835</v>
      </c>
      <c r="L26" s="3281">
        <v>314</v>
      </c>
      <c r="M26" s="3281">
        <v>20194</v>
      </c>
      <c r="N26" s="1164">
        <f t="shared" si="0"/>
        <v>269782</v>
      </c>
      <c r="O26" s="3369"/>
      <c r="P26" s="1473">
        <v>1982</v>
      </c>
      <c r="Q26" s="3370"/>
    </row>
    <row r="27" spans="1:30" s="3357" customFormat="1" ht="30" customHeight="1">
      <c r="A27" s="1801"/>
      <c r="B27" s="1801"/>
      <c r="C27" s="1801"/>
      <c r="D27" s="1492">
        <v>1247</v>
      </c>
      <c r="E27" s="1157">
        <v>3195</v>
      </c>
      <c r="F27" s="1157">
        <v>581</v>
      </c>
      <c r="G27" s="1157">
        <v>6190</v>
      </c>
      <c r="H27" s="1157">
        <v>11209</v>
      </c>
      <c r="I27" s="1157">
        <v>171</v>
      </c>
      <c r="J27" s="1157">
        <v>204906</v>
      </c>
      <c r="K27" s="1157">
        <v>3018</v>
      </c>
      <c r="L27" s="1157">
        <v>196</v>
      </c>
      <c r="M27" s="1157">
        <v>19909</v>
      </c>
      <c r="N27" s="1159">
        <f t="shared" si="0"/>
        <v>250622</v>
      </c>
      <c r="O27" s="1757"/>
      <c r="P27" s="1757">
        <v>1983</v>
      </c>
      <c r="Q27" s="1506"/>
      <c r="R27" s="1174"/>
      <c r="S27" s="1174"/>
      <c r="T27" s="1174"/>
      <c r="U27" s="1174"/>
      <c r="V27" s="1174"/>
      <c r="W27" s="1174"/>
    </row>
    <row r="28" spans="1:30" ht="30" customHeight="1">
      <c r="A28" s="1801"/>
      <c r="B28" s="1801"/>
      <c r="C28" s="1801"/>
      <c r="D28" s="1515">
        <v>383</v>
      </c>
      <c r="E28" s="1162">
        <v>5179</v>
      </c>
      <c r="F28" s="1162">
        <v>2577</v>
      </c>
      <c r="G28" s="1162">
        <v>5668</v>
      </c>
      <c r="H28" s="1162">
        <v>11948</v>
      </c>
      <c r="I28" s="3281">
        <v>674</v>
      </c>
      <c r="J28" s="3281">
        <v>204154</v>
      </c>
      <c r="K28" s="3281">
        <v>3185</v>
      </c>
      <c r="L28" s="3281">
        <v>82</v>
      </c>
      <c r="M28" s="3281">
        <v>11846</v>
      </c>
      <c r="N28" s="1164">
        <f t="shared" si="0"/>
        <v>245696</v>
      </c>
      <c r="O28" s="1473"/>
      <c r="P28" s="1473">
        <v>1984</v>
      </c>
      <c r="Q28" s="1522"/>
    </row>
    <row r="29" spans="1:30" s="3357" customFormat="1" ht="30" customHeight="1">
      <c r="A29" s="1801"/>
      <c r="B29" s="1801"/>
      <c r="C29" s="1801"/>
      <c r="D29" s="1492">
        <v>20</v>
      </c>
      <c r="E29" s="1157">
        <v>4882</v>
      </c>
      <c r="F29" s="1157">
        <v>1192</v>
      </c>
      <c r="G29" s="1157">
        <v>7006</v>
      </c>
      <c r="H29" s="1157">
        <v>9556</v>
      </c>
      <c r="I29" s="1157">
        <v>2136</v>
      </c>
      <c r="J29" s="1157">
        <v>216534</v>
      </c>
      <c r="K29" s="1157">
        <v>11422</v>
      </c>
      <c r="L29" s="1157">
        <v>99</v>
      </c>
      <c r="M29" s="1157">
        <v>10726</v>
      </c>
      <c r="N29" s="1159">
        <f t="shared" si="0"/>
        <v>263573</v>
      </c>
      <c r="O29" s="1757"/>
      <c r="P29" s="1757">
        <v>1985</v>
      </c>
      <c r="Q29" s="1506"/>
      <c r="R29" s="1174"/>
      <c r="S29" s="1174"/>
      <c r="T29" s="1174"/>
      <c r="U29" s="1174"/>
      <c r="V29" s="1174"/>
      <c r="W29" s="1174"/>
    </row>
    <row r="30" spans="1:30" ht="30" customHeight="1">
      <c r="A30" s="1801"/>
      <c r="B30" s="1801"/>
      <c r="C30" s="1801"/>
      <c r="D30" s="1515">
        <v>574</v>
      </c>
      <c r="E30" s="1162">
        <v>5244</v>
      </c>
      <c r="F30" s="1162">
        <v>654</v>
      </c>
      <c r="G30" s="1162">
        <v>8103</v>
      </c>
      <c r="H30" s="1162">
        <v>11125</v>
      </c>
      <c r="I30" s="3281">
        <v>2751</v>
      </c>
      <c r="J30" s="3281">
        <v>109788</v>
      </c>
      <c r="K30" s="3281">
        <v>9009</v>
      </c>
      <c r="L30" s="3281">
        <v>245</v>
      </c>
      <c r="M30" s="3281">
        <v>24715</v>
      </c>
      <c r="N30" s="1164">
        <f t="shared" si="0"/>
        <v>172208</v>
      </c>
      <c r="O30" s="1473"/>
      <c r="P30" s="1473">
        <v>1986</v>
      </c>
      <c r="Q30" s="1522"/>
    </row>
    <row r="31" spans="1:30" s="3357" customFormat="1" ht="30" customHeight="1">
      <c r="A31" s="1801"/>
      <c r="B31" s="1801"/>
      <c r="C31" s="1801"/>
      <c r="D31" s="1492">
        <v>318</v>
      </c>
      <c r="E31" s="1157">
        <v>5558</v>
      </c>
      <c r="F31" s="1157">
        <v>1667</v>
      </c>
      <c r="G31" s="1157">
        <v>14970</v>
      </c>
      <c r="H31" s="1157">
        <v>21087</v>
      </c>
      <c r="I31" s="1157">
        <v>251</v>
      </c>
      <c r="J31" s="1157">
        <v>149990</v>
      </c>
      <c r="K31" s="1157">
        <v>10136</v>
      </c>
      <c r="L31" s="1157">
        <v>298</v>
      </c>
      <c r="M31" s="1157">
        <v>29499</v>
      </c>
      <c r="N31" s="1159">
        <f t="shared" si="0"/>
        <v>233774</v>
      </c>
      <c r="O31" s="1757"/>
      <c r="P31" s="1757">
        <v>1987</v>
      </c>
      <c r="Q31" s="1506"/>
      <c r="R31" s="1174"/>
      <c r="S31" s="1174"/>
      <c r="T31" s="1174"/>
      <c r="U31" s="1174"/>
      <c r="V31" s="1174"/>
      <c r="W31" s="1174"/>
    </row>
    <row r="32" spans="1:30" ht="30" customHeight="1">
      <c r="A32" s="1801"/>
      <c r="B32" s="1801"/>
      <c r="C32" s="1801"/>
      <c r="D32" s="1515">
        <v>238</v>
      </c>
      <c r="E32" s="1162">
        <v>5724</v>
      </c>
      <c r="F32" s="1162">
        <v>2220</v>
      </c>
      <c r="G32" s="1162">
        <v>22378</v>
      </c>
      <c r="H32" s="1162">
        <v>23688</v>
      </c>
      <c r="I32" s="3281">
        <v>3884</v>
      </c>
      <c r="J32" s="3281">
        <v>152756</v>
      </c>
      <c r="K32" s="3281">
        <v>15626</v>
      </c>
      <c r="L32" s="3281">
        <v>283</v>
      </c>
      <c r="M32" s="3281">
        <v>34884</v>
      </c>
      <c r="N32" s="1164">
        <f t="shared" si="0"/>
        <v>261681</v>
      </c>
      <c r="O32" s="1473"/>
      <c r="P32" s="1473">
        <v>1988</v>
      </c>
      <c r="Q32" s="1522"/>
    </row>
    <row r="33" spans="1:23" s="3357" customFormat="1" ht="30" customHeight="1">
      <c r="A33" s="1801"/>
      <c r="B33" s="1801"/>
      <c r="C33" s="1801"/>
      <c r="D33" s="1492">
        <v>185</v>
      </c>
      <c r="E33" s="1157">
        <v>8269</v>
      </c>
      <c r="F33" s="1157">
        <v>4206</v>
      </c>
      <c r="G33" s="1157">
        <v>26393</v>
      </c>
      <c r="H33" s="1157">
        <v>30456</v>
      </c>
      <c r="I33" s="1157">
        <v>979</v>
      </c>
      <c r="J33" s="1157">
        <v>233439</v>
      </c>
      <c r="K33" s="1157">
        <v>9895</v>
      </c>
      <c r="L33" s="1157">
        <v>289</v>
      </c>
      <c r="M33" s="1157">
        <v>23146</v>
      </c>
      <c r="N33" s="1159">
        <f t="shared" si="0"/>
        <v>337257</v>
      </c>
      <c r="O33" s="1757"/>
      <c r="P33" s="1757">
        <v>1989</v>
      </c>
      <c r="Q33" s="1506"/>
      <c r="R33" s="1174"/>
      <c r="S33" s="3199"/>
      <c r="T33" s="3199"/>
      <c r="U33" s="1174"/>
      <c r="V33" s="1174"/>
      <c r="W33" s="1174"/>
    </row>
    <row r="34" spans="1:23" ht="30" customHeight="1">
      <c r="A34" s="1801"/>
      <c r="B34" s="1801"/>
      <c r="C34" s="1801"/>
      <c r="D34" s="1515">
        <v>563</v>
      </c>
      <c r="E34" s="1162">
        <v>8869</v>
      </c>
      <c r="F34" s="1162">
        <v>4692</v>
      </c>
      <c r="G34" s="1162">
        <v>36555</v>
      </c>
      <c r="H34" s="1162">
        <v>47086</v>
      </c>
      <c r="I34" s="3281">
        <v>1895</v>
      </c>
      <c r="J34" s="3281">
        <v>308204</v>
      </c>
      <c r="K34" s="3281">
        <v>14433</v>
      </c>
      <c r="L34" s="3281">
        <v>313</v>
      </c>
      <c r="M34" s="3281">
        <v>15795</v>
      </c>
      <c r="N34" s="1164">
        <f t="shared" si="0"/>
        <v>438405</v>
      </c>
      <c r="O34" s="1473"/>
      <c r="P34" s="1473">
        <v>1990</v>
      </c>
      <c r="Q34" s="1522"/>
    </row>
    <row r="35" spans="1:23" s="3357" customFormat="1" ht="30" customHeight="1">
      <c r="A35" s="1801"/>
      <c r="B35" s="1801"/>
      <c r="C35" s="1801"/>
      <c r="D35" s="1492">
        <v>8</v>
      </c>
      <c r="E35" s="1157">
        <v>9607</v>
      </c>
      <c r="F35" s="1157">
        <v>3870</v>
      </c>
      <c r="G35" s="1157">
        <v>33019</v>
      </c>
      <c r="H35" s="1157">
        <v>44837</v>
      </c>
      <c r="I35" s="1157">
        <v>1908</v>
      </c>
      <c r="J35" s="1157">
        <v>216551</v>
      </c>
      <c r="K35" s="1157">
        <v>6776</v>
      </c>
      <c r="L35" s="1157">
        <v>384</v>
      </c>
      <c r="M35" s="1157">
        <v>21668</v>
      </c>
      <c r="N35" s="1159">
        <f t="shared" si="0"/>
        <v>338628</v>
      </c>
      <c r="O35" s="1757"/>
      <c r="P35" s="1757">
        <v>1991</v>
      </c>
      <c r="Q35" s="1506"/>
      <c r="R35" s="1174"/>
      <c r="S35" s="1174"/>
      <c r="T35" s="1174"/>
      <c r="U35" s="1174"/>
      <c r="V35" s="1174"/>
      <c r="W35" s="1174"/>
    </row>
    <row r="36" spans="1:23" ht="30" customHeight="1">
      <c r="A36" s="1801"/>
      <c r="B36" s="1801"/>
      <c r="C36" s="1801"/>
      <c r="D36" s="1515">
        <v>28</v>
      </c>
      <c r="E36" s="1162">
        <v>17883</v>
      </c>
      <c r="F36" s="1162">
        <v>8009</v>
      </c>
      <c r="G36" s="1162">
        <v>43410</v>
      </c>
      <c r="H36" s="1162">
        <v>46453</v>
      </c>
      <c r="I36" s="3281">
        <v>4071</v>
      </c>
      <c r="J36" s="3281">
        <v>293264</v>
      </c>
      <c r="K36" s="3281">
        <v>11398</v>
      </c>
      <c r="L36" s="3281">
        <v>506</v>
      </c>
      <c r="M36" s="3281">
        <v>36945</v>
      </c>
      <c r="N36" s="1164">
        <f t="shared" si="0"/>
        <v>461967</v>
      </c>
      <c r="O36" s="1473"/>
      <c r="P36" s="1473">
        <v>1992</v>
      </c>
      <c r="Q36" s="1522"/>
    </row>
    <row r="37" spans="1:23" s="3357" customFormat="1" ht="30" customHeight="1">
      <c r="A37" s="1801"/>
      <c r="B37" s="1801"/>
      <c r="C37" s="1801"/>
      <c r="D37" s="1492">
        <v>581</v>
      </c>
      <c r="E37" s="1157">
        <v>18953</v>
      </c>
      <c r="F37" s="1157">
        <v>9971</v>
      </c>
      <c r="G37" s="1157">
        <v>62109</v>
      </c>
      <c r="H37" s="1157">
        <v>52765</v>
      </c>
      <c r="I37" s="1157">
        <v>2158</v>
      </c>
      <c r="J37" s="1157">
        <v>308876</v>
      </c>
      <c r="K37" s="1157">
        <v>15210</v>
      </c>
      <c r="L37" s="1157">
        <v>651</v>
      </c>
      <c r="M37" s="1157">
        <v>27551</v>
      </c>
      <c r="N37" s="1159">
        <f t="shared" si="0"/>
        <v>498825</v>
      </c>
      <c r="O37" s="1757"/>
      <c r="P37" s="1757">
        <v>1993</v>
      </c>
      <c r="Q37" s="1506"/>
      <c r="R37" s="1174"/>
      <c r="S37" s="1174"/>
      <c r="T37" s="1174"/>
      <c r="U37" s="1174"/>
      <c r="V37" s="1174"/>
      <c r="W37" s="1174"/>
    </row>
    <row r="38" spans="1:23" ht="30" customHeight="1">
      <c r="A38" s="1801"/>
      <c r="B38" s="1801"/>
      <c r="C38" s="1801"/>
      <c r="D38" s="1515">
        <v>7620</v>
      </c>
      <c r="E38" s="1162">
        <v>19938</v>
      </c>
      <c r="F38" s="1162">
        <v>14020</v>
      </c>
      <c r="G38" s="1162">
        <v>55016</v>
      </c>
      <c r="H38" s="1162">
        <v>62754</v>
      </c>
      <c r="I38" s="3281">
        <v>9871</v>
      </c>
      <c r="J38" s="3281">
        <v>296240</v>
      </c>
      <c r="K38" s="3281">
        <v>19882</v>
      </c>
      <c r="L38" s="3281">
        <v>652</v>
      </c>
      <c r="M38" s="3281">
        <v>44526</v>
      </c>
      <c r="N38" s="1164">
        <f t="shared" si="0"/>
        <v>530519</v>
      </c>
      <c r="O38" s="1473"/>
      <c r="P38" s="1473">
        <v>1994</v>
      </c>
      <c r="Q38" s="1522"/>
    </row>
    <row r="39" spans="1:23" s="3357" customFormat="1" ht="30" customHeight="1">
      <c r="A39" s="1801"/>
      <c r="B39" s="1801"/>
      <c r="C39" s="1801"/>
      <c r="D39" s="1492">
        <v>727</v>
      </c>
      <c r="E39" s="1157">
        <v>20550</v>
      </c>
      <c r="F39" s="1157">
        <v>10094</v>
      </c>
      <c r="G39" s="1157">
        <v>69282</v>
      </c>
      <c r="H39" s="1157">
        <v>80582</v>
      </c>
      <c r="I39" s="1157">
        <v>5052</v>
      </c>
      <c r="J39" s="1157">
        <v>328869</v>
      </c>
      <c r="K39" s="1157">
        <v>26657</v>
      </c>
      <c r="L39" s="1157">
        <v>648</v>
      </c>
      <c r="M39" s="1157">
        <v>66084</v>
      </c>
      <c r="N39" s="1159">
        <f t="shared" si="0"/>
        <v>608545</v>
      </c>
      <c r="O39" s="1757"/>
      <c r="P39" s="1757">
        <v>1995</v>
      </c>
      <c r="Q39" s="1506"/>
      <c r="R39" s="1174"/>
      <c r="S39" s="1174"/>
      <c r="T39" s="1174"/>
      <c r="U39" s="1174"/>
      <c r="V39" s="1174"/>
      <c r="W39" s="1174"/>
    </row>
    <row r="40" spans="1:23" ht="30" customHeight="1">
      <c r="A40" s="1801"/>
      <c r="B40" s="1801"/>
      <c r="C40" s="1801"/>
      <c r="D40" s="1515">
        <v>29</v>
      </c>
      <c r="E40" s="1162">
        <v>17018</v>
      </c>
      <c r="F40" s="1162">
        <v>7833</v>
      </c>
      <c r="G40" s="1162">
        <v>66286</v>
      </c>
      <c r="H40" s="1162">
        <v>86322</v>
      </c>
      <c r="I40" s="3281">
        <v>3687</v>
      </c>
      <c r="J40" s="3281">
        <v>369153</v>
      </c>
      <c r="K40" s="3281">
        <v>24822</v>
      </c>
      <c r="L40" s="3281">
        <v>875</v>
      </c>
      <c r="M40" s="3281">
        <v>185794</v>
      </c>
      <c r="N40" s="1164">
        <f t="shared" si="0"/>
        <v>761819</v>
      </c>
      <c r="O40" s="1473"/>
      <c r="P40" s="1473">
        <v>1996</v>
      </c>
      <c r="Q40" s="1522"/>
    </row>
    <row r="41" spans="1:23" s="3357" customFormat="1" ht="30" customHeight="1">
      <c r="A41" s="1801"/>
      <c r="B41" s="1801"/>
      <c r="C41" s="1801"/>
      <c r="D41" s="1492">
        <v>86</v>
      </c>
      <c r="E41" s="1157">
        <v>17597</v>
      </c>
      <c r="F41" s="1157">
        <v>10505</v>
      </c>
      <c r="G41" s="1157">
        <v>59828</v>
      </c>
      <c r="H41" s="1157">
        <v>83230</v>
      </c>
      <c r="I41" s="1157">
        <v>5605</v>
      </c>
      <c r="J41" s="1157">
        <v>368928</v>
      </c>
      <c r="K41" s="1157">
        <v>21292</v>
      </c>
      <c r="L41" s="1157">
        <v>1032</v>
      </c>
      <c r="M41" s="1157">
        <v>114937</v>
      </c>
      <c r="N41" s="1159">
        <f t="shared" si="0"/>
        <v>683040</v>
      </c>
      <c r="O41" s="1757"/>
      <c r="P41" s="1757">
        <v>1997</v>
      </c>
      <c r="Q41" s="1506"/>
      <c r="R41" s="1174"/>
      <c r="S41" s="1174"/>
      <c r="T41" s="1174"/>
      <c r="U41" s="1174"/>
      <c r="V41" s="1174"/>
      <c r="W41" s="1174"/>
    </row>
    <row r="42" spans="1:23" ht="30" customHeight="1">
      <c r="A42" s="1801"/>
      <c r="B42" s="1801"/>
      <c r="C42" s="1801"/>
      <c r="D42" s="1515">
        <v>0</v>
      </c>
      <c r="E42" s="1162">
        <v>24560</v>
      </c>
      <c r="F42" s="1162">
        <v>10440</v>
      </c>
      <c r="G42" s="1162">
        <v>57555</v>
      </c>
      <c r="H42" s="1162">
        <v>78082</v>
      </c>
      <c r="I42" s="3281">
        <v>4375</v>
      </c>
      <c r="J42" s="3281">
        <v>241953</v>
      </c>
      <c r="K42" s="3281">
        <v>23121</v>
      </c>
      <c r="L42" s="3281">
        <v>1229</v>
      </c>
      <c r="M42" s="3281">
        <v>80274</v>
      </c>
      <c r="N42" s="1164">
        <f t="shared" si="0"/>
        <v>521589</v>
      </c>
      <c r="O42" s="1473"/>
      <c r="P42" s="1473">
        <v>1998</v>
      </c>
      <c r="Q42" s="1522"/>
    </row>
    <row r="43" spans="1:23" s="3357" customFormat="1" ht="30" customHeight="1">
      <c r="A43" s="1801"/>
      <c r="B43" s="1801"/>
      <c r="C43" s="1801"/>
      <c r="D43" s="1492">
        <v>518</v>
      </c>
      <c r="E43" s="1157">
        <v>26615</v>
      </c>
      <c r="F43" s="1157">
        <v>8314</v>
      </c>
      <c r="G43" s="1157">
        <v>59663</v>
      </c>
      <c r="H43" s="1157">
        <v>59593</v>
      </c>
      <c r="I43" s="1157">
        <v>1822</v>
      </c>
      <c r="J43" s="1157">
        <v>303101</v>
      </c>
      <c r="K43" s="1157">
        <v>32122</v>
      </c>
      <c r="L43" s="1157">
        <v>1566</v>
      </c>
      <c r="M43" s="1157">
        <v>76021</v>
      </c>
      <c r="N43" s="1159">
        <f t="shared" si="0"/>
        <v>569335</v>
      </c>
      <c r="O43" s="1757"/>
      <c r="P43" s="1757">
        <v>1999</v>
      </c>
      <c r="Q43" s="1506"/>
      <c r="R43" s="1174"/>
      <c r="S43" s="1174"/>
      <c r="T43" s="1174"/>
      <c r="U43" s="1174"/>
      <c r="V43" s="1174"/>
      <c r="W43" s="1174"/>
    </row>
    <row r="44" spans="1:23" ht="30" customHeight="1">
      <c r="A44" s="1801"/>
      <c r="B44" s="1801"/>
      <c r="C44" s="1801"/>
      <c r="D44" s="1515">
        <v>2657</v>
      </c>
      <c r="E44" s="1162">
        <v>22779</v>
      </c>
      <c r="F44" s="1162">
        <v>10697</v>
      </c>
      <c r="G44" s="1162">
        <v>69753</v>
      </c>
      <c r="H44" s="1162">
        <v>73397</v>
      </c>
      <c r="I44" s="3281">
        <v>2100</v>
      </c>
      <c r="J44" s="3281">
        <v>492632</v>
      </c>
      <c r="K44" s="3281">
        <v>26906</v>
      </c>
      <c r="L44" s="3281">
        <v>2732</v>
      </c>
      <c r="M44" s="3281">
        <v>70087</v>
      </c>
      <c r="N44" s="1164">
        <f t="shared" si="0"/>
        <v>773740</v>
      </c>
      <c r="O44" s="1473"/>
      <c r="P44" s="1473">
        <v>2000</v>
      </c>
      <c r="Q44" s="1522"/>
    </row>
    <row r="45" spans="1:23" s="3357" customFormat="1" ht="30" customHeight="1">
      <c r="A45" s="1801"/>
      <c r="B45" s="1801"/>
      <c r="C45" s="1801"/>
      <c r="D45" s="1492">
        <v>3265</v>
      </c>
      <c r="E45" s="1157">
        <v>26931</v>
      </c>
      <c r="F45" s="1157">
        <v>10966</v>
      </c>
      <c r="G45" s="1157">
        <v>94513</v>
      </c>
      <c r="H45" s="1157">
        <v>97188</v>
      </c>
      <c r="I45" s="1157">
        <v>2300</v>
      </c>
      <c r="J45" s="1157">
        <v>476429</v>
      </c>
      <c r="K45" s="1157">
        <v>12139</v>
      </c>
      <c r="L45" s="1157">
        <v>3156</v>
      </c>
      <c r="M45" s="1157">
        <v>96270</v>
      </c>
      <c r="N45" s="1159">
        <f t="shared" si="0"/>
        <v>823157</v>
      </c>
      <c r="O45" s="1757"/>
      <c r="P45" s="1757">
        <v>2001</v>
      </c>
      <c r="Q45" s="1506"/>
      <c r="R45" s="1174"/>
      <c r="S45" s="1174"/>
      <c r="T45" s="1174"/>
      <c r="U45" s="1174"/>
      <c r="V45" s="1174"/>
      <c r="W45" s="1174"/>
    </row>
    <row r="46" spans="1:23" ht="30" customHeight="1">
      <c r="A46" s="1801"/>
      <c r="B46" s="1801"/>
      <c r="C46" s="1801"/>
      <c r="D46" s="1515">
        <v>2826</v>
      </c>
      <c r="E46" s="1162">
        <v>38504</v>
      </c>
      <c r="F46" s="1162">
        <v>11895</v>
      </c>
      <c r="G46" s="1162">
        <v>107120</v>
      </c>
      <c r="H46" s="1162">
        <v>89038</v>
      </c>
      <c r="I46" s="3281">
        <v>3629</v>
      </c>
      <c r="J46" s="3281">
        <v>516703</v>
      </c>
      <c r="K46" s="3281">
        <v>13319</v>
      </c>
      <c r="L46" s="3281">
        <v>9168</v>
      </c>
      <c r="M46" s="3281">
        <v>115645</v>
      </c>
      <c r="N46" s="1164">
        <f t="shared" si="0"/>
        <v>907847</v>
      </c>
      <c r="O46" s="1473"/>
      <c r="P46" s="1473">
        <v>2002</v>
      </c>
      <c r="Q46" s="1522"/>
    </row>
    <row r="47" spans="1:23" s="3357" customFormat="1" ht="30" customHeight="1">
      <c r="A47" s="1801"/>
      <c r="B47" s="1801"/>
      <c r="C47" s="1801"/>
      <c r="D47" s="1492">
        <v>2193</v>
      </c>
      <c r="E47" s="1157">
        <v>30294</v>
      </c>
      <c r="F47" s="1157">
        <v>17311</v>
      </c>
      <c r="G47" s="1157">
        <v>126911</v>
      </c>
      <c r="H47" s="1157">
        <v>110731</v>
      </c>
      <c r="I47" s="1157">
        <v>4406</v>
      </c>
      <c r="J47" s="1157">
        <v>642055</v>
      </c>
      <c r="K47" s="1157">
        <v>12859</v>
      </c>
      <c r="L47" s="1157">
        <v>18566</v>
      </c>
      <c r="M47" s="1157">
        <v>156484</v>
      </c>
      <c r="N47" s="1159">
        <f>SUM(D47:M47)</f>
        <v>1121810</v>
      </c>
      <c r="O47" s="1757"/>
      <c r="P47" s="1757">
        <v>2003</v>
      </c>
      <c r="Q47" s="1506"/>
      <c r="R47" s="1174"/>
      <c r="S47" s="1174"/>
      <c r="T47" s="1174"/>
      <c r="U47" s="1174"/>
      <c r="V47" s="1174"/>
      <c r="W47" s="1174"/>
    </row>
    <row r="48" spans="1:23" ht="30" customHeight="1">
      <c r="A48" s="1801"/>
      <c r="B48" s="1801"/>
      <c r="C48" s="1801"/>
      <c r="D48" s="1515">
        <v>2379</v>
      </c>
      <c r="E48" s="1162">
        <v>46553</v>
      </c>
      <c r="F48" s="1162">
        <v>25546</v>
      </c>
      <c r="G48" s="1162">
        <v>205288</v>
      </c>
      <c r="H48" s="1162">
        <v>165233</v>
      </c>
      <c r="I48" s="3281">
        <v>6362</v>
      </c>
      <c r="J48" s="3281">
        <v>1088025</v>
      </c>
      <c r="K48" s="3281">
        <v>17068</v>
      </c>
      <c r="L48" s="3281">
        <v>23576</v>
      </c>
      <c r="M48" s="3281">
        <v>195929</v>
      </c>
      <c r="N48" s="1164">
        <f t="shared" si="0"/>
        <v>1775959</v>
      </c>
      <c r="O48" s="1473"/>
      <c r="P48" s="1473">
        <v>2004</v>
      </c>
      <c r="Q48" s="1522"/>
    </row>
    <row r="49" spans="1:23" s="3357" customFormat="1" ht="30" customHeight="1">
      <c r="A49" s="1801"/>
      <c r="B49" s="1801"/>
      <c r="C49" s="1801"/>
      <c r="D49" s="1492">
        <v>10587</v>
      </c>
      <c r="E49" s="1157">
        <v>73266</v>
      </c>
      <c r="F49" s="1157">
        <v>43288</v>
      </c>
      <c r="G49" s="1157">
        <v>246164</v>
      </c>
      <c r="H49" s="1157">
        <v>192348</v>
      </c>
      <c r="I49" s="1157">
        <v>7722</v>
      </c>
      <c r="J49" s="1157">
        <v>1672283</v>
      </c>
      <c r="K49" s="1157">
        <v>16427</v>
      </c>
      <c r="L49" s="1157">
        <v>33024</v>
      </c>
      <c r="M49" s="1157">
        <v>220874</v>
      </c>
      <c r="N49" s="1159">
        <f t="shared" si="0"/>
        <v>2515983</v>
      </c>
      <c r="O49" s="1757"/>
      <c r="P49" s="1757">
        <v>2005</v>
      </c>
      <c r="Q49" s="1506"/>
      <c r="R49" s="1174"/>
      <c r="S49" s="1174"/>
      <c r="T49" s="1174"/>
      <c r="U49" s="1174"/>
      <c r="V49" s="1174"/>
      <c r="W49" s="1174"/>
    </row>
    <row r="50" spans="1:23" s="1801" customFormat="1" ht="30" customHeight="1">
      <c r="D50" s="1515">
        <v>4572</v>
      </c>
      <c r="E50" s="1162">
        <v>92992</v>
      </c>
      <c r="F50" s="1162">
        <v>53055</v>
      </c>
      <c r="G50" s="1162">
        <v>332897</v>
      </c>
      <c r="H50" s="1162">
        <v>215044</v>
      </c>
      <c r="I50" s="1162">
        <v>7792</v>
      </c>
      <c r="J50" s="1162">
        <v>1927463</v>
      </c>
      <c r="K50" s="1162">
        <v>11358</v>
      </c>
      <c r="L50" s="1162">
        <v>33696</v>
      </c>
      <c r="M50" s="1162">
        <v>251417</v>
      </c>
      <c r="N50" s="1164">
        <f t="shared" si="0"/>
        <v>2930286</v>
      </c>
      <c r="O50" s="1473"/>
      <c r="P50" s="1473">
        <v>2006</v>
      </c>
      <c r="Q50" s="1522"/>
      <c r="R50" s="3371"/>
    </row>
    <row r="51" spans="1:23" s="1801" customFormat="1" ht="29.25" customHeight="1">
      <c r="D51" s="1492">
        <v>7218</v>
      </c>
      <c r="E51" s="1157">
        <v>122085</v>
      </c>
      <c r="F51" s="1157">
        <v>71626</v>
      </c>
      <c r="G51" s="1157">
        <v>354817</v>
      </c>
      <c r="H51" s="1157">
        <v>308192</v>
      </c>
      <c r="I51" s="1157">
        <v>35897</v>
      </c>
      <c r="J51" s="1157">
        <v>1888045</v>
      </c>
      <c r="K51" s="1157">
        <v>14857</v>
      </c>
      <c r="L51" s="1157">
        <v>38483</v>
      </c>
      <c r="M51" s="1157">
        <v>369422</v>
      </c>
      <c r="N51" s="1159">
        <f t="shared" si="0"/>
        <v>3210642</v>
      </c>
      <c r="O51" s="1757"/>
      <c r="P51" s="1757">
        <v>2007</v>
      </c>
      <c r="Q51" s="1506"/>
    </row>
    <row r="52" spans="1:23" s="1191" customFormat="1">
      <c r="A52" s="1801"/>
      <c r="B52" s="1801"/>
      <c r="D52" s="1515">
        <v>25919</v>
      </c>
      <c r="E52" s="1162">
        <v>160987</v>
      </c>
      <c r="F52" s="1162">
        <v>87579</v>
      </c>
      <c r="G52" s="1162">
        <v>477764</v>
      </c>
      <c r="H52" s="1162">
        <v>410441</v>
      </c>
      <c r="I52" s="1162">
        <v>46155</v>
      </c>
      <c r="J52" s="1162">
        <v>2371010</v>
      </c>
      <c r="K52" s="1162">
        <v>18882</v>
      </c>
      <c r="L52" s="1162">
        <v>43291</v>
      </c>
      <c r="M52" s="1162">
        <v>357985</v>
      </c>
      <c r="N52" s="1164">
        <f>SUM(D52:M52)</f>
        <v>4000013</v>
      </c>
      <c r="O52" s="1473"/>
      <c r="P52" s="1473">
        <v>2008</v>
      </c>
      <c r="Q52" s="1522"/>
    </row>
    <row r="53" spans="1:23" s="1191" customFormat="1" ht="24" customHeight="1">
      <c r="A53" s="1801"/>
      <c r="B53" s="1801"/>
      <c r="D53" s="1492">
        <v>8004</v>
      </c>
      <c r="E53" s="1157">
        <v>124785</v>
      </c>
      <c r="F53" s="1157">
        <v>82927</v>
      </c>
      <c r="G53" s="1157">
        <v>441082</v>
      </c>
      <c r="H53" s="1157">
        <v>370650</v>
      </c>
      <c r="I53" s="1157">
        <v>54511</v>
      </c>
      <c r="J53" s="1157">
        <v>1687408</v>
      </c>
      <c r="K53" s="1157">
        <v>16658</v>
      </c>
      <c r="L53" s="1157">
        <v>44890</v>
      </c>
      <c r="M53" s="1157">
        <v>407376</v>
      </c>
      <c r="N53" s="1159">
        <f>SUM(D53:M53)</f>
        <v>3238291</v>
      </c>
      <c r="O53" s="1757"/>
      <c r="P53" s="1757">
        <v>2009</v>
      </c>
      <c r="Q53" s="1506"/>
    </row>
    <row r="54" spans="1:23" s="1191" customFormat="1" ht="24" customHeight="1">
      <c r="A54" s="1801"/>
      <c r="B54" s="1801"/>
      <c r="D54" s="1515">
        <v>6124</v>
      </c>
      <c r="E54" s="1162">
        <v>109658</v>
      </c>
      <c r="F54" s="1162">
        <v>68032</v>
      </c>
      <c r="G54" s="1162">
        <v>499295</v>
      </c>
      <c r="H54" s="1162">
        <v>440368</v>
      </c>
      <c r="I54" s="1162">
        <v>57170</v>
      </c>
      <c r="J54" s="1162">
        <v>2133817</v>
      </c>
      <c r="K54" s="1162">
        <v>24395</v>
      </c>
      <c r="L54" s="1162">
        <v>44633</v>
      </c>
      <c r="M54" s="1162">
        <v>466441</v>
      </c>
      <c r="N54" s="1164">
        <f>SUM(D54:M54)</f>
        <v>3849933</v>
      </c>
      <c r="O54" s="1473"/>
      <c r="P54" s="1473">
        <v>2010</v>
      </c>
      <c r="Q54" s="1522"/>
      <c r="S54" s="1174"/>
      <c r="T54" s="1174"/>
    </row>
    <row r="55" spans="1:23" s="1191" customFormat="1" ht="24" customHeight="1">
      <c r="A55" s="1801"/>
      <c r="B55" s="1801"/>
      <c r="D55" s="1492">
        <v>5534</v>
      </c>
      <c r="E55" s="1157">
        <v>121436</v>
      </c>
      <c r="F55" s="1157">
        <v>69296</v>
      </c>
      <c r="G55" s="1157">
        <v>544909</v>
      </c>
      <c r="H55" s="1157">
        <v>516995</v>
      </c>
      <c r="I55" s="1157">
        <v>84399</v>
      </c>
      <c r="J55" s="1157">
        <v>3026064</v>
      </c>
      <c r="K55" s="1157">
        <v>37596</v>
      </c>
      <c r="L55" s="1157">
        <v>44518</v>
      </c>
      <c r="M55" s="1157">
        <v>496949</v>
      </c>
      <c r="N55" s="1159">
        <f>SUM(D55:M55)</f>
        <v>4947696</v>
      </c>
      <c r="O55" s="1757"/>
      <c r="P55" s="1757">
        <v>2011</v>
      </c>
      <c r="Q55" s="1506"/>
      <c r="S55" s="1174"/>
      <c r="T55" s="1174"/>
    </row>
    <row r="56" spans="1:23" s="1191" customFormat="1" ht="24" customHeight="1">
      <c r="A56" s="1801"/>
      <c r="B56" s="1801"/>
      <c r="D56" s="1515">
        <v>14112</v>
      </c>
      <c r="E56" s="1162">
        <v>122565</v>
      </c>
      <c r="F56" s="1162">
        <v>85617</v>
      </c>
      <c r="G56" s="1162">
        <v>519838</v>
      </c>
      <c r="H56" s="1162">
        <v>571346</v>
      </c>
      <c r="I56" s="1162">
        <v>86031</v>
      </c>
      <c r="J56" s="1162">
        <v>3283328</v>
      </c>
      <c r="K56" s="1162">
        <v>36314</v>
      </c>
      <c r="L56" s="1162">
        <v>49180</v>
      </c>
      <c r="M56" s="1162">
        <v>492616</v>
      </c>
      <c r="N56" s="1164">
        <v>5260946</v>
      </c>
      <c r="O56" s="1473"/>
      <c r="P56" s="1473">
        <v>2012</v>
      </c>
      <c r="Q56" s="1522"/>
      <c r="S56" s="1174"/>
      <c r="T56" s="1174"/>
    </row>
    <row r="57" spans="1:23" s="1191" customFormat="1" ht="24" customHeight="1">
      <c r="A57" s="1801"/>
      <c r="B57" s="1801"/>
      <c r="D57" s="1492">
        <f>59167+26</f>
        <v>59193</v>
      </c>
      <c r="E57" s="1157">
        <v>167725</v>
      </c>
      <c r="F57" s="1157">
        <v>72528</v>
      </c>
      <c r="G57" s="1157">
        <v>625265</v>
      </c>
      <c r="H57" s="1157">
        <v>610434</v>
      </c>
      <c r="I57" s="1157">
        <v>75824</v>
      </c>
      <c r="J57" s="1157">
        <v>2563434</v>
      </c>
      <c r="K57" s="1157">
        <v>47183</v>
      </c>
      <c r="L57" s="1157">
        <v>53541</v>
      </c>
      <c r="M57" s="1157">
        <v>534214</v>
      </c>
      <c r="N57" s="1159">
        <v>4809341</v>
      </c>
      <c r="O57" s="1757"/>
      <c r="P57" s="1757">
        <v>2013</v>
      </c>
      <c r="Q57" s="1506"/>
      <c r="S57" s="1174"/>
      <c r="T57" s="1174"/>
    </row>
    <row r="58" spans="1:23" s="1191" customFormat="1" ht="24" customHeight="1">
      <c r="A58" s="1801"/>
      <c r="B58" s="1801"/>
      <c r="D58" s="1515">
        <v>64477</v>
      </c>
      <c r="E58" s="1162">
        <v>148017</v>
      </c>
      <c r="F58" s="1162">
        <v>81357</v>
      </c>
      <c r="G58" s="1162">
        <v>572322</v>
      </c>
      <c r="H58" s="1162">
        <v>620415</v>
      </c>
      <c r="I58" s="1162">
        <v>63743</v>
      </c>
      <c r="J58" s="1162">
        <v>2680035</v>
      </c>
      <c r="K58" s="1162">
        <v>51428</v>
      </c>
      <c r="L58" s="1162">
        <v>59903</v>
      </c>
      <c r="M58" s="1162">
        <v>547056</v>
      </c>
      <c r="N58" s="1164">
        <v>4888752</v>
      </c>
      <c r="O58" s="1473"/>
      <c r="P58" s="1473">
        <v>2014</v>
      </c>
      <c r="Q58" s="1522"/>
      <c r="S58" s="1174"/>
      <c r="T58" s="1174"/>
    </row>
    <row r="59" spans="1:23" s="1191" customFormat="1" ht="24" customHeight="1">
      <c r="A59" s="1801"/>
      <c r="B59" s="1801"/>
      <c r="D59" s="1492">
        <v>167772</v>
      </c>
      <c r="E59" s="1157">
        <v>160672</v>
      </c>
      <c r="F59" s="1157">
        <v>71313</v>
      </c>
      <c r="G59" s="1157">
        <v>473403</v>
      </c>
      <c r="H59" s="1157">
        <v>560156</v>
      </c>
      <c r="I59" s="1157">
        <v>50158</v>
      </c>
      <c r="J59" s="1157">
        <v>1628694</v>
      </c>
      <c r="K59" s="1157">
        <v>43672</v>
      </c>
      <c r="L59" s="1157">
        <v>69165</v>
      </c>
      <c r="M59" s="1157">
        <v>489452</v>
      </c>
      <c r="N59" s="1159">
        <v>3714457</v>
      </c>
      <c r="O59" s="1757"/>
      <c r="P59" s="1757">
        <v>2015</v>
      </c>
      <c r="Q59" s="1506"/>
      <c r="S59" s="1174"/>
      <c r="T59" s="1174"/>
    </row>
    <row r="60" spans="1:23" s="1191" customFormat="1" ht="24" customHeight="1">
      <c r="A60" s="1801"/>
      <c r="B60" s="1801"/>
      <c r="D60" s="1515">
        <v>124403</v>
      </c>
      <c r="E60" s="1162">
        <v>125243</v>
      </c>
      <c r="F60" s="1162">
        <v>69152</v>
      </c>
      <c r="G60" s="1162">
        <v>433077</v>
      </c>
      <c r="H60" s="1162">
        <v>498765</v>
      </c>
      <c r="I60" s="1162">
        <v>63462</v>
      </c>
      <c r="J60" s="1162">
        <v>1180888</v>
      </c>
      <c r="K60" s="1162">
        <v>45703</v>
      </c>
      <c r="L60" s="1162">
        <v>71237</v>
      </c>
      <c r="M60" s="1162">
        <v>526281</v>
      </c>
      <c r="N60" s="1164">
        <v>3138211</v>
      </c>
      <c r="O60" s="1473"/>
      <c r="P60" s="1656" t="s">
        <v>2618</v>
      </c>
      <c r="Q60" s="1522"/>
      <c r="S60" s="1174"/>
      <c r="T60" s="1174"/>
    </row>
    <row r="61" spans="1:23" s="1191" customFormat="1" ht="24" customHeight="1">
      <c r="A61" s="1801"/>
      <c r="B61" s="1801"/>
      <c r="D61" s="1492">
        <v>188973</v>
      </c>
      <c r="E61" s="1157">
        <v>130853</v>
      </c>
      <c r="F61" s="1157">
        <v>58351</v>
      </c>
      <c r="G61" s="1157">
        <v>452458</v>
      </c>
      <c r="H61" s="1157">
        <v>498963</v>
      </c>
      <c r="I61" s="1157">
        <v>54322</v>
      </c>
      <c r="J61" s="1157">
        <v>1441498</v>
      </c>
      <c r="K61" s="1157">
        <v>40567</v>
      </c>
      <c r="L61" s="1157">
        <v>75477</v>
      </c>
      <c r="M61" s="1157">
        <v>530642</v>
      </c>
      <c r="N61" s="1159">
        <v>3472104</v>
      </c>
      <c r="O61" s="1757"/>
      <c r="P61" s="3201" t="s">
        <v>2748</v>
      </c>
      <c r="Q61" s="1506"/>
      <c r="S61" s="1174"/>
      <c r="T61" s="1174"/>
    </row>
    <row r="62" spans="1:23" s="1191" customFormat="1" ht="24" customHeight="1">
      <c r="A62" s="1801"/>
      <c r="B62" s="1801"/>
      <c r="D62" s="1515">
        <v>68322</v>
      </c>
      <c r="E62" s="1162">
        <v>78837</v>
      </c>
      <c r="F62" s="1162">
        <v>62627</v>
      </c>
      <c r="G62" s="1162">
        <v>593967</v>
      </c>
      <c r="H62" s="1162">
        <v>528275</v>
      </c>
      <c r="I62" s="1162">
        <v>51916</v>
      </c>
      <c r="J62" s="1162">
        <v>1869867</v>
      </c>
      <c r="K62" s="1162">
        <v>53847</v>
      </c>
      <c r="L62" s="1162">
        <v>72627</v>
      </c>
      <c r="M62" s="1162">
        <v>470399</v>
      </c>
      <c r="N62" s="1164">
        <v>3850684</v>
      </c>
      <c r="O62" s="1473"/>
      <c r="P62" s="1656" t="s">
        <v>2928</v>
      </c>
      <c r="Q62" s="1522"/>
      <c r="S62" s="1174"/>
      <c r="T62" s="1174"/>
    </row>
    <row r="63" spans="1:23" s="1191" customFormat="1" ht="24" customHeight="1">
      <c r="A63" s="1801"/>
      <c r="B63" s="1801"/>
      <c r="D63" s="1492">
        <v>13670.996999999579</v>
      </c>
      <c r="E63" s="1157">
        <v>103815.25098</v>
      </c>
      <c r="F63" s="1157">
        <v>63102.629000000001</v>
      </c>
      <c r="G63" s="1157">
        <v>496558.58500000002</v>
      </c>
      <c r="H63" s="1157">
        <v>513784.80200000003</v>
      </c>
      <c r="I63" s="1157">
        <v>46479.385999999991</v>
      </c>
      <c r="J63" s="1157">
        <v>1742431.551</v>
      </c>
      <c r="K63" s="1157">
        <v>72273.668000000005</v>
      </c>
      <c r="L63" s="1157">
        <v>67883.585000000006</v>
      </c>
      <c r="M63" s="1157">
        <v>485334.99399999995</v>
      </c>
      <c r="N63" s="1159">
        <v>3605335.4479799997</v>
      </c>
      <c r="O63" s="1757"/>
      <c r="P63" s="3201" t="s">
        <v>3028</v>
      </c>
      <c r="Q63" s="1506"/>
      <c r="S63" s="1174"/>
      <c r="T63" s="1174"/>
    </row>
    <row r="64" spans="1:23" s="1191" customFormat="1" ht="24" customHeight="1">
      <c r="A64" s="1801"/>
      <c r="B64" s="1801"/>
      <c r="D64" s="1515">
        <v>93972</v>
      </c>
      <c r="E64" s="1162">
        <v>93960</v>
      </c>
      <c r="F64" s="1162">
        <v>63228</v>
      </c>
      <c r="G64" s="1162">
        <v>420162</v>
      </c>
      <c r="H64" s="1162">
        <v>460292</v>
      </c>
      <c r="I64" s="1162">
        <v>55983</v>
      </c>
      <c r="J64" s="1162">
        <v>972828</v>
      </c>
      <c r="K64" s="1162">
        <v>73891</v>
      </c>
      <c r="L64" s="1162">
        <v>83592</v>
      </c>
      <c r="M64" s="1162">
        <v>564545</v>
      </c>
      <c r="N64" s="1164">
        <v>2882453</v>
      </c>
      <c r="O64" s="1473"/>
      <c r="P64" s="1656" t="s">
        <v>3101</v>
      </c>
      <c r="Q64" s="1522"/>
      <c r="S64" s="1174"/>
      <c r="T64" s="1174"/>
    </row>
    <row r="65" spans="1:20" ht="24">
      <c r="A65" s="1801"/>
      <c r="B65" s="1801"/>
      <c r="D65" s="1492">
        <v>239826</v>
      </c>
      <c r="E65" s="1157">
        <v>237455</v>
      </c>
      <c r="F65" s="1157">
        <v>63609</v>
      </c>
      <c r="G65" s="1157">
        <v>622867</v>
      </c>
      <c r="H65" s="1157">
        <v>643644</v>
      </c>
      <c r="I65" s="1157">
        <v>94691</v>
      </c>
      <c r="J65" s="1157">
        <v>1629428</v>
      </c>
      <c r="K65" s="1157">
        <v>111452</v>
      </c>
      <c r="L65" s="1157">
        <v>80654</v>
      </c>
      <c r="M65" s="1157">
        <v>620770</v>
      </c>
      <c r="N65" s="1159">
        <v>4344396</v>
      </c>
      <c r="O65" s="1757"/>
      <c r="P65" s="3201" t="s">
        <v>3106</v>
      </c>
      <c r="Q65" s="1506"/>
    </row>
    <row r="66" spans="1:20" s="1191" customFormat="1" ht="24" customHeight="1">
      <c r="A66" s="1801"/>
      <c r="B66" s="1801"/>
      <c r="D66" s="4546">
        <v>465230</v>
      </c>
      <c r="E66" s="4547">
        <v>251128.4</v>
      </c>
      <c r="F66" s="4547">
        <v>78464.100000000006</v>
      </c>
      <c r="G66" s="4547">
        <v>777217.5</v>
      </c>
      <c r="H66" s="4547">
        <v>812030.3</v>
      </c>
      <c r="I66" s="4547">
        <v>115652.9</v>
      </c>
      <c r="J66" s="4547">
        <v>2366971</v>
      </c>
      <c r="K66" s="4547">
        <v>109806.1</v>
      </c>
      <c r="L66" s="4547">
        <v>74990.2</v>
      </c>
      <c r="M66" s="4547">
        <v>736334.1</v>
      </c>
      <c r="N66" s="4548">
        <v>5787824.5999999987</v>
      </c>
      <c r="O66" s="4555"/>
      <c r="P66" s="4556" t="s">
        <v>3116</v>
      </c>
      <c r="Q66" s="4558"/>
      <c r="S66" s="1174"/>
      <c r="T66" s="1174"/>
    </row>
    <row r="67" spans="1:20">
      <c r="A67" s="1801"/>
      <c r="B67" s="1801"/>
      <c r="D67" s="427" t="s">
        <v>1425</v>
      </c>
      <c r="E67" s="426"/>
      <c r="F67" s="1838"/>
      <c r="G67" s="1838"/>
      <c r="H67" s="1838"/>
      <c r="I67" s="1318"/>
      <c r="J67" s="1318"/>
      <c r="K67" s="1318"/>
      <c r="L67" s="1318"/>
      <c r="M67" s="1318"/>
      <c r="N67" s="1318"/>
      <c r="O67" s="4495"/>
      <c r="P67" s="3288" t="s">
        <v>1479</v>
      </c>
      <c r="Q67" s="1318"/>
    </row>
    <row r="68" spans="1:20">
      <c r="A68" s="1801"/>
      <c r="B68" s="1801"/>
    </row>
    <row r="69" spans="1:20">
      <c r="A69" s="1801"/>
      <c r="B69" s="1801"/>
    </row>
    <row r="70" spans="1:20">
      <c r="A70" s="1801"/>
      <c r="B70" s="1801"/>
    </row>
    <row r="71" spans="1:20">
      <c r="A71" s="1801"/>
      <c r="B71" s="1801"/>
    </row>
    <row r="72" spans="1:20">
      <c r="A72" s="1801"/>
      <c r="B72" s="1801"/>
    </row>
    <row r="73" spans="1:20">
      <c r="A73" s="1801"/>
      <c r="B73" s="1801"/>
    </row>
    <row r="74" spans="1:20">
      <c r="A74" s="1801"/>
      <c r="B74" s="1801"/>
      <c r="S74" s="1801"/>
      <c r="T74" s="1801"/>
    </row>
    <row r="75" spans="1:20">
      <c r="A75" s="1801"/>
      <c r="B75" s="1801"/>
      <c r="S75" s="1801"/>
      <c r="T75" s="1801"/>
    </row>
    <row r="76" spans="1:20">
      <c r="A76" s="1801"/>
      <c r="B76" s="1801"/>
      <c r="S76" s="1191"/>
      <c r="T76" s="1191"/>
    </row>
    <row r="77" spans="1:20">
      <c r="A77" s="1801"/>
      <c r="B77" s="1801"/>
      <c r="S77" s="1191"/>
      <c r="T77" s="1191"/>
    </row>
    <row r="78" spans="1:20">
      <c r="A78" s="1801"/>
      <c r="B78" s="1801"/>
    </row>
    <row r="79" spans="1:20">
      <c r="A79" s="1801"/>
      <c r="B79" s="1801"/>
    </row>
    <row r="80" spans="1:20">
      <c r="A80" s="1801"/>
      <c r="B80" s="1801"/>
    </row>
    <row r="81" spans="1:20">
      <c r="A81" s="1801"/>
      <c r="B81" s="1801"/>
    </row>
    <row r="82" spans="1:20">
      <c r="A82" s="1801"/>
      <c r="B82" s="1801"/>
    </row>
    <row r="83" spans="1:20">
      <c r="A83" s="1801"/>
      <c r="B83" s="1801"/>
    </row>
    <row r="84" spans="1:20">
      <c r="A84" s="1801"/>
      <c r="B84" s="1801"/>
    </row>
    <row r="93" spans="1:20">
      <c r="S93" s="1801"/>
      <c r="T93" s="1801"/>
    </row>
    <row r="94" spans="1:20">
      <c r="S94" s="1801"/>
      <c r="T94" s="1801"/>
    </row>
  </sheetData>
  <mergeCells count="2">
    <mergeCell ref="D3:Q3"/>
    <mergeCell ref="D4:Q4"/>
  </mergeCells>
  <printOptions horizontalCentered="1"/>
  <pageMargins left="0.62992125984252001" right="0.62992125984252001" top="0.78740157480314998" bottom="0.98425196850393704" header="0.511811023622047" footer="0.511811023622047"/>
  <pageSetup paperSize="9" scale="49" orientation="portrait" r:id="rId1"/>
  <headerFooter alignWithMargins="0">
    <oddFooter>&amp;C&amp;"+,Regular"&amp;22-54-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7"/>
  <sheetViews>
    <sheetView topLeftCell="A67" zoomScale="75" zoomScaleNormal="75" workbookViewId="0">
      <selection activeCell="H84" sqref="H84"/>
    </sheetView>
  </sheetViews>
  <sheetFormatPr defaultColWidth="9.42578125" defaultRowHeight="20.25"/>
  <cols>
    <col min="1" max="2" width="9.42578125" style="1174" customWidth="1"/>
    <col min="3" max="3" width="9.5703125" style="1174" customWidth="1"/>
    <col min="4" max="4" width="3.5703125" style="1192" customWidth="1"/>
    <col min="5" max="5" width="1.42578125" style="1192" customWidth="1"/>
    <col min="6" max="6" width="13.140625" style="1192" customWidth="1"/>
    <col min="7" max="7" width="18" style="1192" customWidth="1"/>
    <col min="8" max="8" width="20.5703125" style="1192" bestFit="1" customWidth="1"/>
    <col min="9" max="9" width="15.85546875" style="1192" customWidth="1"/>
    <col min="10" max="10" width="16.7109375" style="1192" bestFit="1" customWidth="1"/>
    <col min="11" max="11" width="18.42578125" style="1192" bestFit="1" customWidth="1"/>
    <col min="12" max="12" width="16.28515625" style="1192" bestFit="1" customWidth="1"/>
    <col min="13" max="13" width="16.28515625" style="1192" customWidth="1"/>
    <col min="14" max="14" width="17.140625" style="1192" customWidth="1"/>
    <col min="15" max="15" width="1.42578125" style="1192" customWidth="1"/>
    <col min="16" max="16" width="8.85546875" style="1192" customWidth="1"/>
    <col min="17" max="17" width="1.42578125" style="1192" customWidth="1"/>
    <col min="18" max="245" width="12" style="1174" customWidth="1"/>
    <col min="246" max="257" width="9.42578125" style="1174"/>
    <col min="258" max="258" width="9.42578125" style="1174" customWidth="1"/>
    <col min="259" max="259" width="9.5703125" style="1174" customWidth="1"/>
    <col min="260" max="260" width="3.5703125" style="1174" customWidth="1"/>
    <col min="261" max="261" width="1.42578125" style="1174" customWidth="1"/>
    <col min="262" max="262" width="9.140625" style="1174" customWidth="1"/>
    <col min="263" max="263" width="16.28515625" style="1174" customWidth="1"/>
    <col min="264" max="264" width="16.42578125" style="1174" customWidth="1"/>
    <col min="265" max="265" width="12" style="1174" customWidth="1"/>
    <col min="266" max="266" width="14.5703125" style="1174" customWidth="1"/>
    <col min="267" max="267" width="15.28515625" style="1174" customWidth="1"/>
    <col min="268" max="268" width="13" style="1174" customWidth="1"/>
    <col min="269" max="269" width="16.28515625" style="1174" customWidth="1"/>
    <col min="270" max="270" width="17.140625" style="1174" customWidth="1"/>
    <col min="271" max="271" width="1.42578125" style="1174" customWidth="1"/>
    <col min="272" max="272" width="7.5703125" style="1174" customWidth="1"/>
    <col min="273" max="273" width="1.42578125" style="1174" customWidth="1"/>
    <col min="274" max="501" width="12" style="1174" customWidth="1"/>
    <col min="502" max="513" width="9.42578125" style="1174"/>
    <col min="514" max="514" width="9.42578125" style="1174" customWidth="1"/>
    <col min="515" max="515" width="9.5703125" style="1174" customWidth="1"/>
    <col min="516" max="516" width="3.5703125" style="1174" customWidth="1"/>
    <col min="517" max="517" width="1.42578125" style="1174" customWidth="1"/>
    <col min="518" max="518" width="9.140625" style="1174" customWidth="1"/>
    <col min="519" max="519" width="16.28515625" style="1174" customWidth="1"/>
    <col min="520" max="520" width="16.42578125" style="1174" customWidth="1"/>
    <col min="521" max="521" width="12" style="1174" customWidth="1"/>
    <col min="522" max="522" width="14.5703125" style="1174" customWidth="1"/>
    <col min="523" max="523" width="15.28515625" style="1174" customWidth="1"/>
    <col min="524" max="524" width="13" style="1174" customWidth="1"/>
    <col min="525" max="525" width="16.28515625" style="1174" customWidth="1"/>
    <col min="526" max="526" width="17.140625" style="1174" customWidth="1"/>
    <col min="527" max="527" width="1.42578125" style="1174" customWidth="1"/>
    <col min="528" max="528" width="7.5703125" style="1174" customWidth="1"/>
    <col min="529" max="529" width="1.42578125" style="1174" customWidth="1"/>
    <col min="530" max="757" width="12" style="1174" customWidth="1"/>
    <col min="758" max="769" width="9.42578125" style="1174"/>
    <col min="770" max="770" width="9.42578125" style="1174" customWidth="1"/>
    <col min="771" max="771" width="9.5703125" style="1174" customWidth="1"/>
    <col min="772" max="772" width="3.5703125" style="1174" customWidth="1"/>
    <col min="773" max="773" width="1.42578125" style="1174" customWidth="1"/>
    <col min="774" max="774" width="9.140625" style="1174" customWidth="1"/>
    <col min="775" max="775" width="16.28515625" style="1174" customWidth="1"/>
    <col min="776" max="776" width="16.42578125" style="1174" customWidth="1"/>
    <col min="777" max="777" width="12" style="1174" customWidth="1"/>
    <col min="778" max="778" width="14.5703125" style="1174" customWidth="1"/>
    <col min="779" max="779" width="15.28515625" style="1174" customWidth="1"/>
    <col min="780" max="780" width="13" style="1174" customWidth="1"/>
    <col min="781" max="781" width="16.28515625" style="1174" customWidth="1"/>
    <col min="782" max="782" width="17.140625" style="1174" customWidth="1"/>
    <col min="783" max="783" width="1.42578125" style="1174" customWidth="1"/>
    <col min="784" max="784" width="7.5703125" style="1174" customWidth="1"/>
    <col min="785" max="785" width="1.42578125" style="1174" customWidth="1"/>
    <col min="786" max="1013" width="12" style="1174" customWidth="1"/>
    <col min="1014" max="1025" width="9.42578125" style="1174"/>
    <col min="1026" max="1026" width="9.42578125" style="1174" customWidth="1"/>
    <col min="1027" max="1027" width="9.5703125" style="1174" customWidth="1"/>
    <col min="1028" max="1028" width="3.5703125" style="1174" customWidth="1"/>
    <col min="1029" max="1029" width="1.42578125" style="1174" customWidth="1"/>
    <col min="1030" max="1030" width="9.140625" style="1174" customWidth="1"/>
    <col min="1031" max="1031" width="16.28515625" style="1174" customWidth="1"/>
    <col min="1032" max="1032" width="16.42578125" style="1174" customWidth="1"/>
    <col min="1033" max="1033" width="12" style="1174" customWidth="1"/>
    <col min="1034" max="1034" width="14.5703125" style="1174" customWidth="1"/>
    <col min="1035" max="1035" width="15.28515625" style="1174" customWidth="1"/>
    <col min="1036" max="1036" width="13" style="1174" customWidth="1"/>
    <col min="1037" max="1037" width="16.28515625" style="1174" customWidth="1"/>
    <col min="1038" max="1038" width="17.140625" style="1174" customWidth="1"/>
    <col min="1039" max="1039" width="1.42578125" style="1174" customWidth="1"/>
    <col min="1040" max="1040" width="7.5703125" style="1174" customWidth="1"/>
    <col min="1041" max="1041" width="1.42578125" style="1174" customWidth="1"/>
    <col min="1042" max="1269" width="12" style="1174" customWidth="1"/>
    <col min="1270" max="1281" width="9.42578125" style="1174"/>
    <col min="1282" max="1282" width="9.42578125" style="1174" customWidth="1"/>
    <col min="1283" max="1283" width="9.5703125" style="1174" customWidth="1"/>
    <col min="1284" max="1284" width="3.5703125" style="1174" customWidth="1"/>
    <col min="1285" max="1285" width="1.42578125" style="1174" customWidth="1"/>
    <col min="1286" max="1286" width="9.140625" style="1174" customWidth="1"/>
    <col min="1287" max="1287" width="16.28515625" style="1174" customWidth="1"/>
    <col min="1288" max="1288" width="16.42578125" style="1174" customWidth="1"/>
    <col min="1289" max="1289" width="12" style="1174" customWidth="1"/>
    <col min="1290" max="1290" width="14.5703125" style="1174" customWidth="1"/>
    <col min="1291" max="1291" width="15.28515625" style="1174" customWidth="1"/>
    <col min="1292" max="1292" width="13" style="1174" customWidth="1"/>
    <col min="1293" max="1293" width="16.28515625" style="1174" customWidth="1"/>
    <col min="1294" max="1294" width="17.140625" style="1174" customWidth="1"/>
    <col min="1295" max="1295" width="1.42578125" style="1174" customWidth="1"/>
    <col min="1296" max="1296" width="7.5703125" style="1174" customWidth="1"/>
    <col min="1297" max="1297" width="1.42578125" style="1174" customWidth="1"/>
    <col min="1298" max="1525" width="12" style="1174" customWidth="1"/>
    <col min="1526" max="1537" width="9.42578125" style="1174"/>
    <col min="1538" max="1538" width="9.42578125" style="1174" customWidth="1"/>
    <col min="1539" max="1539" width="9.5703125" style="1174" customWidth="1"/>
    <col min="1540" max="1540" width="3.5703125" style="1174" customWidth="1"/>
    <col min="1541" max="1541" width="1.42578125" style="1174" customWidth="1"/>
    <col min="1542" max="1542" width="9.140625" style="1174" customWidth="1"/>
    <col min="1543" max="1543" width="16.28515625" style="1174" customWidth="1"/>
    <col min="1544" max="1544" width="16.42578125" style="1174" customWidth="1"/>
    <col min="1545" max="1545" width="12" style="1174" customWidth="1"/>
    <col min="1546" max="1546" width="14.5703125" style="1174" customWidth="1"/>
    <col min="1547" max="1547" width="15.28515625" style="1174" customWidth="1"/>
    <col min="1548" max="1548" width="13" style="1174" customWidth="1"/>
    <col min="1549" max="1549" width="16.28515625" style="1174" customWidth="1"/>
    <col min="1550" max="1550" width="17.140625" style="1174" customWidth="1"/>
    <col min="1551" max="1551" width="1.42578125" style="1174" customWidth="1"/>
    <col min="1552" max="1552" width="7.5703125" style="1174" customWidth="1"/>
    <col min="1553" max="1553" width="1.42578125" style="1174" customWidth="1"/>
    <col min="1554" max="1781" width="12" style="1174" customWidth="1"/>
    <col min="1782" max="1793" width="9.42578125" style="1174"/>
    <col min="1794" max="1794" width="9.42578125" style="1174" customWidth="1"/>
    <col min="1795" max="1795" width="9.5703125" style="1174" customWidth="1"/>
    <col min="1796" max="1796" width="3.5703125" style="1174" customWidth="1"/>
    <col min="1797" max="1797" width="1.42578125" style="1174" customWidth="1"/>
    <col min="1798" max="1798" width="9.140625" style="1174" customWidth="1"/>
    <col min="1799" max="1799" width="16.28515625" style="1174" customWidth="1"/>
    <col min="1800" max="1800" width="16.42578125" style="1174" customWidth="1"/>
    <col min="1801" max="1801" width="12" style="1174" customWidth="1"/>
    <col min="1802" max="1802" width="14.5703125" style="1174" customWidth="1"/>
    <col min="1803" max="1803" width="15.28515625" style="1174" customWidth="1"/>
    <col min="1804" max="1804" width="13" style="1174" customWidth="1"/>
    <col min="1805" max="1805" width="16.28515625" style="1174" customWidth="1"/>
    <col min="1806" max="1806" width="17.140625" style="1174" customWidth="1"/>
    <col min="1807" max="1807" width="1.42578125" style="1174" customWidth="1"/>
    <col min="1808" max="1808" width="7.5703125" style="1174" customWidth="1"/>
    <col min="1809" max="1809" width="1.42578125" style="1174" customWidth="1"/>
    <col min="1810" max="2037" width="12" style="1174" customWidth="1"/>
    <col min="2038" max="2049" width="9.42578125" style="1174"/>
    <col min="2050" max="2050" width="9.42578125" style="1174" customWidth="1"/>
    <col min="2051" max="2051" width="9.5703125" style="1174" customWidth="1"/>
    <col min="2052" max="2052" width="3.5703125" style="1174" customWidth="1"/>
    <col min="2053" max="2053" width="1.42578125" style="1174" customWidth="1"/>
    <col min="2054" max="2054" width="9.140625" style="1174" customWidth="1"/>
    <col min="2055" max="2055" width="16.28515625" style="1174" customWidth="1"/>
    <col min="2056" max="2056" width="16.42578125" style="1174" customWidth="1"/>
    <col min="2057" max="2057" width="12" style="1174" customWidth="1"/>
    <col min="2058" max="2058" width="14.5703125" style="1174" customWidth="1"/>
    <col min="2059" max="2059" width="15.28515625" style="1174" customWidth="1"/>
    <col min="2060" max="2060" width="13" style="1174" customWidth="1"/>
    <col min="2061" max="2061" width="16.28515625" style="1174" customWidth="1"/>
    <col min="2062" max="2062" width="17.140625" style="1174" customWidth="1"/>
    <col min="2063" max="2063" width="1.42578125" style="1174" customWidth="1"/>
    <col min="2064" max="2064" width="7.5703125" style="1174" customWidth="1"/>
    <col min="2065" max="2065" width="1.42578125" style="1174" customWidth="1"/>
    <col min="2066" max="2293" width="12" style="1174" customWidth="1"/>
    <col min="2294" max="2305" width="9.42578125" style="1174"/>
    <col min="2306" max="2306" width="9.42578125" style="1174" customWidth="1"/>
    <col min="2307" max="2307" width="9.5703125" style="1174" customWidth="1"/>
    <col min="2308" max="2308" width="3.5703125" style="1174" customWidth="1"/>
    <col min="2309" max="2309" width="1.42578125" style="1174" customWidth="1"/>
    <col min="2310" max="2310" width="9.140625" style="1174" customWidth="1"/>
    <col min="2311" max="2311" width="16.28515625" style="1174" customWidth="1"/>
    <col min="2312" max="2312" width="16.42578125" style="1174" customWidth="1"/>
    <col min="2313" max="2313" width="12" style="1174" customWidth="1"/>
    <col min="2314" max="2314" width="14.5703125" style="1174" customWidth="1"/>
    <col min="2315" max="2315" width="15.28515625" style="1174" customWidth="1"/>
    <col min="2316" max="2316" width="13" style="1174" customWidth="1"/>
    <col min="2317" max="2317" width="16.28515625" style="1174" customWidth="1"/>
    <col min="2318" max="2318" width="17.140625" style="1174" customWidth="1"/>
    <col min="2319" max="2319" width="1.42578125" style="1174" customWidth="1"/>
    <col min="2320" max="2320" width="7.5703125" style="1174" customWidth="1"/>
    <col min="2321" max="2321" width="1.42578125" style="1174" customWidth="1"/>
    <col min="2322" max="2549" width="12" style="1174" customWidth="1"/>
    <col min="2550" max="2561" width="9.42578125" style="1174"/>
    <col min="2562" max="2562" width="9.42578125" style="1174" customWidth="1"/>
    <col min="2563" max="2563" width="9.5703125" style="1174" customWidth="1"/>
    <col min="2564" max="2564" width="3.5703125" style="1174" customWidth="1"/>
    <col min="2565" max="2565" width="1.42578125" style="1174" customWidth="1"/>
    <col min="2566" max="2566" width="9.140625" style="1174" customWidth="1"/>
    <col min="2567" max="2567" width="16.28515625" style="1174" customWidth="1"/>
    <col min="2568" max="2568" width="16.42578125" style="1174" customWidth="1"/>
    <col min="2569" max="2569" width="12" style="1174" customWidth="1"/>
    <col min="2570" max="2570" width="14.5703125" style="1174" customWidth="1"/>
    <col min="2571" max="2571" width="15.28515625" style="1174" customWidth="1"/>
    <col min="2572" max="2572" width="13" style="1174" customWidth="1"/>
    <col min="2573" max="2573" width="16.28515625" style="1174" customWidth="1"/>
    <col min="2574" max="2574" width="17.140625" style="1174" customWidth="1"/>
    <col min="2575" max="2575" width="1.42578125" style="1174" customWidth="1"/>
    <col min="2576" max="2576" width="7.5703125" style="1174" customWidth="1"/>
    <col min="2577" max="2577" width="1.42578125" style="1174" customWidth="1"/>
    <col min="2578" max="2805" width="12" style="1174" customWidth="1"/>
    <col min="2806" max="2817" width="9.42578125" style="1174"/>
    <col min="2818" max="2818" width="9.42578125" style="1174" customWidth="1"/>
    <col min="2819" max="2819" width="9.5703125" style="1174" customWidth="1"/>
    <col min="2820" max="2820" width="3.5703125" style="1174" customWidth="1"/>
    <col min="2821" max="2821" width="1.42578125" style="1174" customWidth="1"/>
    <col min="2822" max="2822" width="9.140625" style="1174" customWidth="1"/>
    <col min="2823" max="2823" width="16.28515625" style="1174" customWidth="1"/>
    <col min="2824" max="2824" width="16.42578125" style="1174" customWidth="1"/>
    <col min="2825" max="2825" width="12" style="1174" customWidth="1"/>
    <col min="2826" max="2826" width="14.5703125" style="1174" customWidth="1"/>
    <col min="2827" max="2827" width="15.28515625" style="1174" customWidth="1"/>
    <col min="2828" max="2828" width="13" style="1174" customWidth="1"/>
    <col min="2829" max="2829" width="16.28515625" style="1174" customWidth="1"/>
    <col min="2830" max="2830" width="17.140625" style="1174" customWidth="1"/>
    <col min="2831" max="2831" width="1.42578125" style="1174" customWidth="1"/>
    <col min="2832" max="2832" width="7.5703125" style="1174" customWidth="1"/>
    <col min="2833" max="2833" width="1.42578125" style="1174" customWidth="1"/>
    <col min="2834" max="3061" width="12" style="1174" customWidth="1"/>
    <col min="3062" max="3073" width="9.42578125" style="1174"/>
    <col min="3074" max="3074" width="9.42578125" style="1174" customWidth="1"/>
    <col min="3075" max="3075" width="9.5703125" style="1174" customWidth="1"/>
    <col min="3076" max="3076" width="3.5703125" style="1174" customWidth="1"/>
    <col min="3077" max="3077" width="1.42578125" style="1174" customWidth="1"/>
    <col min="3078" max="3078" width="9.140625" style="1174" customWidth="1"/>
    <col min="3079" max="3079" width="16.28515625" style="1174" customWidth="1"/>
    <col min="3080" max="3080" width="16.42578125" style="1174" customWidth="1"/>
    <col min="3081" max="3081" width="12" style="1174" customWidth="1"/>
    <col min="3082" max="3082" width="14.5703125" style="1174" customWidth="1"/>
    <col min="3083" max="3083" width="15.28515625" style="1174" customWidth="1"/>
    <col min="3084" max="3084" width="13" style="1174" customWidth="1"/>
    <col min="3085" max="3085" width="16.28515625" style="1174" customWidth="1"/>
    <col min="3086" max="3086" width="17.140625" style="1174" customWidth="1"/>
    <col min="3087" max="3087" width="1.42578125" style="1174" customWidth="1"/>
    <col min="3088" max="3088" width="7.5703125" style="1174" customWidth="1"/>
    <col min="3089" max="3089" width="1.42578125" style="1174" customWidth="1"/>
    <col min="3090" max="3317" width="12" style="1174" customWidth="1"/>
    <col min="3318" max="3329" width="9.42578125" style="1174"/>
    <col min="3330" max="3330" width="9.42578125" style="1174" customWidth="1"/>
    <col min="3331" max="3331" width="9.5703125" style="1174" customWidth="1"/>
    <col min="3332" max="3332" width="3.5703125" style="1174" customWidth="1"/>
    <col min="3333" max="3333" width="1.42578125" style="1174" customWidth="1"/>
    <col min="3334" max="3334" width="9.140625" style="1174" customWidth="1"/>
    <col min="3335" max="3335" width="16.28515625" style="1174" customWidth="1"/>
    <col min="3336" max="3336" width="16.42578125" style="1174" customWidth="1"/>
    <col min="3337" max="3337" width="12" style="1174" customWidth="1"/>
    <col min="3338" max="3338" width="14.5703125" style="1174" customWidth="1"/>
    <col min="3339" max="3339" width="15.28515625" style="1174" customWidth="1"/>
    <col min="3340" max="3340" width="13" style="1174" customWidth="1"/>
    <col min="3341" max="3341" width="16.28515625" style="1174" customWidth="1"/>
    <col min="3342" max="3342" width="17.140625" style="1174" customWidth="1"/>
    <col min="3343" max="3343" width="1.42578125" style="1174" customWidth="1"/>
    <col min="3344" max="3344" width="7.5703125" style="1174" customWidth="1"/>
    <col min="3345" max="3345" width="1.42578125" style="1174" customWidth="1"/>
    <col min="3346" max="3573" width="12" style="1174" customWidth="1"/>
    <col min="3574" max="3585" width="9.42578125" style="1174"/>
    <col min="3586" max="3586" width="9.42578125" style="1174" customWidth="1"/>
    <col min="3587" max="3587" width="9.5703125" style="1174" customWidth="1"/>
    <col min="3588" max="3588" width="3.5703125" style="1174" customWidth="1"/>
    <col min="3589" max="3589" width="1.42578125" style="1174" customWidth="1"/>
    <col min="3590" max="3590" width="9.140625" style="1174" customWidth="1"/>
    <col min="3591" max="3591" width="16.28515625" style="1174" customWidth="1"/>
    <col min="3592" max="3592" width="16.42578125" style="1174" customWidth="1"/>
    <col min="3593" max="3593" width="12" style="1174" customWidth="1"/>
    <col min="3594" max="3594" width="14.5703125" style="1174" customWidth="1"/>
    <col min="3595" max="3595" width="15.28515625" style="1174" customWidth="1"/>
    <col min="3596" max="3596" width="13" style="1174" customWidth="1"/>
    <col min="3597" max="3597" width="16.28515625" style="1174" customWidth="1"/>
    <col min="3598" max="3598" width="17.140625" style="1174" customWidth="1"/>
    <col min="3599" max="3599" width="1.42578125" style="1174" customWidth="1"/>
    <col min="3600" max="3600" width="7.5703125" style="1174" customWidth="1"/>
    <col min="3601" max="3601" width="1.42578125" style="1174" customWidth="1"/>
    <col min="3602" max="3829" width="12" style="1174" customWidth="1"/>
    <col min="3830" max="3841" width="9.42578125" style="1174"/>
    <col min="3842" max="3842" width="9.42578125" style="1174" customWidth="1"/>
    <col min="3843" max="3843" width="9.5703125" style="1174" customWidth="1"/>
    <col min="3844" max="3844" width="3.5703125" style="1174" customWidth="1"/>
    <col min="3845" max="3845" width="1.42578125" style="1174" customWidth="1"/>
    <col min="3846" max="3846" width="9.140625" style="1174" customWidth="1"/>
    <col min="3847" max="3847" width="16.28515625" style="1174" customWidth="1"/>
    <col min="3848" max="3848" width="16.42578125" style="1174" customWidth="1"/>
    <col min="3849" max="3849" width="12" style="1174" customWidth="1"/>
    <col min="3850" max="3850" width="14.5703125" style="1174" customWidth="1"/>
    <col min="3851" max="3851" width="15.28515625" style="1174" customWidth="1"/>
    <col min="3852" max="3852" width="13" style="1174" customWidth="1"/>
    <col min="3853" max="3853" width="16.28515625" style="1174" customWidth="1"/>
    <col min="3854" max="3854" width="17.140625" style="1174" customWidth="1"/>
    <col min="3855" max="3855" width="1.42578125" style="1174" customWidth="1"/>
    <col min="3856" max="3856" width="7.5703125" style="1174" customWidth="1"/>
    <col min="3857" max="3857" width="1.42578125" style="1174" customWidth="1"/>
    <col min="3858" max="4085" width="12" style="1174" customWidth="1"/>
    <col min="4086" max="4097" width="9.42578125" style="1174"/>
    <col min="4098" max="4098" width="9.42578125" style="1174" customWidth="1"/>
    <col min="4099" max="4099" width="9.5703125" style="1174" customWidth="1"/>
    <col min="4100" max="4100" width="3.5703125" style="1174" customWidth="1"/>
    <col min="4101" max="4101" width="1.42578125" style="1174" customWidth="1"/>
    <col min="4102" max="4102" width="9.140625" style="1174" customWidth="1"/>
    <col min="4103" max="4103" width="16.28515625" style="1174" customWidth="1"/>
    <col min="4104" max="4104" width="16.42578125" style="1174" customWidth="1"/>
    <col min="4105" max="4105" width="12" style="1174" customWidth="1"/>
    <col min="4106" max="4106" width="14.5703125" style="1174" customWidth="1"/>
    <col min="4107" max="4107" width="15.28515625" style="1174" customWidth="1"/>
    <col min="4108" max="4108" width="13" style="1174" customWidth="1"/>
    <col min="4109" max="4109" width="16.28515625" style="1174" customWidth="1"/>
    <col min="4110" max="4110" width="17.140625" style="1174" customWidth="1"/>
    <col min="4111" max="4111" width="1.42578125" style="1174" customWidth="1"/>
    <col min="4112" max="4112" width="7.5703125" style="1174" customWidth="1"/>
    <col min="4113" max="4113" width="1.42578125" style="1174" customWidth="1"/>
    <col min="4114" max="4341" width="12" style="1174" customWidth="1"/>
    <col min="4342" max="4353" width="9.42578125" style="1174"/>
    <col min="4354" max="4354" width="9.42578125" style="1174" customWidth="1"/>
    <col min="4355" max="4355" width="9.5703125" style="1174" customWidth="1"/>
    <col min="4356" max="4356" width="3.5703125" style="1174" customWidth="1"/>
    <col min="4357" max="4357" width="1.42578125" style="1174" customWidth="1"/>
    <col min="4358" max="4358" width="9.140625" style="1174" customWidth="1"/>
    <col min="4359" max="4359" width="16.28515625" style="1174" customWidth="1"/>
    <col min="4360" max="4360" width="16.42578125" style="1174" customWidth="1"/>
    <col min="4361" max="4361" width="12" style="1174" customWidth="1"/>
    <col min="4362" max="4362" width="14.5703125" style="1174" customWidth="1"/>
    <col min="4363" max="4363" width="15.28515625" style="1174" customWidth="1"/>
    <col min="4364" max="4364" width="13" style="1174" customWidth="1"/>
    <col min="4365" max="4365" width="16.28515625" style="1174" customWidth="1"/>
    <col min="4366" max="4366" width="17.140625" style="1174" customWidth="1"/>
    <col min="4367" max="4367" width="1.42578125" style="1174" customWidth="1"/>
    <col min="4368" max="4368" width="7.5703125" style="1174" customWidth="1"/>
    <col min="4369" max="4369" width="1.42578125" style="1174" customWidth="1"/>
    <col min="4370" max="4597" width="12" style="1174" customWidth="1"/>
    <col min="4598" max="4609" width="9.42578125" style="1174"/>
    <col min="4610" max="4610" width="9.42578125" style="1174" customWidth="1"/>
    <col min="4611" max="4611" width="9.5703125" style="1174" customWidth="1"/>
    <col min="4612" max="4612" width="3.5703125" style="1174" customWidth="1"/>
    <col min="4613" max="4613" width="1.42578125" style="1174" customWidth="1"/>
    <col min="4614" max="4614" width="9.140625" style="1174" customWidth="1"/>
    <col min="4615" max="4615" width="16.28515625" style="1174" customWidth="1"/>
    <col min="4616" max="4616" width="16.42578125" style="1174" customWidth="1"/>
    <col min="4617" max="4617" width="12" style="1174" customWidth="1"/>
    <col min="4618" max="4618" width="14.5703125" style="1174" customWidth="1"/>
    <col min="4619" max="4619" width="15.28515625" style="1174" customWidth="1"/>
    <col min="4620" max="4620" width="13" style="1174" customWidth="1"/>
    <col min="4621" max="4621" width="16.28515625" style="1174" customWidth="1"/>
    <col min="4622" max="4622" width="17.140625" style="1174" customWidth="1"/>
    <col min="4623" max="4623" width="1.42578125" style="1174" customWidth="1"/>
    <col min="4624" max="4624" width="7.5703125" style="1174" customWidth="1"/>
    <col min="4625" max="4625" width="1.42578125" style="1174" customWidth="1"/>
    <col min="4626" max="4853" width="12" style="1174" customWidth="1"/>
    <col min="4854" max="4865" width="9.42578125" style="1174"/>
    <col min="4866" max="4866" width="9.42578125" style="1174" customWidth="1"/>
    <col min="4867" max="4867" width="9.5703125" style="1174" customWidth="1"/>
    <col min="4868" max="4868" width="3.5703125" style="1174" customWidth="1"/>
    <col min="4869" max="4869" width="1.42578125" style="1174" customWidth="1"/>
    <col min="4870" max="4870" width="9.140625" style="1174" customWidth="1"/>
    <col min="4871" max="4871" width="16.28515625" style="1174" customWidth="1"/>
    <col min="4872" max="4872" width="16.42578125" style="1174" customWidth="1"/>
    <col min="4873" max="4873" width="12" style="1174" customWidth="1"/>
    <col min="4874" max="4874" width="14.5703125" style="1174" customWidth="1"/>
    <col min="4875" max="4875" width="15.28515625" style="1174" customWidth="1"/>
    <col min="4876" max="4876" width="13" style="1174" customWidth="1"/>
    <col min="4877" max="4877" width="16.28515625" style="1174" customWidth="1"/>
    <col min="4878" max="4878" width="17.140625" style="1174" customWidth="1"/>
    <col min="4879" max="4879" width="1.42578125" style="1174" customWidth="1"/>
    <col min="4880" max="4880" width="7.5703125" style="1174" customWidth="1"/>
    <col min="4881" max="4881" width="1.42578125" style="1174" customWidth="1"/>
    <col min="4882" max="5109" width="12" style="1174" customWidth="1"/>
    <col min="5110" max="5121" width="9.42578125" style="1174"/>
    <col min="5122" max="5122" width="9.42578125" style="1174" customWidth="1"/>
    <col min="5123" max="5123" width="9.5703125" style="1174" customWidth="1"/>
    <col min="5124" max="5124" width="3.5703125" style="1174" customWidth="1"/>
    <col min="5125" max="5125" width="1.42578125" style="1174" customWidth="1"/>
    <col min="5126" max="5126" width="9.140625" style="1174" customWidth="1"/>
    <col min="5127" max="5127" width="16.28515625" style="1174" customWidth="1"/>
    <col min="5128" max="5128" width="16.42578125" style="1174" customWidth="1"/>
    <col min="5129" max="5129" width="12" style="1174" customWidth="1"/>
    <col min="5130" max="5130" width="14.5703125" style="1174" customWidth="1"/>
    <col min="5131" max="5131" width="15.28515625" style="1174" customWidth="1"/>
    <col min="5132" max="5132" width="13" style="1174" customWidth="1"/>
    <col min="5133" max="5133" width="16.28515625" style="1174" customWidth="1"/>
    <col min="5134" max="5134" width="17.140625" style="1174" customWidth="1"/>
    <col min="5135" max="5135" width="1.42578125" style="1174" customWidth="1"/>
    <col min="5136" max="5136" width="7.5703125" style="1174" customWidth="1"/>
    <col min="5137" max="5137" width="1.42578125" style="1174" customWidth="1"/>
    <col min="5138" max="5365" width="12" style="1174" customWidth="1"/>
    <col min="5366" max="5377" width="9.42578125" style="1174"/>
    <col min="5378" max="5378" width="9.42578125" style="1174" customWidth="1"/>
    <col min="5379" max="5379" width="9.5703125" style="1174" customWidth="1"/>
    <col min="5380" max="5380" width="3.5703125" style="1174" customWidth="1"/>
    <col min="5381" max="5381" width="1.42578125" style="1174" customWidth="1"/>
    <col min="5382" max="5382" width="9.140625" style="1174" customWidth="1"/>
    <col min="5383" max="5383" width="16.28515625" style="1174" customWidth="1"/>
    <col min="5384" max="5384" width="16.42578125" style="1174" customWidth="1"/>
    <col min="5385" max="5385" width="12" style="1174" customWidth="1"/>
    <col min="5386" max="5386" width="14.5703125" style="1174" customWidth="1"/>
    <col min="5387" max="5387" width="15.28515625" style="1174" customWidth="1"/>
    <col min="5388" max="5388" width="13" style="1174" customWidth="1"/>
    <col min="5389" max="5389" width="16.28515625" style="1174" customWidth="1"/>
    <col min="5390" max="5390" width="17.140625" style="1174" customWidth="1"/>
    <col min="5391" max="5391" width="1.42578125" style="1174" customWidth="1"/>
    <col min="5392" max="5392" width="7.5703125" style="1174" customWidth="1"/>
    <col min="5393" max="5393" width="1.42578125" style="1174" customWidth="1"/>
    <col min="5394" max="5621" width="12" style="1174" customWidth="1"/>
    <col min="5622" max="5633" width="9.42578125" style="1174"/>
    <col min="5634" max="5634" width="9.42578125" style="1174" customWidth="1"/>
    <col min="5635" max="5635" width="9.5703125" style="1174" customWidth="1"/>
    <col min="5636" max="5636" width="3.5703125" style="1174" customWidth="1"/>
    <col min="5637" max="5637" width="1.42578125" style="1174" customWidth="1"/>
    <col min="5638" max="5638" width="9.140625" style="1174" customWidth="1"/>
    <col min="5639" max="5639" width="16.28515625" style="1174" customWidth="1"/>
    <col min="5640" max="5640" width="16.42578125" style="1174" customWidth="1"/>
    <col min="5641" max="5641" width="12" style="1174" customWidth="1"/>
    <col min="5642" max="5642" width="14.5703125" style="1174" customWidth="1"/>
    <col min="5643" max="5643" width="15.28515625" style="1174" customWidth="1"/>
    <col min="5644" max="5644" width="13" style="1174" customWidth="1"/>
    <col min="5645" max="5645" width="16.28515625" style="1174" customWidth="1"/>
    <col min="5646" max="5646" width="17.140625" style="1174" customWidth="1"/>
    <col min="5647" max="5647" width="1.42578125" style="1174" customWidth="1"/>
    <col min="5648" max="5648" width="7.5703125" style="1174" customWidth="1"/>
    <col min="5649" max="5649" width="1.42578125" style="1174" customWidth="1"/>
    <col min="5650" max="5877" width="12" style="1174" customWidth="1"/>
    <col min="5878" max="5889" width="9.42578125" style="1174"/>
    <col min="5890" max="5890" width="9.42578125" style="1174" customWidth="1"/>
    <col min="5891" max="5891" width="9.5703125" style="1174" customWidth="1"/>
    <col min="5892" max="5892" width="3.5703125" style="1174" customWidth="1"/>
    <col min="5893" max="5893" width="1.42578125" style="1174" customWidth="1"/>
    <col min="5894" max="5894" width="9.140625" style="1174" customWidth="1"/>
    <col min="5895" max="5895" width="16.28515625" style="1174" customWidth="1"/>
    <col min="5896" max="5896" width="16.42578125" style="1174" customWidth="1"/>
    <col min="5897" max="5897" width="12" style="1174" customWidth="1"/>
    <col min="5898" max="5898" width="14.5703125" style="1174" customWidth="1"/>
    <col min="5899" max="5899" width="15.28515625" style="1174" customWidth="1"/>
    <col min="5900" max="5900" width="13" style="1174" customWidth="1"/>
    <col min="5901" max="5901" width="16.28515625" style="1174" customWidth="1"/>
    <col min="5902" max="5902" width="17.140625" style="1174" customWidth="1"/>
    <col min="5903" max="5903" width="1.42578125" style="1174" customWidth="1"/>
    <col min="5904" max="5904" width="7.5703125" style="1174" customWidth="1"/>
    <col min="5905" max="5905" width="1.42578125" style="1174" customWidth="1"/>
    <col min="5906" max="6133" width="12" style="1174" customWidth="1"/>
    <col min="6134" max="6145" width="9.42578125" style="1174"/>
    <col min="6146" max="6146" width="9.42578125" style="1174" customWidth="1"/>
    <col min="6147" max="6147" width="9.5703125" style="1174" customWidth="1"/>
    <col min="6148" max="6148" width="3.5703125" style="1174" customWidth="1"/>
    <col min="6149" max="6149" width="1.42578125" style="1174" customWidth="1"/>
    <col min="6150" max="6150" width="9.140625" style="1174" customWidth="1"/>
    <col min="6151" max="6151" width="16.28515625" style="1174" customWidth="1"/>
    <col min="6152" max="6152" width="16.42578125" style="1174" customWidth="1"/>
    <col min="6153" max="6153" width="12" style="1174" customWidth="1"/>
    <col min="6154" max="6154" width="14.5703125" style="1174" customWidth="1"/>
    <col min="6155" max="6155" width="15.28515625" style="1174" customWidth="1"/>
    <col min="6156" max="6156" width="13" style="1174" customWidth="1"/>
    <col min="6157" max="6157" width="16.28515625" style="1174" customWidth="1"/>
    <col min="6158" max="6158" width="17.140625" style="1174" customWidth="1"/>
    <col min="6159" max="6159" width="1.42578125" style="1174" customWidth="1"/>
    <col min="6160" max="6160" width="7.5703125" style="1174" customWidth="1"/>
    <col min="6161" max="6161" width="1.42578125" style="1174" customWidth="1"/>
    <col min="6162" max="6389" width="12" style="1174" customWidth="1"/>
    <col min="6390" max="6401" width="9.42578125" style="1174"/>
    <col min="6402" max="6402" width="9.42578125" style="1174" customWidth="1"/>
    <col min="6403" max="6403" width="9.5703125" style="1174" customWidth="1"/>
    <col min="6404" max="6404" width="3.5703125" style="1174" customWidth="1"/>
    <col min="6405" max="6405" width="1.42578125" style="1174" customWidth="1"/>
    <col min="6406" max="6406" width="9.140625" style="1174" customWidth="1"/>
    <col min="6407" max="6407" width="16.28515625" style="1174" customWidth="1"/>
    <col min="6408" max="6408" width="16.42578125" style="1174" customWidth="1"/>
    <col min="6409" max="6409" width="12" style="1174" customWidth="1"/>
    <col min="6410" max="6410" width="14.5703125" style="1174" customWidth="1"/>
    <col min="6411" max="6411" width="15.28515625" style="1174" customWidth="1"/>
    <col min="6412" max="6412" width="13" style="1174" customWidth="1"/>
    <col min="6413" max="6413" width="16.28515625" style="1174" customWidth="1"/>
    <col min="6414" max="6414" width="17.140625" style="1174" customWidth="1"/>
    <col min="6415" max="6415" width="1.42578125" style="1174" customWidth="1"/>
    <col min="6416" max="6416" width="7.5703125" style="1174" customWidth="1"/>
    <col min="6417" max="6417" width="1.42578125" style="1174" customWidth="1"/>
    <col min="6418" max="6645" width="12" style="1174" customWidth="1"/>
    <col min="6646" max="6657" width="9.42578125" style="1174"/>
    <col min="6658" max="6658" width="9.42578125" style="1174" customWidth="1"/>
    <col min="6659" max="6659" width="9.5703125" style="1174" customWidth="1"/>
    <col min="6660" max="6660" width="3.5703125" style="1174" customWidth="1"/>
    <col min="6661" max="6661" width="1.42578125" style="1174" customWidth="1"/>
    <col min="6662" max="6662" width="9.140625" style="1174" customWidth="1"/>
    <col min="6663" max="6663" width="16.28515625" style="1174" customWidth="1"/>
    <col min="6664" max="6664" width="16.42578125" style="1174" customWidth="1"/>
    <col min="6665" max="6665" width="12" style="1174" customWidth="1"/>
    <col min="6666" max="6666" width="14.5703125" style="1174" customWidth="1"/>
    <col min="6667" max="6667" width="15.28515625" style="1174" customWidth="1"/>
    <col min="6668" max="6668" width="13" style="1174" customWidth="1"/>
    <col min="6669" max="6669" width="16.28515625" style="1174" customWidth="1"/>
    <col min="6670" max="6670" width="17.140625" style="1174" customWidth="1"/>
    <col min="6671" max="6671" width="1.42578125" style="1174" customWidth="1"/>
    <col min="6672" max="6672" width="7.5703125" style="1174" customWidth="1"/>
    <col min="6673" max="6673" width="1.42578125" style="1174" customWidth="1"/>
    <col min="6674" max="6901" width="12" style="1174" customWidth="1"/>
    <col min="6902" max="6913" width="9.42578125" style="1174"/>
    <col min="6914" max="6914" width="9.42578125" style="1174" customWidth="1"/>
    <col min="6915" max="6915" width="9.5703125" style="1174" customWidth="1"/>
    <col min="6916" max="6916" width="3.5703125" style="1174" customWidth="1"/>
    <col min="6917" max="6917" width="1.42578125" style="1174" customWidth="1"/>
    <col min="6918" max="6918" width="9.140625" style="1174" customWidth="1"/>
    <col min="6919" max="6919" width="16.28515625" style="1174" customWidth="1"/>
    <col min="6920" max="6920" width="16.42578125" style="1174" customWidth="1"/>
    <col min="6921" max="6921" width="12" style="1174" customWidth="1"/>
    <col min="6922" max="6922" width="14.5703125" style="1174" customWidth="1"/>
    <col min="6923" max="6923" width="15.28515625" style="1174" customWidth="1"/>
    <col min="6924" max="6924" width="13" style="1174" customWidth="1"/>
    <col min="6925" max="6925" width="16.28515625" style="1174" customWidth="1"/>
    <col min="6926" max="6926" width="17.140625" style="1174" customWidth="1"/>
    <col min="6927" max="6927" width="1.42578125" style="1174" customWidth="1"/>
    <col min="6928" max="6928" width="7.5703125" style="1174" customWidth="1"/>
    <col min="6929" max="6929" width="1.42578125" style="1174" customWidth="1"/>
    <col min="6930" max="7157" width="12" style="1174" customWidth="1"/>
    <col min="7158" max="7169" width="9.42578125" style="1174"/>
    <col min="7170" max="7170" width="9.42578125" style="1174" customWidth="1"/>
    <col min="7171" max="7171" width="9.5703125" style="1174" customWidth="1"/>
    <col min="7172" max="7172" width="3.5703125" style="1174" customWidth="1"/>
    <col min="7173" max="7173" width="1.42578125" style="1174" customWidth="1"/>
    <col min="7174" max="7174" width="9.140625" style="1174" customWidth="1"/>
    <col min="7175" max="7175" width="16.28515625" style="1174" customWidth="1"/>
    <col min="7176" max="7176" width="16.42578125" style="1174" customWidth="1"/>
    <col min="7177" max="7177" width="12" style="1174" customWidth="1"/>
    <col min="7178" max="7178" width="14.5703125" style="1174" customWidth="1"/>
    <col min="7179" max="7179" width="15.28515625" style="1174" customWidth="1"/>
    <col min="7180" max="7180" width="13" style="1174" customWidth="1"/>
    <col min="7181" max="7181" width="16.28515625" style="1174" customWidth="1"/>
    <col min="7182" max="7182" width="17.140625" style="1174" customWidth="1"/>
    <col min="7183" max="7183" width="1.42578125" style="1174" customWidth="1"/>
    <col min="7184" max="7184" width="7.5703125" style="1174" customWidth="1"/>
    <col min="7185" max="7185" width="1.42578125" style="1174" customWidth="1"/>
    <col min="7186" max="7413" width="12" style="1174" customWidth="1"/>
    <col min="7414" max="7425" width="9.42578125" style="1174"/>
    <col min="7426" max="7426" width="9.42578125" style="1174" customWidth="1"/>
    <col min="7427" max="7427" width="9.5703125" style="1174" customWidth="1"/>
    <col min="7428" max="7428" width="3.5703125" style="1174" customWidth="1"/>
    <col min="7429" max="7429" width="1.42578125" style="1174" customWidth="1"/>
    <col min="7430" max="7430" width="9.140625" style="1174" customWidth="1"/>
    <col min="7431" max="7431" width="16.28515625" style="1174" customWidth="1"/>
    <col min="7432" max="7432" width="16.42578125" style="1174" customWidth="1"/>
    <col min="7433" max="7433" width="12" style="1174" customWidth="1"/>
    <col min="7434" max="7434" width="14.5703125" style="1174" customWidth="1"/>
    <col min="7435" max="7435" width="15.28515625" style="1174" customWidth="1"/>
    <col min="7436" max="7436" width="13" style="1174" customWidth="1"/>
    <col min="7437" max="7437" width="16.28515625" style="1174" customWidth="1"/>
    <col min="7438" max="7438" width="17.140625" style="1174" customWidth="1"/>
    <col min="7439" max="7439" width="1.42578125" style="1174" customWidth="1"/>
    <col min="7440" max="7440" width="7.5703125" style="1174" customWidth="1"/>
    <col min="7441" max="7441" width="1.42578125" style="1174" customWidth="1"/>
    <col min="7442" max="7669" width="12" style="1174" customWidth="1"/>
    <col min="7670" max="7681" width="9.42578125" style="1174"/>
    <col min="7682" max="7682" width="9.42578125" style="1174" customWidth="1"/>
    <col min="7683" max="7683" width="9.5703125" style="1174" customWidth="1"/>
    <col min="7684" max="7684" width="3.5703125" style="1174" customWidth="1"/>
    <col min="7685" max="7685" width="1.42578125" style="1174" customWidth="1"/>
    <col min="7686" max="7686" width="9.140625" style="1174" customWidth="1"/>
    <col min="7687" max="7687" width="16.28515625" style="1174" customWidth="1"/>
    <col min="7688" max="7688" width="16.42578125" style="1174" customWidth="1"/>
    <col min="7689" max="7689" width="12" style="1174" customWidth="1"/>
    <col min="7690" max="7690" width="14.5703125" style="1174" customWidth="1"/>
    <col min="7691" max="7691" width="15.28515625" style="1174" customWidth="1"/>
    <col min="7692" max="7692" width="13" style="1174" customWidth="1"/>
    <col min="7693" max="7693" width="16.28515625" style="1174" customWidth="1"/>
    <col min="7694" max="7694" width="17.140625" style="1174" customWidth="1"/>
    <col min="7695" max="7695" width="1.42578125" style="1174" customWidth="1"/>
    <col min="7696" max="7696" width="7.5703125" style="1174" customWidth="1"/>
    <col min="7697" max="7697" width="1.42578125" style="1174" customWidth="1"/>
    <col min="7698" max="7925" width="12" style="1174" customWidth="1"/>
    <col min="7926" max="7937" width="9.42578125" style="1174"/>
    <col min="7938" max="7938" width="9.42578125" style="1174" customWidth="1"/>
    <col min="7939" max="7939" width="9.5703125" style="1174" customWidth="1"/>
    <col min="7940" max="7940" width="3.5703125" style="1174" customWidth="1"/>
    <col min="7941" max="7941" width="1.42578125" style="1174" customWidth="1"/>
    <col min="7942" max="7942" width="9.140625" style="1174" customWidth="1"/>
    <col min="7943" max="7943" width="16.28515625" style="1174" customWidth="1"/>
    <col min="7944" max="7944" width="16.42578125" style="1174" customWidth="1"/>
    <col min="7945" max="7945" width="12" style="1174" customWidth="1"/>
    <col min="7946" max="7946" width="14.5703125" style="1174" customWidth="1"/>
    <col min="7947" max="7947" width="15.28515625" style="1174" customWidth="1"/>
    <col min="7948" max="7948" width="13" style="1174" customWidth="1"/>
    <col min="7949" max="7949" width="16.28515625" style="1174" customWidth="1"/>
    <col min="7950" max="7950" width="17.140625" style="1174" customWidth="1"/>
    <col min="7951" max="7951" width="1.42578125" style="1174" customWidth="1"/>
    <col min="7952" max="7952" width="7.5703125" style="1174" customWidth="1"/>
    <col min="7953" max="7953" width="1.42578125" style="1174" customWidth="1"/>
    <col min="7954" max="8181" width="12" style="1174" customWidth="1"/>
    <col min="8182" max="8193" width="9.42578125" style="1174"/>
    <col min="8194" max="8194" width="9.42578125" style="1174" customWidth="1"/>
    <col min="8195" max="8195" width="9.5703125" style="1174" customWidth="1"/>
    <col min="8196" max="8196" width="3.5703125" style="1174" customWidth="1"/>
    <col min="8197" max="8197" width="1.42578125" style="1174" customWidth="1"/>
    <col min="8198" max="8198" width="9.140625" style="1174" customWidth="1"/>
    <col min="8199" max="8199" width="16.28515625" style="1174" customWidth="1"/>
    <col min="8200" max="8200" width="16.42578125" style="1174" customWidth="1"/>
    <col min="8201" max="8201" width="12" style="1174" customWidth="1"/>
    <col min="8202" max="8202" width="14.5703125" style="1174" customWidth="1"/>
    <col min="8203" max="8203" width="15.28515625" style="1174" customWidth="1"/>
    <col min="8204" max="8204" width="13" style="1174" customWidth="1"/>
    <col min="8205" max="8205" width="16.28515625" style="1174" customWidth="1"/>
    <col min="8206" max="8206" width="17.140625" style="1174" customWidth="1"/>
    <col min="8207" max="8207" width="1.42578125" style="1174" customWidth="1"/>
    <col min="8208" max="8208" width="7.5703125" style="1174" customWidth="1"/>
    <col min="8209" max="8209" width="1.42578125" style="1174" customWidth="1"/>
    <col min="8210" max="8437" width="12" style="1174" customWidth="1"/>
    <col min="8438" max="8449" width="9.42578125" style="1174"/>
    <col min="8450" max="8450" width="9.42578125" style="1174" customWidth="1"/>
    <col min="8451" max="8451" width="9.5703125" style="1174" customWidth="1"/>
    <col min="8452" max="8452" width="3.5703125" style="1174" customWidth="1"/>
    <col min="8453" max="8453" width="1.42578125" style="1174" customWidth="1"/>
    <col min="8454" max="8454" width="9.140625" style="1174" customWidth="1"/>
    <col min="8455" max="8455" width="16.28515625" style="1174" customWidth="1"/>
    <col min="8456" max="8456" width="16.42578125" style="1174" customWidth="1"/>
    <col min="8457" max="8457" width="12" style="1174" customWidth="1"/>
    <col min="8458" max="8458" width="14.5703125" style="1174" customWidth="1"/>
    <col min="8459" max="8459" width="15.28515625" style="1174" customWidth="1"/>
    <col min="8460" max="8460" width="13" style="1174" customWidth="1"/>
    <col min="8461" max="8461" width="16.28515625" style="1174" customWidth="1"/>
    <col min="8462" max="8462" width="17.140625" style="1174" customWidth="1"/>
    <col min="8463" max="8463" width="1.42578125" style="1174" customWidth="1"/>
    <col min="8464" max="8464" width="7.5703125" style="1174" customWidth="1"/>
    <col min="8465" max="8465" width="1.42578125" style="1174" customWidth="1"/>
    <col min="8466" max="8693" width="12" style="1174" customWidth="1"/>
    <col min="8694" max="8705" width="9.42578125" style="1174"/>
    <col min="8706" max="8706" width="9.42578125" style="1174" customWidth="1"/>
    <col min="8707" max="8707" width="9.5703125" style="1174" customWidth="1"/>
    <col min="8708" max="8708" width="3.5703125" style="1174" customWidth="1"/>
    <col min="8709" max="8709" width="1.42578125" style="1174" customWidth="1"/>
    <col min="8710" max="8710" width="9.140625" style="1174" customWidth="1"/>
    <col min="8711" max="8711" width="16.28515625" style="1174" customWidth="1"/>
    <col min="8712" max="8712" width="16.42578125" style="1174" customWidth="1"/>
    <col min="8713" max="8713" width="12" style="1174" customWidth="1"/>
    <col min="8714" max="8714" width="14.5703125" style="1174" customWidth="1"/>
    <col min="8715" max="8715" width="15.28515625" style="1174" customWidth="1"/>
    <col min="8716" max="8716" width="13" style="1174" customWidth="1"/>
    <col min="8717" max="8717" width="16.28515625" style="1174" customWidth="1"/>
    <col min="8718" max="8718" width="17.140625" style="1174" customWidth="1"/>
    <col min="8719" max="8719" width="1.42578125" style="1174" customWidth="1"/>
    <col min="8720" max="8720" width="7.5703125" style="1174" customWidth="1"/>
    <col min="8721" max="8721" width="1.42578125" style="1174" customWidth="1"/>
    <col min="8722" max="8949" width="12" style="1174" customWidth="1"/>
    <col min="8950" max="8961" width="9.42578125" style="1174"/>
    <col min="8962" max="8962" width="9.42578125" style="1174" customWidth="1"/>
    <col min="8963" max="8963" width="9.5703125" style="1174" customWidth="1"/>
    <col min="8964" max="8964" width="3.5703125" style="1174" customWidth="1"/>
    <col min="8965" max="8965" width="1.42578125" style="1174" customWidth="1"/>
    <col min="8966" max="8966" width="9.140625" style="1174" customWidth="1"/>
    <col min="8967" max="8967" width="16.28515625" style="1174" customWidth="1"/>
    <col min="8968" max="8968" width="16.42578125" style="1174" customWidth="1"/>
    <col min="8969" max="8969" width="12" style="1174" customWidth="1"/>
    <col min="8970" max="8970" width="14.5703125" style="1174" customWidth="1"/>
    <col min="8971" max="8971" width="15.28515625" style="1174" customWidth="1"/>
    <col min="8972" max="8972" width="13" style="1174" customWidth="1"/>
    <col min="8973" max="8973" width="16.28515625" style="1174" customWidth="1"/>
    <col min="8974" max="8974" width="17.140625" style="1174" customWidth="1"/>
    <col min="8975" max="8975" width="1.42578125" style="1174" customWidth="1"/>
    <col min="8976" max="8976" width="7.5703125" style="1174" customWidth="1"/>
    <col min="8977" max="8977" width="1.42578125" style="1174" customWidth="1"/>
    <col min="8978" max="9205" width="12" style="1174" customWidth="1"/>
    <col min="9206" max="9217" width="9.42578125" style="1174"/>
    <col min="9218" max="9218" width="9.42578125" style="1174" customWidth="1"/>
    <col min="9219" max="9219" width="9.5703125" style="1174" customWidth="1"/>
    <col min="9220" max="9220" width="3.5703125" style="1174" customWidth="1"/>
    <col min="9221" max="9221" width="1.42578125" style="1174" customWidth="1"/>
    <col min="9222" max="9222" width="9.140625" style="1174" customWidth="1"/>
    <col min="9223" max="9223" width="16.28515625" style="1174" customWidth="1"/>
    <col min="9224" max="9224" width="16.42578125" style="1174" customWidth="1"/>
    <col min="9225" max="9225" width="12" style="1174" customWidth="1"/>
    <col min="9226" max="9226" width="14.5703125" style="1174" customWidth="1"/>
    <col min="9227" max="9227" width="15.28515625" style="1174" customWidth="1"/>
    <col min="9228" max="9228" width="13" style="1174" customWidth="1"/>
    <col min="9229" max="9229" width="16.28515625" style="1174" customWidth="1"/>
    <col min="9230" max="9230" width="17.140625" style="1174" customWidth="1"/>
    <col min="9231" max="9231" width="1.42578125" style="1174" customWidth="1"/>
    <col min="9232" max="9232" width="7.5703125" style="1174" customWidth="1"/>
    <col min="9233" max="9233" width="1.42578125" style="1174" customWidth="1"/>
    <col min="9234" max="9461" width="12" style="1174" customWidth="1"/>
    <col min="9462" max="9473" width="9.42578125" style="1174"/>
    <col min="9474" max="9474" width="9.42578125" style="1174" customWidth="1"/>
    <col min="9475" max="9475" width="9.5703125" style="1174" customWidth="1"/>
    <col min="9476" max="9476" width="3.5703125" style="1174" customWidth="1"/>
    <col min="9477" max="9477" width="1.42578125" style="1174" customWidth="1"/>
    <col min="9478" max="9478" width="9.140625" style="1174" customWidth="1"/>
    <col min="9479" max="9479" width="16.28515625" style="1174" customWidth="1"/>
    <col min="9480" max="9480" width="16.42578125" style="1174" customWidth="1"/>
    <col min="9481" max="9481" width="12" style="1174" customWidth="1"/>
    <col min="9482" max="9482" width="14.5703125" style="1174" customWidth="1"/>
    <col min="9483" max="9483" width="15.28515625" style="1174" customWidth="1"/>
    <col min="9484" max="9484" width="13" style="1174" customWidth="1"/>
    <col min="9485" max="9485" width="16.28515625" style="1174" customWidth="1"/>
    <col min="9486" max="9486" width="17.140625" style="1174" customWidth="1"/>
    <col min="9487" max="9487" width="1.42578125" style="1174" customWidth="1"/>
    <col min="9488" max="9488" width="7.5703125" style="1174" customWidth="1"/>
    <col min="9489" max="9489" width="1.42578125" style="1174" customWidth="1"/>
    <col min="9490" max="9717" width="12" style="1174" customWidth="1"/>
    <col min="9718" max="9729" width="9.42578125" style="1174"/>
    <col min="9730" max="9730" width="9.42578125" style="1174" customWidth="1"/>
    <col min="9731" max="9731" width="9.5703125" style="1174" customWidth="1"/>
    <col min="9732" max="9732" width="3.5703125" style="1174" customWidth="1"/>
    <col min="9733" max="9733" width="1.42578125" style="1174" customWidth="1"/>
    <col min="9734" max="9734" width="9.140625" style="1174" customWidth="1"/>
    <col min="9735" max="9735" width="16.28515625" style="1174" customWidth="1"/>
    <col min="9736" max="9736" width="16.42578125" style="1174" customWidth="1"/>
    <col min="9737" max="9737" width="12" style="1174" customWidth="1"/>
    <col min="9738" max="9738" width="14.5703125" style="1174" customWidth="1"/>
    <col min="9739" max="9739" width="15.28515625" style="1174" customWidth="1"/>
    <col min="9740" max="9740" width="13" style="1174" customWidth="1"/>
    <col min="9741" max="9741" width="16.28515625" style="1174" customWidth="1"/>
    <col min="9742" max="9742" width="17.140625" style="1174" customWidth="1"/>
    <col min="9743" max="9743" width="1.42578125" style="1174" customWidth="1"/>
    <col min="9744" max="9744" width="7.5703125" style="1174" customWidth="1"/>
    <col min="9745" max="9745" width="1.42578125" style="1174" customWidth="1"/>
    <col min="9746" max="9973" width="12" style="1174" customWidth="1"/>
    <col min="9974" max="9985" width="9.42578125" style="1174"/>
    <col min="9986" max="9986" width="9.42578125" style="1174" customWidth="1"/>
    <col min="9987" max="9987" width="9.5703125" style="1174" customWidth="1"/>
    <col min="9988" max="9988" width="3.5703125" style="1174" customWidth="1"/>
    <col min="9989" max="9989" width="1.42578125" style="1174" customWidth="1"/>
    <col min="9990" max="9990" width="9.140625" style="1174" customWidth="1"/>
    <col min="9991" max="9991" width="16.28515625" style="1174" customWidth="1"/>
    <col min="9992" max="9992" width="16.42578125" style="1174" customWidth="1"/>
    <col min="9993" max="9993" width="12" style="1174" customWidth="1"/>
    <col min="9994" max="9994" width="14.5703125" style="1174" customWidth="1"/>
    <col min="9995" max="9995" width="15.28515625" style="1174" customWidth="1"/>
    <col min="9996" max="9996" width="13" style="1174" customWidth="1"/>
    <col min="9997" max="9997" width="16.28515625" style="1174" customWidth="1"/>
    <col min="9998" max="9998" width="17.140625" style="1174" customWidth="1"/>
    <col min="9999" max="9999" width="1.42578125" style="1174" customWidth="1"/>
    <col min="10000" max="10000" width="7.5703125" style="1174" customWidth="1"/>
    <col min="10001" max="10001" width="1.42578125" style="1174" customWidth="1"/>
    <col min="10002" max="10229" width="12" style="1174" customWidth="1"/>
    <col min="10230" max="10241" width="9.42578125" style="1174"/>
    <col min="10242" max="10242" width="9.42578125" style="1174" customWidth="1"/>
    <col min="10243" max="10243" width="9.5703125" style="1174" customWidth="1"/>
    <col min="10244" max="10244" width="3.5703125" style="1174" customWidth="1"/>
    <col min="10245" max="10245" width="1.42578125" style="1174" customWidth="1"/>
    <col min="10246" max="10246" width="9.140625" style="1174" customWidth="1"/>
    <col min="10247" max="10247" width="16.28515625" style="1174" customWidth="1"/>
    <col min="10248" max="10248" width="16.42578125" style="1174" customWidth="1"/>
    <col min="10249" max="10249" width="12" style="1174" customWidth="1"/>
    <col min="10250" max="10250" width="14.5703125" style="1174" customWidth="1"/>
    <col min="10251" max="10251" width="15.28515625" style="1174" customWidth="1"/>
    <col min="10252" max="10252" width="13" style="1174" customWidth="1"/>
    <col min="10253" max="10253" width="16.28515625" style="1174" customWidth="1"/>
    <col min="10254" max="10254" width="17.140625" style="1174" customWidth="1"/>
    <col min="10255" max="10255" width="1.42578125" style="1174" customWidth="1"/>
    <col min="10256" max="10256" width="7.5703125" style="1174" customWidth="1"/>
    <col min="10257" max="10257" width="1.42578125" style="1174" customWidth="1"/>
    <col min="10258" max="10485" width="12" style="1174" customWidth="1"/>
    <col min="10486" max="10497" width="9.42578125" style="1174"/>
    <col min="10498" max="10498" width="9.42578125" style="1174" customWidth="1"/>
    <col min="10499" max="10499" width="9.5703125" style="1174" customWidth="1"/>
    <col min="10500" max="10500" width="3.5703125" style="1174" customWidth="1"/>
    <col min="10501" max="10501" width="1.42578125" style="1174" customWidth="1"/>
    <col min="10502" max="10502" width="9.140625" style="1174" customWidth="1"/>
    <col min="10503" max="10503" width="16.28515625" style="1174" customWidth="1"/>
    <col min="10504" max="10504" width="16.42578125" style="1174" customWidth="1"/>
    <col min="10505" max="10505" width="12" style="1174" customWidth="1"/>
    <col min="10506" max="10506" width="14.5703125" style="1174" customWidth="1"/>
    <col min="10507" max="10507" width="15.28515625" style="1174" customWidth="1"/>
    <col min="10508" max="10508" width="13" style="1174" customWidth="1"/>
    <col min="10509" max="10509" width="16.28515625" style="1174" customWidth="1"/>
    <col min="10510" max="10510" width="17.140625" style="1174" customWidth="1"/>
    <col min="10511" max="10511" width="1.42578125" style="1174" customWidth="1"/>
    <col min="10512" max="10512" width="7.5703125" style="1174" customWidth="1"/>
    <col min="10513" max="10513" width="1.42578125" style="1174" customWidth="1"/>
    <col min="10514" max="10741" width="12" style="1174" customWidth="1"/>
    <col min="10742" max="10753" width="9.42578125" style="1174"/>
    <col min="10754" max="10754" width="9.42578125" style="1174" customWidth="1"/>
    <col min="10755" max="10755" width="9.5703125" style="1174" customWidth="1"/>
    <col min="10756" max="10756" width="3.5703125" style="1174" customWidth="1"/>
    <col min="10757" max="10757" width="1.42578125" style="1174" customWidth="1"/>
    <col min="10758" max="10758" width="9.140625" style="1174" customWidth="1"/>
    <col min="10759" max="10759" width="16.28515625" style="1174" customWidth="1"/>
    <col min="10760" max="10760" width="16.42578125" style="1174" customWidth="1"/>
    <col min="10761" max="10761" width="12" style="1174" customWidth="1"/>
    <col min="10762" max="10762" width="14.5703125" style="1174" customWidth="1"/>
    <col min="10763" max="10763" width="15.28515625" style="1174" customWidth="1"/>
    <col min="10764" max="10764" width="13" style="1174" customWidth="1"/>
    <col min="10765" max="10765" width="16.28515625" style="1174" customWidth="1"/>
    <col min="10766" max="10766" width="17.140625" style="1174" customWidth="1"/>
    <col min="10767" max="10767" width="1.42578125" style="1174" customWidth="1"/>
    <col min="10768" max="10768" width="7.5703125" style="1174" customWidth="1"/>
    <col min="10769" max="10769" width="1.42578125" style="1174" customWidth="1"/>
    <col min="10770" max="10997" width="12" style="1174" customWidth="1"/>
    <col min="10998" max="11009" width="9.42578125" style="1174"/>
    <col min="11010" max="11010" width="9.42578125" style="1174" customWidth="1"/>
    <col min="11011" max="11011" width="9.5703125" style="1174" customWidth="1"/>
    <col min="11012" max="11012" width="3.5703125" style="1174" customWidth="1"/>
    <col min="11013" max="11013" width="1.42578125" style="1174" customWidth="1"/>
    <col min="11014" max="11014" width="9.140625" style="1174" customWidth="1"/>
    <col min="11015" max="11015" width="16.28515625" style="1174" customWidth="1"/>
    <col min="11016" max="11016" width="16.42578125" style="1174" customWidth="1"/>
    <col min="11017" max="11017" width="12" style="1174" customWidth="1"/>
    <col min="11018" max="11018" width="14.5703125" style="1174" customWidth="1"/>
    <col min="11019" max="11019" width="15.28515625" style="1174" customWidth="1"/>
    <col min="11020" max="11020" width="13" style="1174" customWidth="1"/>
    <col min="11021" max="11021" width="16.28515625" style="1174" customWidth="1"/>
    <col min="11022" max="11022" width="17.140625" style="1174" customWidth="1"/>
    <col min="11023" max="11023" width="1.42578125" style="1174" customWidth="1"/>
    <col min="11024" max="11024" width="7.5703125" style="1174" customWidth="1"/>
    <col min="11025" max="11025" width="1.42578125" style="1174" customWidth="1"/>
    <col min="11026" max="11253" width="12" style="1174" customWidth="1"/>
    <col min="11254" max="11265" width="9.42578125" style="1174"/>
    <col min="11266" max="11266" width="9.42578125" style="1174" customWidth="1"/>
    <col min="11267" max="11267" width="9.5703125" style="1174" customWidth="1"/>
    <col min="11268" max="11268" width="3.5703125" style="1174" customWidth="1"/>
    <col min="11269" max="11269" width="1.42578125" style="1174" customWidth="1"/>
    <col min="11270" max="11270" width="9.140625" style="1174" customWidth="1"/>
    <col min="11271" max="11271" width="16.28515625" style="1174" customWidth="1"/>
    <col min="11272" max="11272" width="16.42578125" style="1174" customWidth="1"/>
    <col min="11273" max="11273" width="12" style="1174" customWidth="1"/>
    <col min="11274" max="11274" width="14.5703125" style="1174" customWidth="1"/>
    <col min="11275" max="11275" width="15.28515625" style="1174" customWidth="1"/>
    <col min="11276" max="11276" width="13" style="1174" customWidth="1"/>
    <col min="11277" max="11277" width="16.28515625" style="1174" customWidth="1"/>
    <col min="11278" max="11278" width="17.140625" style="1174" customWidth="1"/>
    <col min="11279" max="11279" width="1.42578125" style="1174" customWidth="1"/>
    <col min="11280" max="11280" width="7.5703125" style="1174" customWidth="1"/>
    <col min="11281" max="11281" width="1.42578125" style="1174" customWidth="1"/>
    <col min="11282" max="11509" width="12" style="1174" customWidth="1"/>
    <col min="11510" max="11521" width="9.42578125" style="1174"/>
    <col min="11522" max="11522" width="9.42578125" style="1174" customWidth="1"/>
    <col min="11523" max="11523" width="9.5703125" style="1174" customWidth="1"/>
    <col min="11524" max="11524" width="3.5703125" style="1174" customWidth="1"/>
    <col min="11525" max="11525" width="1.42578125" style="1174" customWidth="1"/>
    <col min="11526" max="11526" width="9.140625" style="1174" customWidth="1"/>
    <col min="11527" max="11527" width="16.28515625" style="1174" customWidth="1"/>
    <col min="11528" max="11528" width="16.42578125" style="1174" customWidth="1"/>
    <col min="11529" max="11529" width="12" style="1174" customWidth="1"/>
    <col min="11530" max="11530" width="14.5703125" style="1174" customWidth="1"/>
    <col min="11531" max="11531" width="15.28515625" style="1174" customWidth="1"/>
    <col min="11532" max="11532" width="13" style="1174" customWidth="1"/>
    <col min="11533" max="11533" width="16.28515625" style="1174" customWidth="1"/>
    <col min="11534" max="11534" width="17.140625" style="1174" customWidth="1"/>
    <col min="11535" max="11535" width="1.42578125" style="1174" customWidth="1"/>
    <col min="11536" max="11536" width="7.5703125" style="1174" customWidth="1"/>
    <col min="11537" max="11537" width="1.42578125" style="1174" customWidth="1"/>
    <col min="11538" max="11765" width="12" style="1174" customWidth="1"/>
    <col min="11766" max="11777" width="9.42578125" style="1174"/>
    <col min="11778" max="11778" width="9.42578125" style="1174" customWidth="1"/>
    <col min="11779" max="11779" width="9.5703125" style="1174" customWidth="1"/>
    <col min="11780" max="11780" width="3.5703125" style="1174" customWidth="1"/>
    <col min="11781" max="11781" width="1.42578125" style="1174" customWidth="1"/>
    <col min="11782" max="11782" width="9.140625" style="1174" customWidth="1"/>
    <col min="11783" max="11783" width="16.28515625" style="1174" customWidth="1"/>
    <col min="11784" max="11784" width="16.42578125" style="1174" customWidth="1"/>
    <col min="11785" max="11785" width="12" style="1174" customWidth="1"/>
    <col min="11786" max="11786" width="14.5703125" style="1174" customWidth="1"/>
    <col min="11787" max="11787" width="15.28515625" style="1174" customWidth="1"/>
    <col min="11788" max="11788" width="13" style="1174" customWidth="1"/>
    <col min="11789" max="11789" width="16.28515625" style="1174" customWidth="1"/>
    <col min="11790" max="11790" width="17.140625" style="1174" customWidth="1"/>
    <col min="11791" max="11791" width="1.42578125" style="1174" customWidth="1"/>
    <col min="11792" max="11792" width="7.5703125" style="1174" customWidth="1"/>
    <col min="11793" max="11793" width="1.42578125" style="1174" customWidth="1"/>
    <col min="11794" max="12021" width="12" style="1174" customWidth="1"/>
    <col min="12022" max="12033" width="9.42578125" style="1174"/>
    <col min="12034" max="12034" width="9.42578125" style="1174" customWidth="1"/>
    <col min="12035" max="12035" width="9.5703125" style="1174" customWidth="1"/>
    <col min="12036" max="12036" width="3.5703125" style="1174" customWidth="1"/>
    <col min="12037" max="12037" width="1.42578125" style="1174" customWidth="1"/>
    <col min="12038" max="12038" width="9.140625" style="1174" customWidth="1"/>
    <col min="12039" max="12039" width="16.28515625" style="1174" customWidth="1"/>
    <col min="12040" max="12040" width="16.42578125" style="1174" customWidth="1"/>
    <col min="12041" max="12041" width="12" style="1174" customWidth="1"/>
    <col min="12042" max="12042" width="14.5703125" style="1174" customWidth="1"/>
    <col min="12043" max="12043" width="15.28515625" style="1174" customWidth="1"/>
    <col min="12044" max="12044" width="13" style="1174" customWidth="1"/>
    <col min="12045" max="12045" width="16.28515625" style="1174" customWidth="1"/>
    <col min="12046" max="12046" width="17.140625" style="1174" customWidth="1"/>
    <col min="12047" max="12047" width="1.42578125" style="1174" customWidth="1"/>
    <col min="12048" max="12048" width="7.5703125" style="1174" customWidth="1"/>
    <col min="12049" max="12049" width="1.42578125" style="1174" customWidth="1"/>
    <col min="12050" max="12277" width="12" style="1174" customWidth="1"/>
    <col min="12278" max="12289" width="9.42578125" style="1174"/>
    <col min="12290" max="12290" width="9.42578125" style="1174" customWidth="1"/>
    <col min="12291" max="12291" width="9.5703125" style="1174" customWidth="1"/>
    <col min="12292" max="12292" width="3.5703125" style="1174" customWidth="1"/>
    <col min="12293" max="12293" width="1.42578125" style="1174" customWidth="1"/>
    <col min="12294" max="12294" width="9.140625" style="1174" customWidth="1"/>
    <col min="12295" max="12295" width="16.28515625" style="1174" customWidth="1"/>
    <col min="12296" max="12296" width="16.42578125" style="1174" customWidth="1"/>
    <col min="12297" max="12297" width="12" style="1174" customWidth="1"/>
    <col min="12298" max="12298" width="14.5703125" style="1174" customWidth="1"/>
    <col min="12299" max="12299" width="15.28515625" style="1174" customWidth="1"/>
    <col min="12300" max="12300" width="13" style="1174" customWidth="1"/>
    <col min="12301" max="12301" width="16.28515625" style="1174" customWidth="1"/>
    <col min="12302" max="12302" width="17.140625" style="1174" customWidth="1"/>
    <col min="12303" max="12303" width="1.42578125" style="1174" customWidth="1"/>
    <col min="12304" max="12304" width="7.5703125" style="1174" customWidth="1"/>
    <col min="12305" max="12305" width="1.42578125" style="1174" customWidth="1"/>
    <col min="12306" max="12533" width="12" style="1174" customWidth="1"/>
    <col min="12534" max="12545" width="9.42578125" style="1174"/>
    <col min="12546" max="12546" width="9.42578125" style="1174" customWidth="1"/>
    <col min="12547" max="12547" width="9.5703125" style="1174" customWidth="1"/>
    <col min="12548" max="12548" width="3.5703125" style="1174" customWidth="1"/>
    <col min="12549" max="12549" width="1.42578125" style="1174" customWidth="1"/>
    <col min="12550" max="12550" width="9.140625" style="1174" customWidth="1"/>
    <col min="12551" max="12551" width="16.28515625" style="1174" customWidth="1"/>
    <col min="12552" max="12552" width="16.42578125" style="1174" customWidth="1"/>
    <col min="12553" max="12553" width="12" style="1174" customWidth="1"/>
    <col min="12554" max="12554" width="14.5703125" style="1174" customWidth="1"/>
    <col min="12555" max="12555" width="15.28515625" style="1174" customWidth="1"/>
    <col min="12556" max="12556" width="13" style="1174" customWidth="1"/>
    <col min="12557" max="12557" width="16.28515625" style="1174" customWidth="1"/>
    <col min="12558" max="12558" width="17.140625" style="1174" customWidth="1"/>
    <col min="12559" max="12559" width="1.42578125" style="1174" customWidth="1"/>
    <col min="12560" max="12560" width="7.5703125" style="1174" customWidth="1"/>
    <col min="12561" max="12561" width="1.42578125" style="1174" customWidth="1"/>
    <col min="12562" max="12789" width="12" style="1174" customWidth="1"/>
    <col min="12790" max="12801" width="9.42578125" style="1174"/>
    <col min="12802" max="12802" width="9.42578125" style="1174" customWidth="1"/>
    <col min="12803" max="12803" width="9.5703125" style="1174" customWidth="1"/>
    <col min="12804" max="12804" width="3.5703125" style="1174" customWidth="1"/>
    <col min="12805" max="12805" width="1.42578125" style="1174" customWidth="1"/>
    <col min="12806" max="12806" width="9.140625" style="1174" customWidth="1"/>
    <col min="12807" max="12807" width="16.28515625" style="1174" customWidth="1"/>
    <col min="12808" max="12808" width="16.42578125" style="1174" customWidth="1"/>
    <col min="12809" max="12809" width="12" style="1174" customWidth="1"/>
    <col min="12810" max="12810" width="14.5703125" style="1174" customWidth="1"/>
    <col min="12811" max="12811" width="15.28515625" style="1174" customWidth="1"/>
    <col min="12812" max="12812" width="13" style="1174" customWidth="1"/>
    <col min="12813" max="12813" width="16.28515625" style="1174" customWidth="1"/>
    <col min="12814" max="12814" width="17.140625" style="1174" customWidth="1"/>
    <col min="12815" max="12815" width="1.42578125" style="1174" customWidth="1"/>
    <col min="12816" max="12816" width="7.5703125" style="1174" customWidth="1"/>
    <col min="12817" max="12817" width="1.42578125" style="1174" customWidth="1"/>
    <col min="12818" max="13045" width="12" style="1174" customWidth="1"/>
    <col min="13046" max="13057" width="9.42578125" style="1174"/>
    <col min="13058" max="13058" width="9.42578125" style="1174" customWidth="1"/>
    <col min="13059" max="13059" width="9.5703125" style="1174" customWidth="1"/>
    <col min="13060" max="13060" width="3.5703125" style="1174" customWidth="1"/>
    <col min="13061" max="13061" width="1.42578125" style="1174" customWidth="1"/>
    <col min="13062" max="13062" width="9.140625" style="1174" customWidth="1"/>
    <col min="13063" max="13063" width="16.28515625" style="1174" customWidth="1"/>
    <col min="13064" max="13064" width="16.42578125" style="1174" customWidth="1"/>
    <col min="13065" max="13065" width="12" style="1174" customWidth="1"/>
    <col min="13066" max="13066" width="14.5703125" style="1174" customWidth="1"/>
    <col min="13067" max="13067" width="15.28515625" style="1174" customWidth="1"/>
    <col min="13068" max="13068" width="13" style="1174" customWidth="1"/>
    <col min="13069" max="13069" width="16.28515625" style="1174" customWidth="1"/>
    <col min="13070" max="13070" width="17.140625" style="1174" customWidth="1"/>
    <col min="13071" max="13071" width="1.42578125" style="1174" customWidth="1"/>
    <col min="13072" max="13072" width="7.5703125" style="1174" customWidth="1"/>
    <col min="13073" max="13073" width="1.42578125" style="1174" customWidth="1"/>
    <col min="13074" max="13301" width="12" style="1174" customWidth="1"/>
    <col min="13302" max="13313" width="9.42578125" style="1174"/>
    <col min="13314" max="13314" width="9.42578125" style="1174" customWidth="1"/>
    <col min="13315" max="13315" width="9.5703125" style="1174" customWidth="1"/>
    <col min="13316" max="13316" width="3.5703125" style="1174" customWidth="1"/>
    <col min="13317" max="13317" width="1.42578125" style="1174" customWidth="1"/>
    <col min="13318" max="13318" width="9.140625" style="1174" customWidth="1"/>
    <col min="13319" max="13319" width="16.28515625" style="1174" customWidth="1"/>
    <col min="13320" max="13320" width="16.42578125" style="1174" customWidth="1"/>
    <col min="13321" max="13321" width="12" style="1174" customWidth="1"/>
    <col min="13322" max="13322" width="14.5703125" style="1174" customWidth="1"/>
    <col min="13323" max="13323" width="15.28515625" style="1174" customWidth="1"/>
    <col min="13324" max="13324" width="13" style="1174" customWidth="1"/>
    <col min="13325" max="13325" width="16.28515625" style="1174" customWidth="1"/>
    <col min="13326" max="13326" width="17.140625" style="1174" customWidth="1"/>
    <col min="13327" max="13327" width="1.42578125" style="1174" customWidth="1"/>
    <col min="13328" max="13328" width="7.5703125" style="1174" customWidth="1"/>
    <col min="13329" max="13329" width="1.42578125" style="1174" customWidth="1"/>
    <col min="13330" max="13557" width="12" style="1174" customWidth="1"/>
    <col min="13558" max="13569" width="9.42578125" style="1174"/>
    <col min="13570" max="13570" width="9.42578125" style="1174" customWidth="1"/>
    <col min="13571" max="13571" width="9.5703125" style="1174" customWidth="1"/>
    <col min="13572" max="13572" width="3.5703125" style="1174" customWidth="1"/>
    <col min="13573" max="13573" width="1.42578125" style="1174" customWidth="1"/>
    <col min="13574" max="13574" width="9.140625" style="1174" customWidth="1"/>
    <col min="13575" max="13575" width="16.28515625" style="1174" customWidth="1"/>
    <col min="13576" max="13576" width="16.42578125" style="1174" customWidth="1"/>
    <col min="13577" max="13577" width="12" style="1174" customWidth="1"/>
    <col min="13578" max="13578" width="14.5703125" style="1174" customWidth="1"/>
    <col min="13579" max="13579" width="15.28515625" style="1174" customWidth="1"/>
    <col min="13580" max="13580" width="13" style="1174" customWidth="1"/>
    <col min="13581" max="13581" width="16.28515625" style="1174" customWidth="1"/>
    <col min="13582" max="13582" width="17.140625" style="1174" customWidth="1"/>
    <col min="13583" max="13583" width="1.42578125" style="1174" customWidth="1"/>
    <col min="13584" max="13584" width="7.5703125" style="1174" customWidth="1"/>
    <col min="13585" max="13585" width="1.42578125" style="1174" customWidth="1"/>
    <col min="13586" max="13813" width="12" style="1174" customWidth="1"/>
    <col min="13814" max="13825" width="9.42578125" style="1174"/>
    <col min="13826" max="13826" width="9.42578125" style="1174" customWidth="1"/>
    <col min="13827" max="13827" width="9.5703125" style="1174" customWidth="1"/>
    <col min="13828" max="13828" width="3.5703125" style="1174" customWidth="1"/>
    <col min="13829" max="13829" width="1.42578125" style="1174" customWidth="1"/>
    <col min="13830" max="13830" width="9.140625" style="1174" customWidth="1"/>
    <col min="13831" max="13831" width="16.28515625" style="1174" customWidth="1"/>
    <col min="13832" max="13832" width="16.42578125" style="1174" customWidth="1"/>
    <col min="13833" max="13833" width="12" style="1174" customWidth="1"/>
    <col min="13834" max="13834" width="14.5703125" style="1174" customWidth="1"/>
    <col min="13835" max="13835" width="15.28515625" style="1174" customWidth="1"/>
    <col min="13836" max="13836" width="13" style="1174" customWidth="1"/>
    <col min="13837" max="13837" width="16.28515625" style="1174" customWidth="1"/>
    <col min="13838" max="13838" width="17.140625" style="1174" customWidth="1"/>
    <col min="13839" max="13839" width="1.42578125" style="1174" customWidth="1"/>
    <col min="13840" max="13840" width="7.5703125" style="1174" customWidth="1"/>
    <col min="13841" max="13841" width="1.42578125" style="1174" customWidth="1"/>
    <col min="13842" max="14069" width="12" style="1174" customWidth="1"/>
    <col min="14070" max="14081" width="9.42578125" style="1174"/>
    <col min="14082" max="14082" width="9.42578125" style="1174" customWidth="1"/>
    <col min="14083" max="14083" width="9.5703125" style="1174" customWidth="1"/>
    <col min="14084" max="14084" width="3.5703125" style="1174" customWidth="1"/>
    <col min="14085" max="14085" width="1.42578125" style="1174" customWidth="1"/>
    <col min="14086" max="14086" width="9.140625" style="1174" customWidth="1"/>
    <col min="14087" max="14087" width="16.28515625" style="1174" customWidth="1"/>
    <col min="14088" max="14088" width="16.42578125" style="1174" customWidth="1"/>
    <col min="14089" max="14089" width="12" style="1174" customWidth="1"/>
    <col min="14090" max="14090" width="14.5703125" style="1174" customWidth="1"/>
    <col min="14091" max="14091" width="15.28515625" style="1174" customWidth="1"/>
    <col min="14092" max="14092" width="13" style="1174" customWidth="1"/>
    <col min="14093" max="14093" width="16.28515625" style="1174" customWidth="1"/>
    <col min="14094" max="14094" width="17.140625" style="1174" customWidth="1"/>
    <col min="14095" max="14095" width="1.42578125" style="1174" customWidth="1"/>
    <col min="14096" max="14096" width="7.5703125" style="1174" customWidth="1"/>
    <col min="14097" max="14097" width="1.42578125" style="1174" customWidth="1"/>
    <col min="14098" max="14325" width="12" style="1174" customWidth="1"/>
    <col min="14326" max="14337" width="9.42578125" style="1174"/>
    <col min="14338" max="14338" width="9.42578125" style="1174" customWidth="1"/>
    <col min="14339" max="14339" width="9.5703125" style="1174" customWidth="1"/>
    <col min="14340" max="14340" width="3.5703125" style="1174" customWidth="1"/>
    <col min="14341" max="14341" width="1.42578125" style="1174" customWidth="1"/>
    <col min="14342" max="14342" width="9.140625" style="1174" customWidth="1"/>
    <col min="14343" max="14343" width="16.28515625" style="1174" customWidth="1"/>
    <col min="14344" max="14344" width="16.42578125" style="1174" customWidth="1"/>
    <col min="14345" max="14345" width="12" style="1174" customWidth="1"/>
    <col min="14346" max="14346" width="14.5703125" style="1174" customWidth="1"/>
    <col min="14347" max="14347" width="15.28515625" style="1174" customWidth="1"/>
    <col min="14348" max="14348" width="13" style="1174" customWidth="1"/>
    <col min="14349" max="14349" width="16.28515625" style="1174" customWidth="1"/>
    <col min="14350" max="14350" width="17.140625" style="1174" customWidth="1"/>
    <col min="14351" max="14351" width="1.42578125" style="1174" customWidth="1"/>
    <col min="14352" max="14352" width="7.5703125" style="1174" customWidth="1"/>
    <col min="14353" max="14353" width="1.42578125" style="1174" customWidth="1"/>
    <col min="14354" max="14581" width="12" style="1174" customWidth="1"/>
    <col min="14582" max="14593" width="9.42578125" style="1174"/>
    <col min="14594" max="14594" width="9.42578125" style="1174" customWidth="1"/>
    <col min="14595" max="14595" width="9.5703125" style="1174" customWidth="1"/>
    <col min="14596" max="14596" width="3.5703125" style="1174" customWidth="1"/>
    <col min="14597" max="14597" width="1.42578125" style="1174" customWidth="1"/>
    <col min="14598" max="14598" width="9.140625" style="1174" customWidth="1"/>
    <col min="14599" max="14599" width="16.28515625" style="1174" customWidth="1"/>
    <col min="14600" max="14600" width="16.42578125" style="1174" customWidth="1"/>
    <col min="14601" max="14601" width="12" style="1174" customWidth="1"/>
    <col min="14602" max="14602" width="14.5703125" style="1174" customWidth="1"/>
    <col min="14603" max="14603" width="15.28515625" style="1174" customWidth="1"/>
    <col min="14604" max="14604" width="13" style="1174" customWidth="1"/>
    <col min="14605" max="14605" width="16.28515625" style="1174" customWidth="1"/>
    <col min="14606" max="14606" width="17.140625" style="1174" customWidth="1"/>
    <col min="14607" max="14607" width="1.42578125" style="1174" customWidth="1"/>
    <col min="14608" max="14608" width="7.5703125" style="1174" customWidth="1"/>
    <col min="14609" max="14609" width="1.42578125" style="1174" customWidth="1"/>
    <col min="14610" max="14837" width="12" style="1174" customWidth="1"/>
    <col min="14838" max="14849" width="9.42578125" style="1174"/>
    <col min="14850" max="14850" width="9.42578125" style="1174" customWidth="1"/>
    <col min="14851" max="14851" width="9.5703125" style="1174" customWidth="1"/>
    <col min="14852" max="14852" width="3.5703125" style="1174" customWidth="1"/>
    <col min="14853" max="14853" width="1.42578125" style="1174" customWidth="1"/>
    <col min="14854" max="14854" width="9.140625" style="1174" customWidth="1"/>
    <col min="14855" max="14855" width="16.28515625" style="1174" customWidth="1"/>
    <col min="14856" max="14856" width="16.42578125" style="1174" customWidth="1"/>
    <col min="14857" max="14857" width="12" style="1174" customWidth="1"/>
    <col min="14858" max="14858" width="14.5703125" style="1174" customWidth="1"/>
    <col min="14859" max="14859" width="15.28515625" style="1174" customWidth="1"/>
    <col min="14860" max="14860" width="13" style="1174" customWidth="1"/>
    <col min="14861" max="14861" width="16.28515625" style="1174" customWidth="1"/>
    <col min="14862" max="14862" width="17.140625" style="1174" customWidth="1"/>
    <col min="14863" max="14863" width="1.42578125" style="1174" customWidth="1"/>
    <col min="14864" max="14864" width="7.5703125" style="1174" customWidth="1"/>
    <col min="14865" max="14865" width="1.42578125" style="1174" customWidth="1"/>
    <col min="14866" max="15093" width="12" style="1174" customWidth="1"/>
    <col min="15094" max="15105" width="9.42578125" style="1174"/>
    <col min="15106" max="15106" width="9.42578125" style="1174" customWidth="1"/>
    <col min="15107" max="15107" width="9.5703125" style="1174" customWidth="1"/>
    <col min="15108" max="15108" width="3.5703125" style="1174" customWidth="1"/>
    <col min="15109" max="15109" width="1.42578125" style="1174" customWidth="1"/>
    <col min="15110" max="15110" width="9.140625" style="1174" customWidth="1"/>
    <col min="15111" max="15111" width="16.28515625" style="1174" customWidth="1"/>
    <col min="15112" max="15112" width="16.42578125" style="1174" customWidth="1"/>
    <col min="15113" max="15113" width="12" style="1174" customWidth="1"/>
    <col min="15114" max="15114" width="14.5703125" style="1174" customWidth="1"/>
    <col min="15115" max="15115" width="15.28515625" style="1174" customWidth="1"/>
    <col min="15116" max="15116" width="13" style="1174" customWidth="1"/>
    <col min="15117" max="15117" width="16.28515625" style="1174" customWidth="1"/>
    <col min="15118" max="15118" width="17.140625" style="1174" customWidth="1"/>
    <col min="15119" max="15119" width="1.42578125" style="1174" customWidth="1"/>
    <col min="15120" max="15120" width="7.5703125" style="1174" customWidth="1"/>
    <col min="15121" max="15121" width="1.42578125" style="1174" customWidth="1"/>
    <col min="15122" max="15349" width="12" style="1174" customWidth="1"/>
    <col min="15350" max="15361" width="9.42578125" style="1174"/>
    <col min="15362" max="15362" width="9.42578125" style="1174" customWidth="1"/>
    <col min="15363" max="15363" width="9.5703125" style="1174" customWidth="1"/>
    <col min="15364" max="15364" width="3.5703125" style="1174" customWidth="1"/>
    <col min="15365" max="15365" width="1.42578125" style="1174" customWidth="1"/>
    <col min="15366" max="15366" width="9.140625" style="1174" customWidth="1"/>
    <col min="15367" max="15367" width="16.28515625" style="1174" customWidth="1"/>
    <col min="15368" max="15368" width="16.42578125" style="1174" customWidth="1"/>
    <col min="15369" max="15369" width="12" style="1174" customWidth="1"/>
    <col min="15370" max="15370" width="14.5703125" style="1174" customWidth="1"/>
    <col min="15371" max="15371" width="15.28515625" style="1174" customWidth="1"/>
    <col min="15372" max="15372" width="13" style="1174" customWidth="1"/>
    <col min="15373" max="15373" width="16.28515625" style="1174" customWidth="1"/>
    <col min="15374" max="15374" width="17.140625" style="1174" customWidth="1"/>
    <col min="15375" max="15375" width="1.42578125" style="1174" customWidth="1"/>
    <col min="15376" max="15376" width="7.5703125" style="1174" customWidth="1"/>
    <col min="15377" max="15377" width="1.42578125" style="1174" customWidth="1"/>
    <col min="15378" max="15605" width="12" style="1174" customWidth="1"/>
    <col min="15606" max="15617" width="9.42578125" style="1174"/>
    <col min="15618" max="15618" width="9.42578125" style="1174" customWidth="1"/>
    <col min="15619" max="15619" width="9.5703125" style="1174" customWidth="1"/>
    <col min="15620" max="15620" width="3.5703125" style="1174" customWidth="1"/>
    <col min="15621" max="15621" width="1.42578125" style="1174" customWidth="1"/>
    <col min="15622" max="15622" width="9.140625" style="1174" customWidth="1"/>
    <col min="15623" max="15623" width="16.28515625" style="1174" customWidth="1"/>
    <col min="15624" max="15624" width="16.42578125" style="1174" customWidth="1"/>
    <col min="15625" max="15625" width="12" style="1174" customWidth="1"/>
    <col min="15626" max="15626" width="14.5703125" style="1174" customWidth="1"/>
    <col min="15627" max="15627" width="15.28515625" style="1174" customWidth="1"/>
    <col min="15628" max="15628" width="13" style="1174" customWidth="1"/>
    <col min="15629" max="15629" width="16.28515625" style="1174" customWidth="1"/>
    <col min="15630" max="15630" width="17.140625" style="1174" customWidth="1"/>
    <col min="15631" max="15631" width="1.42578125" style="1174" customWidth="1"/>
    <col min="15632" max="15632" width="7.5703125" style="1174" customWidth="1"/>
    <col min="15633" max="15633" width="1.42578125" style="1174" customWidth="1"/>
    <col min="15634" max="15861" width="12" style="1174" customWidth="1"/>
    <col min="15862" max="15873" width="9.42578125" style="1174"/>
    <col min="15874" max="15874" width="9.42578125" style="1174" customWidth="1"/>
    <col min="15875" max="15875" width="9.5703125" style="1174" customWidth="1"/>
    <col min="15876" max="15876" width="3.5703125" style="1174" customWidth="1"/>
    <col min="15877" max="15877" width="1.42578125" style="1174" customWidth="1"/>
    <col min="15878" max="15878" width="9.140625" style="1174" customWidth="1"/>
    <col min="15879" max="15879" width="16.28515625" style="1174" customWidth="1"/>
    <col min="15880" max="15880" width="16.42578125" style="1174" customWidth="1"/>
    <col min="15881" max="15881" width="12" style="1174" customWidth="1"/>
    <col min="15882" max="15882" width="14.5703125" style="1174" customWidth="1"/>
    <col min="15883" max="15883" width="15.28515625" style="1174" customWidth="1"/>
    <col min="15884" max="15884" width="13" style="1174" customWidth="1"/>
    <col min="15885" max="15885" width="16.28515625" style="1174" customWidth="1"/>
    <col min="15886" max="15886" width="17.140625" style="1174" customWidth="1"/>
    <col min="15887" max="15887" width="1.42578125" style="1174" customWidth="1"/>
    <col min="15888" max="15888" width="7.5703125" style="1174" customWidth="1"/>
    <col min="15889" max="15889" width="1.42578125" style="1174" customWidth="1"/>
    <col min="15890" max="16117" width="12" style="1174" customWidth="1"/>
    <col min="16118" max="16129" width="9.42578125" style="1174"/>
    <col min="16130" max="16130" width="9.42578125" style="1174" customWidth="1"/>
    <col min="16131" max="16131" width="9.5703125" style="1174" customWidth="1"/>
    <col min="16132" max="16132" width="3.5703125" style="1174" customWidth="1"/>
    <col min="16133" max="16133" width="1.42578125" style="1174" customWidth="1"/>
    <col min="16134" max="16134" width="9.140625" style="1174" customWidth="1"/>
    <col min="16135" max="16135" width="16.28515625" style="1174" customWidth="1"/>
    <col min="16136" max="16136" width="16.42578125" style="1174" customWidth="1"/>
    <col min="16137" max="16137" width="12" style="1174" customWidth="1"/>
    <col min="16138" max="16138" width="14.5703125" style="1174" customWidth="1"/>
    <col min="16139" max="16139" width="15.28515625" style="1174" customWidth="1"/>
    <col min="16140" max="16140" width="13" style="1174" customWidth="1"/>
    <col min="16141" max="16141" width="16.28515625" style="1174" customWidth="1"/>
    <col min="16142" max="16142" width="17.140625" style="1174" customWidth="1"/>
    <col min="16143" max="16143" width="1.42578125" style="1174" customWidth="1"/>
    <col min="16144" max="16144" width="7.5703125" style="1174" customWidth="1"/>
    <col min="16145" max="16145" width="1.42578125" style="1174" customWidth="1"/>
    <col min="16146" max="16373" width="12" style="1174" customWidth="1"/>
    <col min="16374" max="16384" width="9.42578125" style="1174"/>
  </cols>
  <sheetData>
    <row r="1" spans="3:26" ht="28.35" customHeight="1"/>
    <row r="2" spans="3:26" ht="28.35" customHeight="1">
      <c r="C2" s="1190"/>
      <c r="H2" s="2724"/>
      <c r="I2" s="2724"/>
      <c r="J2" s="2724"/>
      <c r="K2" s="1760"/>
      <c r="L2" s="1760"/>
      <c r="M2" s="1760"/>
      <c r="N2" s="1760"/>
      <c r="O2" s="1760"/>
      <c r="T2" s="2867"/>
      <c r="U2" s="3208"/>
      <c r="V2" s="3175"/>
      <c r="W2" s="2867"/>
      <c r="X2" s="2867"/>
      <c r="Y2" s="2867"/>
      <c r="Z2" s="2867"/>
    </row>
    <row r="3" spans="3:26" s="1845" customFormat="1" ht="28.35" customHeight="1">
      <c r="C3" s="3372"/>
      <c r="D3" s="4856" t="s">
        <v>1480</v>
      </c>
      <c r="E3" s="4856"/>
      <c r="F3" s="4856"/>
      <c r="G3" s="4856"/>
      <c r="H3" s="4856"/>
      <c r="I3" s="4856"/>
      <c r="J3" s="4856"/>
      <c r="K3" s="4856"/>
      <c r="L3" s="4856"/>
      <c r="M3" s="4856"/>
      <c r="N3" s="4856"/>
      <c r="O3" s="4856"/>
      <c r="P3" s="4856"/>
      <c r="Q3" s="4856"/>
      <c r="T3" s="3373"/>
      <c r="U3" s="3372"/>
      <c r="V3" s="2885"/>
      <c r="W3" s="2885"/>
      <c r="X3" s="2885"/>
      <c r="Y3" s="2885"/>
    </row>
    <row r="4" spans="3:26" s="2498" customFormat="1" ht="28.35" customHeight="1">
      <c r="C4" s="3374"/>
      <c r="D4" s="4713" t="s">
        <v>1481</v>
      </c>
      <c r="E4" s="4713"/>
      <c r="F4" s="4713"/>
      <c r="G4" s="4713"/>
      <c r="H4" s="4713"/>
      <c r="I4" s="4713"/>
      <c r="J4" s="4713"/>
      <c r="K4" s="4713"/>
      <c r="L4" s="4713"/>
      <c r="M4" s="4713"/>
      <c r="N4" s="4713"/>
      <c r="O4" s="4713"/>
      <c r="P4" s="4713"/>
      <c r="Q4" s="4713"/>
    </row>
    <row r="5" spans="3:26" s="1849" customFormat="1" ht="17.100000000000001" customHeight="1">
      <c r="C5" s="2499"/>
      <c r="D5" s="4690" t="s">
        <v>1482</v>
      </c>
      <c r="E5" s="4690"/>
      <c r="F5" s="4690"/>
      <c r="G5" s="3054"/>
      <c r="H5" s="3054"/>
      <c r="I5" s="3054"/>
      <c r="J5" s="3054"/>
      <c r="K5" s="3375"/>
      <c r="L5" s="3375"/>
      <c r="M5" s="3054"/>
      <c r="N5" s="3054"/>
      <c r="O5" s="3054"/>
      <c r="P5" s="2544"/>
      <c r="Q5" s="3375"/>
    </row>
    <row r="6" spans="3:26" ht="4.3499999999999996" customHeight="1">
      <c r="C6" s="1190"/>
      <c r="D6" s="1323"/>
      <c r="E6" s="1323"/>
      <c r="F6" s="1323"/>
      <c r="G6" s="1323"/>
      <c r="H6" s="2103"/>
      <c r="I6" s="1763"/>
      <c r="J6" s="1763"/>
      <c r="K6" s="3376"/>
      <c r="L6" s="1323"/>
      <c r="M6" s="2103"/>
      <c r="N6" s="2103"/>
      <c r="O6" s="2773"/>
      <c r="P6" s="1323"/>
      <c r="Q6" s="1323"/>
    </row>
    <row r="7" spans="3:26" s="1999" customFormat="1" ht="6" customHeight="1">
      <c r="C7" s="2390"/>
      <c r="D7" s="1863"/>
      <c r="E7" s="3377"/>
      <c r="F7" s="3377"/>
      <c r="G7" s="3377"/>
      <c r="H7" s="1229"/>
      <c r="I7" s="1226"/>
      <c r="J7" s="1226"/>
      <c r="K7" s="1229"/>
      <c r="L7" s="1226"/>
      <c r="M7" s="1226"/>
      <c r="N7" s="2110"/>
      <c r="O7" s="1278"/>
      <c r="P7" s="1993"/>
      <c r="Q7" s="1230"/>
    </row>
    <row r="8" spans="3:26" s="1986" customFormat="1" ht="39.75" customHeight="1">
      <c r="C8" s="2390"/>
      <c r="D8" s="3378" t="s">
        <v>1483</v>
      </c>
      <c r="E8" s="1292"/>
      <c r="F8" s="1292"/>
      <c r="G8" s="1292"/>
      <c r="H8" s="1236"/>
      <c r="I8" s="1236"/>
      <c r="J8" s="1236"/>
      <c r="K8" s="1236"/>
      <c r="L8" s="1236"/>
      <c r="M8" s="1236"/>
      <c r="N8" s="1243" t="s">
        <v>1484</v>
      </c>
      <c r="O8" s="3070"/>
      <c r="P8" s="1997"/>
      <c r="Q8" s="1237"/>
    </row>
    <row r="9" spans="3:26" ht="21.2" customHeight="1">
      <c r="C9" s="1801"/>
      <c r="D9" s="3379"/>
      <c r="E9" s="2520"/>
      <c r="F9" s="2520"/>
      <c r="G9" s="1822"/>
      <c r="H9" s="1384"/>
      <c r="I9" s="3380"/>
      <c r="J9" s="1822"/>
      <c r="K9" s="2548"/>
      <c r="L9" s="1384"/>
      <c r="M9" s="1384"/>
      <c r="N9" s="1384"/>
      <c r="O9" s="2293"/>
      <c r="P9" s="2296"/>
      <c r="Q9" s="1294"/>
    </row>
    <row r="10" spans="3:26" ht="21.2" customHeight="1">
      <c r="C10" s="1807"/>
      <c r="D10" s="4774" t="s">
        <v>1382</v>
      </c>
      <c r="E10" s="4672"/>
      <c r="F10" s="4672"/>
      <c r="G10" s="4685"/>
      <c r="H10" s="1731" t="s">
        <v>1371</v>
      </c>
      <c r="I10" s="4683" t="s">
        <v>1317</v>
      </c>
      <c r="J10" s="4685"/>
      <c r="K10" s="1731" t="s">
        <v>1485</v>
      </c>
      <c r="L10" s="1731" t="s">
        <v>1386</v>
      </c>
      <c r="M10" s="1731" t="s">
        <v>1486</v>
      </c>
      <c r="N10" s="1242" t="s">
        <v>1487</v>
      </c>
      <c r="O10" s="2293"/>
      <c r="P10" s="2296"/>
      <c r="Q10" s="1294"/>
      <c r="S10" s="1190"/>
    </row>
    <row r="11" spans="3:26" ht="21.2" customHeight="1">
      <c r="C11" s="1807"/>
      <c r="D11" s="4774" t="s">
        <v>1388</v>
      </c>
      <c r="E11" s="4672"/>
      <c r="F11" s="4672"/>
      <c r="G11" s="4685"/>
      <c r="H11" s="1731" t="s">
        <v>1373</v>
      </c>
      <c r="I11" s="4683" t="s">
        <v>1390</v>
      </c>
      <c r="J11" s="4685"/>
      <c r="K11" s="1731" t="s">
        <v>1488</v>
      </c>
      <c r="L11" s="1731" t="s">
        <v>1393</v>
      </c>
      <c r="M11" s="1731" t="s">
        <v>1489</v>
      </c>
      <c r="N11" s="1242" t="s">
        <v>395</v>
      </c>
      <c r="O11" s="1284"/>
      <c r="P11" s="1241"/>
      <c r="Q11" s="2273"/>
    </row>
    <row r="12" spans="3:26" ht="21.2" customHeight="1">
      <c r="C12" s="1807"/>
      <c r="D12" s="2367"/>
      <c r="E12" s="1997"/>
      <c r="F12" s="1997"/>
      <c r="G12" s="1750"/>
      <c r="H12" s="1731"/>
      <c r="I12" s="1749"/>
      <c r="J12" s="1750"/>
      <c r="K12" s="1387"/>
      <c r="L12" s="1731"/>
      <c r="M12" s="1731"/>
      <c r="N12" s="1242"/>
      <c r="O12" s="1284"/>
      <c r="P12" s="1240"/>
      <c r="Q12" s="2273"/>
    </row>
    <row r="13" spans="3:26" ht="21.2" customHeight="1">
      <c r="C13" s="1807"/>
      <c r="D13" s="2367"/>
      <c r="E13" s="1997"/>
      <c r="F13" s="1997"/>
      <c r="G13" s="1750"/>
      <c r="H13" s="1731"/>
      <c r="I13" s="1749"/>
      <c r="J13" s="1750"/>
      <c r="K13" s="1731" t="s">
        <v>1490</v>
      </c>
      <c r="L13" s="1731" t="s">
        <v>1491</v>
      </c>
      <c r="M13" s="1731" t="s">
        <v>1404</v>
      </c>
      <c r="N13" s="1242"/>
      <c r="O13" s="1284"/>
      <c r="P13" s="1240"/>
      <c r="Q13" s="2273"/>
    </row>
    <row r="14" spans="3:26" ht="21.2" customHeight="1">
      <c r="C14" s="1807"/>
      <c r="D14" s="4774" t="s">
        <v>1492</v>
      </c>
      <c r="E14" s="4672"/>
      <c r="F14" s="4672"/>
      <c r="G14" s="4685"/>
      <c r="H14" s="1731" t="s">
        <v>1410</v>
      </c>
      <c r="I14" s="1749"/>
      <c r="J14" s="1750"/>
      <c r="K14" s="1731" t="s">
        <v>1330</v>
      </c>
      <c r="L14" s="1731" t="s">
        <v>127</v>
      </c>
      <c r="M14" s="1731" t="s">
        <v>1493</v>
      </c>
      <c r="N14" s="1242" t="s">
        <v>401</v>
      </c>
      <c r="O14" s="2293"/>
      <c r="P14" s="2296"/>
      <c r="Q14" s="1294"/>
    </row>
    <row r="15" spans="3:26" s="1801" customFormat="1" ht="21.2" customHeight="1">
      <c r="C15" s="1807"/>
      <c r="D15" s="4953" t="s">
        <v>1417</v>
      </c>
      <c r="E15" s="4769"/>
      <c r="F15" s="4769"/>
      <c r="G15" s="4769"/>
      <c r="H15" s="1732" t="s">
        <v>1329</v>
      </c>
      <c r="I15" s="4623" t="s">
        <v>1419</v>
      </c>
      <c r="J15" s="4679"/>
      <c r="K15" s="1732" t="s">
        <v>1494</v>
      </c>
      <c r="L15" s="1732" t="s">
        <v>1421</v>
      </c>
      <c r="M15" s="1732" t="s">
        <v>1422</v>
      </c>
      <c r="N15" s="2515" t="s">
        <v>1495</v>
      </c>
      <c r="O15" s="2094"/>
      <c r="P15" s="1772"/>
      <c r="Q15" s="2123"/>
    </row>
    <row r="16" spans="3:26" ht="20.100000000000001" customHeight="1">
      <c r="C16" s="2771"/>
      <c r="D16" s="4948">
        <v>19.3</v>
      </c>
      <c r="E16" s="4949"/>
      <c r="F16" s="4949"/>
      <c r="G16" s="4949"/>
      <c r="H16" s="1171">
        <v>23.6</v>
      </c>
      <c r="I16" s="4950">
        <v>62.3</v>
      </c>
      <c r="J16" s="4950"/>
      <c r="K16" s="1171">
        <v>26.7</v>
      </c>
      <c r="L16" s="1171">
        <v>50.9</v>
      </c>
      <c r="M16" s="1171">
        <v>61.8</v>
      </c>
      <c r="N16" s="1139">
        <v>36.299999999999997</v>
      </c>
      <c r="O16" s="3381"/>
      <c r="P16" s="2324">
        <v>1969</v>
      </c>
      <c r="Q16" s="2349"/>
    </row>
    <row r="17" spans="3:17" ht="20.100000000000001" customHeight="1">
      <c r="C17" s="2771"/>
      <c r="D17" s="4945">
        <v>18.100000000000001</v>
      </c>
      <c r="E17" s="4725"/>
      <c r="F17" s="4725"/>
      <c r="G17" s="4725"/>
      <c r="H17" s="2244">
        <v>25.3</v>
      </c>
      <c r="I17" s="4730">
        <v>62</v>
      </c>
      <c r="J17" s="4730"/>
      <c r="K17" s="2244">
        <v>20.399999999999999</v>
      </c>
      <c r="L17" s="2244">
        <v>51.6</v>
      </c>
      <c r="M17" s="2244">
        <v>51.2</v>
      </c>
      <c r="N17" s="1752">
        <v>30.6</v>
      </c>
      <c r="O17" s="1394"/>
      <c r="P17" s="1728">
        <v>1970</v>
      </c>
      <c r="Q17" s="1729"/>
    </row>
    <row r="18" spans="3:17" ht="20.100000000000001" customHeight="1">
      <c r="C18" s="2771"/>
      <c r="D18" s="4948">
        <v>19.2</v>
      </c>
      <c r="E18" s="4949"/>
      <c r="F18" s="4949"/>
      <c r="G18" s="4949"/>
      <c r="H18" s="1171">
        <v>23.5</v>
      </c>
      <c r="I18" s="4950">
        <v>55.3</v>
      </c>
      <c r="J18" s="4950"/>
      <c r="K18" s="1171">
        <v>20.6</v>
      </c>
      <c r="L18" s="1171">
        <v>54.2</v>
      </c>
      <c r="M18" s="1171">
        <v>43.3</v>
      </c>
      <c r="N18" s="1139">
        <v>28.4</v>
      </c>
      <c r="O18" s="3381"/>
      <c r="P18" s="2324">
        <v>1971</v>
      </c>
      <c r="Q18" s="2349"/>
    </row>
    <row r="19" spans="3:17" ht="20.100000000000001" customHeight="1">
      <c r="C19" s="2771"/>
      <c r="D19" s="4945">
        <v>17.899999999999999</v>
      </c>
      <c r="E19" s="4725"/>
      <c r="F19" s="4725"/>
      <c r="G19" s="4725"/>
      <c r="H19" s="2244">
        <v>27.3</v>
      </c>
      <c r="I19" s="4730">
        <v>59.7</v>
      </c>
      <c r="J19" s="4730"/>
      <c r="K19" s="2244">
        <v>26.7</v>
      </c>
      <c r="L19" s="2244">
        <v>54</v>
      </c>
      <c r="M19" s="2244">
        <v>52.3</v>
      </c>
      <c r="N19" s="1752">
        <v>34.299999999999997</v>
      </c>
      <c r="O19" s="1394"/>
      <c r="P19" s="1728">
        <v>1972</v>
      </c>
      <c r="Q19" s="1729"/>
    </row>
    <row r="20" spans="3:17" ht="20.100000000000001" customHeight="1">
      <c r="C20" s="2771"/>
      <c r="D20" s="4948">
        <v>23.4</v>
      </c>
      <c r="E20" s="4949"/>
      <c r="F20" s="4949"/>
      <c r="G20" s="4949"/>
      <c r="H20" s="1171">
        <v>30.3</v>
      </c>
      <c r="I20" s="4950">
        <v>73.3</v>
      </c>
      <c r="J20" s="4950"/>
      <c r="K20" s="1171">
        <v>27.5</v>
      </c>
      <c r="L20" s="1171">
        <v>53.6</v>
      </c>
      <c r="M20" s="1171">
        <v>49.6</v>
      </c>
      <c r="N20" s="1139">
        <v>34.5</v>
      </c>
      <c r="O20" s="3381"/>
      <c r="P20" s="2324">
        <v>1973</v>
      </c>
      <c r="Q20" s="2349"/>
    </row>
    <row r="21" spans="3:17" ht="20.100000000000001" customHeight="1">
      <c r="C21" s="2771"/>
      <c r="D21" s="4945">
        <v>41.8</v>
      </c>
      <c r="E21" s="4725"/>
      <c r="F21" s="4725"/>
      <c r="G21" s="4725"/>
      <c r="H21" s="2244">
        <v>64.599999999999994</v>
      </c>
      <c r="I21" s="4730">
        <v>88.4</v>
      </c>
      <c r="J21" s="4730"/>
      <c r="K21" s="2244">
        <v>86</v>
      </c>
      <c r="L21" s="2244">
        <v>58.7</v>
      </c>
      <c r="M21" s="2244">
        <v>64</v>
      </c>
      <c r="N21" s="1752">
        <v>70.3</v>
      </c>
      <c r="O21" s="1394"/>
      <c r="P21" s="1728">
        <v>1974</v>
      </c>
      <c r="Q21" s="1729"/>
    </row>
    <row r="22" spans="3:17" ht="20.100000000000001" customHeight="1">
      <c r="C22" s="2771"/>
      <c r="D22" s="4948">
        <v>57.3</v>
      </c>
      <c r="E22" s="4949"/>
      <c r="F22" s="4949"/>
      <c r="G22" s="4949"/>
      <c r="H22" s="1171">
        <v>73.400000000000006</v>
      </c>
      <c r="I22" s="4950">
        <v>97.2</v>
      </c>
      <c r="J22" s="4950"/>
      <c r="K22" s="1171">
        <v>110.1</v>
      </c>
      <c r="L22" s="1171">
        <v>64</v>
      </c>
      <c r="M22" s="1171">
        <v>48</v>
      </c>
      <c r="N22" s="1139">
        <v>79.7</v>
      </c>
      <c r="O22" s="3381"/>
      <c r="P22" s="2324">
        <v>1975</v>
      </c>
      <c r="Q22" s="2349"/>
    </row>
    <row r="23" spans="3:17" ht="20.100000000000001" customHeight="1">
      <c r="C23" s="2771"/>
      <c r="D23" s="4945">
        <v>43.3</v>
      </c>
      <c r="E23" s="4725"/>
      <c r="F23" s="4725"/>
      <c r="G23" s="4725"/>
      <c r="H23" s="2244">
        <v>51.2</v>
      </c>
      <c r="I23" s="4730">
        <v>85.4</v>
      </c>
      <c r="J23" s="4730"/>
      <c r="K23" s="2244">
        <v>79</v>
      </c>
      <c r="L23" s="2244">
        <v>70.3</v>
      </c>
      <c r="M23" s="2244">
        <v>80.099999999999994</v>
      </c>
      <c r="N23" s="1752">
        <v>71.7</v>
      </c>
      <c r="O23" s="1394"/>
      <c r="P23" s="1728">
        <v>1976</v>
      </c>
      <c r="Q23" s="4488"/>
    </row>
    <row r="24" spans="3:17" ht="20.100000000000001" customHeight="1">
      <c r="C24" s="2771"/>
      <c r="D24" s="4948">
        <v>48.8</v>
      </c>
      <c r="E24" s="4949"/>
      <c r="F24" s="4949"/>
      <c r="G24" s="4949"/>
      <c r="H24" s="1171">
        <v>71.3</v>
      </c>
      <c r="I24" s="4950">
        <v>83.9</v>
      </c>
      <c r="J24" s="4950"/>
      <c r="K24" s="1171">
        <v>65.5</v>
      </c>
      <c r="L24" s="1171">
        <v>63.5</v>
      </c>
      <c r="M24" s="1171">
        <v>88.5</v>
      </c>
      <c r="N24" s="1139">
        <v>71.7</v>
      </c>
      <c r="O24" s="3381"/>
      <c r="P24" s="2324">
        <v>1977</v>
      </c>
      <c r="Q24" s="2349"/>
    </row>
    <row r="25" spans="3:17" ht="20.100000000000001" customHeight="1">
      <c r="C25" s="2771"/>
      <c r="D25" s="4945">
        <v>46.6</v>
      </c>
      <c r="E25" s="4725"/>
      <c r="F25" s="4725"/>
      <c r="G25" s="4725"/>
      <c r="H25" s="2244">
        <v>65.5</v>
      </c>
      <c r="I25" s="4730">
        <v>90.6</v>
      </c>
      <c r="J25" s="4730"/>
      <c r="K25" s="2244">
        <v>61.4</v>
      </c>
      <c r="L25" s="2244">
        <v>89.3</v>
      </c>
      <c r="M25" s="2244">
        <v>80.7</v>
      </c>
      <c r="N25" s="1752">
        <v>69</v>
      </c>
      <c r="O25" s="1394"/>
      <c r="P25" s="1728">
        <v>1978</v>
      </c>
      <c r="Q25" s="1729"/>
    </row>
    <row r="26" spans="3:17" ht="20.100000000000001" customHeight="1">
      <c r="C26" s="2771"/>
      <c r="D26" s="4948">
        <v>51.4</v>
      </c>
      <c r="E26" s="4949"/>
      <c r="F26" s="4949"/>
      <c r="G26" s="4949"/>
      <c r="H26" s="1171">
        <v>60.8</v>
      </c>
      <c r="I26" s="4950">
        <v>65.2</v>
      </c>
      <c r="J26" s="4950"/>
      <c r="K26" s="1171">
        <v>65.8</v>
      </c>
      <c r="L26" s="1171">
        <v>90.1</v>
      </c>
      <c r="M26" s="1171">
        <v>89.8</v>
      </c>
      <c r="N26" s="1139">
        <v>69.5</v>
      </c>
      <c r="O26" s="3381"/>
      <c r="P26" s="2324">
        <v>1979</v>
      </c>
      <c r="Q26" s="2349"/>
    </row>
    <row r="27" spans="3:17" ht="20.100000000000001" customHeight="1">
      <c r="C27" s="2771"/>
      <c r="D27" s="4945">
        <v>58.8</v>
      </c>
      <c r="E27" s="4725"/>
      <c r="F27" s="4725"/>
      <c r="G27" s="4725"/>
      <c r="H27" s="2244">
        <v>68.3</v>
      </c>
      <c r="I27" s="4730">
        <v>83.8</v>
      </c>
      <c r="J27" s="4730"/>
      <c r="K27" s="2244">
        <v>90.5</v>
      </c>
      <c r="L27" s="2244">
        <v>84.6</v>
      </c>
      <c r="M27" s="2244">
        <v>89.2</v>
      </c>
      <c r="N27" s="1752">
        <v>82.6</v>
      </c>
      <c r="O27" s="1394"/>
      <c r="P27" s="1728">
        <v>1980</v>
      </c>
      <c r="Q27" s="1729"/>
    </row>
    <row r="28" spans="3:17" ht="20.100000000000001" customHeight="1">
      <c r="C28" s="2771"/>
      <c r="D28" s="4948">
        <v>87.2</v>
      </c>
      <c r="E28" s="4949"/>
      <c r="F28" s="4949"/>
      <c r="G28" s="4949"/>
      <c r="H28" s="1171">
        <v>75.099999999999994</v>
      </c>
      <c r="I28" s="4950">
        <v>85.6</v>
      </c>
      <c r="J28" s="4950"/>
      <c r="K28" s="1171">
        <v>104.4</v>
      </c>
      <c r="L28" s="1171">
        <v>89.6</v>
      </c>
      <c r="M28" s="1171">
        <v>103.4</v>
      </c>
      <c r="N28" s="1139">
        <v>94.7</v>
      </c>
      <c r="O28" s="3381"/>
      <c r="P28" s="2324">
        <v>1981</v>
      </c>
      <c r="Q28" s="2349"/>
    </row>
    <row r="29" spans="3:17" ht="20.100000000000001" customHeight="1">
      <c r="C29" s="2771"/>
      <c r="D29" s="4945">
        <v>89.1</v>
      </c>
      <c r="E29" s="4725"/>
      <c r="F29" s="4725"/>
      <c r="G29" s="4725"/>
      <c r="H29" s="2244">
        <v>91.7</v>
      </c>
      <c r="I29" s="4730">
        <v>106.5</v>
      </c>
      <c r="J29" s="4730"/>
      <c r="K29" s="2244">
        <v>112.9</v>
      </c>
      <c r="L29" s="2244">
        <v>102.5</v>
      </c>
      <c r="M29" s="2244">
        <v>103.7</v>
      </c>
      <c r="N29" s="1752">
        <v>103.6</v>
      </c>
      <c r="O29" s="1394"/>
      <c r="P29" s="1728">
        <v>1982</v>
      </c>
      <c r="Q29" s="1729"/>
    </row>
    <row r="30" spans="3:17" ht="20.100000000000001" customHeight="1">
      <c r="C30" s="2771"/>
      <c r="D30" s="4948">
        <v>73</v>
      </c>
      <c r="E30" s="4949"/>
      <c r="F30" s="4949"/>
      <c r="G30" s="4949"/>
      <c r="H30" s="1171">
        <v>92.9</v>
      </c>
      <c r="I30" s="4950">
        <v>92</v>
      </c>
      <c r="J30" s="4950"/>
      <c r="K30" s="1171">
        <v>99.2</v>
      </c>
      <c r="L30" s="1171">
        <v>101.7</v>
      </c>
      <c r="M30" s="1171">
        <v>98.4</v>
      </c>
      <c r="N30" s="1139">
        <v>94.6</v>
      </c>
      <c r="O30" s="3381"/>
      <c r="P30" s="2324">
        <v>1983</v>
      </c>
      <c r="Q30" s="2349"/>
    </row>
    <row r="31" spans="3:17" ht="20.100000000000001" customHeight="1">
      <c r="C31" s="2771"/>
      <c r="D31" s="4945">
        <v>100.4</v>
      </c>
      <c r="E31" s="4725"/>
      <c r="F31" s="4725"/>
      <c r="G31" s="4725"/>
      <c r="H31" s="2244">
        <v>98.7</v>
      </c>
      <c r="I31" s="4730">
        <v>118.1</v>
      </c>
      <c r="J31" s="4730"/>
      <c r="K31" s="2244">
        <v>104</v>
      </c>
      <c r="L31" s="2244">
        <v>103</v>
      </c>
      <c r="M31" s="2244">
        <v>100.6</v>
      </c>
      <c r="N31" s="1752">
        <v>103.1</v>
      </c>
      <c r="O31" s="1394"/>
      <c r="P31" s="1728">
        <v>1984</v>
      </c>
      <c r="Q31" s="1729"/>
    </row>
    <row r="32" spans="3:17" ht="20.100000000000001" customHeight="1">
      <c r="C32" s="2771"/>
      <c r="D32" s="4948">
        <v>100</v>
      </c>
      <c r="E32" s="4949"/>
      <c r="F32" s="4949"/>
      <c r="G32" s="4949"/>
      <c r="H32" s="1171">
        <v>100</v>
      </c>
      <c r="I32" s="4950">
        <v>100</v>
      </c>
      <c r="J32" s="4950"/>
      <c r="K32" s="1171">
        <v>100</v>
      </c>
      <c r="L32" s="1171">
        <v>100</v>
      </c>
      <c r="M32" s="1171">
        <v>100</v>
      </c>
      <c r="N32" s="1139">
        <v>100</v>
      </c>
      <c r="O32" s="3381"/>
      <c r="P32" s="2324">
        <v>1985</v>
      </c>
      <c r="Q32" s="2349"/>
    </row>
    <row r="33" spans="3:28" ht="20.100000000000001" customHeight="1">
      <c r="C33" s="2771"/>
      <c r="D33" s="4945">
        <v>82.5</v>
      </c>
      <c r="E33" s="4725"/>
      <c r="F33" s="4725"/>
      <c r="G33" s="4725"/>
      <c r="H33" s="2244">
        <v>94.7</v>
      </c>
      <c r="I33" s="4730">
        <v>86.2</v>
      </c>
      <c r="J33" s="4730"/>
      <c r="K33" s="2244">
        <v>81.099999999999994</v>
      </c>
      <c r="L33" s="2244">
        <v>118.7</v>
      </c>
      <c r="M33" s="2244">
        <v>98.3</v>
      </c>
      <c r="N33" s="1752">
        <v>86.1</v>
      </c>
      <c r="O33" s="1394"/>
      <c r="P33" s="1728">
        <v>1986</v>
      </c>
      <c r="Q33" s="1729"/>
    </row>
    <row r="34" spans="3:28" ht="20.100000000000001" customHeight="1">
      <c r="C34" s="2771"/>
      <c r="D34" s="4948">
        <v>68</v>
      </c>
      <c r="E34" s="4949"/>
      <c r="F34" s="4949"/>
      <c r="G34" s="4949"/>
      <c r="H34" s="1171">
        <v>90.3</v>
      </c>
      <c r="I34" s="4950">
        <v>87.3</v>
      </c>
      <c r="J34" s="4950"/>
      <c r="K34" s="1171">
        <v>71.2</v>
      </c>
      <c r="L34" s="1171">
        <v>80.5</v>
      </c>
      <c r="M34" s="1171">
        <v>95.4</v>
      </c>
      <c r="N34" s="1139">
        <v>79.900000000000006</v>
      </c>
      <c r="O34" s="3381"/>
      <c r="P34" s="2324">
        <v>1987</v>
      </c>
      <c r="Q34" s="2349"/>
    </row>
    <row r="35" spans="3:28" ht="20.100000000000001" customHeight="1">
      <c r="C35" s="2771"/>
      <c r="D35" s="4945">
        <v>88.9</v>
      </c>
      <c r="E35" s="4725"/>
      <c r="F35" s="4725"/>
      <c r="G35" s="4725"/>
      <c r="H35" s="2244">
        <v>97.3</v>
      </c>
      <c r="I35" s="4730">
        <v>95.2</v>
      </c>
      <c r="J35" s="4730"/>
      <c r="K35" s="2244">
        <v>90.9</v>
      </c>
      <c r="L35" s="2244">
        <v>84.2</v>
      </c>
      <c r="M35" s="2244">
        <v>105.8</v>
      </c>
      <c r="N35" s="1752">
        <v>93.1</v>
      </c>
      <c r="O35" s="1394"/>
      <c r="P35" s="1728">
        <v>1988</v>
      </c>
      <c r="Q35" s="1729"/>
    </row>
    <row r="36" spans="3:28" ht="20.100000000000001" customHeight="1">
      <c r="C36" s="3382"/>
      <c r="D36" s="4948">
        <v>127.3</v>
      </c>
      <c r="E36" s="4949"/>
      <c r="F36" s="4949"/>
      <c r="G36" s="4949"/>
      <c r="H36" s="1171">
        <v>112.3</v>
      </c>
      <c r="I36" s="4950">
        <v>134.69999999999999</v>
      </c>
      <c r="J36" s="4950"/>
      <c r="K36" s="1171">
        <v>158.6</v>
      </c>
      <c r="L36" s="1171">
        <v>164</v>
      </c>
      <c r="M36" s="1171">
        <v>113.8</v>
      </c>
      <c r="N36" s="1139">
        <v>145.30000000000001</v>
      </c>
      <c r="O36" s="3381"/>
      <c r="P36" s="2324">
        <v>1989</v>
      </c>
      <c r="Q36" s="3383"/>
      <c r="R36" s="1963"/>
      <c r="S36" s="1963"/>
      <c r="T36" s="1963"/>
      <c r="U36" s="1963"/>
      <c r="V36" s="1963"/>
      <c r="W36" s="1963"/>
      <c r="X36" s="1963"/>
      <c r="Y36" s="1963"/>
      <c r="Z36" s="1963"/>
      <c r="AA36" s="1963"/>
      <c r="AB36" s="1963"/>
    </row>
    <row r="37" spans="3:28" ht="20.100000000000001" customHeight="1">
      <c r="C37" s="3382"/>
      <c r="D37" s="4945">
        <v>135.4</v>
      </c>
      <c r="E37" s="4725"/>
      <c r="F37" s="4725"/>
      <c r="G37" s="4725"/>
      <c r="H37" s="2244">
        <v>150.4</v>
      </c>
      <c r="I37" s="4730">
        <v>160.69999999999999</v>
      </c>
      <c r="J37" s="4730"/>
      <c r="K37" s="2244">
        <v>187.6</v>
      </c>
      <c r="L37" s="2244">
        <v>205</v>
      </c>
      <c r="M37" s="2244">
        <v>154.6</v>
      </c>
      <c r="N37" s="1752">
        <v>173</v>
      </c>
      <c r="O37" s="1394"/>
      <c r="P37" s="1728">
        <v>1990</v>
      </c>
      <c r="Q37" s="3384"/>
      <c r="R37" s="1963"/>
      <c r="S37" s="1963"/>
      <c r="T37" s="1963"/>
      <c r="U37" s="1963"/>
      <c r="V37" s="1963"/>
      <c r="W37" s="1963"/>
      <c r="X37" s="1963"/>
      <c r="Y37" s="1963"/>
      <c r="Z37" s="1963"/>
      <c r="AA37" s="1963"/>
      <c r="AB37" s="1963"/>
    </row>
    <row r="38" spans="3:28" ht="20.100000000000001" customHeight="1">
      <c r="C38" s="3382"/>
      <c r="D38" s="4948">
        <v>160.69999999999999</v>
      </c>
      <c r="E38" s="4949"/>
      <c r="F38" s="4949"/>
      <c r="G38" s="4949"/>
      <c r="H38" s="1171">
        <v>165.4</v>
      </c>
      <c r="I38" s="4950">
        <v>182.9</v>
      </c>
      <c r="J38" s="4950"/>
      <c r="K38" s="1171">
        <v>195.5</v>
      </c>
      <c r="L38" s="1171">
        <v>177.7</v>
      </c>
      <c r="M38" s="1171">
        <v>248.2</v>
      </c>
      <c r="N38" s="1139">
        <v>192.5</v>
      </c>
      <c r="O38" s="3381"/>
      <c r="P38" s="2324">
        <v>1991</v>
      </c>
      <c r="Q38" s="3383"/>
      <c r="R38" s="1963"/>
      <c r="S38" s="1963"/>
      <c r="T38" s="1963"/>
      <c r="U38" s="1963"/>
      <c r="V38" s="1963"/>
      <c r="W38" s="1963"/>
      <c r="X38" s="1963"/>
      <c r="Y38" s="1963"/>
      <c r="Z38" s="1963"/>
      <c r="AA38" s="1963"/>
      <c r="AB38" s="1963"/>
    </row>
    <row r="39" spans="3:28" ht="19.5" customHeight="1">
      <c r="C39" s="3382"/>
      <c r="D39" s="4945">
        <v>158.9</v>
      </c>
      <c r="E39" s="4725"/>
      <c r="F39" s="4725"/>
      <c r="G39" s="4725"/>
      <c r="H39" s="2244">
        <v>163.4</v>
      </c>
      <c r="I39" s="4730">
        <v>178.2</v>
      </c>
      <c r="J39" s="4730"/>
      <c r="K39" s="2244">
        <v>196.4</v>
      </c>
      <c r="L39" s="2244">
        <v>156.19999999999999</v>
      </c>
      <c r="M39" s="2244">
        <v>189.6</v>
      </c>
      <c r="N39" s="1752">
        <v>185.5</v>
      </c>
      <c r="O39" s="1394"/>
      <c r="P39" s="1728">
        <v>1992</v>
      </c>
      <c r="Q39" s="3384"/>
      <c r="R39" s="1963"/>
      <c r="S39" s="1963"/>
      <c r="T39" s="1963"/>
      <c r="U39" s="1963"/>
      <c r="V39" s="1963"/>
      <c r="W39" s="1963"/>
      <c r="X39" s="1963"/>
      <c r="Y39" s="1963"/>
      <c r="Z39" s="1963"/>
      <c r="AA39" s="1963"/>
      <c r="AB39" s="1963"/>
    </row>
    <row r="40" spans="3:28" ht="20.100000000000001" customHeight="1">
      <c r="C40" s="2771"/>
      <c r="D40" s="4948">
        <v>182.9</v>
      </c>
      <c r="E40" s="4949"/>
      <c r="F40" s="4949"/>
      <c r="G40" s="4949"/>
      <c r="H40" s="1171">
        <v>166.9</v>
      </c>
      <c r="I40" s="4950">
        <v>176.9</v>
      </c>
      <c r="J40" s="4950"/>
      <c r="K40" s="1171">
        <v>175</v>
      </c>
      <c r="L40" s="1171">
        <v>277.60000000000002</v>
      </c>
      <c r="M40" s="1171">
        <v>280.60000000000002</v>
      </c>
      <c r="N40" s="1139">
        <v>187.4</v>
      </c>
      <c r="O40" s="3381"/>
      <c r="P40" s="2324">
        <v>1993</v>
      </c>
      <c r="Q40" s="3383"/>
      <c r="R40" s="1963"/>
      <c r="S40" s="1963"/>
      <c r="T40" s="1963"/>
      <c r="U40" s="1963"/>
      <c r="V40" s="1963"/>
      <c r="W40" s="1963"/>
      <c r="X40" s="1963"/>
      <c r="Y40" s="1963"/>
      <c r="Z40" s="1963"/>
      <c r="AA40" s="1963"/>
      <c r="AB40" s="1963"/>
    </row>
    <row r="41" spans="3:28" ht="20.100000000000001" customHeight="1">
      <c r="C41" s="2771"/>
      <c r="D41" s="4945">
        <v>191.9</v>
      </c>
      <c r="E41" s="4725"/>
      <c r="F41" s="4725"/>
      <c r="G41" s="4725"/>
      <c r="H41" s="2244">
        <v>169.1</v>
      </c>
      <c r="I41" s="4730">
        <v>190.8</v>
      </c>
      <c r="J41" s="4730"/>
      <c r="K41" s="2244">
        <v>174.7</v>
      </c>
      <c r="L41" s="2244">
        <v>306.10000000000002</v>
      </c>
      <c r="M41" s="2244">
        <v>290.7</v>
      </c>
      <c r="N41" s="1752">
        <v>196.3</v>
      </c>
      <c r="O41" s="1394"/>
      <c r="P41" s="1728">
        <v>1994</v>
      </c>
      <c r="Q41" s="3384"/>
      <c r="R41" s="1963"/>
      <c r="S41" s="1963"/>
      <c r="T41" s="1963"/>
      <c r="U41" s="1963"/>
      <c r="V41" s="1963"/>
      <c r="W41" s="1963"/>
      <c r="X41" s="1963"/>
      <c r="Y41" s="1963"/>
      <c r="Z41" s="1963"/>
      <c r="AA41" s="1963"/>
      <c r="AB41" s="1963"/>
    </row>
    <row r="42" spans="3:28" ht="6" customHeight="1">
      <c r="C42" s="3385"/>
      <c r="D42" s="1167"/>
      <c r="E42" s="1752"/>
      <c r="F42" s="1752"/>
      <c r="G42" s="1752"/>
      <c r="H42" s="2014"/>
      <c r="I42" s="2014"/>
      <c r="J42" s="2014"/>
      <c r="K42" s="2014"/>
      <c r="L42" s="2014"/>
      <c r="M42" s="2014"/>
      <c r="N42" s="1651"/>
      <c r="O42" s="1650"/>
      <c r="P42" s="1724"/>
      <c r="Q42" s="3384"/>
      <c r="R42" s="1963"/>
      <c r="S42" s="1963"/>
      <c r="T42" s="1963"/>
      <c r="U42" s="1963"/>
      <c r="V42" s="1963"/>
      <c r="W42" s="1963"/>
      <c r="X42" s="1963"/>
      <c r="Y42" s="1963"/>
      <c r="Z42" s="1963"/>
      <c r="AA42" s="1963"/>
      <c r="AB42" s="1963"/>
    </row>
    <row r="43" spans="3:28" ht="6" customHeight="1">
      <c r="C43" s="1964"/>
      <c r="D43" s="3386"/>
      <c r="E43" s="3386"/>
      <c r="F43" s="3386"/>
      <c r="G43" s="3386"/>
      <c r="H43" s="3386"/>
      <c r="I43" s="3386"/>
      <c r="J43" s="3386"/>
      <c r="K43" s="3386"/>
      <c r="L43" s="3386"/>
      <c r="M43" s="3386"/>
      <c r="N43" s="3386"/>
      <c r="O43" s="3386"/>
      <c r="P43" s="3387"/>
      <c r="Q43" s="3386"/>
      <c r="R43" s="1963"/>
      <c r="S43" s="1963"/>
      <c r="T43" s="1963"/>
      <c r="U43" s="1963"/>
      <c r="V43" s="1963"/>
      <c r="W43" s="1963"/>
      <c r="X43" s="1963"/>
      <c r="Y43" s="1963"/>
      <c r="Z43" s="1963"/>
      <c r="AA43" s="1963"/>
      <c r="AB43" s="1963"/>
    </row>
    <row r="44" spans="3:28" s="1849" customFormat="1" ht="17.100000000000001" customHeight="1">
      <c r="C44" s="2499"/>
      <c r="D44" s="2334" t="s">
        <v>1496</v>
      </c>
      <c r="E44" s="3388"/>
      <c r="F44" s="3388"/>
      <c r="G44" s="3388"/>
      <c r="H44" s="3388"/>
      <c r="I44" s="3388"/>
      <c r="J44" s="3388"/>
      <c r="K44" s="3388"/>
      <c r="L44" s="3388"/>
      <c r="M44" s="3388"/>
      <c r="N44" s="3388"/>
      <c r="O44" s="3388"/>
      <c r="P44" s="2163"/>
      <c r="Q44" s="3388"/>
    </row>
    <row r="45" spans="3:28" ht="4.3499999999999996" customHeight="1">
      <c r="C45" s="1190"/>
      <c r="D45" s="1323"/>
      <c r="E45" s="1323"/>
      <c r="F45" s="1323"/>
      <c r="G45" s="1323"/>
      <c r="H45" s="2103"/>
      <c r="I45" s="1763"/>
      <c r="J45" s="1763"/>
      <c r="K45" s="3376"/>
      <c r="L45" s="1323"/>
      <c r="M45" s="2103"/>
      <c r="N45" s="2103"/>
      <c r="O45" s="2773"/>
      <c r="P45" s="2163"/>
      <c r="Q45" s="1323"/>
    </row>
    <row r="46" spans="3:28" s="1999" customFormat="1" ht="6" customHeight="1">
      <c r="C46" s="2390"/>
      <c r="D46" s="1863"/>
      <c r="E46" s="3377"/>
      <c r="F46" s="3377"/>
      <c r="G46" s="3377"/>
      <c r="H46" s="1229"/>
      <c r="I46" s="1226"/>
      <c r="J46" s="1226"/>
      <c r="K46" s="1229"/>
      <c r="L46" s="1226"/>
      <c r="M46" s="1226"/>
      <c r="N46" s="2110"/>
      <c r="O46" s="1278"/>
      <c r="P46" s="1993"/>
      <c r="Q46" s="1230"/>
    </row>
    <row r="47" spans="3:28" s="1986" customFormat="1" ht="39.75" customHeight="1">
      <c r="C47" s="2390"/>
      <c r="D47" s="3378" t="s">
        <v>1483</v>
      </c>
      <c r="E47" s="1292"/>
      <c r="F47" s="1292"/>
      <c r="G47" s="1292"/>
      <c r="H47" s="1236"/>
      <c r="I47" s="1236"/>
      <c r="J47" s="1236"/>
      <c r="K47" s="1236"/>
      <c r="L47" s="1236"/>
      <c r="M47" s="1236"/>
      <c r="N47" s="1243" t="s">
        <v>1484</v>
      </c>
      <c r="O47" s="3070"/>
      <c r="P47" s="1997"/>
      <c r="Q47" s="1237"/>
    </row>
    <row r="48" spans="3:28" ht="21.2" customHeight="1">
      <c r="C48" s="1801"/>
      <c r="D48" s="3379"/>
      <c r="E48" s="2520"/>
      <c r="F48" s="1822"/>
      <c r="G48" s="1384"/>
      <c r="H48" s="1384"/>
      <c r="I48" s="1384"/>
      <c r="J48" s="2548"/>
      <c r="K48" s="2548"/>
      <c r="L48" s="1384"/>
      <c r="M48" s="1384"/>
      <c r="N48" s="1384"/>
      <c r="O48" s="1283"/>
      <c r="P48" s="2296"/>
      <c r="Q48" s="1294"/>
    </row>
    <row r="49" spans="1:24" ht="21.2" customHeight="1">
      <c r="C49" s="1807"/>
      <c r="D49" s="2610" t="s">
        <v>1382</v>
      </c>
      <c r="E49" s="1774"/>
      <c r="F49" s="1774"/>
      <c r="G49" s="2271" t="s">
        <v>1497</v>
      </c>
      <c r="H49" s="2271" t="s">
        <v>1371</v>
      </c>
      <c r="I49" s="2271" t="s">
        <v>1317</v>
      </c>
      <c r="J49" s="2271" t="s">
        <v>1498</v>
      </c>
      <c r="K49" s="2271" t="s">
        <v>1485</v>
      </c>
      <c r="L49" s="2271" t="s">
        <v>1386</v>
      </c>
      <c r="M49" s="2271" t="s">
        <v>1486</v>
      </c>
      <c r="N49" s="1242" t="s">
        <v>1487</v>
      </c>
      <c r="O49" s="1283"/>
      <c r="P49" s="2296"/>
      <c r="Q49" s="1294"/>
      <c r="S49" s="1190"/>
    </row>
    <row r="50" spans="1:24" ht="21.2" customHeight="1">
      <c r="C50" s="1807"/>
      <c r="D50" s="2610" t="s">
        <v>1388</v>
      </c>
      <c r="E50" s="1774"/>
      <c r="F50" s="1774"/>
      <c r="G50" s="2271" t="s">
        <v>668</v>
      </c>
      <c r="H50" s="2271" t="s">
        <v>1373</v>
      </c>
      <c r="I50" s="2271" t="s">
        <v>1390</v>
      </c>
      <c r="J50" s="2271" t="s">
        <v>1499</v>
      </c>
      <c r="K50" s="2271" t="s">
        <v>1488</v>
      </c>
      <c r="L50" s="2271" t="s">
        <v>1393</v>
      </c>
      <c r="M50" s="2271" t="s">
        <v>1489</v>
      </c>
      <c r="N50" s="1242" t="s">
        <v>395</v>
      </c>
      <c r="O50" s="1240"/>
      <c r="P50" s="1241"/>
      <c r="Q50" s="2273"/>
    </row>
    <row r="51" spans="1:24" ht="21.2" customHeight="1">
      <c r="C51" s="1807"/>
      <c r="D51" s="1231"/>
      <c r="E51" s="1234"/>
      <c r="F51" s="1998"/>
      <c r="G51" s="1731"/>
      <c r="H51" s="1731"/>
      <c r="I51" s="1731"/>
      <c r="J51" s="1235"/>
      <c r="K51" s="1235"/>
      <c r="L51" s="1731"/>
      <c r="M51" s="1731"/>
      <c r="N51" s="1242"/>
      <c r="O51" s="1240"/>
      <c r="P51" s="1240"/>
      <c r="Q51" s="2273"/>
    </row>
    <row r="52" spans="1:24" ht="21.2" customHeight="1">
      <c r="C52" s="3389"/>
      <c r="D52" s="3390" t="s">
        <v>1500</v>
      </c>
      <c r="E52" s="2054"/>
      <c r="F52" s="2054"/>
      <c r="G52" s="1731" t="s">
        <v>1501</v>
      </c>
      <c r="H52" s="1731"/>
      <c r="I52" s="1731"/>
      <c r="J52" s="1731" t="s">
        <v>1502</v>
      </c>
      <c r="K52" s="1731" t="s">
        <v>1490</v>
      </c>
      <c r="L52" s="1731" t="s">
        <v>1491</v>
      </c>
      <c r="M52" s="1731" t="s">
        <v>1404</v>
      </c>
      <c r="N52" s="1242"/>
      <c r="O52" s="1240"/>
      <c r="P52" s="1240"/>
      <c r="Q52" s="2273"/>
    </row>
    <row r="53" spans="1:24" ht="21.2" customHeight="1">
      <c r="C53" s="1807"/>
      <c r="D53" s="3390" t="s">
        <v>1503</v>
      </c>
      <c r="E53" s="2054"/>
      <c r="F53" s="2054"/>
      <c r="G53" s="1731" t="s">
        <v>1411</v>
      </c>
      <c r="H53" s="1731" t="s">
        <v>1410</v>
      </c>
      <c r="I53" s="1731"/>
      <c r="J53" s="1731" t="s">
        <v>1406</v>
      </c>
      <c r="K53" s="1731" t="s">
        <v>1330</v>
      </c>
      <c r="L53" s="1731" t="s">
        <v>127</v>
      </c>
      <c r="M53" s="1731" t="s">
        <v>1493</v>
      </c>
      <c r="N53" s="1242" t="s">
        <v>401</v>
      </c>
      <c r="O53" s="1283"/>
      <c r="P53" s="2296"/>
      <c r="Q53" s="1294"/>
    </row>
    <row r="54" spans="1:24" s="1801" customFormat="1" ht="21.2" customHeight="1">
      <c r="C54" s="1807"/>
      <c r="D54" s="3391" t="s">
        <v>1417</v>
      </c>
      <c r="E54" s="3392"/>
      <c r="F54" s="3392"/>
      <c r="G54" s="1732" t="s">
        <v>1504</v>
      </c>
      <c r="H54" s="1732" t="s">
        <v>1329</v>
      </c>
      <c r="I54" s="1732" t="s">
        <v>1419</v>
      </c>
      <c r="J54" s="1732" t="s">
        <v>1505</v>
      </c>
      <c r="K54" s="1732" t="s">
        <v>1494</v>
      </c>
      <c r="L54" s="1732" t="s">
        <v>1421</v>
      </c>
      <c r="M54" s="1732" t="s">
        <v>1422</v>
      </c>
      <c r="N54" s="2515" t="s">
        <v>1495</v>
      </c>
      <c r="O54" s="1772"/>
      <c r="P54" s="1772"/>
      <c r="Q54" s="2123"/>
    </row>
    <row r="55" spans="1:24" s="3357" customFormat="1" ht="25.5" customHeight="1">
      <c r="A55" s="1174"/>
      <c r="B55" s="1174"/>
      <c r="C55" s="2771"/>
      <c r="D55" s="4945">
        <v>115.9</v>
      </c>
      <c r="E55" s="4725"/>
      <c r="F55" s="4725"/>
      <c r="G55" s="2244">
        <v>105</v>
      </c>
      <c r="H55" s="2244">
        <v>125.2</v>
      </c>
      <c r="I55" s="2244">
        <v>118.2</v>
      </c>
      <c r="J55" s="2244">
        <v>142.9</v>
      </c>
      <c r="K55" s="2244">
        <v>108.9</v>
      </c>
      <c r="L55" s="2244">
        <v>86.1</v>
      </c>
      <c r="M55" s="2244">
        <v>108.3</v>
      </c>
      <c r="N55" s="1345">
        <v>116.4</v>
      </c>
      <c r="O55" s="1173"/>
      <c r="P55" s="1728">
        <v>1995</v>
      </c>
      <c r="Q55" s="1524"/>
      <c r="R55" s="1174"/>
      <c r="S55" s="1174"/>
      <c r="T55" s="1174"/>
      <c r="U55" s="1174"/>
      <c r="V55" s="1174"/>
      <c r="W55" s="1174"/>
      <c r="X55" s="1174"/>
    </row>
    <row r="56" spans="1:24" ht="25.5" customHeight="1">
      <c r="C56" s="2771"/>
      <c r="D56" s="4946">
        <v>93.9</v>
      </c>
      <c r="E56" s="4947"/>
      <c r="F56" s="4947"/>
      <c r="G56" s="1577">
        <v>107.2</v>
      </c>
      <c r="H56" s="1577">
        <v>123.6</v>
      </c>
      <c r="I56" s="1577">
        <v>129.30000000000001</v>
      </c>
      <c r="J56" s="1577">
        <v>143.6</v>
      </c>
      <c r="K56" s="1577">
        <v>115.7</v>
      </c>
      <c r="L56" s="1577">
        <v>96.6</v>
      </c>
      <c r="M56" s="1577">
        <v>134.9</v>
      </c>
      <c r="N56" s="1525">
        <v>123.8</v>
      </c>
      <c r="O56" s="1527"/>
      <c r="P56" s="1475">
        <v>1996</v>
      </c>
      <c r="Q56" s="1526"/>
    </row>
    <row r="57" spans="1:24" s="3357" customFormat="1" ht="25.5" customHeight="1">
      <c r="A57" s="1174"/>
      <c r="B57" s="1174"/>
      <c r="C57" s="2771"/>
      <c r="D57" s="4945">
        <v>97.9</v>
      </c>
      <c r="E57" s="4725"/>
      <c r="F57" s="4725"/>
      <c r="G57" s="2244">
        <v>102.6</v>
      </c>
      <c r="H57" s="2244">
        <v>107.5</v>
      </c>
      <c r="I57" s="2244">
        <v>125.4</v>
      </c>
      <c r="J57" s="2244">
        <v>121.4</v>
      </c>
      <c r="K57" s="2244">
        <v>115.9</v>
      </c>
      <c r="L57" s="2244">
        <v>91.6</v>
      </c>
      <c r="M57" s="2244">
        <v>145.1</v>
      </c>
      <c r="N57" s="1345">
        <v>120.2</v>
      </c>
      <c r="O57" s="1173"/>
      <c r="P57" s="1728">
        <v>1997</v>
      </c>
      <c r="Q57" s="1524"/>
      <c r="R57" s="1174"/>
      <c r="S57" s="1174"/>
      <c r="T57" s="1174"/>
      <c r="U57" s="1174"/>
      <c r="V57" s="1174"/>
      <c r="W57" s="1174"/>
      <c r="X57" s="1174"/>
    </row>
    <row r="58" spans="1:24" ht="25.5" customHeight="1">
      <c r="C58" s="2771"/>
      <c r="D58" s="4946">
        <v>80.2</v>
      </c>
      <c r="E58" s="4947"/>
      <c r="F58" s="4947"/>
      <c r="G58" s="1577">
        <v>127.9</v>
      </c>
      <c r="H58" s="1577">
        <v>110.1</v>
      </c>
      <c r="I58" s="1577">
        <v>105.5</v>
      </c>
      <c r="J58" s="1577">
        <v>126.1</v>
      </c>
      <c r="K58" s="1577">
        <v>116.9</v>
      </c>
      <c r="L58" s="1577">
        <v>82.3</v>
      </c>
      <c r="M58" s="1577">
        <v>133.69999999999999</v>
      </c>
      <c r="N58" s="1525">
        <v>113.5</v>
      </c>
      <c r="O58" s="1527"/>
      <c r="P58" s="1475">
        <v>1998</v>
      </c>
      <c r="Q58" s="1526"/>
    </row>
    <row r="59" spans="1:24" s="3357" customFormat="1" ht="25.5" customHeight="1">
      <c r="A59" s="1174"/>
      <c r="B59" s="1174"/>
      <c r="C59" s="2771"/>
      <c r="D59" s="4945">
        <v>82.9</v>
      </c>
      <c r="E59" s="4725"/>
      <c r="F59" s="4725"/>
      <c r="G59" s="2244">
        <v>125.3</v>
      </c>
      <c r="H59" s="2244">
        <v>101.4</v>
      </c>
      <c r="I59" s="2244">
        <v>103</v>
      </c>
      <c r="J59" s="2244">
        <v>115.2</v>
      </c>
      <c r="K59" s="2244">
        <v>122</v>
      </c>
      <c r="L59" s="2244">
        <v>79.599999999999994</v>
      </c>
      <c r="M59" s="2244">
        <v>120.6</v>
      </c>
      <c r="N59" s="1345">
        <v>110.7</v>
      </c>
      <c r="O59" s="1173"/>
      <c r="P59" s="1728">
        <v>1999</v>
      </c>
      <c r="Q59" s="1524"/>
      <c r="R59" s="1174"/>
      <c r="S59" s="1174"/>
      <c r="T59" s="1174"/>
      <c r="U59" s="1174"/>
      <c r="V59" s="1174"/>
      <c r="W59" s="1174"/>
      <c r="X59" s="1174"/>
    </row>
    <row r="60" spans="1:24" ht="25.5" customHeight="1">
      <c r="C60" s="2771"/>
      <c r="D60" s="4946">
        <v>84.4</v>
      </c>
      <c r="E60" s="4947"/>
      <c r="F60" s="4947"/>
      <c r="G60" s="1577">
        <v>125.2</v>
      </c>
      <c r="H60" s="1577">
        <v>98.5</v>
      </c>
      <c r="I60" s="1577">
        <v>102.7</v>
      </c>
      <c r="J60" s="1577">
        <v>92.9</v>
      </c>
      <c r="K60" s="1577">
        <v>112.8</v>
      </c>
      <c r="L60" s="1577">
        <v>71.400000000000006</v>
      </c>
      <c r="M60" s="1577">
        <v>117.4</v>
      </c>
      <c r="N60" s="1525">
        <v>105.8</v>
      </c>
      <c r="O60" s="1527"/>
      <c r="P60" s="1475">
        <v>2000</v>
      </c>
      <c r="Q60" s="1526"/>
    </row>
    <row r="61" spans="1:24" s="3357" customFormat="1" ht="25.5" customHeight="1">
      <c r="A61" s="1174"/>
      <c r="B61" s="1174"/>
      <c r="C61" s="2771"/>
      <c r="D61" s="4945">
        <v>90.4</v>
      </c>
      <c r="E61" s="4725"/>
      <c r="F61" s="4725"/>
      <c r="G61" s="1724">
        <v>127.7</v>
      </c>
      <c r="H61" s="1724">
        <v>106.8</v>
      </c>
      <c r="I61" s="1724">
        <v>99.5</v>
      </c>
      <c r="J61" s="1724">
        <v>92.8</v>
      </c>
      <c r="K61" s="1724">
        <v>106.1</v>
      </c>
      <c r="L61" s="1724">
        <v>69.900000000000006</v>
      </c>
      <c r="M61" s="1724">
        <v>142.9</v>
      </c>
      <c r="N61" s="1345">
        <v>107.2</v>
      </c>
      <c r="O61" s="1523"/>
      <c r="P61" s="1728">
        <v>2001</v>
      </c>
      <c r="Q61" s="1524"/>
      <c r="R61" s="1174"/>
      <c r="S61" s="1174"/>
      <c r="T61" s="1174"/>
      <c r="U61" s="1174"/>
      <c r="V61" s="1174"/>
      <c r="W61" s="1174"/>
      <c r="X61" s="1174"/>
    </row>
    <row r="62" spans="1:24" ht="25.5" customHeight="1">
      <c r="C62" s="2771"/>
      <c r="D62" s="4946">
        <v>91.5</v>
      </c>
      <c r="E62" s="4947"/>
      <c r="F62" s="4947"/>
      <c r="G62" s="1577">
        <v>124.7</v>
      </c>
      <c r="H62" s="1577">
        <v>118.2</v>
      </c>
      <c r="I62" s="1577">
        <v>104.4</v>
      </c>
      <c r="J62" s="1577">
        <v>93.8</v>
      </c>
      <c r="K62" s="1577">
        <v>101.7</v>
      </c>
      <c r="L62" s="1577">
        <v>68</v>
      </c>
      <c r="M62" s="1577">
        <v>131.4</v>
      </c>
      <c r="N62" s="1525">
        <v>107.6</v>
      </c>
      <c r="O62" s="1527"/>
      <c r="P62" s="1475">
        <v>2002</v>
      </c>
      <c r="Q62" s="1526"/>
    </row>
    <row r="63" spans="1:24" s="3357" customFormat="1" ht="25.5" customHeight="1">
      <c r="A63" s="1174"/>
      <c r="B63" s="1174"/>
      <c r="C63" s="2771"/>
      <c r="D63" s="4945">
        <v>89.7</v>
      </c>
      <c r="E63" s="4725"/>
      <c r="F63" s="4725"/>
      <c r="G63" s="1724">
        <v>125</v>
      </c>
      <c r="H63" s="1724">
        <v>105.7</v>
      </c>
      <c r="I63" s="1724">
        <v>106.3</v>
      </c>
      <c r="J63" s="1724">
        <v>93.9</v>
      </c>
      <c r="K63" s="1724">
        <v>105.3</v>
      </c>
      <c r="L63" s="1724">
        <v>66.599999999999994</v>
      </c>
      <c r="M63" s="1724">
        <v>138.19999999999999</v>
      </c>
      <c r="N63" s="1345">
        <v>107.8</v>
      </c>
      <c r="O63" s="1523"/>
      <c r="P63" s="1728">
        <v>2003</v>
      </c>
      <c r="Q63" s="1524"/>
      <c r="R63" s="1174"/>
      <c r="S63" s="1174"/>
      <c r="T63" s="1174"/>
      <c r="U63" s="1174"/>
      <c r="V63" s="1174"/>
      <c r="W63" s="1174"/>
      <c r="X63" s="1174"/>
    </row>
    <row r="64" spans="1:24" ht="25.5" customHeight="1">
      <c r="C64" s="2771"/>
      <c r="D64" s="4946">
        <v>81.8</v>
      </c>
      <c r="E64" s="4947"/>
      <c r="F64" s="4947"/>
      <c r="G64" s="1739">
        <v>158.69999999999999</v>
      </c>
      <c r="H64" s="1739">
        <v>122.6</v>
      </c>
      <c r="I64" s="1739">
        <v>124.4</v>
      </c>
      <c r="J64" s="1739">
        <v>94.1</v>
      </c>
      <c r="K64" s="1739">
        <v>118.5</v>
      </c>
      <c r="L64" s="1739">
        <v>64.599999999999994</v>
      </c>
      <c r="M64" s="1739">
        <v>136.5</v>
      </c>
      <c r="N64" s="1525">
        <v>120.9</v>
      </c>
      <c r="O64" s="1476"/>
      <c r="P64" s="1475">
        <v>2004</v>
      </c>
      <c r="Q64" s="1526"/>
    </row>
    <row r="65" spans="1:28" s="3360" customFormat="1" ht="25.5" customHeight="1">
      <c r="A65" s="1801"/>
      <c r="B65" s="1801"/>
      <c r="C65" s="3393"/>
      <c r="D65" s="4945">
        <v>97.5</v>
      </c>
      <c r="E65" s="4725"/>
      <c r="F65" s="4725"/>
      <c r="G65" s="1724">
        <v>142.5</v>
      </c>
      <c r="H65" s="1724">
        <v>140.9</v>
      </c>
      <c r="I65" s="1724">
        <v>143.19999999999999</v>
      </c>
      <c r="J65" s="1724">
        <v>93.9</v>
      </c>
      <c r="K65" s="1724">
        <v>150.30000000000001</v>
      </c>
      <c r="L65" s="1724">
        <v>74.7</v>
      </c>
      <c r="M65" s="1724">
        <v>146.19999999999999</v>
      </c>
      <c r="N65" s="1345">
        <v>138.6</v>
      </c>
      <c r="O65" s="1523"/>
      <c r="P65" s="1728">
        <v>2005</v>
      </c>
      <c r="Q65" s="1524"/>
      <c r="R65" s="1964"/>
      <c r="S65" s="1964"/>
      <c r="T65" s="1964"/>
      <c r="U65" s="1964"/>
      <c r="V65" s="1964"/>
      <c r="W65" s="1964"/>
      <c r="X65" s="1964"/>
      <c r="Y65" s="3356"/>
      <c r="Z65" s="3356"/>
      <c r="AA65" s="3356"/>
      <c r="AB65" s="3356"/>
    </row>
    <row r="66" spans="1:28" s="1801" customFormat="1" ht="25.5" customHeight="1">
      <c r="C66" s="3393"/>
      <c r="D66" s="4946">
        <v>108.9</v>
      </c>
      <c r="E66" s="4947"/>
      <c r="F66" s="4947"/>
      <c r="G66" s="1739">
        <v>188.9</v>
      </c>
      <c r="H66" s="1739">
        <v>147.1</v>
      </c>
      <c r="I66" s="1739">
        <v>153.4</v>
      </c>
      <c r="J66" s="1739">
        <v>93.9</v>
      </c>
      <c r="K66" s="1739">
        <v>166.8</v>
      </c>
      <c r="L66" s="1739">
        <v>77.3</v>
      </c>
      <c r="M66" s="1739">
        <v>179.4</v>
      </c>
      <c r="N66" s="1525">
        <v>153.6</v>
      </c>
      <c r="O66" s="1476"/>
      <c r="P66" s="1475">
        <v>2006</v>
      </c>
      <c r="Q66" s="1526"/>
      <c r="R66" s="3394"/>
      <c r="S66" s="1964"/>
      <c r="T66" s="1964"/>
      <c r="U66" s="1964"/>
      <c r="V66" s="1964"/>
      <c r="W66" s="1964"/>
      <c r="X66" s="1964"/>
      <c r="Y66" s="1964"/>
      <c r="Z66" s="1964"/>
      <c r="AA66" s="1964"/>
      <c r="AB66" s="1964"/>
    </row>
    <row r="67" spans="1:28" s="3360" customFormat="1" ht="25.5" customHeight="1">
      <c r="A67" s="1801"/>
      <c r="B67" s="1801"/>
      <c r="C67" s="3393"/>
      <c r="D67" s="4945">
        <v>121.2</v>
      </c>
      <c r="E67" s="4725"/>
      <c r="F67" s="4725"/>
      <c r="G67" s="1724">
        <v>170.8</v>
      </c>
      <c r="H67" s="1724">
        <v>175.2</v>
      </c>
      <c r="I67" s="1724">
        <v>195.3</v>
      </c>
      <c r="J67" s="1724">
        <v>94.2</v>
      </c>
      <c r="K67" s="1724">
        <v>181.2</v>
      </c>
      <c r="L67" s="1724">
        <v>65.3</v>
      </c>
      <c r="M67" s="1724">
        <v>226.1</v>
      </c>
      <c r="N67" s="1345">
        <v>179.3</v>
      </c>
      <c r="O67" s="1523"/>
      <c r="P67" s="1728">
        <v>2007</v>
      </c>
      <c r="Q67" s="1524"/>
      <c r="R67" s="3336"/>
      <c r="S67" s="1964"/>
      <c r="T67" s="1964"/>
      <c r="U67" s="1964"/>
      <c r="V67" s="1964"/>
      <c r="W67" s="1964"/>
      <c r="X67" s="1964"/>
      <c r="Y67" s="3356"/>
      <c r="Z67" s="3356"/>
      <c r="AA67" s="3356"/>
      <c r="AB67" s="3356"/>
    </row>
    <row r="68" spans="1:28" s="1191" customFormat="1" ht="25.5" customHeight="1">
      <c r="C68" s="1980"/>
      <c r="D68" s="4946">
        <v>133.69999999999999</v>
      </c>
      <c r="E68" s="4947"/>
      <c r="F68" s="4947"/>
      <c r="G68" s="1739">
        <v>203.2</v>
      </c>
      <c r="H68" s="1739">
        <v>182.5</v>
      </c>
      <c r="I68" s="1739">
        <v>300.3</v>
      </c>
      <c r="J68" s="1739">
        <v>94.2</v>
      </c>
      <c r="K68" s="1739">
        <v>414.8</v>
      </c>
      <c r="L68" s="1739">
        <v>63.9</v>
      </c>
      <c r="M68" s="1739">
        <v>216.4</v>
      </c>
      <c r="N68" s="1525">
        <v>277</v>
      </c>
      <c r="O68" s="1476"/>
      <c r="P68" s="1475">
        <v>2008</v>
      </c>
      <c r="Q68" s="1526"/>
      <c r="R68" s="1980"/>
      <c r="S68" s="1980"/>
      <c r="T68" s="1980"/>
      <c r="U68" s="1980"/>
      <c r="V68" s="1980"/>
      <c r="W68" s="1980"/>
      <c r="X68" s="1980"/>
      <c r="Y68" s="1980"/>
      <c r="Z68" s="1980"/>
      <c r="AA68" s="1980"/>
      <c r="AB68" s="1980"/>
    </row>
    <row r="69" spans="1:28" s="1191" customFormat="1" ht="25.5" customHeight="1">
      <c r="C69" s="1980"/>
      <c r="D69" s="4945">
        <v>134</v>
      </c>
      <c r="E69" s="4725"/>
      <c r="F69" s="4725"/>
      <c r="G69" s="1724">
        <v>227</v>
      </c>
      <c r="H69" s="1724">
        <v>165.2</v>
      </c>
      <c r="I69" s="1724">
        <v>220</v>
      </c>
      <c r="J69" s="1724">
        <v>94.2</v>
      </c>
      <c r="K69" s="1724">
        <v>445.1</v>
      </c>
      <c r="L69" s="1724">
        <v>63.8</v>
      </c>
      <c r="M69" s="1724">
        <v>208.1</v>
      </c>
      <c r="N69" s="1345">
        <v>256.7</v>
      </c>
      <c r="O69" s="1523"/>
      <c r="P69" s="1728">
        <v>2009</v>
      </c>
      <c r="Q69" s="1524"/>
      <c r="R69" s="1980"/>
      <c r="S69" s="1980"/>
      <c r="T69" s="1980"/>
      <c r="U69" s="1980"/>
      <c r="V69" s="1980"/>
      <c r="W69" s="1980"/>
      <c r="X69" s="1980"/>
      <c r="Y69" s="1980"/>
      <c r="Z69" s="1980"/>
      <c r="AA69" s="1980"/>
      <c r="AB69" s="1980"/>
    </row>
    <row r="70" spans="1:28" s="1191" customFormat="1" ht="25.5" customHeight="1">
      <c r="C70" s="1980"/>
      <c r="D70" s="4946">
        <v>119.3</v>
      </c>
      <c r="E70" s="4947"/>
      <c r="F70" s="4947"/>
      <c r="G70" s="4482">
        <v>240.1</v>
      </c>
      <c r="H70" s="4482">
        <v>156.19999999999999</v>
      </c>
      <c r="I70" s="4482">
        <v>209.3</v>
      </c>
      <c r="J70" s="4482">
        <v>93.9</v>
      </c>
      <c r="K70" s="4482">
        <v>291.39999999999998</v>
      </c>
      <c r="L70" s="4482">
        <v>61.5</v>
      </c>
      <c r="M70" s="4482">
        <v>270.7</v>
      </c>
      <c r="N70" s="1525">
        <v>219.6</v>
      </c>
      <c r="O70" s="1476"/>
      <c r="P70" s="1475">
        <v>2010</v>
      </c>
      <c r="Q70" s="1526"/>
      <c r="R70" s="1980"/>
      <c r="S70" s="1980"/>
      <c r="T70" s="1980"/>
      <c r="U70" s="1980"/>
      <c r="V70" s="1980"/>
      <c r="W70" s="1980"/>
      <c r="X70" s="1980"/>
      <c r="Y70" s="1980"/>
      <c r="Z70" s="1980"/>
      <c r="AA70" s="1980"/>
      <c r="AB70" s="1980"/>
    </row>
    <row r="71" spans="1:28" s="1191" customFormat="1" ht="25.5" customHeight="1">
      <c r="C71" s="1980"/>
      <c r="D71" s="4945">
        <v>133.80000000000001</v>
      </c>
      <c r="E71" s="4725"/>
      <c r="F71" s="4725"/>
      <c r="G71" s="4481">
        <v>276</v>
      </c>
      <c r="H71" s="4481">
        <v>153.4</v>
      </c>
      <c r="I71" s="4481">
        <v>232.7</v>
      </c>
      <c r="J71" s="4481">
        <v>93.8</v>
      </c>
      <c r="K71" s="4481">
        <v>352.8</v>
      </c>
      <c r="L71" s="4481">
        <v>64.8</v>
      </c>
      <c r="M71" s="4481">
        <v>278.60000000000002</v>
      </c>
      <c r="N71" s="1345">
        <v>247.5</v>
      </c>
      <c r="O71" s="1523"/>
      <c r="P71" s="4480">
        <v>2011</v>
      </c>
      <c r="Q71" s="1524"/>
      <c r="R71" s="1980"/>
      <c r="S71" s="1980"/>
      <c r="T71" s="1980"/>
      <c r="U71" s="1980"/>
      <c r="V71" s="1980"/>
      <c r="W71" s="1980"/>
      <c r="X71" s="1980"/>
      <c r="Y71" s="1980"/>
      <c r="Z71" s="1980"/>
      <c r="AA71" s="1980"/>
      <c r="AB71" s="1980"/>
    </row>
    <row r="72" spans="1:28" s="1191" customFormat="1" ht="25.5" customHeight="1">
      <c r="C72" s="1980"/>
      <c r="D72" s="4946">
        <v>125.4</v>
      </c>
      <c r="E72" s="4947"/>
      <c r="F72" s="4947"/>
      <c r="G72" s="4482">
        <v>236.2</v>
      </c>
      <c r="H72" s="4482">
        <v>147.6</v>
      </c>
      <c r="I72" s="4482">
        <v>240.8</v>
      </c>
      <c r="J72" s="4482">
        <v>93.7</v>
      </c>
      <c r="K72" s="4482">
        <v>409.9</v>
      </c>
      <c r="L72" s="4482">
        <v>57.4</v>
      </c>
      <c r="M72" s="4482">
        <v>329.9</v>
      </c>
      <c r="N72" s="1525">
        <v>266.5</v>
      </c>
      <c r="O72" s="1476"/>
      <c r="P72" s="1475">
        <v>2012</v>
      </c>
      <c r="Q72" s="1526"/>
      <c r="R72" s="1980"/>
      <c r="S72" s="1980"/>
      <c r="T72" s="1980"/>
      <c r="U72" s="1980"/>
      <c r="V72" s="1980"/>
      <c r="W72" s="1980"/>
      <c r="X72" s="1980"/>
      <c r="Y72" s="1980"/>
      <c r="Z72" s="1980"/>
      <c r="AA72" s="1980"/>
      <c r="AB72" s="1980"/>
    </row>
    <row r="73" spans="1:28" s="1191" customFormat="1" ht="22.5">
      <c r="C73" s="1980"/>
      <c r="D73" s="4945">
        <v>123.9</v>
      </c>
      <c r="E73" s="4725"/>
      <c r="F73" s="4725"/>
      <c r="G73" s="4481">
        <v>221.9</v>
      </c>
      <c r="H73" s="4481">
        <v>155.1</v>
      </c>
      <c r="I73" s="4481">
        <v>220.7</v>
      </c>
      <c r="J73" s="4481">
        <v>93.6</v>
      </c>
      <c r="K73" s="4481">
        <v>354.6</v>
      </c>
      <c r="L73" s="4481">
        <v>51.7</v>
      </c>
      <c r="M73" s="4481">
        <v>334.5</v>
      </c>
      <c r="N73" s="1345">
        <v>245.8</v>
      </c>
      <c r="O73" s="1523"/>
      <c r="P73" s="4480">
        <v>2013</v>
      </c>
      <c r="Q73" s="1524"/>
      <c r="R73" s="1980"/>
      <c r="S73" s="1980"/>
      <c r="T73" s="1980"/>
      <c r="U73" s="1980"/>
      <c r="V73" s="1980"/>
      <c r="W73" s="1980"/>
      <c r="X73" s="1980"/>
      <c r="Y73" s="1980"/>
      <c r="Z73" s="1980"/>
      <c r="AA73" s="1980"/>
      <c r="AB73" s="1980"/>
    </row>
    <row r="74" spans="1:28" s="1191" customFormat="1" ht="25.5" customHeight="1">
      <c r="C74" s="1980"/>
      <c r="D74" s="4946">
        <v>223.9</v>
      </c>
      <c r="E74" s="4947"/>
      <c r="F74" s="4947"/>
      <c r="G74" s="4482">
        <v>148.5</v>
      </c>
      <c r="H74" s="4482">
        <v>174.6</v>
      </c>
      <c r="I74" s="4482">
        <v>256.5</v>
      </c>
      <c r="J74" s="4482">
        <v>93.6</v>
      </c>
      <c r="K74" s="4482">
        <v>300.39999999999998</v>
      </c>
      <c r="L74" s="4482">
        <v>56.7</v>
      </c>
      <c r="M74" s="4482">
        <v>344.5</v>
      </c>
      <c r="N74" s="1525">
        <v>249.3</v>
      </c>
      <c r="O74" s="1476"/>
      <c r="P74" s="1475">
        <v>2014</v>
      </c>
      <c r="Q74" s="1526"/>
      <c r="R74" s="1980"/>
      <c r="S74" s="1980"/>
      <c r="T74" s="1980"/>
      <c r="U74" s="1980"/>
      <c r="V74" s="1980"/>
      <c r="W74" s="1980"/>
      <c r="X74" s="1980"/>
      <c r="Y74" s="1980"/>
      <c r="Z74" s="1980"/>
      <c r="AA74" s="1980"/>
      <c r="AB74" s="1980"/>
    </row>
    <row r="75" spans="1:28" s="1191" customFormat="1" ht="22.5">
      <c r="C75" s="1980"/>
      <c r="D75" s="4945">
        <v>201.05833333333337</v>
      </c>
      <c r="E75" s="4725"/>
      <c r="F75" s="4725"/>
      <c r="G75" s="4481">
        <v>115.30833333333334</v>
      </c>
      <c r="H75" s="4481">
        <v>188.68333333333331</v>
      </c>
      <c r="I75" s="4481">
        <v>224.5916666666667</v>
      </c>
      <c r="J75" s="4481">
        <v>93.6</v>
      </c>
      <c r="K75" s="4481">
        <v>307.05</v>
      </c>
      <c r="L75" s="4481">
        <v>64.641666666666666</v>
      </c>
      <c r="M75" s="4481">
        <v>341.74166666666662</v>
      </c>
      <c r="N75" s="1345">
        <v>238.2833333333333</v>
      </c>
      <c r="O75" s="1523"/>
      <c r="P75" s="4480">
        <v>2015</v>
      </c>
      <c r="Q75" s="1524"/>
      <c r="R75" s="1980"/>
      <c r="S75" s="1980"/>
      <c r="T75" s="1980"/>
      <c r="U75" s="1980"/>
      <c r="V75" s="1980"/>
      <c r="W75" s="1980"/>
      <c r="X75" s="1980"/>
      <c r="Y75" s="1980"/>
      <c r="Z75" s="1980"/>
      <c r="AA75" s="1980"/>
      <c r="AB75" s="1980"/>
    </row>
    <row r="76" spans="1:28" s="1191" customFormat="1" ht="25.5" customHeight="1">
      <c r="C76" s="1980"/>
      <c r="D76" s="4946">
        <v>258.5</v>
      </c>
      <c r="E76" s="4947"/>
      <c r="F76" s="4947"/>
      <c r="G76" s="4511">
        <v>185.3</v>
      </c>
      <c r="H76" s="4511">
        <v>175</v>
      </c>
      <c r="I76" s="4511">
        <v>196.6</v>
      </c>
      <c r="J76" s="4511">
        <v>94</v>
      </c>
      <c r="K76" s="4511">
        <v>285.39999999999998</v>
      </c>
      <c r="L76" s="4511">
        <v>82</v>
      </c>
      <c r="M76" s="4511">
        <v>322.7</v>
      </c>
      <c r="N76" s="1525">
        <v>225.9</v>
      </c>
      <c r="O76" s="1476"/>
      <c r="P76" s="1658" t="s">
        <v>2618</v>
      </c>
      <c r="Q76" s="1526"/>
      <c r="R76" s="1980"/>
      <c r="S76" s="1980"/>
      <c r="T76" s="1980"/>
      <c r="U76" s="1980"/>
      <c r="V76" s="1980"/>
      <c r="W76" s="1980"/>
      <c r="X76" s="1980"/>
      <c r="Y76" s="1980"/>
      <c r="Z76" s="1980"/>
      <c r="AA76" s="1980"/>
      <c r="AB76" s="1980"/>
    </row>
    <row r="77" spans="1:28" s="1191" customFormat="1" ht="25.5" customHeight="1">
      <c r="C77" s="1980"/>
      <c r="D77" s="4945">
        <v>317.5</v>
      </c>
      <c r="E77" s="4725"/>
      <c r="F77" s="4725"/>
      <c r="G77" s="4510">
        <v>201.8</v>
      </c>
      <c r="H77" s="4510">
        <v>179.7</v>
      </c>
      <c r="I77" s="4510">
        <v>193</v>
      </c>
      <c r="J77" s="4510">
        <v>94.4</v>
      </c>
      <c r="K77" s="4510">
        <v>260.7</v>
      </c>
      <c r="L77" s="4510">
        <v>102</v>
      </c>
      <c r="M77" s="4510">
        <v>322.3</v>
      </c>
      <c r="N77" s="1345">
        <v>222.6</v>
      </c>
      <c r="O77" s="1523"/>
      <c r="P77" s="4501" t="s">
        <v>2748</v>
      </c>
      <c r="Q77" s="1524"/>
      <c r="R77" s="1980"/>
      <c r="S77" s="1980"/>
      <c r="T77" s="1980"/>
      <c r="U77" s="1980"/>
      <c r="V77" s="1980"/>
      <c r="W77" s="1980"/>
      <c r="X77" s="1980"/>
      <c r="Y77" s="1980"/>
      <c r="Z77" s="1980"/>
      <c r="AA77" s="1980"/>
      <c r="AB77" s="1980"/>
    </row>
    <row r="78" spans="1:28" s="1191" customFormat="1" ht="25.5" customHeight="1">
      <c r="C78" s="1980"/>
      <c r="D78" s="4946">
        <v>415.07499999999999</v>
      </c>
      <c r="E78" s="4947"/>
      <c r="F78" s="4947"/>
      <c r="G78" s="4511">
        <v>209.32500000000002</v>
      </c>
      <c r="H78" s="4511">
        <v>200.86666666666667</v>
      </c>
      <c r="I78" s="4511">
        <v>195.6583333333333</v>
      </c>
      <c r="J78" s="4511">
        <v>94.199999999999989</v>
      </c>
      <c r="K78" s="4511">
        <v>258.44166666666666</v>
      </c>
      <c r="L78" s="4511">
        <v>84.75</v>
      </c>
      <c r="M78" s="4511">
        <v>396.60833333333341</v>
      </c>
      <c r="N78" s="1525">
        <v>238.99166666666665</v>
      </c>
      <c r="O78" s="1476"/>
      <c r="P78" s="1658" t="s">
        <v>2928</v>
      </c>
      <c r="Q78" s="1526"/>
      <c r="R78" s="1980"/>
      <c r="S78" s="1980"/>
      <c r="T78" s="1980"/>
      <c r="U78" s="1980"/>
      <c r="V78" s="1980"/>
      <c r="W78" s="1980"/>
      <c r="X78" s="1980"/>
      <c r="Y78" s="1980"/>
      <c r="Z78" s="1980"/>
      <c r="AA78" s="1980"/>
      <c r="AB78" s="1980"/>
    </row>
    <row r="79" spans="1:28" s="1191" customFormat="1" ht="25.5" customHeight="1">
      <c r="C79" s="1980"/>
      <c r="D79" s="4945">
        <v>379.2</v>
      </c>
      <c r="E79" s="4725"/>
      <c r="F79" s="4725"/>
      <c r="G79" s="4510">
        <v>285.5</v>
      </c>
      <c r="H79" s="4510">
        <v>146.69999999999999</v>
      </c>
      <c r="I79" s="4510">
        <v>177.4</v>
      </c>
      <c r="J79" s="4510">
        <v>93.6</v>
      </c>
      <c r="K79" s="4510">
        <v>256.8</v>
      </c>
      <c r="L79" s="4510">
        <v>113.9</v>
      </c>
      <c r="M79" s="4510">
        <v>260.60000000000002</v>
      </c>
      <c r="N79" s="1345">
        <v>213.1</v>
      </c>
      <c r="O79" s="1523"/>
      <c r="P79" s="4501" t="s">
        <v>3028</v>
      </c>
      <c r="Q79" s="1524"/>
      <c r="R79" s="1980"/>
      <c r="S79" s="1980"/>
      <c r="T79" s="1980"/>
      <c r="U79" s="1980"/>
      <c r="V79" s="1980"/>
      <c r="W79" s="1980"/>
      <c r="X79" s="1980"/>
      <c r="Y79" s="1980"/>
      <c r="Z79" s="1980"/>
      <c r="AA79" s="1980"/>
      <c r="AB79" s="1980"/>
    </row>
    <row r="80" spans="1:28" s="1191" customFormat="1" ht="25.5" customHeight="1">
      <c r="C80" s="1980"/>
      <c r="D80" s="4946">
        <v>393.1</v>
      </c>
      <c r="E80" s="4947"/>
      <c r="F80" s="4947"/>
      <c r="G80" s="4511">
        <v>274.59166666666664</v>
      </c>
      <c r="H80" s="4511">
        <v>145.10833333333335</v>
      </c>
      <c r="I80" s="4511">
        <v>154.58333333333334</v>
      </c>
      <c r="J80" s="4511">
        <v>98.666666666666686</v>
      </c>
      <c r="K80" s="4511">
        <v>256.72499999999997</v>
      </c>
      <c r="L80" s="4511">
        <v>84.38333333333334</v>
      </c>
      <c r="M80" s="4511">
        <v>302.54166666666669</v>
      </c>
      <c r="N80" s="1525">
        <v>210.60833333333335</v>
      </c>
      <c r="O80" s="1476"/>
      <c r="P80" s="1658" t="s">
        <v>3101</v>
      </c>
      <c r="Q80" s="1526"/>
      <c r="R80" s="1980"/>
      <c r="S80" s="1980"/>
      <c r="T80" s="1980"/>
      <c r="U80" s="1980"/>
      <c r="V80" s="1980"/>
      <c r="W80" s="1980"/>
      <c r="X80" s="1980"/>
      <c r="Y80" s="1980"/>
      <c r="Z80" s="1980"/>
      <c r="AA80" s="1980"/>
      <c r="AB80" s="1980"/>
    </row>
    <row r="81" spans="3:28" ht="24">
      <c r="C81" s="1963"/>
      <c r="D81" s="4945">
        <v>472.4</v>
      </c>
      <c r="E81" s="4725"/>
      <c r="F81" s="4725"/>
      <c r="G81" s="4517">
        <v>277.39999999999998</v>
      </c>
      <c r="H81" s="4517">
        <v>132.80000000000001</v>
      </c>
      <c r="I81" s="4517">
        <v>224.1</v>
      </c>
      <c r="J81" s="4517">
        <v>99.7</v>
      </c>
      <c r="K81" s="4517">
        <v>259.3</v>
      </c>
      <c r="L81" s="4517">
        <v>80.099999999999994</v>
      </c>
      <c r="M81" s="4517">
        <v>264.5</v>
      </c>
      <c r="N81" s="1345">
        <v>232.8</v>
      </c>
      <c r="O81" s="1523"/>
      <c r="P81" s="4529" t="s">
        <v>3106</v>
      </c>
      <c r="Q81" s="1524"/>
      <c r="R81" s="1963"/>
      <c r="S81" s="1963"/>
      <c r="T81" s="1963"/>
      <c r="U81" s="1963"/>
      <c r="V81" s="1963"/>
      <c r="W81" s="1963"/>
      <c r="X81" s="1963"/>
      <c r="Y81" s="1963"/>
      <c r="Z81" s="1963"/>
      <c r="AA81" s="1963"/>
      <c r="AB81" s="1963"/>
    </row>
    <row r="82" spans="3:28" s="1191" customFormat="1" ht="25.5" customHeight="1">
      <c r="C82" s="1980"/>
      <c r="D82" s="4951">
        <v>403.2</v>
      </c>
      <c r="E82" s="4952"/>
      <c r="F82" s="4952"/>
      <c r="G82" s="3395">
        <v>238.2</v>
      </c>
      <c r="H82" s="3395">
        <v>174.2</v>
      </c>
      <c r="I82" s="3395">
        <v>278</v>
      </c>
      <c r="J82" s="3395">
        <v>99.7</v>
      </c>
      <c r="K82" s="3395">
        <v>259.8</v>
      </c>
      <c r="L82" s="3395">
        <v>107.5</v>
      </c>
      <c r="M82" s="3395">
        <v>265.8</v>
      </c>
      <c r="N82" s="4559">
        <v>250</v>
      </c>
      <c r="O82" s="4560"/>
      <c r="P82" s="4552" t="s">
        <v>3116</v>
      </c>
      <c r="Q82" s="4561"/>
      <c r="R82" s="1980"/>
      <c r="S82" s="1980"/>
      <c r="T82" s="1980"/>
      <c r="U82" s="1980"/>
      <c r="V82" s="1980"/>
      <c r="W82" s="1980"/>
      <c r="X82" s="1980"/>
      <c r="Y82" s="1980"/>
      <c r="Z82" s="1980"/>
      <c r="AA82" s="1980"/>
      <c r="AB82" s="1980"/>
    </row>
    <row r="83" spans="3:28">
      <c r="C83" s="1963"/>
      <c r="D83" s="428" t="s">
        <v>1507</v>
      </c>
      <c r="E83" s="426"/>
      <c r="F83" s="426"/>
      <c r="G83" s="2082"/>
      <c r="H83" s="2082"/>
      <c r="I83" s="2082"/>
      <c r="J83" s="2082"/>
      <c r="K83" s="2082"/>
      <c r="L83" s="2082"/>
      <c r="M83" s="2082"/>
      <c r="N83" s="2082"/>
      <c r="O83" s="4495"/>
      <c r="P83" s="3288" t="s">
        <v>1508</v>
      </c>
      <c r="Q83" s="3396"/>
      <c r="R83" s="1963"/>
      <c r="S83" s="1963"/>
      <c r="T83" s="1963"/>
      <c r="U83" s="1963"/>
      <c r="V83" s="1963"/>
      <c r="W83" s="1963"/>
      <c r="X83" s="1963"/>
      <c r="Y83" s="1963"/>
      <c r="Z83" s="1963"/>
      <c r="AA83" s="1963"/>
      <c r="AB83" s="1963"/>
    </row>
    <row r="84" spans="3:28">
      <c r="C84" s="1963"/>
      <c r="D84" s="1843"/>
      <c r="E84" s="1843"/>
      <c r="F84" s="1843"/>
      <c r="G84" s="1843"/>
      <c r="H84" s="1843"/>
      <c r="I84" s="1843"/>
      <c r="J84" s="1843"/>
      <c r="K84" s="1843"/>
      <c r="L84" s="1843"/>
      <c r="M84" s="1843"/>
      <c r="N84" s="1843"/>
      <c r="O84" s="1843"/>
      <c r="P84" s="1843"/>
      <c r="Q84" s="1843"/>
      <c r="R84" s="1963"/>
      <c r="S84" s="1963"/>
      <c r="T84" s="1963"/>
      <c r="U84" s="1963"/>
      <c r="V84" s="1963"/>
      <c r="W84" s="1963"/>
      <c r="X84" s="1963"/>
      <c r="Y84" s="1963"/>
      <c r="Z84" s="1963"/>
      <c r="AA84" s="1963"/>
      <c r="AB84" s="1963"/>
    </row>
    <row r="85" spans="3:28">
      <c r="C85" s="1963"/>
      <c r="D85" s="1843"/>
      <c r="E85" s="1843"/>
      <c r="F85" s="1843"/>
      <c r="G85" s="1843"/>
      <c r="H85" s="1843"/>
      <c r="I85" s="1843"/>
      <c r="J85" s="1843"/>
      <c r="K85" s="1843"/>
      <c r="L85" s="1843"/>
      <c r="M85" s="1843"/>
      <c r="N85" s="1843"/>
      <c r="O85" s="1843"/>
      <c r="P85" s="1843"/>
      <c r="Q85" s="1843"/>
      <c r="R85" s="1963"/>
      <c r="S85" s="1963"/>
      <c r="T85" s="1963"/>
      <c r="U85" s="1963"/>
      <c r="V85" s="1963"/>
      <c r="W85" s="1963"/>
      <c r="X85" s="1963"/>
      <c r="Y85" s="1963"/>
      <c r="Z85" s="1963"/>
      <c r="AA85" s="1963"/>
      <c r="AB85" s="1963"/>
    </row>
    <row r="86" spans="3:28">
      <c r="C86" s="1963"/>
      <c r="D86" s="1843"/>
      <c r="E86" s="1843"/>
      <c r="F86" s="1843"/>
      <c r="G86" s="1843"/>
      <c r="H86" s="1843"/>
      <c r="I86" s="1843"/>
      <c r="J86" s="1843"/>
      <c r="K86" s="1843"/>
      <c r="L86" s="1843"/>
      <c r="M86" s="1843"/>
      <c r="N86" s="1843"/>
      <c r="O86" s="1843"/>
      <c r="P86" s="1843"/>
      <c r="Q86" s="1843"/>
      <c r="R86" s="1963"/>
      <c r="S86" s="1963"/>
      <c r="T86" s="1963"/>
      <c r="U86" s="1963"/>
      <c r="V86" s="1963"/>
      <c r="W86" s="1963"/>
      <c r="X86" s="1963"/>
      <c r="Y86" s="1963"/>
      <c r="Z86" s="1963"/>
      <c r="AA86" s="1963"/>
      <c r="AB86" s="1963"/>
    </row>
    <row r="87" spans="3:28">
      <c r="C87" s="1963"/>
      <c r="D87" s="1843"/>
      <c r="E87" s="1843"/>
      <c r="F87" s="1843"/>
      <c r="G87" s="1843"/>
      <c r="H87" s="1843"/>
      <c r="I87" s="1843"/>
      <c r="J87" s="1843"/>
      <c r="K87" s="1843"/>
      <c r="L87" s="1843"/>
      <c r="M87" s="1843"/>
      <c r="N87" s="1843"/>
      <c r="O87" s="1843"/>
      <c r="P87" s="1843"/>
      <c r="Q87" s="1843"/>
      <c r="R87" s="1963"/>
      <c r="S87" s="1963"/>
      <c r="T87" s="1963"/>
      <c r="U87" s="1963"/>
      <c r="V87" s="1963"/>
      <c r="W87" s="1963"/>
      <c r="X87" s="1963"/>
      <c r="Y87" s="1963"/>
      <c r="Z87" s="1963"/>
      <c r="AA87" s="1963"/>
      <c r="AB87" s="1963"/>
    </row>
    <row r="88" spans="3:28">
      <c r="C88" s="1963"/>
      <c r="D88" s="1843"/>
      <c r="E88" s="1843"/>
      <c r="F88" s="1843"/>
      <c r="G88" s="1843"/>
      <c r="H88" s="1843"/>
      <c r="I88" s="1843"/>
      <c r="J88" s="1843"/>
      <c r="K88" s="1843"/>
      <c r="L88" s="1843"/>
      <c r="M88" s="1843"/>
      <c r="N88" s="1843"/>
      <c r="O88" s="1843"/>
      <c r="P88" s="1843"/>
      <c r="Q88" s="1843"/>
      <c r="R88" s="1963"/>
      <c r="S88" s="1963"/>
      <c r="T88" s="1963"/>
      <c r="U88" s="1963"/>
      <c r="V88" s="1963"/>
      <c r="W88" s="1963"/>
      <c r="X88" s="1963"/>
      <c r="Y88" s="1963"/>
      <c r="Z88" s="1963"/>
      <c r="AA88" s="1963"/>
      <c r="AB88" s="1963"/>
    </row>
    <row r="89" spans="3:28">
      <c r="C89" s="1963"/>
      <c r="D89" s="1843"/>
      <c r="E89" s="1843"/>
      <c r="F89" s="1843"/>
      <c r="G89" s="1843"/>
      <c r="H89" s="1843"/>
      <c r="I89" s="1843"/>
      <c r="J89" s="1843"/>
      <c r="K89" s="1843"/>
      <c r="L89" s="1843"/>
      <c r="M89" s="1843"/>
      <c r="N89" s="1843"/>
      <c r="O89" s="1843"/>
      <c r="P89" s="1843"/>
      <c r="Q89" s="1843"/>
      <c r="R89" s="1963"/>
      <c r="S89" s="1963"/>
      <c r="T89" s="1963"/>
      <c r="U89" s="1963"/>
      <c r="V89" s="1963"/>
      <c r="W89" s="1963"/>
      <c r="X89" s="1963"/>
      <c r="Y89" s="1963"/>
      <c r="Z89" s="1963"/>
      <c r="AA89" s="1963"/>
      <c r="AB89" s="1963"/>
    </row>
    <row r="90" spans="3:28">
      <c r="C90" s="1963"/>
      <c r="D90" s="1843"/>
      <c r="E90" s="1843"/>
      <c r="F90" s="1843"/>
      <c r="G90" s="1843"/>
      <c r="H90" s="1843"/>
      <c r="I90" s="1843"/>
      <c r="J90" s="1843"/>
      <c r="K90" s="1843"/>
      <c r="L90" s="1843"/>
      <c r="M90" s="1843"/>
      <c r="N90" s="1843"/>
      <c r="O90" s="1843"/>
      <c r="P90" s="1843"/>
      <c r="Q90" s="1843"/>
      <c r="R90" s="1963"/>
      <c r="S90" s="1963"/>
      <c r="T90" s="1963"/>
      <c r="U90" s="1963"/>
      <c r="V90" s="1963"/>
      <c r="W90" s="1963"/>
      <c r="X90" s="1963"/>
      <c r="Y90" s="1963"/>
      <c r="Z90" s="1963"/>
      <c r="AA90" s="1963"/>
      <c r="AB90" s="1963"/>
    </row>
    <row r="91" spans="3:28">
      <c r="C91" s="1963"/>
      <c r="D91" s="1843"/>
      <c r="E91" s="1843"/>
      <c r="F91" s="1843"/>
      <c r="G91" s="1843"/>
      <c r="H91" s="1843"/>
      <c r="I91" s="1843"/>
      <c r="J91" s="1843"/>
      <c r="K91" s="1843"/>
      <c r="L91" s="1843"/>
      <c r="M91" s="1843"/>
      <c r="N91" s="1843"/>
      <c r="O91" s="1843"/>
      <c r="P91" s="1843"/>
      <c r="Q91" s="1843"/>
      <c r="R91" s="1963"/>
      <c r="S91" s="1963"/>
      <c r="T91" s="1963"/>
      <c r="U91" s="1963"/>
      <c r="V91" s="1963"/>
      <c r="W91" s="1963"/>
      <c r="X91" s="1963"/>
      <c r="Y91" s="1963"/>
      <c r="Z91" s="1963"/>
      <c r="AA91" s="1963"/>
      <c r="AB91" s="1963"/>
    </row>
    <row r="92" spans="3:28">
      <c r="C92" s="1963"/>
      <c r="D92" s="1843"/>
      <c r="E92" s="1843"/>
      <c r="F92" s="1843"/>
      <c r="G92" s="1843"/>
      <c r="H92" s="1843"/>
      <c r="I92" s="1843"/>
      <c r="J92" s="1843"/>
      <c r="K92" s="1843"/>
      <c r="L92" s="1843"/>
      <c r="M92" s="1843"/>
      <c r="N92" s="1843"/>
      <c r="O92" s="1843"/>
      <c r="P92" s="1843"/>
      <c r="Q92" s="1843"/>
      <c r="R92" s="1963"/>
      <c r="S92" s="1963"/>
      <c r="T92" s="1963"/>
      <c r="U92" s="1963"/>
      <c r="V92" s="1963"/>
      <c r="W92" s="1963"/>
      <c r="X92" s="1963"/>
      <c r="Y92" s="1963"/>
      <c r="Z92" s="1963"/>
      <c r="AA92" s="1963"/>
      <c r="AB92" s="1963"/>
    </row>
    <row r="93" spans="3:28">
      <c r="C93" s="1963"/>
      <c r="D93" s="1843"/>
      <c r="E93" s="1843"/>
      <c r="F93" s="1843"/>
      <c r="G93" s="1843"/>
      <c r="H93" s="1843"/>
      <c r="I93" s="1843"/>
      <c r="J93" s="1843"/>
      <c r="K93" s="1843"/>
      <c r="L93" s="1843"/>
      <c r="M93" s="1843"/>
      <c r="N93" s="1843"/>
      <c r="O93" s="1843"/>
      <c r="P93" s="1843"/>
      <c r="Q93" s="1843"/>
      <c r="R93" s="1963"/>
      <c r="S93" s="1963"/>
      <c r="T93" s="1963"/>
      <c r="U93" s="1963"/>
      <c r="V93" s="1963"/>
      <c r="W93" s="1963"/>
      <c r="X93" s="1963"/>
      <c r="Y93" s="1963"/>
      <c r="Z93" s="1963"/>
      <c r="AA93" s="1963"/>
      <c r="AB93" s="1963"/>
    </row>
    <row r="94" spans="3:28">
      <c r="C94" s="1963"/>
      <c r="D94" s="1843"/>
      <c r="E94" s="1843"/>
      <c r="F94" s="1843"/>
      <c r="G94" s="1843"/>
      <c r="H94" s="1843"/>
      <c r="I94" s="1843"/>
      <c r="J94" s="1843"/>
      <c r="K94" s="1843"/>
      <c r="L94" s="1843"/>
      <c r="M94" s="1843"/>
      <c r="N94" s="1843"/>
      <c r="O94" s="1843"/>
      <c r="P94" s="1843"/>
      <c r="Q94" s="1843"/>
      <c r="R94" s="1963"/>
      <c r="S94" s="1963"/>
      <c r="T94" s="1963"/>
      <c r="U94" s="1963"/>
      <c r="V94" s="1963"/>
      <c r="W94" s="1963"/>
      <c r="X94" s="1963"/>
      <c r="Y94" s="1963"/>
      <c r="Z94" s="1963"/>
      <c r="AA94" s="1963"/>
      <c r="AB94" s="1963"/>
    </row>
    <row r="95" spans="3:28">
      <c r="C95" s="1963"/>
      <c r="D95" s="1843"/>
      <c r="E95" s="1843"/>
      <c r="F95" s="1843"/>
      <c r="G95" s="1843"/>
      <c r="H95" s="1843"/>
      <c r="I95" s="1843"/>
      <c r="J95" s="1843"/>
      <c r="K95" s="1843"/>
      <c r="L95" s="1843"/>
      <c r="M95" s="1843"/>
      <c r="N95" s="1843"/>
      <c r="O95" s="1843"/>
      <c r="P95" s="1843"/>
      <c r="Q95" s="1843"/>
      <c r="R95" s="1963"/>
      <c r="S95" s="1963"/>
      <c r="T95" s="1963"/>
      <c r="U95" s="1963"/>
      <c r="V95" s="1963"/>
      <c r="W95" s="1963"/>
      <c r="X95" s="1963"/>
      <c r="Y95" s="1963"/>
      <c r="Z95" s="1963"/>
      <c r="AA95" s="1963"/>
      <c r="AB95" s="1963"/>
    </row>
    <row r="96" spans="3:28">
      <c r="C96" s="1963"/>
      <c r="D96" s="1843"/>
      <c r="E96" s="1843"/>
      <c r="F96" s="1843"/>
      <c r="G96" s="1843"/>
      <c r="H96" s="1843"/>
      <c r="I96" s="1843"/>
      <c r="J96" s="1843"/>
      <c r="K96" s="1843"/>
      <c r="L96" s="1843"/>
      <c r="M96" s="1843"/>
      <c r="N96" s="1843"/>
      <c r="O96" s="1843"/>
      <c r="P96" s="1843"/>
      <c r="Q96" s="1843"/>
      <c r="R96" s="1963"/>
      <c r="S96" s="1963"/>
      <c r="T96" s="1963"/>
      <c r="U96" s="1963"/>
      <c r="V96" s="1963"/>
      <c r="W96" s="1963"/>
      <c r="X96" s="1963"/>
      <c r="Y96" s="1963"/>
      <c r="Z96" s="1963"/>
      <c r="AA96" s="1963"/>
      <c r="AB96" s="1963"/>
    </row>
    <row r="97" spans="3:28">
      <c r="C97" s="1963"/>
      <c r="D97" s="1843"/>
      <c r="E97" s="1843"/>
      <c r="F97" s="1843"/>
      <c r="G97" s="1843"/>
      <c r="H97" s="1843"/>
      <c r="I97" s="1843"/>
      <c r="J97" s="1843"/>
      <c r="K97" s="1843"/>
      <c r="L97" s="1843"/>
      <c r="M97" s="1843"/>
      <c r="N97" s="1843"/>
      <c r="O97" s="1843"/>
      <c r="P97" s="1843"/>
      <c r="Q97" s="1843"/>
      <c r="R97" s="1963"/>
      <c r="S97" s="1963"/>
      <c r="T97" s="1963"/>
      <c r="U97" s="1963"/>
      <c r="V97" s="1963"/>
      <c r="W97" s="1963"/>
      <c r="X97" s="1963"/>
      <c r="Y97" s="1963"/>
      <c r="Z97" s="1963"/>
      <c r="AA97" s="1963"/>
      <c r="AB97" s="1963"/>
    </row>
    <row r="98" spans="3:28">
      <c r="C98" s="1963"/>
      <c r="D98" s="1843"/>
      <c r="E98" s="1843"/>
      <c r="F98" s="1843"/>
      <c r="G98" s="1843"/>
      <c r="H98" s="1843"/>
      <c r="I98" s="1843"/>
      <c r="J98" s="1843"/>
      <c r="K98" s="1843"/>
      <c r="L98" s="1843"/>
      <c r="M98" s="1843"/>
      <c r="N98" s="1843"/>
      <c r="O98" s="1843"/>
      <c r="P98" s="1843"/>
      <c r="Q98" s="1843"/>
      <c r="R98" s="1963"/>
      <c r="S98" s="1963"/>
      <c r="T98" s="1963"/>
      <c r="U98" s="1963"/>
      <c r="V98" s="1963"/>
      <c r="W98" s="1963"/>
      <c r="X98" s="1963"/>
      <c r="Y98" s="1963"/>
      <c r="Z98" s="1963"/>
      <c r="AA98" s="1963"/>
      <c r="AB98" s="1963"/>
    </row>
    <row r="99" spans="3:28">
      <c r="C99" s="1963"/>
      <c r="D99" s="1843"/>
      <c r="E99" s="1843"/>
      <c r="F99" s="1843"/>
      <c r="G99" s="1843"/>
      <c r="H99" s="1843"/>
      <c r="I99" s="1843"/>
      <c r="J99" s="1843"/>
      <c r="K99" s="1843"/>
      <c r="L99" s="1843"/>
      <c r="M99" s="1843"/>
      <c r="N99" s="1843"/>
      <c r="O99" s="1843"/>
      <c r="P99" s="1843"/>
      <c r="Q99" s="1843"/>
      <c r="R99" s="1963"/>
      <c r="S99" s="1963"/>
      <c r="T99" s="1963"/>
      <c r="U99" s="1963"/>
      <c r="V99" s="1963"/>
      <c r="W99" s="1963"/>
      <c r="X99" s="1963"/>
      <c r="Y99" s="1963"/>
      <c r="Z99" s="1963"/>
      <c r="AA99" s="1963"/>
      <c r="AB99" s="1963"/>
    </row>
    <row r="100" spans="3:28">
      <c r="C100" s="1963"/>
      <c r="D100" s="1843"/>
      <c r="E100" s="1843"/>
      <c r="F100" s="1843"/>
      <c r="G100" s="1843"/>
      <c r="H100" s="1843"/>
      <c r="I100" s="1843"/>
      <c r="J100" s="1843"/>
      <c r="K100" s="1843"/>
      <c r="L100" s="1843"/>
      <c r="M100" s="1843"/>
      <c r="N100" s="1843"/>
      <c r="O100" s="1843"/>
      <c r="P100" s="1843"/>
      <c r="Q100" s="1843"/>
      <c r="R100" s="1963"/>
      <c r="S100" s="1963"/>
      <c r="T100" s="1963"/>
      <c r="U100" s="1963"/>
      <c r="V100" s="1963"/>
      <c r="W100" s="1963"/>
      <c r="X100" s="1963"/>
      <c r="Y100" s="1963"/>
      <c r="Z100" s="1963"/>
      <c r="AA100" s="1963"/>
      <c r="AB100" s="1963"/>
    </row>
    <row r="101" spans="3:28">
      <c r="C101" s="1963"/>
      <c r="D101" s="1843"/>
      <c r="E101" s="1843"/>
      <c r="F101" s="1843"/>
      <c r="G101" s="1843"/>
      <c r="H101" s="1843"/>
      <c r="I101" s="1843"/>
      <c r="J101" s="1843"/>
      <c r="K101" s="1843"/>
      <c r="L101" s="1843"/>
      <c r="M101" s="1843"/>
      <c r="N101" s="1843"/>
      <c r="O101" s="1843"/>
      <c r="P101" s="1843"/>
      <c r="Q101" s="1843"/>
      <c r="R101" s="1963"/>
      <c r="S101" s="1963"/>
      <c r="T101" s="1963"/>
      <c r="U101" s="1963"/>
      <c r="V101" s="1963"/>
      <c r="W101" s="1963"/>
      <c r="X101" s="1963"/>
      <c r="Y101" s="1963"/>
      <c r="Z101" s="1963"/>
      <c r="AA101" s="1963"/>
      <c r="AB101" s="1963"/>
    </row>
    <row r="102" spans="3:28">
      <c r="C102" s="1963"/>
      <c r="D102" s="1843"/>
      <c r="E102" s="1843"/>
      <c r="F102" s="1843"/>
      <c r="G102" s="1843"/>
      <c r="H102" s="1843"/>
      <c r="I102" s="1843"/>
      <c r="J102" s="1843"/>
      <c r="K102" s="1843"/>
      <c r="L102" s="1843"/>
      <c r="M102" s="1843"/>
      <c r="N102" s="1843"/>
      <c r="O102" s="1843"/>
      <c r="P102" s="1843"/>
      <c r="Q102" s="1843"/>
      <c r="R102" s="1963"/>
      <c r="S102" s="1963"/>
      <c r="T102" s="1963"/>
      <c r="U102" s="1963"/>
      <c r="V102" s="1963"/>
      <c r="W102" s="1963"/>
      <c r="X102" s="1963"/>
      <c r="Y102" s="1963"/>
      <c r="Z102" s="1963"/>
      <c r="AA102" s="1963"/>
      <c r="AB102" s="1963"/>
    </row>
    <row r="103" spans="3:28">
      <c r="C103" s="1963"/>
      <c r="D103" s="1843"/>
      <c r="E103" s="1843"/>
      <c r="F103" s="1843"/>
      <c r="G103" s="1843"/>
      <c r="H103" s="1843"/>
      <c r="I103" s="1843"/>
      <c r="J103" s="1843"/>
      <c r="K103" s="1843"/>
      <c r="L103" s="1843"/>
      <c r="M103" s="1843"/>
      <c r="N103" s="1843"/>
      <c r="O103" s="1843"/>
      <c r="P103" s="1843"/>
      <c r="Q103" s="1843"/>
      <c r="R103" s="1963"/>
      <c r="S103" s="1963"/>
      <c r="T103" s="1963"/>
      <c r="U103" s="1963"/>
      <c r="V103" s="1963"/>
      <c r="W103" s="1963"/>
      <c r="X103" s="1963"/>
      <c r="Y103" s="1963"/>
      <c r="Z103" s="1963"/>
      <c r="AA103" s="1963"/>
      <c r="AB103" s="1963"/>
    </row>
    <row r="104" spans="3:28">
      <c r="C104" s="1963"/>
      <c r="D104" s="1843"/>
      <c r="E104" s="1843"/>
      <c r="F104" s="1843"/>
      <c r="G104" s="1843"/>
      <c r="H104" s="1843"/>
      <c r="I104" s="1843"/>
      <c r="J104" s="1843"/>
      <c r="K104" s="1843"/>
      <c r="L104" s="1843"/>
      <c r="M104" s="1843"/>
      <c r="N104" s="1843"/>
      <c r="O104" s="1843"/>
      <c r="P104" s="1843"/>
      <c r="Q104" s="1843"/>
      <c r="R104" s="1963"/>
      <c r="S104" s="1963"/>
      <c r="T104" s="1963"/>
      <c r="U104" s="1963"/>
      <c r="V104" s="1963"/>
      <c r="W104" s="1963"/>
      <c r="X104" s="1963"/>
      <c r="Y104" s="1963"/>
      <c r="Z104" s="1963"/>
      <c r="AA104" s="1963"/>
      <c r="AB104" s="1963"/>
    </row>
    <row r="105" spans="3:28">
      <c r="C105" s="1963"/>
      <c r="D105" s="1843"/>
      <c r="E105" s="1843"/>
      <c r="F105" s="1843"/>
      <c r="G105" s="1843"/>
      <c r="H105" s="1843"/>
      <c r="I105" s="1843"/>
      <c r="J105" s="1843"/>
      <c r="K105" s="1843"/>
      <c r="L105" s="1843"/>
      <c r="M105" s="1843"/>
      <c r="N105" s="1843"/>
      <c r="O105" s="1843"/>
      <c r="P105" s="1843"/>
      <c r="Q105" s="1843"/>
      <c r="R105" s="1963"/>
      <c r="S105" s="1963"/>
      <c r="T105" s="1963"/>
      <c r="U105" s="1963"/>
      <c r="V105" s="1963"/>
      <c r="W105" s="1963"/>
      <c r="X105" s="1963"/>
      <c r="Y105" s="1963"/>
      <c r="Z105" s="1963"/>
      <c r="AA105" s="1963"/>
      <c r="AB105" s="1963"/>
    </row>
    <row r="106" spans="3:28">
      <c r="C106" s="1963"/>
      <c r="D106" s="1843"/>
      <c r="E106" s="1843"/>
      <c r="F106" s="1843"/>
      <c r="G106" s="1843"/>
      <c r="H106" s="1843"/>
      <c r="I106" s="1843"/>
      <c r="J106" s="1843"/>
      <c r="K106" s="1843"/>
      <c r="L106" s="1843"/>
      <c r="M106" s="1843"/>
      <c r="N106" s="1843"/>
      <c r="O106" s="1843"/>
      <c r="P106" s="1843"/>
      <c r="Q106" s="1843"/>
      <c r="R106" s="1963"/>
      <c r="S106" s="1963"/>
      <c r="T106" s="1963"/>
      <c r="U106" s="1963"/>
      <c r="V106" s="1963"/>
      <c r="W106" s="1963"/>
      <c r="X106" s="1963"/>
      <c r="Y106" s="1963"/>
      <c r="Z106" s="1963"/>
      <c r="AA106" s="1963"/>
      <c r="AB106" s="1963"/>
    </row>
    <row r="107" spans="3:28">
      <c r="C107" s="1963"/>
      <c r="D107" s="1843"/>
      <c r="E107" s="1843"/>
      <c r="F107" s="1843"/>
      <c r="G107" s="1843"/>
      <c r="H107" s="1843"/>
      <c r="I107" s="1843"/>
      <c r="J107" s="1843"/>
      <c r="K107" s="1843"/>
      <c r="L107" s="1843"/>
      <c r="M107" s="1843"/>
      <c r="N107" s="1843"/>
      <c r="O107" s="1843"/>
      <c r="P107" s="1843"/>
      <c r="Q107" s="1843"/>
      <c r="R107" s="1963"/>
      <c r="S107" s="1963"/>
      <c r="T107" s="1963"/>
      <c r="U107" s="1963"/>
      <c r="V107" s="1963"/>
      <c r="W107" s="1963"/>
      <c r="X107" s="1963"/>
      <c r="Y107" s="1963"/>
      <c r="Z107" s="1963"/>
      <c r="AA107" s="1963"/>
      <c r="AB107" s="1963"/>
    </row>
    <row r="108" spans="3:28">
      <c r="C108" s="1963"/>
      <c r="D108" s="1843"/>
      <c r="E108" s="1843"/>
      <c r="F108" s="1843"/>
      <c r="G108" s="1843"/>
      <c r="H108" s="1843"/>
      <c r="I108" s="1843"/>
      <c r="J108" s="1843"/>
      <c r="K108" s="1843"/>
      <c r="L108" s="1843"/>
      <c r="M108" s="1843"/>
      <c r="N108" s="1843"/>
      <c r="O108" s="1843"/>
      <c r="P108" s="1843"/>
      <c r="Q108" s="1843"/>
      <c r="R108" s="1963"/>
      <c r="S108" s="1963"/>
      <c r="T108" s="1963"/>
      <c r="U108" s="1963"/>
      <c r="V108" s="1963"/>
      <c r="W108" s="1963"/>
      <c r="X108" s="1963"/>
      <c r="Y108" s="1963"/>
      <c r="Z108" s="1963"/>
      <c r="AA108" s="1963"/>
      <c r="AB108" s="1963"/>
    </row>
    <row r="109" spans="3:28">
      <c r="C109" s="1963"/>
      <c r="D109" s="1843"/>
      <c r="E109" s="1843"/>
      <c r="F109" s="1843"/>
      <c r="G109" s="1843"/>
      <c r="H109" s="1843"/>
      <c r="I109" s="1843"/>
      <c r="J109" s="1843"/>
      <c r="K109" s="1843"/>
      <c r="L109" s="1843"/>
      <c r="M109" s="1843"/>
      <c r="N109" s="1843"/>
      <c r="O109" s="1843"/>
      <c r="P109" s="1843"/>
      <c r="Q109" s="1843"/>
      <c r="R109" s="1963"/>
      <c r="S109" s="1963"/>
      <c r="T109" s="1963"/>
      <c r="U109" s="1963"/>
      <c r="V109" s="1963"/>
      <c r="W109" s="1963"/>
      <c r="X109" s="1963"/>
      <c r="Y109" s="1963"/>
      <c r="Z109" s="1963"/>
      <c r="AA109" s="1963"/>
      <c r="AB109" s="1963"/>
    </row>
    <row r="110" spans="3:28">
      <c r="C110" s="1963"/>
      <c r="D110" s="1843"/>
      <c r="E110" s="1843"/>
      <c r="F110" s="1843"/>
      <c r="G110" s="1843"/>
      <c r="H110" s="1843"/>
      <c r="I110" s="1843"/>
      <c r="J110" s="1843"/>
      <c r="K110" s="1843"/>
      <c r="L110" s="1843"/>
      <c r="M110" s="1843"/>
      <c r="N110" s="1843"/>
      <c r="O110" s="1843"/>
      <c r="P110" s="1843"/>
      <c r="Q110" s="1843"/>
      <c r="R110" s="1963"/>
      <c r="S110" s="1963"/>
      <c r="T110" s="1963"/>
      <c r="U110" s="1963"/>
      <c r="V110" s="1963"/>
      <c r="W110" s="1963"/>
      <c r="X110" s="1963"/>
      <c r="Y110" s="1963"/>
      <c r="Z110" s="1963"/>
      <c r="AA110" s="1963"/>
      <c r="AB110" s="1963"/>
    </row>
    <row r="111" spans="3:28">
      <c r="C111" s="1963"/>
      <c r="D111" s="1843"/>
      <c r="E111" s="1843"/>
      <c r="F111" s="1843"/>
      <c r="G111" s="1843"/>
      <c r="H111" s="1843"/>
      <c r="I111" s="1843"/>
      <c r="J111" s="1843"/>
      <c r="K111" s="1843"/>
      <c r="L111" s="1843"/>
      <c r="M111" s="1843"/>
      <c r="N111" s="1843"/>
      <c r="O111" s="1843"/>
      <c r="P111" s="1843"/>
      <c r="Q111" s="1843"/>
      <c r="R111" s="1963"/>
      <c r="S111" s="1963"/>
      <c r="T111" s="1963"/>
      <c r="U111" s="1963"/>
      <c r="V111" s="1963"/>
      <c r="W111" s="1963"/>
      <c r="X111" s="1963"/>
      <c r="Y111" s="1963"/>
      <c r="Z111" s="1963"/>
      <c r="AA111" s="1963"/>
      <c r="AB111" s="1963"/>
    </row>
    <row r="112" spans="3:28">
      <c r="C112" s="1963"/>
      <c r="D112" s="1843"/>
      <c r="E112" s="1843"/>
      <c r="F112" s="1843"/>
      <c r="G112" s="1843"/>
      <c r="H112" s="1843"/>
      <c r="I112" s="1843"/>
      <c r="J112" s="1843"/>
      <c r="K112" s="1843"/>
      <c r="L112" s="1843"/>
      <c r="M112" s="1843"/>
      <c r="N112" s="1843"/>
      <c r="O112" s="1843"/>
      <c r="P112" s="1843"/>
      <c r="Q112" s="1843"/>
      <c r="R112" s="1963"/>
      <c r="S112" s="1963"/>
      <c r="T112" s="1963"/>
      <c r="U112" s="1963"/>
      <c r="V112" s="1963"/>
      <c r="W112" s="1963"/>
      <c r="X112" s="1963"/>
      <c r="Y112" s="1963"/>
      <c r="Z112" s="1963"/>
      <c r="AA112" s="1963"/>
      <c r="AB112" s="1963"/>
    </row>
    <row r="113" spans="3:28">
      <c r="C113" s="1963"/>
      <c r="D113" s="1843"/>
      <c r="E113" s="1843"/>
      <c r="F113" s="1843"/>
      <c r="G113" s="1843"/>
      <c r="H113" s="1843"/>
      <c r="I113" s="1843"/>
      <c r="J113" s="1843"/>
      <c r="K113" s="1843"/>
      <c r="L113" s="1843"/>
      <c r="M113" s="1843"/>
      <c r="N113" s="1843"/>
      <c r="O113" s="1843"/>
      <c r="P113" s="1843"/>
      <c r="Q113" s="1843"/>
      <c r="R113" s="1963"/>
      <c r="S113" s="1963"/>
      <c r="T113" s="1963"/>
      <c r="U113" s="1963"/>
      <c r="V113" s="1963"/>
      <c r="W113" s="1963"/>
      <c r="X113" s="1963"/>
      <c r="Y113" s="1963"/>
      <c r="Z113" s="1963"/>
      <c r="AA113" s="1963"/>
      <c r="AB113" s="1963"/>
    </row>
    <row r="114" spans="3:28">
      <c r="C114" s="1963"/>
      <c r="D114" s="1843"/>
      <c r="E114" s="1843"/>
      <c r="F114" s="1843"/>
      <c r="G114" s="1843"/>
      <c r="H114" s="1843"/>
      <c r="I114" s="1843"/>
      <c r="J114" s="1843"/>
      <c r="K114" s="1843"/>
      <c r="L114" s="1843"/>
      <c r="M114" s="1843"/>
      <c r="N114" s="1843"/>
      <c r="O114" s="1843"/>
      <c r="P114" s="1843"/>
      <c r="Q114" s="1843"/>
      <c r="R114" s="1963"/>
      <c r="S114" s="1963"/>
      <c r="T114" s="1963"/>
      <c r="U114" s="1963"/>
      <c r="V114" s="1963"/>
      <c r="W114" s="1963"/>
      <c r="X114" s="1963"/>
      <c r="Y114" s="1963"/>
      <c r="Z114" s="1963"/>
      <c r="AA114" s="1963"/>
      <c r="AB114" s="1963"/>
    </row>
    <row r="115" spans="3:28">
      <c r="C115" s="1963"/>
      <c r="D115" s="1843"/>
      <c r="E115" s="1843"/>
      <c r="F115" s="1843"/>
      <c r="G115" s="1843"/>
      <c r="H115" s="1843"/>
      <c r="I115" s="1843"/>
      <c r="J115" s="1843"/>
      <c r="K115" s="1843"/>
      <c r="L115" s="1843"/>
      <c r="M115" s="1843"/>
      <c r="N115" s="1843"/>
      <c r="O115" s="1843"/>
      <c r="P115" s="1843"/>
      <c r="Q115" s="1843"/>
      <c r="R115" s="1963"/>
      <c r="S115" s="1963"/>
      <c r="T115" s="1963"/>
      <c r="U115" s="1963"/>
      <c r="V115" s="1963"/>
      <c r="W115" s="1963"/>
      <c r="X115" s="1963"/>
      <c r="Y115" s="1963"/>
      <c r="Z115" s="1963"/>
      <c r="AA115" s="1963"/>
      <c r="AB115" s="1963"/>
    </row>
    <row r="116" spans="3:28">
      <c r="C116" s="1963"/>
      <c r="D116" s="1843"/>
      <c r="E116" s="1843"/>
      <c r="F116" s="1843"/>
      <c r="G116" s="1843"/>
      <c r="H116" s="1843"/>
      <c r="I116" s="1843"/>
      <c r="J116" s="1843"/>
      <c r="K116" s="1843"/>
      <c r="L116" s="1843"/>
      <c r="M116" s="1843"/>
      <c r="N116" s="1843"/>
      <c r="O116" s="1843"/>
      <c r="P116" s="1843"/>
      <c r="Q116" s="1843"/>
      <c r="R116" s="1963"/>
      <c r="S116" s="1963"/>
      <c r="T116" s="1963"/>
      <c r="U116" s="1963"/>
      <c r="V116" s="1963"/>
      <c r="W116" s="1963"/>
      <c r="X116" s="1963"/>
      <c r="Y116" s="1963"/>
      <c r="Z116" s="1963"/>
      <c r="AA116" s="1963"/>
      <c r="AB116" s="1963"/>
    </row>
    <row r="117" spans="3:28">
      <c r="C117" s="1963"/>
      <c r="D117" s="1843"/>
      <c r="E117" s="1843"/>
      <c r="F117" s="1843"/>
      <c r="G117" s="1843"/>
      <c r="H117" s="1843"/>
      <c r="I117" s="1843"/>
      <c r="J117" s="1843"/>
      <c r="K117" s="1843"/>
      <c r="L117" s="1843"/>
      <c r="M117" s="1843"/>
      <c r="N117" s="1843"/>
      <c r="O117" s="1843"/>
      <c r="P117" s="1843"/>
      <c r="Q117" s="1843"/>
      <c r="R117" s="1963"/>
      <c r="S117" s="1963"/>
      <c r="T117" s="1963"/>
      <c r="U117" s="1963"/>
      <c r="V117" s="1963"/>
      <c r="W117" s="1963"/>
      <c r="X117" s="1963"/>
      <c r="Y117" s="1963"/>
      <c r="Z117" s="1963"/>
      <c r="AA117" s="1963"/>
      <c r="AB117" s="1963"/>
    </row>
    <row r="118" spans="3:28">
      <c r="C118" s="1963"/>
      <c r="D118" s="1843"/>
      <c r="E118" s="1843"/>
      <c r="F118" s="1843"/>
      <c r="G118" s="1843"/>
      <c r="H118" s="1843"/>
      <c r="I118" s="1843"/>
      <c r="J118" s="1843"/>
      <c r="K118" s="1843"/>
      <c r="L118" s="1843"/>
      <c r="M118" s="1843"/>
      <c r="N118" s="1843"/>
      <c r="O118" s="1843"/>
      <c r="P118" s="1843"/>
      <c r="Q118" s="1843"/>
      <c r="R118" s="1963"/>
      <c r="S118" s="1963"/>
      <c r="T118" s="1963"/>
      <c r="U118" s="1963"/>
      <c r="V118" s="1963"/>
      <c r="W118" s="1963"/>
      <c r="X118" s="1963"/>
      <c r="Y118" s="1963"/>
      <c r="Z118" s="1963"/>
      <c r="AA118" s="1963"/>
      <c r="AB118" s="1963"/>
    </row>
    <row r="119" spans="3:28">
      <c r="C119" s="1963"/>
      <c r="D119" s="1843"/>
      <c r="E119" s="1843"/>
      <c r="F119" s="1843"/>
      <c r="G119" s="1843"/>
      <c r="H119" s="1843"/>
      <c r="I119" s="1843"/>
      <c r="J119" s="1843"/>
      <c r="K119" s="1843"/>
      <c r="L119" s="1843"/>
      <c r="M119" s="1843"/>
      <c r="N119" s="1843"/>
      <c r="O119" s="1843"/>
      <c r="P119" s="1843"/>
      <c r="Q119" s="1843"/>
      <c r="R119" s="1963"/>
      <c r="S119" s="1963"/>
      <c r="T119" s="1963"/>
      <c r="U119" s="1963"/>
      <c r="V119" s="1963"/>
      <c r="W119" s="1963"/>
      <c r="X119" s="1963"/>
      <c r="Y119" s="1963"/>
      <c r="Z119" s="1963"/>
      <c r="AA119" s="1963"/>
      <c r="AB119" s="1963"/>
    </row>
    <row r="120" spans="3:28">
      <c r="C120" s="1963"/>
      <c r="D120" s="1843"/>
      <c r="E120" s="1843"/>
      <c r="F120" s="1843"/>
      <c r="G120" s="1843"/>
      <c r="H120" s="1843"/>
      <c r="I120" s="1843"/>
      <c r="J120" s="1843"/>
      <c r="K120" s="1843"/>
      <c r="L120" s="1843"/>
      <c r="M120" s="1843"/>
      <c r="N120" s="1843"/>
      <c r="O120" s="1843"/>
      <c r="P120" s="1843"/>
      <c r="Q120" s="1843"/>
      <c r="R120" s="1963"/>
      <c r="S120" s="1963"/>
      <c r="T120" s="1963"/>
      <c r="U120" s="1963"/>
      <c r="V120" s="1963"/>
      <c r="W120" s="1963"/>
      <c r="X120" s="1963"/>
      <c r="Y120" s="1963"/>
      <c r="Z120" s="1963"/>
      <c r="AA120" s="1963"/>
      <c r="AB120" s="1963"/>
    </row>
    <row r="121" spans="3:28">
      <c r="C121" s="1963"/>
      <c r="D121" s="1843"/>
      <c r="E121" s="1843"/>
      <c r="F121" s="1843"/>
      <c r="G121" s="1843"/>
      <c r="H121" s="1843"/>
      <c r="I121" s="1843"/>
      <c r="J121" s="1843"/>
      <c r="K121" s="1843"/>
      <c r="L121" s="1843"/>
      <c r="M121" s="1843"/>
      <c r="N121" s="1843"/>
      <c r="O121" s="1843"/>
      <c r="P121" s="1843"/>
      <c r="Q121" s="1843"/>
      <c r="R121" s="1963"/>
      <c r="S121" s="1963"/>
      <c r="T121" s="1963"/>
      <c r="U121" s="1963"/>
      <c r="V121" s="1963"/>
      <c r="W121" s="1963"/>
      <c r="X121" s="1963"/>
      <c r="Y121" s="1963"/>
      <c r="Z121" s="1963"/>
      <c r="AA121" s="1963"/>
      <c r="AB121" s="1963"/>
    </row>
    <row r="122" spans="3:28">
      <c r="C122" s="1963"/>
      <c r="D122" s="1843"/>
      <c r="E122" s="1843"/>
      <c r="F122" s="1843"/>
      <c r="G122" s="1843"/>
      <c r="H122" s="1843"/>
      <c r="I122" s="1843"/>
      <c r="J122" s="1843"/>
      <c r="K122" s="1843"/>
      <c r="L122" s="1843"/>
      <c r="M122" s="1843"/>
      <c r="N122" s="1843"/>
      <c r="O122" s="1843"/>
      <c r="P122" s="1843"/>
      <c r="Q122" s="1843"/>
      <c r="R122" s="1963"/>
      <c r="S122" s="1963"/>
      <c r="T122" s="1963"/>
      <c r="U122" s="1963"/>
      <c r="V122" s="1963"/>
      <c r="W122" s="1963"/>
      <c r="X122" s="1963"/>
      <c r="Y122" s="1963"/>
      <c r="Z122" s="1963"/>
      <c r="AA122" s="1963"/>
      <c r="AB122" s="1963"/>
    </row>
    <row r="123" spans="3:28">
      <c r="C123" s="1963"/>
      <c r="D123" s="1843"/>
      <c r="E123" s="1843"/>
      <c r="F123" s="1843"/>
      <c r="G123" s="1843"/>
      <c r="H123" s="1843"/>
      <c r="I123" s="1843"/>
      <c r="J123" s="1843"/>
      <c r="K123" s="1843"/>
      <c r="L123" s="1843"/>
      <c r="M123" s="1843"/>
      <c r="N123" s="1843"/>
      <c r="O123" s="1843"/>
      <c r="P123" s="1843"/>
      <c r="Q123" s="1843"/>
      <c r="R123" s="1963"/>
      <c r="S123" s="1963"/>
      <c r="T123" s="1963"/>
      <c r="U123" s="1963"/>
      <c r="V123" s="1963"/>
      <c r="W123" s="1963"/>
      <c r="X123" s="1963"/>
      <c r="Y123" s="1963"/>
      <c r="Z123" s="1963"/>
      <c r="AA123" s="1963"/>
      <c r="AB123" s="1963"/>
    </row>
    <row r="124" spans="3:28">
      <c r="C124" s="1963"/>
      <c r="D124" s="1843"/>
      <c r="E124" s="1843"/>
      <c r="F124" s="1843"/>
      <c r="G124" s="1843"/>
      <c r="H124" s="1843"/>
      <c r="I124" s="1843"/>
      <c r="J124" s="1843"/>
      <c r="K124" s="1843"/>
      <c r="L124" s="1843"/>
      <c r="M124" s="1843"/>
      <c r="N124" s="1843"/>
      <c r="O124" s="1843"/>
      <c r="P124" s="1843"/>
      <c r="Q124" s="1843"/>
      <c r="R124" s="1963"/>
      <c r="S124" s="1963"/>
      <c r="T124" s="1963"/>
      <c r="U124" s="1963"/>
      <c r="V124" s="1963"/>
      <c r="W124" s="1963"/>
      <c r="X124" s="1963"/>
      <c r="Y124" s="1963"/>
      <c r="Z124" s="1963"/>
      <c r="AA124" s="1963"/>
      <c r="AB124" s="1963"/>
    </row>
    <row r="125" spans="3:28">
      <c r="C125" s="1963"/>
      <c r="D125" s="1843"/>
      <c r="E125" s="1843"/>
      <c r="F125" s="1843"/>
      <c r="G125" s="1843"/>
      <c r="H125" s="1843"/>
      <c r="I125" s="1843"/>
      <c r="J125" s="1843"/>
      <c r="K125" s="1843"/>
      <c r="L125" s="1843"/>
      <c r="M125" s="1843"/>
      <c r="N125" s="1843"/>
      <c r="P125" s="1843"/>
      <c r="Q125" s="1843"/>
      <c r="R125" s="1963"/>
      <c r="S125" s="1963"/>
      <c r="T125" s="1963"/>
      <c r="U125" s="1963"/>
      <c r="V125" s="1963"/>
      <c r="W125" s="1963"/>
      <c r="X125" s="1963"/>
      <c r="Y125" s="1963"/>
      <c r="Z125" s="1963"/>
      <c r="AA125" s="1963"/>
      <c r="AB125" s="1963"/>
    </row>
    <row r="126" spans="3:28">
      <c r="C126" s="1963"/>
      <c r="D126" s="1843"/>
      <c r="E126" s="1843"/>
      <c r="F126" s="1843"/>
      <c r="G126" s="1843"/>
      <c r="H126" s="1843"/>
      <c r="I126" s="1843"/>
      <c r="J126" s="1843"/>
      <c r="K126" s="1843"/>
      <c r="L126" s="1843"/>
      <c r="M126" s="1843"/>
      <c r="N126" s="1843"/>
      <c r="P126" s="1843"/>
      <c r="Q126" s="1843"/>
      <c r="R126" s="1963"/>
      <c r="S126" s="1963"/>
      <c r="T126" s="1963"/>
      <c r="U126" s="1963"/>
      <c r="V126" s="1963"/>
      <c r="W126" s="1963"/>
      <c r="X126" s="1963"/>
      <c r="Y126" s="1963"/>
      <c r="Z126" s="1963"/>
      <c r="AA126" s="1963"/>
      <c r="AB126" s="1963"/>
    </row>
    <row r="127" spans="3:28">
      <c r="C127" s="1963"/>
      <c r="D127" s="1843"/>
      <c r="E127" s="1843"/>
      <c r="F127" s="1843"/>
      <c r="G127" s="1843"/>
      <c r="H127" s="1843"/>
      <c r="I127" s="1843"/>
      <c r="J127" s="1843"/>
      <c r="K127" s="1843"/>
      <c r="L127" s="1843"/>
      <c r="M127" s="1843"/>
      <c r="N127" s="1843"/>
      <c r="P127" s="1843"/>
      <c r="Q127" s="1843"/>
      <c r="R127" s="1963"/>
      <c r="S127" s="1963"/>
      <c r="T127" s="1963"/>
      <c r="U127" s="1963"/>
      <c r="V127" s="1963"/>
      <c r="W127" s="1963"/>
      <c r="X127" s="1963"/>
      <c r="Y127" s="1963"/>
      <c r="Z127" s="1963"/>
      <c r="AA127" s="1963"/>
      <c r="AB127" s="1963"/>
    </row>
  </sheetData>
  <mergeCells count="90">
    <mergeCell ref="D74:F74"/>
    <mergeCell ref="D75:F75"/>
    <mergeCell ref="D76:F76"/>
    <mergeCell ref="D77:F77"/>
    <mergeCell ref="D78:F78"/>
    <mergeCell ref="D70:F70"/>
    <mergeCell ref="D71:F71"/>
    <mergeCell ref="D72:F72"/>
    <mergeCell ref="D73:F73"/>
    <mergeCell ref="D5:F5"/>
    <mergeCell ref="D10:G10"/>
    <mergeCell ref="D11:G11"/>
    <mergeCell ref="D14:G14"/>
    <mergeCell ref="D15:G15"/>
    <mergeCell ref="D16:G16"/>
    <mergeCell ref="D17:G17"/>
    <mergeCell ref="D18:G18"/>
    <mergeCell ref="D19:G19"/>
    <mergeCell ref="D59:F59"/>
    <mergeCell ref="D60:F60"/>
    <mergeCell ref="D61:F61"/>
    <mergeCell ref="D64:F64"/>
    <mergeCell ref="D65:F65"/>
    <mergeCell ref="D66:F66"/>
    <mergeCell ref="D67:F67"/>
    <mergeCell ref="D68:F68"/>
    <mergeCell ref="D55:F55"/>
    <mergeCell ref="D37:G37"/>
    <mergeCell ref="I37:J37"/>
    <mergeCell ref="D38:G38"/>
    <mergeCell ref="I38:J38"/>
    <mergeCell ref="I39:J39"/>
    <mergeCell ref="D39:G39"/>
    <mergeCell ref="D40:G40"/>
    <mergeCell ref="D41:G41"/>
    <mergeCell ref="D35:G35"/>
    <mergeCell ref="I35:J35"/>
    <mergeCell ref="I36:J36"/>
    <mergeCell ref="I40:J40"/>
    <mergeCell ref="I41:J41"/>
    <mergeCell ref="D32:G32"/>
    <mergeCell ref="I32:J32"/>
    <mergeCell ref="I33:J33"/>
    <mergeCell ref="D34:G34"/>
    <mergeCell ref="I34:J34"/>
    <mergeCell ref="D3:Q3"/>
    <mergeCell ref="D4:Q4"/>
    <mergeCell ref="D21:G21"/>
    <mergeCell ref="I21:J21"/>
    <mergeCell ref="I10:J10"/>
    <mergeCell ref="I11:J11"/>
    <mergeCell ref="I15:J15"/>
    <mergeCell ref="I16:J16"/>
    <mergeCell ref="I17:J17"/>
    <mergeCell ref="I18:J18"/>
    <mergeCell ref="I19:J19"/>
    <mergeCell ref="I20:J20"/>
    <mergeCell ref="D20:G20"/>
    <mergeCell ref="D82:F82"/>
    <mergeCell ref="D81:F81"/>
    <mergeCell ref="D80:F80"/>
    <mergeCell ref="D79:F79"/>
    <mergeCell ref="D24:G24"/>
    <mergeCell ref="D27:G27"/>
    <mergeCell ref="D30:G30"/>
    <mergeCell ref="D33:G33"/>
    <mergeCell ref="D36:G36"/>
    <mergeCell ref="D56:F56"/>
    <mergeCell ref="D57:F57"/>
    <mergeCell ref="D58:F58"/>
    <mergeCell ref="D25:G25"/>
    <mergeCell ref="D26:G26"/>
    <mergeCell ref="D28:G28"/>
    <mergeCell ref="D29:G29"/>
    <mergeCell ref="D69:F69"/>
    <mergeCell ref="D62:F62"/>
    <mergeCell ref="D63:F63"/>
    <mergeCell ref="D22:G22"/>
    <mergeCell ref="I22:J22"/>
    <mergeCell ref="D23:G23"/>
    <mergeCell ref="I23:J23"/>
    <mergeCell ref="I24:J24"/>
    <mergeCell ref="I25:J25"/>
    <mergeCell ref="I26:J26"/>
    <mergeCell ref="I27:J27"/>
    <mergeCell ref="I28:J28"/>
    <mergeCell ref="I29:J29"/>
    <mergeCell ref="I30:J30"/>
    <mergeCell ref="D31:G31"/>
    <mergeCell ref="I31:J31"/>
  </mergeCells>
  <printOptions horizontalCentered="1"/>
  <pageMargins left="0.62992125984252001" right="0.62992125984252001" top="0.78740157480314998" bottom="0.98425196850393704" header="0.511811023622047" footer="0.511811023622047"/>
  <pageSetup paperSize="9" scale="47" orientation="portrait" r:id="rId1"/>
  <headerFooter alignWithMargins="0">
    <oddFooter>&amp;C&amp;"+,Regular"&amp;22-55-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J127"/>
  <sheetViews>
    <sheetView topLeftCell="A73" zoomScale="75" zoomScaleNormal="75" workbookViewId="0">
      <selection activeCell="H87" sqref="H87"/>
    </sheetView>
  </sheetViews>
  <sheetFormatPr defaultColWidth="0" defaultRowHeight="20.25"/>
  <cols>
    <col min="1" max="2" width="9.42578125" style="1174" customWidth="1"/>
    <col min="3" max="3" width="13" style="1174" customWidth="1"/>
    <col min="4" max="4" width="4.140625" style="1192" customWidth="1"/>
    <col min="5" max="5" width="1.5703125" style="1192" customWidth="1"/>
    <col min="6" max="6" width="8.42578125" style="1192" customWidth="1"/>
    <col min="7" max="7" width="18" style="1192" customWidth="1"/>
    <col min="8" max="8" width="20.42578125" style="1192" customWidth="1"/>
    <col min="9" max="9" width="14.28515625" style="1192" customWidth="1"/>
    <col min="10" max="10" width="15.5703125" style="1192" customWidth="1"/>
    <col min="11" max="11" width="17.5703125" style="1192" customWidth="1"/>
    <col min="12" max="12" width="14.140625" style="1192" bestFit="1" customWidth="1"/>
    <col min="13" max="13" width="15.42578125" style="1192" bestFit="1" customWidth="1"/>
    <col min="14" max="14" width="13.42578125" style="1192" customWidth="1"/>
    <col min="15" max="15" width="1.28515625" style="1793" customWidth="1"/>
    <col min="16" max="16" width="8.7109375" style="1192" customWidth="1"/>
    <col min="17" max="17" width="1.28515625" style="1192" customWidth="1"/>
    <col min="18" max="22" width="12" style="1174" customWidth="1"/>
    <col min="23" max="114" width="12" customWidth="1"/>
    <col min="115" max="245" width="12" style="1174" customWidth="1"/>
    <col min="246" max="257" width="0" style="1174" hidden="1"/>
    <col min="258" max="258" width="9.42578125" style="1174" customWidth="1"/>
    <col min="259" max="259" width="13" style="1174" customWidth="1"/>
    <col min="260" max="260" width="4.140625" style="1174" customWidth="1"/>
    <col min="261" max="261" width="1.5703125" style="1174" customWidth="1"/>
    <col min="262" max="262" width="8.42578125" style="1174" customWidth="1"/>
    <col min="263" max="263" width="15.85546875" style="1174" customWidth="1"/>
    <col min="264" max="264" width="15.7109375" style="1174" bestFit="1" customWidth="1"/>
    <col min="265" max="265" width="12.140625" style="1174" bestFit="1" customWidth="1"/>
    <col min="266" max="266" width="13.28515625" style="1174" bestFit="1" customWidth="1"/>
    <col min="267" max="267" width="15.42578125" style="1174" customWidth="1"/>
    <col min="268" max="268" width="14.140625" style="1174" bestFit="1" customWidth="1"/>
    <col min="269" max="269" width="15.42578125" style="1174" bestFit="1" customWidth="1"/>
    <col min="270" max="270" width="13.42578125" style="1174" customWidth="1"/>
    <col min="271" max="271" width="1.28515625" style="1174" customWidth="1"/>
    <col min="272" max="272" width="8.7109375" style="1174" customWidth="1"/>
    <col min="273" max="273" width="1.28515625" style="1174" customWidth="1"/>
    <col min="274" max="501" width="12" style="1174" customWidth="1"/>
    <col min="502" max="513" width="0" style="1174" hidden="1"/>
    <col min="514" max="514" width="9.42578125" style="1174" customWidth="1"/>
    <col min="515" max="515" width="13" style="1174" customWidth="1"/>
    <col min="516" max="516" width="4.140625" style="1174" customWidth="1"/>
    <col min="517" max="517" width="1.5703125" style="1174" customWidth="1"/>
    <col min="518" max="518" width="8.42578125" style="1174" customWidth="1"/>
    <col min="519" max="519" width="15.85546875" style="1174" customWidth="1"/>
    <col min="520" max="520" width="15.7109375" style="1174" bestFit="1" customWidth="1"/>
    <col min="521" max="521" width="12.140625" style="1174" bestFit="1" customWidth="1"/>
    <col min="522" max="522" width="13.28515625" style="1174" bestFit="1" customWidth="1"/>
    <col min="523" max="523" width="15.42578125" style="1174" customWidth="1"/>
    <col min="524" max="524" width="14.140625" style="1174" bestFit="1" customWidth="1"/>
    <col min="525" max="525" width="15.42578125" style="1174" bestFit="1" customWidth="1"/>
    <col min="526" max="526" width="13.42578125" style="1174" customWidth="1"/>
    <col min="527" max="527" width="1.28515625" style="1174" customWidth="1"/>
    <col min="528" max="528" width="8.7109375" style="1174" customWidth="1"/>
    <col min="529" max="529" width="1.28515625" style="1174" customWidth="1"/>
    <col min="530" max="757" width="12" style="1174" customWidth="1"/>
    <col min="758" max="769" width="0" style="1174" hidden="1"/>
    <col min="770" max="770" width="9.42578125" style="1174" customWidth="1"/>
    <col min="771" max="771" width="13" style="1174" customWidth="1"/>
    <col min="772" max="772" width="4.140625" style="1174" customWidth="1"/>
    <col min="773" max="773" width="1.5703125" style="1174" customWidth="1"/>
    <col min="774" max="774" width="8.42578125" style="1174" customWidth="1"/>
    <col min="775" max="775" width="15.85546875" style="1174" customWidth="1"/>
    <col min="776" max="776" width="15.7109375" style="1174" bestFit="1" customWidth="1"/>
    <col min="777" max="777" width="12.140625" style="1174" bestFit="1" customWidth="1"/>
    <col min="778" max="778" width="13.28515625" style="1174" bestFit="1" customWidth="1"/>
    <col min="779" max="779" width="15.42578125" style="1174" customWidth="1"/>
    <col min="780" max="780" width="14.140625" style="1174" bestFit="1" customWidth="1"/>
    <col min="781" max="781" width="15.42578125" style="1174" bestFit="1" customWidth="1"/>
    <col min="782" max="782" width="13.42578125" style="1174" customWidth="1"/>
    <col min="783" max="783" width="1.28515625" style="1174" customWidth="1"/>
    <col min="784" max="784" width="8.7109375" style="1174" customWidth="1"/>
    <col min="785" max="785" width="1.28515625" style="1174" customWidth="1"/>
    <col min="786" max="1013" width="12" style="1174" customWidth="1"/>
    <col min="1014" max="1025" width="0" style="1174" hidden="1"/>
    <col min="1026" max="1026" width="9.42578125" style="1174" customWidth="1"/>
    <col min="1027" max="1027" width="13" style="1174" customWidth="1"/>
    <col min="1028" max="1028" width="4.140625" style="1174" customWidth="1"/>
    <col min="1029" max="1029" width="1.5703125" style="1174" customWidth="1"/>
    <col min="1030" max="1030" width="8.42578125" style="1174" customWidth="1"/>
    <col min="1031" max="1031" width="15.85546875" style="1174" customWidth="1"/>
    <col min="1032" max="1032" width="15.7109375" style="1174" bestFit="1" customWidth="1"/>
    <col min="1033" max="1033" width="12.140625" style="1174" bestFit="1" customWidth="1"/>
    <col min="1034" max="1034" width="13.28515625" style="1174" bestFit="1" customWidth="1"/>
    <col min="1035" max="1035" width="15.42578125" style="1174" customWidth="1"/>
    <col min="1036" max="1036" width="14.140625" style="1174" bestFit="1" customWidth="1"/>
    <col min="1037" max="1037" width="15.42578125" style="1174" bestFit="1" customWidth="1"/>
    <col min="1038" max="1038" width="13.42578125" style="1174" customWidth="1"/>
    <col min="1039" max="1039" width="1.28515625" style="1174" customWidth="1"/>
    <col min="1040" max="1040" width="8.7109375" style="1174" customWidth="1"/>
    <col min="1041" max="1041" width="1.28515625" style="1174" customWidth="1"/>
    <col min="1042" max="1269" width="12" style="1174" customWidth="1"/>
    <col min="1270" max="1281" width="0" style="1174" hidden="1"/>
    <col min="1282" max="1282" width="9.42578125" style="1174" customWidth="1"/>
    <col min="1283" max="1283" width="13" style="1174" customWidth="1"/>
    <col min="1284" max="1284" width="4.140625" style="1174" customWidth="1"/>
    <col min="1285" max="1285" width="1.5703125" style="1174" customWidth="1"/>
    <col min="1286" max="1286" width="8.42578125" style="1174" customWidth="1"/>
    <col min="1287" max="1287" width="15.85546875" style="1174" customWidth="1"/>
    <col min="1288" max="1288" width="15.7109375" style="1174" bestFit="1" customWidth="1"/>
    <col min="1289" max="1289" width="12.140625" style="1174" bestFit="1" customWidth="1"/>
    <col min="1290" max="1290" width="13.28515625" style="1174" bestFit="1" customWidth="1"/>
    <col min="1291" max="1291" width="15.42578125" style="1174" customWidth="1"/>
    <col min="1292" max="1292" width="14.140625" style="1174" bestFit="1" customWidth="1"/>
    <col min="1293" max="1293" width="15.42578125" style="1174" bestFit="1" customWidth="1"/>
    <col min="1294" max="1294" width="13.42578125" style="1174" customWidth="1"/>
    <col min="1295" max="1295" width="1.28515625" style="1174" customWidth="1"/>
    <col min="1296" max="1296" width="8.7109375" style="1174" customWidth="1"/>
    <col min="1297" max="1297" width="1.28515625" style="1174" customWidth="1"/>
    <col min="1298" max="1525" width="12" style="1174" customWidth="1"/>
    <col min="1526" max="1537" width="0" style="1174" hidden="1"/>
    <col min="1538" max="1538" width="9.42578125" style="1174" customWidth="1"/>
    <col min="1539" max="1539" width="13" style="1174" customWidth="1"/>
    <col min="1540" max="1540" width="4.140625" style="1174" customWidth="1"/>
    <col min="1541" max="1541" width="1.5703125" style="1174" customWidth="1"/>
    <col min="1542" max="1542" width="8.42578125" style="1174" customWidth="1"/>
    <col min="1543" max="1543" width="15.85546875" style="1174" customWidth="1"/>
    <col min="1544" max="1544" width="15.7109375" style="1174" bestFit="1" customWidth="1"/>
    <col min="1545" max="1545" width="12.140625" style="1174" bestFit="1" customWidth="1"/>
    <col min="1546" max="1546" width="13.28515625" style="1174" bestFit="1" customWidth="1"/>
    <col min="1547" max="1547" width="15.42578125" style="1174" customWidth="1"/>
    <col min="1548" max="1548" width="14.140625" style="1174" bestFit="1" customWidth="1"/>
    <col min="1549" max="1549" width="15.42578125" style="1174" bestFit="1" customWidth="1"/>
    <col min="1550" max="1550" width="13.42578125" style="1174" customWidth="1"/>
    <col min="1551" max="1551" width="1.28515625" style="1174" customWidth="1"/>
    <col min="1552" max="1552" width="8.7109375" style="1174" customWidth="1"/>
    <col min="1553" max="1553" width="1.28515625" style="1174" customWidth="1"/>
    <col min="1554" max="1781" width="12" style="1174" customWidth="1"/>
    <col min="1782" max="1793" width="0" style="1174" hidden="1"/>
    <col min="1794" max="1794" width="9.42578125" style="1174" customWidth="1"/>
    <col min="1795" max="1795" width="13" style="1174" customWidth="1"/>
    <col min="1796" max="1796" width="4.140625" style="1174" customWidth="1"/>
    <col min="1797" max="1797" width="1.5703125" style="1174" customWidth="1"/>
    <col min="1798" max="1798" width="8.42578125" style="1174" customWidth="1"/>
    <col min="1799" max="1799" width="15.85546875" style="1174" customWidth="1"/>
    <col min="1800" max="1800" width="15.7109375" style="1174" bestFit="1" customWidth="1"/>
    <col min="1801" max="1801" width="12.140625" style="1174" bestFit="1" customWidth="1"/>
    <col min="1802" max="1802" width="13.28515625" style="1174" bestFit="1" customWidth="1"/>
    <col min="1803" max="1803" width="15.42578125" style="1174" customWidth="1"/>
    <col min="1804" max="1804" width="14.140625" style="1174" bestFit="1" customWidth="1"/>
    <col min="1805" max="1805" width="15.42578125" style="1174" bestFit="1" customWidth="1"/>
    <col min="1806" max="1806" width="13.42578125" style="1174" customWidth="1"/>
    <col min="1807" max="1807" width="1.28515625" style="1174" customWidth="1"/>
    <col min="1808" max="1808" width="8.7109375" style="1174" customWidth="1"/>
    <col min="1809" max="1809" width="1.28515625" style="1174" customWidth="1"/>
    <col min="1810" max="2037" width="12" style="1174" customWidth="1"/>
    <col min="2038" max="2049" width="0" style="1174" hidden="1"/>
    <col min="2050" max="2050" width="9.42578125" style="1174" customWidth="1"/>
    <col min="2051" max="2051" width="13" style="1174" customWidth="1"/>
    <col min="2052" max="2052" width="4.140625" style="1174" customWidth="1"/>
    <col min="2053" max="2053" width="1.5703125" style="1174" customWidth="1"/>
    <col min="2054" max="2054" width="8.42578125" style="1174" customWidth="1"/>
    <col min="2055" max="2055" width="15.85546875" style="1174" customWidth="1"/>
    <col min="2056" max="2056" width="15.7109375" style="1174" bestFit="1" customWidth="1"/>
    <col min="2057" max="2057" width="12.140625" style="1174" bestFit="1" customWidth="1"/>
    <col min="2058" max="2058" width="13.28515625" style="1174" bestFit="1" customWidth="1"/>
    <col min="2059" max="2059" width="15.42578125" style="1174" customWidth="1"/>
    <col min="2060" max="2060" width="14.140625" style="1174" bestFit="1" customWidth="1"/>
    <col min="2061" max="2061" width="15.42578125" style="1174" bestFit="1" customWidth="1"/>
    <col min="2062" max="2062" width="13.42578125" style="1174" customWidth="1"/>
    <col min="2063" max="2063" width="1.28515625" style="1174" customWidth="1"/>
    <col min="2064" max="2064" width="8.7109375" style="1174" customWidth="1"/>
    <col min="2065" max="2065" width="1.28515625" style="1174" customWidth="1"/>
    <col min="2066" max="2293" width="12" style="1174" customWidth="1"/>
    <col min="2294" max="2305" width="0" style="1174" hidden="1"/>
    <col min="2306" max="2306" width="9.42578125" style="1174" customWidth="1"/>
    <col min="2307" max="2307" width="13" style="1174" customWidth="1"/>
    <col min="2308" max="2308" width="4.140625" style="1174" customWidth="1"/>
    <col min="2309" max="2309" width="1.5703125" style="1174" customWidth="1"/>
    <col min="2310" max="2310" width="8.42578125" style="1174" customWidth="1"/>
    <col min="2311" max="2311" width="15.85546875" style="1174" customWidth="1"/>
    <col min="2312" max="2312" width="15.7109375" style="1174" bestFit="1" customWidth="1"/>
    <col min="2313" max="2313" width="12.140625" style="1174" bestFit="1" customWidth="1"/>
    <col min="2314" max="2314" width="13.28515625" style="1174" bestFit="1" customWidth="1"/>
    <col min="2315" max="2315" width="15.42578125" style="1174" customWidth="1"/>
    <col min="2316" max="2316" width="14.140625" style="1174" bestFit="1" customWidth="1"/>
    <col min="2317" max="2317" width="15.42578125" style="1174" bestFit="1" customWidth="1"/>
    <col min="2318" max="2318" width="13.42578125" style="1174" customWidth="1"/>
    <col min="2319" max="2319" width="1.28515625" style="1174" customWidth="1"/>
    <col min="2320" max="2320" width="8.7109375" style="1174" customWidth="1"/>
    <col min="2321" max="2321" width="1.28515625" style="1174" customWidth="1"/>
    <col min="2322" max="2549" width="12" style="1174" customWidth="1"/>
    <col min="2550" max="2561" width="0" style="1174" hidden="1"/>
    <col min="2562" max="2562" width="9.42578125" style="1174" customWidth="1"/>
    <col min="2563" max="2563" width="13" style="1174" customWidth="1"/>
    <col min="2564" max="2564" width="4.140625" style="1174" customWidth="1"/>
    <col min="2565" max="2565" width="1.5703125" style="1174" customWidth="1"/>
    <col min="2566" max="2566" width="8.42578125" style="1174" customWidth="1"/>
    <col min="2567" max="2567" width="15.85546875" style="1174" customWidth="1"/>
    <col min="2568" max="2568" width="15.7109375" style="1174" bestFit="1" customWidth="1"/>
    <col min="2569" max="2569" width="12.140625" style="1174" bestFit="1" customWidth="1"/>
    <col min="2570" max="2570" width="13.28515625" style="1174" bestFit="1" customWidth="1"/>
    <col min="2571" max="2571" width="15.42578125" style="1174" customWidth="1"/>
    <col min="2572" max="2572" width="14.140625" style="1174" bestFit="1" customWidth="1"/>
    <col min="2573" max="2573" width="15.42578125" style="1174" bestFit="1" customWidth="1"/>
    <col min="2574" max="2574" width="13.42578125" style="1174" customWidth="1"/>
    <col min="2575" max="2575" width="1.28515625" style="1174" customWidth="1"/>
    <col min="2576" max="2576" width="8.7109375" style="1174" customWidth="1"/>
    <col min="2577" max="2577" width="1.28515625" style="1174" customWidth="1"/>
    <col min="2578" max="2805" width="12" style="1174" customWidth="1"/>
    <col min="2806" max="2817" width="0" style="1174" hidden="1"/>
    <col min="2818" max="2818" width="9.42578125" style="1174" customWidth="1"/>
    <col min="2819" max="2819" width="13" style="1174" customWidth="1"/>
    <col min="2820" max="2820" width="4.140625" style="1174" customWidth="1"/>
    <col min="2821" max="2821" width="1.5703125" style="1174" customWidth="1"/>
    <col min="2822" max="2822" width="8.42578125" style="1174" customWidth="1"/>
    <col min="2823" max="2823" width="15.85546875" style="1174" customWidth="1"/>
    <col min="2824" max="2824" width="15.7109375" style="1174" bestFit="1" customWidth="1"/>
    <col min="2825" max="2825" width="12.140625" style="1174" bestFit="1" customWidth="1"/>
    <col min="2826" max="2826" width="13.28515625" style="1174" bestFit="1" customWidth="1"/>
    <col min="2827" max="2827" width="15.42578125" style="1174" customWidth="1"/>
    <col min="2828" max="2828" width="14.140625" style="1174" bestFit="1" customWidth="1"/>
    <col min="2829" max="2829" width="15.42578125" style="1174" bestFit="1" customWidth="1"/>
    <col min="2830" max="2830" width="13.42578125" style="1174" customWidth="1"/>
    <col min="2831" max="2831" width="1.28515625" style="1174" customWidth="1"/>
    <col min="2832" max="2832" width="8.7109375" style="1174" customWidth="1"/>
    <col min="2833" max="2833" width="1.28515625" style="1174" customWidth="1"/>
    <col min="2834" max="3061" width="12" style="1174" customWidth="1"/>
    <col min="3062" max="3073" width="0" style="1174" hidden="1"/>
    <col min="3074" max="3074" width="9.42578125" style="1174" customWidth="1"/>
    <col min="3075" max="3075" width="13" style="1174" customWidth="1"/>
    <col min="3076" max="3076" width="4.140625" style="1174" customWidth="1"/>
    <col min="3077" max="3077" width="1.5703125" style="1174" customWidth="1"/>
    <col min="3078" max="3078" width="8.42578125" style="1174" customWidth="1"/>
    <col min="3079" max="3079" width="15.85546875" style="1174" customWidth="1"/>
    <col min="3080" max="3080" width="15.7109375" style="1174" bestFit="1" customWidth="1"/>
    <col min="3081" max="3081" width="12.140625" style="1174" bestFit="1" customWidth="1"/>
    <col min="3082" max="3082" width="13.28515625" style="1174" bestFit="1" customWidth="1"/>
    <col min="3083" max="3083" width="15.42578125" style="1174" customWidth="1"/>
    <col min="3084" max="3084" width="14.140625" style="1174" bestFit="1" customWidth="1"/>
    <col min="3085" max="3085" width="15.42578125" style="1174" bestFit="1" customWidth="1"/>
    <col min="3086" max="3086" width="13.42578125" style="1174" customWidth="1"/>
    <col min="3087" max="3087" width="1.28515625" style="1174" customWidth="1"/>
    <col min="3088" max="3088" width="8.7109375" style="1174" customWidth="1"/>
    <col min="3089" max="3089" width="1.28515625" style="1174" customWidth="1"/>
    <col min="3090" max="3317" width="12" style="1174" customWidth="1"/>
    <col min="3318" max="3329" width="0" style="1174" hidden="1"/>
    <col min="3330" max="3330" width="9.42578125" style="1174" customWidth="1"/>
    <col min="3331" max="3331" width="13" style="1174" customWidth="1"/>
    <col min="3332" max="3332" width="4.140625" style="1174" customWidth="1"/>
    <col min="3333" max="3333" width="1.5703125" style="1174" customWidth="1"/>
    <col min="3334" max="3334" width="8.42578125" style="1174" customWidth="1"/>
    <col min="3335" max="3335" width="15.85546875" style="1174" customWidth="1"/>
    <col min="3336" max="3336" width="15.7109375" style="1174" bestFit="1" customWidth="1"/>
    <col min="3337" max="3337" width="12.140625" style="1174" bestFit="1" customWidth="1"/>
    <col min="3338" max="3338" width="13.28515625" style="1174" bestFit="1" customWidth="1"/>
    <col min="3339" max="3339" width="15.42578125" style="1174" customWidth="1"/>
    <col min="3340" max="3340" width="14.140625" style="1174" bestFit="1" customWidth="1"/>
    <col min="3341" max="3341" width="15.42578125" style="1174" bestFit="1" customWidth="1"/>
    <col min="3342" max="3342" width="13.42578125" style="1174" customWidth="1"/>
    <col min="3343" max="3343" width="1.28515625" style="1174" customWidth="1"/>
    <col min="3344" max="3344" width="8.7109375" style="1174" customWidth="1"/>
    <col min="3345" max="3345" width="1.28515625" style="1174" customWidth="1"/>
    <col min="3346" max="3573" width="12" style="1174" customWidth="1"/>
    <col min="3574" max="3585" width="0" style="1174" hidden="1"/>
    <col min="3586" max="3586" width="9.42578125" style="1174" customWidth="1"/>
    <col min="3587" max="3587" width="13" style="1174" customWidth="1"/>
    <col min="3588" max="3588" width="4.140625" style="1174" customWidth="1"/>
    <col min="3589" max="3589" width="1.5703125" style="1174" customWidth="1"/>
    <col min="3590" max="3590" width="8.42578125" style="1174" customWidth="1"/>
    <col min="3591" max="3591" width="15.85546875" style="1174" customWidth="1"/>
    <col min="3592" max="3592" width="15.7109375" style="1174" bestFit="1" customWidth="1"/>
    <col min="3593" max="3593" width="12.140625" style="1174" bestFit="1" customWidth="1"/>
    <col min="3594" max="3594" width="13.28515625" style="1174" bestFit="1" customWidth="1"/>
    <col min="3595" max="3595" width="15.42578125" style="1174" customWidth="1"/>
    <col min="3596" max="3596" width="14.140625" style="1174" bestFit="1" customWidth="1"/>
    <col min="3597" max="3597" width="15.42578125" style="1174" bestFit="1" customWidth="1"/>
    <col min="3598" max="3598" width="13.42578125" style="1174" customWidth="1"/>
    <col min="3599" max="3599" width="1.28515625" style="1174" customWidth="1"/>
    <col min="3600" max="3600" width="8.7109375" style="1174" customWidth="1"/>
    <col min="3601" max="3601" width="1.28515625" style="1174" customWidth="1"/>
    <col min="3602" max="3829" width="12" style="1174" customWidth="1"/>
    <col min="3830" max="3841" width="0" style="1174" hidden="1"/>
    <col min="3842" max="3842" width="9.42578125" style="1174" customWidth="1"/>
    <col min="3843" max="3843" width="13" style="1174" customWidth="1"/>
    <col min="3844" max="3844" width="4.140625" style="1174" customWidth="1"/>
    <col min="3845" max="3845" width="1.5703125" style="1174" customWidth="1"/>
    <col min="3846" max="3846" width="8.42578125" style="1174" customWidth="1"/>
    <col min="3847" max="3847" width="15.85546875" style="1174" customWidth="1"/>
    <col min="3848" max="3848" width="15.7109375" style="1174" bestFit="1" customWidth="1"/>
    <col min="3849" max="3849" width="12.140625" style="1174" bestFit="1" customWidth="1"/>
    <col min="3850" max="3850" width="13.28515625" style="1174" bestFit="1" customWidth="1"/>
    <col min="3851" max="3851" width="15.42578125" style="1174" customWidth="1"/>
    <col min="3852" max="3852" width="14.140625" style="1174" bestFit="1" customWidth="1"/>
    <col min="3853" max="3853" width="15.42578125" style="1174" bestFit="1" customWidth="1"/>
    <col min="3854" max="3854" width="13.42578125" style="1174" customWidth="1"/>
    <col min="3855" max="3855" width="1.28515625" style="1174" customWidth="1"/>
    <col min="3856" max="3856" width="8.7109375" style="1174" customWidth="1"/>
    <col min="3857" max="3857" width="1.28515625" style="1174" customWidth="1"/>
    <col min="3858" max="4085" width="12" style="1174" customWidth="1"/>
    <col min="4086" max="4097" width="0" style="1174" hidden="1"/>
    <col min="4098" max="4098" width="9.42578125" style="1174" customWidth="1"/>
    <col min="4099" max="4099" width="13" style="1174" customWidth="1"/>
    <col min="4100" max="4100" width="4.140625" style="1174" customWidth="1"/>
    <col min="4101" max="4101" width="1.5703125" style="1174" customWidth="1"/>
    <col min="4102" max="4102" width="8.42578125" style="1174" customWidth="1"/>
    <col min="4103" max="4103" width="15.85546875" style="1174" customWidth="1"/>
    <col min="4104" max="4104" width="15.7109375" style="1174" bestFit="1" customWidth="1"/>
    <col min="4105" max="4105" width="12.140625" style="1174" bestFit="1" customWidth="1"/>
    <col min="4106" max="4106" width="13.28515625" style="1174" bestFit="1" customWidth="1"/>
    <col min="4107" max="4107" width="15.42578125" style="1174" customWidth="1"/>
    <col min="4108" max="4108" width="14.140625" style="1174" bestFit="1" customWidth="1"/>
    <col min="4109" max="4109" width="15.42578125" style="1174" bestFit="1" customWidth="1"/>
    <col min="4110" max="4110" width="13.42578125" style="1174" customWidth="1"/>
    <col min="4111" max="4111" width="1.28515625" style="1174" customWidth="1"/>
    <col min="4112" max="4112" width="8.7109375" style="1174" customWidth="1"/>
    <col min="4113" max="4113" width="1.28515625" style="1174" customWidth="1"/>
    <col min="4114" max="4341" width="12" style="1174" customWidth="1"/>
    <col min="4342" max="4353" width="0" style="1174" hidden="1"/>
    <col min="4354" max="4354" width="9.42578125" style="1174" customWidth="1"/>
    <col min="4355" max="4355" width="13" style="1174" customWidth="1"/>
    <col min="4356" max="4356" width="4.140625" style="1174" customWidth="1"/>
    <col min="4357" max="4357" width="1.5703125" style="1174" customWidth="1"/>
    <col min="4358" max="4358" width="8.42578125" style="1174" customWidth="1"/>
    <col min="4359" max="4359" width="15.85546875" style="1174" customWidth="1"/>
    <col min="4360" max="4360" width="15.7109375" style="1174" bestFit="1" customWidth="1"/>
    <col min="4361" max="4361" width="12.140625" style="1174" bestFit="1" customWidth="1"/>
    <col min="4362" max="4362" width="13.28515625" style="1174" bestFit="1" customWidth="1"/>
    <col min="4363" max="4363" width="15.42578125" style="1174" customWidth="1"/>
    <col min="4364" max="4364" width="14.140625" style="1174" bestFit="1" customWidth="1"/>
    <col min="4365" max="4365" width="15.42578125" style="1174" bestFit="1" customWidth="1"/>
    <col min="4366" max="4366" width="13.42578125" style="1174" customWidth="1"/>
    <col min="4367" max="4367" width="1.28515625" style="1174" customWidth="1"/>
    <col min="4368" max="4368" width="8.7109375" style="1174" customWidth="1"/>
    <col min="4369" max="4369" width="1.28515625" style="1174" customWidth="1"/>
    <col min="4370" max="4597" width="12" style="1174" customWidth="1"/>
    <col min="4598" max="4609" width="0" style="1174" hidden="1"/>
    <col min="4610" max="4610" width="9.42578125" style="1174" customWidth="1"/>
    <col min="4611" max="4611" width="13" style="1174" customWidth="1"/>
    <col min="4612" max="4612" width="4.140625" style="1174" customWidth="1"/>
    <col min="4613" max="4613" width="1.5703125" style="1174" customWidth="1"/>
    <col min="4614" max="4614" width="8.42578125" style="1174" customWidth="1"/>
    <col min="4615" max="4615" width="15.85546875" style="1174" customWidth="1"/>
    <col min="4616" max="4616" width="15.7109375" style="1174" bestFit="1" customWidth="1"/>
    <col min="4617" max="4617" width="12.140625" style="1174" bestFit="1" customWidth="1"/>
    <col min="4618" max="4618" width="13.28515625" style="1174" bestFit="1" customWidth="1"/>
    <col min="4619" max="4619" width="15.42578125" style="1174" customWidth="1"/>
    <col min="4620" max="4620" width="14.140625" style="1174" bestFit="1" customWidth="1"/>
    <col min="4621" max="4621" width="15.42578125" style="1174" bestFit="1" customWidth="1"/>
    <col min="4622" max="4622" width="13.42578125" style="1174" customWidth="1"/>
    <col min="4623" max="4623" width="1.28515625" style="1174" customWidth="1"/>
    <col min="4624" max="4624" width="8.7109375" style="1174" customWidth="1"/>
    <col min="4625" max="4625" width="1.28515625" style="1174" customWidth="1"/>
    <col min="4626" max="4853" width="12" style="1174" customWidth="1"/>
    <col min="4854" max="4865" width="0" style="1174" hidden="1"/>
    <col min="4866" max="4866" width="9.42578125" style="1174" customWidth="1"/>
    <col min="4867" max="4867" width="13" style="1174" customWidth="1"/>
    <col min="4868" max="4868" width="4.140625" style="1174" customWidth="1"/>
    <col min="4869" max="4869" width="1.5703125" style="1174" customWidth="1"/>
    <col min="4870" max="4870" width="8.42578125" style="1174" customWidth="1"/>
    <col min="4871" max="4871" width="15.85546875" style="1174" customWidth="1"/>
    <col min="4872" max="4872" width="15.7109375" style="1174" bestFit="1" customWidth="1"/>
    <col min="4873" max="4873" width="12.140625" style="1174" bestFit="1" customWidth="1"/>
    <col min="4874" max="4874" width="13.28515625" style="1174" bestFit="1" customWidth="1"/>
    <col min="4875" max="4875" width="15.42578125" style="1174" customWidth="1"/>
    <col min="4876" max="4876" width="14.140625" style="1174" bestFit="1" customWidth="1"/>
    <col min="4877" max="4877" width="15.42578125" style="1174" bestFit="1" customWidth="1"/>
    <col min="4878" max="4878" width="13.42578125" style="1174" customWidth="1"/>
    <col min="4879" max="4879" width="1.28515625" style="1174" customWidth="1"/>
    <col min="4880" max="4880" width="8.7109375" style="1174" customWidth="1"/>
    <col min="4881" max="4881" width="1.28515625" style="1174" customWidth="1"/>
    <col min="4882" max="5109" width="12" style="1174" customWidth="1"/>
    <col min="5110" max="5121" width="0" style="1174" hidden="1"/>
    <col min="5122" max="5122" width="9.42578125" style="1174" customWidth="1"/>
    <col min="5123" max="5123" width="13" style="1174" customWidth="1"/>
    <col min="5124" max="5124" width="4.140625" style="1174" customWidth="1"/>
    <col min="5125" max="5125" width="1.5703125" style="1174" customWidth="1"/>
    <col min="5126" max="5126" width="8.42578125" style="1174" customWidth="1"/>
    <col min="5127" max="5127" width="15.85546875" style="1174" customWidth="1"/>
    <col min="5128" max="5128" width="15.7109375" style="1174" bestFit="1" customWidth="1"/>
    <col min="5129" max="5129" width="12.140625" style="1174" bestFit="1" customWidth="1"/>
    <col min="5130" max="5130" width="13.28515625" style="1174" bestFit="1" customWidth="1"/>
    <col min="5131" max="5131" width="15.42578125" style="1174" customWidth="1"/>
    <col min="5132" max="5132" width="14.140625" style="1174" bestFit="1" customWidth="1"/>
    <col min="5133" max="5133" width="15.42578125" style="1174" bestFit="1" customWidth="1"/>
    <col min="5134" max="5134" width="13.42578125" style="1174" customWidth="1"/>
    <col min="5135" max="5135" width="1.28515625" style="1174" customWidth="1"/>
    <col min="5136" max="5136" width="8.7109375" style="1174" customWidth="1"/>
    <col min="5137" max="5137" width="1.28515625" style="1174" customWidth="1"/>
    <col min="5138" max="5365" width="12" style="1174" customWidth="1"/>
    <col min="5366" max="5377" width="0" style="1174" hidden="1"/>
    <col min="5378" max="5378" width="9.42578125" style="1174" customWidth="1"/>
    <col min="5379" max="5379" width="13" style="1174" customWidth="1"/>
    <col min="5380" max="5380" width="4.140625" style="1174" customWidth="1"/>
    <col min="5381" max="5381" width="1.5703125" style="1174" customWidth="1"/>
    <col min="5382" max="5382" width="8.42578125" style="1174" customWidth="1"/>
    <col min="5383" max="5383" width="15.85546875" style="1174" customWidth="1"/>
    <col min="5384" max="5384" width="15.7109375" style="1174" bestFit="1" customWidth="1"/>
    <col min="5385" max="5385" width="12.140625" style="1174" bestFit="1" customWidth="1"/>
    <col min="5386" max="5386" width="13.28515625" style="1174" bestFit="1" customWidth="1"/>
    <col min="5387" max="5387" width="15.42578125" style="1174" customWidth="1"/>
    <col min="5388" max="5388" width="14.140625" style="1174" bestFit="1" customWidth="1"/>
    <col min="5389" max="5389" width="15.42578125" style="1174" bestFit="1" customWidth="1"/>
    <col min="5390" max="5390" width="13.42578125" style="1174" customWidth="1"/>
    <col min="5391" max="5391" width="1.28515625" style="1174" customWidth="1"/>
    <col min="5392" max="5392" width="8.7109375" style="1174" customWidth="1"/>
    <col min="5393" max="5393" width="1.28515625" style="1174" customWidth="1"/>
    <col min="5394" max="5621" width="12" style="1174" customWidth="1"/>
    <col min="5622" max="5633" width="0" style="1174" hidden="1"/>
    <col min="5634" max="5634" width="9.42578125" style="1174" customWidth="1"/>
    <col min="5635" max="5635" width="13" style="1174" customWidth="1"/>
    <col min="5636" max="5636" width="4.140625" style="1174" customWidth="1"/>
    <col min="5637" max="5637" width="1.5703125" style="1174" customWidth="1"/>
    <col min="5638" max="5638" width="8.42578125" style="1174" customWidth="1"/>
    <col min="5639" max="5639" width="15.85546875" style="1174" customWidth="1"/>
    <col min="5640" max="5640" width="15.7109375" style="1174" bestFit="1" customWidth="1"/>
    <col min="5641" max="5641" width="12.140625" style="1174" bestFit="1" customWidth="1"/>
    <col min="5642" max="5642" width="13.28515625" style="1174" bestFit="1" customWidth="1"/>
    <col min="5643" max="5643" width="15.42578125" style="1174" customWidth="1"/>
    <col min="5644" max="5644" width="14.140625" style="1174" bestFit="1" customWidth="1"/>
    <col min="5645" max="5645" width="15.42578125" style="1174" bestFit="1" customWidth="1"/>
    <col min="5646" max="5646" width="13.42578125" style="1174" customWidth="1"/>
    <col min="5647" max="5647" width="1.28515625" style="1174" customWidth="1"/>
    <col min="5648" max="5648" width="8.7109375" style="1174" customWidth="1"/>
    <col min="5649" max="5649" width="1.28515625" style="1174" customWidth="1"/>
    <col min="5650" max="5877" width="12" style="1174" customWidth="1"/>
    <col min="5878" max="5889" width="0" style="1174" hidden="1"/>
    <col min="5890" max="5890" width="9.42578125" style="1174" customWidth="1"/>
    <col min="5891" max="5891" width="13" style="1174" customWidth="1"/>
    <col min="5892" max="5892" width="4.140625" style="1174" customWidth="1"/>
    <col min="5893" max="5893" width="1.5703125" style="1174" customWidth="1"/>
    <col min="5894" max="5894" width="8.42578125" style="1174" customWidth="1"/>
    <col min="5895" max="5895" width="15.85546875" style="1174" customWidth="1"/>
    <col min="5896" max="5896" width="15.7109375" style="1174" bestFit="1" customWidth="1"/>
    <col min="5897" max="5897" width="12.140625" style="1174" bestFit="1" customWidth="1"/>
    <col min="5898" max="5898" width="13.28515625" style="1174" bestFit="1" customWidth="1"/>
    <col min="5899" max="5899" width="15.42578125" style="1174" customWidth="1"/>
    <col min="5900" max="5900" width="14.140625" style="1174" bestFit="1" customWidth="1"/>
    <col min="5901" max="5901" width="15.42578125" style="1174" bestFit="1" customWidth="1"/>
    <col min="5902" max="5902" width="13.42578125" style="1174" customWidth="1"/>
    <col min="5903" max="5903" width="1.28515625" style="1174" customWidth="1"/>
    <col min="5904" max="5904" width="8.7109375" style="1174" customWidth="1"/>
    <col min="5905" max="5905" width="1.28515625" style="1174" customWidth="1"/>
    <col min="5906" max="6133" width="12" style="1174" customWidth="1"/>
    <col min="6134" max="6145" width="0" style="1174" hidden="1"/>
    <col min="6146" max="6146" width="9.42578125" style="1174" customWidth="1"/>
    <col min="6147" max="6147" width="13" style="1174" customWidth="1"/>
    <col min="6148" max="6148" width="4.140625" style="1174" customWidth="1"/>
    <col min="6149" max="6149" width="1.5703125" style="1174" customWidth="1"/>
    <col min="6150" max="6150" width="8.42578125" style="1174" customWidth="1"/>
    <col min="6151" max="6151" width="15.85546875" style="1174" customWidth="1"/>
    <col min="6152" max="6152" width="15.7109375" style="1174" bestFit="1" customWidth="1"/>
    <col min="6153" max="6153" width="12.140625" style="1174" bestFit="1" customWidth="1"/>
    <col min="6154" max="6154" width="13.28515625" style="1174" bestFit="1" customWidth="1"/>
    <col min="6155" max="6155" width="15.42578125" style="1174" customWidth="1"/>
    <col min="6156" max="6156" width="14.140625" style="1174" bestFit="1" customWidth="1"/>
    <col min="6157" max="6157" width="15.42578125" style="1174" bestFit="1" customWidth="1"/>
    <col min="6158" max="6158" width="13.42578125" style="1174" customWidth="1"/>
    <col min="6159" max="6159" width="1.28515625" style="1174" customWidth="1"/>
    <col min="6160" max="6160" width="8.7109375" style="1174" customWidth="1"/>
    <col min="6161" max="6161" width="1.28515625" style="1174" customWidth="1"/>
    <col min="6162" max="6389" width="12" style="1174" customWidth="1"/>
    <col min="6390" max="6401" width="0" style="1174" hidden="1"/>
    <col min="6402" max="6402" width="9.42578125" style="1174" customWidth="1"/>
    <col min="6403" max="6403" width="13" style="1174" customWidth="1"/>
    <col min="6404" max="6404" width="4.140625" style="1174" customWidth="1"/>
    <col min="6405" max="6405" width="1.5703125" style="1174" customWidth="1"/>
    <col min="6406" max="6406" width="8.42578125" style="1174" customWidth="1"/>
    <col min="6407" max="6407" width="15.85546875" style="1174" customWidth="1"/>
    <col min="6408" max="6408" width="15.7109375" style="1174" bestFit="1" customWidth="1"/>
    <col min="6409" max="6409" width="12.140625" style="1174" bestFit="1" customWidth="1"/>
    <col min="6410" max="6410" width="13.28515625" style="1174" bestFit="1" customWidth="1"/>
    <col min="6411" max="6411" width="15.42578125" style="1174" customWidth="1"/>
    <col min="6412" max="6412" width="14.140625" style="1174" bestFit="1" customWidth="1"/>
    <col min="6413" max="6413" width="15.42578125" style="1174" bestFit="1" customWidth="1"/>
    <col min="6414" max="6414" width="13.42578125" style="1174" customWidth="1"/>
    <col min="6415" max="6415" width="1.28515625" style="1174" customWidth="1"/>
    <col min="6416" max="6416" width="8.7109375" style="1174" customWidth="1"/>
    <col min="6417" max="6417" width="1.28515625" style="1174" customWidth="1"/>
    <col min="6418" max="6645" width="12" style="1174" customWidth="1"/>
    <col min="6646" max="6657" width="0" style="1174" hidden="1"/>
    <col min="6658" max="6658" width="9.42578125" style="1174" customWidth="1"/>
    <col min="6659" max="6659" width="13" style="1174" customWidth="1"/>
    <col min="6660" max="6660" width="4.140625" style="1174" customWidth="1"/>
    <col min="6661" max="6661" width="1.5703125" style="1174" customWidth="1"/>
    <col min="6662" max="6662" width="8.42578125" style="1174" customWidth="1"/>
    <col min="6663" max="6663" width="15.85546875" style="1174" customWidth="1"/>
    <col min="6664" max="6664" width="15.7109375" style="1174" bestFit="1" customWidth="1"/>
    <col min="6665" max="6665" width="12.140625" style="1174" bestFit="1" customWidth="1"/>
    <col min="6666" max="6666" width="13.28515625" style="1174" bestFit="1" customWidth="1"/>
    <col min="6667" max="6667" width="15.42578125" style="1174" customWidth="1"/>
    <col min="6668" max="6668" width="14.140625" style="1174" bestFit="1" customWidth="1"/>
    <col min="6669" max="6669" width="15.42578125" style="1174" bestFit="1" customWidth="1"/>
    <col min="6670" max="6670" width="13.42578125" style="1174" customWidth="1"/>
    <col min="6671" max="6671" width="1.28515625" style="1174" customWidth="1"/>
    <col min="6672" max="6672" width="8.7109375" style="1174" customWidth="1"/>
    <col min="6673" max="6673" width="1.28515625" style="1174" customWidth="1"/>
    <col min="6674" max="6901" width="12" style="1174" customWidth="1"/>
    <col min="6902" max="6913" width="0" style="1174" hidden="1"/>
    <col min="6914" max="6914" width="9.42578125" style="1174" customWidth="1"/>
    <col min="6915" max="6915" width="13" style="1174" customWidth="1"/>
    <col min="6916" max="6916" width="4.140625" style="1174" customWidth="1"/>
    <col min="6917" max="6917" width="1.5703125" style="1174" customWidth="1"/>
    <col min="6918" max="6918" width="8.42578125" style="1174" customWidth="1"/>
    <col min="6919" max="6919" width="15.85546875" style="1174" customWidth="1"/>
    <col min="6920" max="6920" width="15.7109375" style="1174" bestFit="1" customWidth="1"/>
    <col min="6921" max="6921" width="12.140625" style="1174" bestFit="1" customWidth="1"/>
    <col min="6922" max="6922" width="13.28515625" style="1174" bestFit="1" customWidth="1"/>
    <col min="6923" max="6923" width="15.42578125" style="1174" customWidth="1"/>
    <col min="6924" max="6924" width="14.140625" style="1174" bestFit="1" customWidth="1"/>
    <col min="6925" max="6925" width="15.42578125" style="1174" bestFit="1" customWidth="1"/>
    <col min="6926" max="6926" width="13.42578125" style="1174" customWidth="1"/>
    <col min="6927" max="6927" width="1.28515625" style="1174" customWidth="1"/>
    <col min="6928" max="6928" width="8.7109375" style="1174" customWidth="1"/>
    <col min="6929" max="6929" width="1.28515625" style="1174" customWidth="1"/>
    <col min="6930" max="7157" width="12" style="1174" customWidth="1"/>
    <col min="7158" max="7169" width="0" style="1174" hidden="1"/>
    <col min="7170" max="7170" width="9.42578125" style="1174" customWidth="1"/>
    <col min="7171" max="7171" width="13" style="1174" customWidth="1"/>
    <col min="7172" max="7172" width="4.140625" style="1174" customWidth="1"/>
    <col min="7173" max="7173" width="1.5703125" style="1174" customWidth="1"/>
    <col min="7174" max="7174" width="8.42578125" style="1174" customWidth="1"/>
    <col min="7175" max="7175" width="15.85546875" style="1174" customWidth="1"/>
    <col min="7176" max="7176" width="15.7109375" style="1174" bestFit="1" customWidth="1"/>
    <col min="7177" max="7177" width="12.140625" style="1174" bestFit="1" customWidth="1"/>
    <col min="7178" max="7178" width="13.28515625" style="1174" bestFit="1" customWidth="1"/>
    <col min="7179" max="7179" width="15.42578125" style="1174" customWidth="1"/>
    <col min="7180" max="7180" width="14.140625" style="1174" bestFit="1" customWidth="1"/>
    <col min="7181" max="7181" width="15.42578125" style="1174" bestFit="1" customWidth="1"/>
    <col min="7182" max="7182" width="13.42578125" style="1174" customWidth="1"/>
    <col min="7183" max="7183" width="1.28515625" style="1174" customWidth="1"/>
    <col min="7184" max="7184" width="8.7109375" style="1174" customWidth="1"/>
    <col min="7185" max="7185" width="1.28515625" style="1174" customWidth="1"/>
    <col min="7186" max="7413" width="12" style="1174" customWidth="1"/>
    <col min="7414" max="7425" width="0" style="1174" hidden="1"/>
    <col min="7426" max="7426" width="9.42578125" style="1174" customWidth="1"/>
    <col min="7427" max="7427" width="13" style="1174" customWidth="1"/>
    <col min="7428" max="7428" width="4.140625" style="1174" customWidth="1"/>
    <col min="7429" max="7429" width="1.5703125" style="1174" customWidth="1"/>
    <col min="7430" max="7430" width="8.42578125" style="1174" customWidth="1"/>
    <col min="7431" max="7431" width="15.85546875" style="1174" customWidth="1"/>
    <col min="7432" max="7432" width="15.7109375" style="1174" bestFit="1" customWidth="1"/>
    <col min="7433" max="7433" width="12.140625" style="1174" bestFit="1" customWidth="1"/>
    <col min="7434" max="7434" width="13.28515625" style="1174" bestFit="1" customWidth="1"/>
    <col min="7435" max="7435" width="15.42578125" style="1174" customWidth="1"/>
    <col min="7436" max="7436" width="14.140625" style="1174" bestFit="1" customWidth="1"/>
    <col min="7437" max="7437" width="15.42578125" style="1174" bestFit="1" customWidth="1"/>
    <col min="7438" max="7438" width="13.42578125" style="1174" customWidth="1"/>
    <col min="7439" max="7439" width="1.28515625" style="1174" customWidth="1"/>
    <col min="7440" max="7440" width="8.7109375" style="1174" customWidth="1"/>
    <col min="7441" max="7441" width="1.28515625" style="1174" customWidth="1"/>
    <col min="7442" max="7669" width="12" style="1174" customWidth="1"/>
    <col min="7670" max="7681" width="0" style="1174" hidden="1"/>
    <col min="7682" max="7682" width="9.42578125" style="1174" customWidth="1"/>
    <col min="7683" max="7683" width="13" style="1174" customWidth="1"/>
    <col min="7684" max="7684" width="4.140625" style="1174" customWidth="1"/>
    <col min="7685" max="7685" width="1.5703125" style="1174" customWidth="1"/>
    <col min="7686" max="7686" width="8.42578125" style="1174" customWidth="1"/>
    <col min="7687" max="7687" width="15.85546875" style="1174" customWidth="1"/>
    <col min="7688" max="7688" width="15.7109375" style="1174" bestFit="1" customWidth="1"/>
    <col min="7689" max="7689" width="12.140625" style="1174" bestFit="1" customWidth="1"/>
    <col min="7690" max="7690" width="13.28515625" style="1174" bestFit="1" customWidth="1"/>
    <col min="7691" max="7691" width="15.42578125" style="1174" customWidth="1"/>
    <col min="7692" max="7692" width="14.140625" style="1174" bestFit="1" customWidth="1"/>
    <col min="7693" max="7693" width="15.42578125" style="1174" bestFit="1" customWidth="1"/>
    <col min="7694" max="7694" width="13.42578125" style="1174" customWidth="1"/>
    <col min="7695" max="7695" width="1.28515625" style="1174" customWidth="1"/>
    <col min="7696" max="7696" width="8.7109375" style="1174" customWidth="1"/>
    <col min="7697" max="7697" width="1.28515625" style="1174" customWidth="1"/>
    <col min="7698" max="7925" width="12" style="1174" customWidth="1"/>
    <col min="7926" max="7937" width="0" style="1174" hidden="1"/>
    <col min="7938" max="7938" width="9.42578125" style="1174" customWidth="1"/>
    <col min="7939" max="7939" width="13" style="1174" customWidth="1"/>
    <col min="7940" max="7940" width="4.140625" style="1174" customWidth="1"/>
    <col min="7941" max="7941" width="1.5703125" style="1174" customWidth="1"/>
    <col min="7942" max="7942" width="8.42578125" style="1174" customWidth="1"/>
    <col min="7943" max="7943" width="15.85546875" style="1174" customWidth="1"/>
    <col min="7944" max="7944" width="15.7109375" style="1174" bestFit="1" customWidth="1"/>
    <col min="7945" max="7945" width="12.140625" style="1174" bestFit="1" customWidth="1"/>
    <col min="7946" max="7946" width="13.28515625" style="1174" bestFit="1" customWidth="1"/>
    <col min="7947" max="7947" width="15.42578125" style="1174" customWidth="1"/>
    <col min="7948" max="7948" width="14.140625" style="1174" bestFit="1" customWidth="1"/>
    <col min="7949" max="7949" width="15.42578125" style="1174" bestFit="1" customWidth="1"/>
    <col min="7950" max="7950" width="13.42578125" style="1174" customWidth="1"/>
    <col min="7951" max="7951" width="1.28515625" style="1174" customWidth="1"/>
    <col min="7952" max="7952" width="8.7109375" style="1174" customWidth="1"/>
    <col min="7953" max="7953" width="1.28515625" style="1174" customWidth="1"/>
    <col min="7954" max="8181" width="12" style="1174" customWidth="1"/>
    <col min="8182" max="8193" width="0" style="1174" hidden="1"/>
    <col min="8194" max="8194" width="9.42578125" style="1174" customWidth="1"/>
    <col min="8195" max="8195" width="13" style="1174" customWidth="1"/>
    <col min="8196" max="8196" width="4.140625" style="1174" customWidth="1"/>
    <col min="8197" max="8197" width="1.5703125" style="1174" customWidth="1"/>
    <col min="8198" max="8198" width="8.42578125" style="1174" customWidth="1"/>
    <col min="8199" max="8199" width="15.85546875" style="1174" customWidth="1"/>
    <col min="8200" max="8200" width="15.7109375" style="1174" bestFit="1" customWidth="1"/>
    <col min="8201" max="8201" width="12.140625" style="1174" bestFit="1" customWidth="1"/>
    <col min="8202" max="8202" width="13.28515625" style="1174" bestFit="1" customWidth="1"/>
    <col min="8203" max="8203" width="15.42578125" style="1174" customWidth="1"/>
    <col min="8204" max="8204" width="14.140625" style="1174" bestFit="1" customWidth="1"/>
    <col min="8205" max="8205" width="15.42578125" style="1174" bestFit="1" customWidth="1"/>
    <col min="8206" max="8206" width="13.42578125" style="1174" customWidth="1"/>
    <col min="8207" max="8207" width="1.28515625" style="1174" customWidth="1"/>
    <col min="8208" max="8208" width="8.7109375" style="1174" customWidth="1"/>
    <col min="8209" max="8209" width="1.28515625" style="1174" customWidth="1"/>
    <col min="8210" max="8437" width="12" style="1174" customWidth="1"/>
    <col min="8438" max="8449" width="0" style="1174" hidden="1"/>
    <col min="8450" max="8450" width="9.42578125" style="1174" customWidth="1"/>
    <col min="8451" max="8451" width="13" style="1174" customWidth="1"/>
    <col min="8452" max="8452" width="4.140625" style="1174" customWidth="1"/>
    <col min="8453" max="8453" width="1.5703125" style="1174" customWidth="1"/>
    <col min="8454" max="8454" width="8.42578125" style="1174" customWidth="1"/>
    <col min="8455" max="8455" width="15.85546875" style="1174" customWidth="1"/>
    <col min="8456" max="8456" width="15.7109375" style="1174" bestFit="1" customWidth="1"/>
    <col min="8457" max="8457" width="12.140625" style="1174" bestFit="1" customWidth="1"/>
    <col min="8458" max="8458" width="13.28515625" style="1174" bestFit="1" customWidth="1"/>
    <col min="8459" max="8459" width="15.42578125" style="1174" customWidth="1"/>
    <col min="8460" max="8460" width="14.140625" style="1174" bestFit="1" customWidth="1"/>
    <col min="8461" max="8461" width="15.42578125" style="1174" bestFit="1" customWidth="1"/>
    <col min="8462" max="8462" width="13.42578125" style="1174" customWidth="1"/>
    <col min="8463" max="8463" width="1.28515625" style="1174" customWidth="1"/>
    <col min="8464" max="8464" width="8.7109375" style="1174" customWidth="1"/>
    <col min="8465" max="8465" width="1.28515625" style="1174" customWidth="1"/>
    <col min="8466" max="8693" width="12" style="1174" customWidth="1"/>
    <col min="8694" max="8705" width="0" style="1174" hidden="1"/>
    <col min="8706" max="8706" width="9.42578125" style="1174" customWidth="1"/>
    <col min="8707" max="8707" width="13" style="1174" customWidth="1"/>
    <col min="8708" max="8708" width="4.140625" style="1174" customWidth="1"/>
    <col min="8709" max="8709" width="1.5703125" style="1174" customWidth="1"/>
    <col min="8710" max="8710" width="8.42578125" style="1174" customWidth="1"/>
    <col min="8711" max="8711" width="15.85546875" style="1174" customWidth="1"/>
    <col min="8712" max="8712" width="15.7109375" style="1174" bestFit="1" customWidth="1"/>
    <col min="8713" max="8713" width="12.140625" style="1174" bestFit="1" customWidth="1"/>
    <col min="8714" max="8714" width="13.28515625" style="1174" bestFit="1" customWidth="1"/>
    <col min="8715" max="8715" width="15.42578125" style="1174" customWidth="1"/>
    <col min="8716" max="8716" width="14.140625" style="1174" bestFit="1" customWidth="1"/>
    <col min="8717" max="8717" width="15.42578125" style="1174" bestFit="1" customWidth="1"/>
    <col min="8718" max="8718" width="13.42578125" style="1174" customWidth="1"/>
    <col min="8719" max="8719" width="1.28515625" style="1174" customWidth="1"/>
    <col min="8720" max="8720" width="8.7109375" style="1174" customWidth="1"/>
    <col min="8721" max="8721" width="1.28515625" style="1174" customWidth="1"/>
    <col min="8722" max="8949" width="12" style="1174" customWidth="1"/>
    <col min="8950" max="8961" width="0" style="1174" hidden="1"/>
    <col min="8962" max="8962" width="9.42578125" style="1174" customWidth="1"/>
    <col min="8963" max="8963" width="13" style="1174" customWidth="1"/>
    <col min="8964" max="8964" width="4.140625" style="1174" customWidth="1"/>
    <col min="8965" max="8965" width="1.5703125" style="1174" customWidth="1"/>
    <col min="8966" max="8966" width="8.42578125" style="1174" customWidth="1"/>
    <col min="8967" max="8967" width="15.85546875" style="1174" customWidth="1"/>
    <col min="8968" max="8968" width="15.7109375" style="1174" bestFit="1" customWidth="1"/>
    <col min="8969" max="8969" width="12.140625" style="1174" bestFit="1" customWidth="1"/>
    <col min="8970" max="8970" width="13.28515625" style="1174" bestFit="1" customWidth="1"/>
    <col min="8971" max="8971" width="15.42578125" style="1174" customWidth="1"/>
    <col min="8972" max="8972" width="14.140625" style="1174" bestFit="1" customWidth="1"/>
    <col min="8973" max="8973" width="15.42578125" style="1174" bestFit="1" customWidth="1"/>
    <col min="8974" max="8974" width="13.42578125" style="1174" customWidth="1"/>
    <col min="8975" max="8975" width="1.28515625" style="1174" customWidth="1"/>
    <col min="8976" max="8976" width="8.7109375" style="1174" customWidth="1"/>
    <col min="8977" max="8977" width="1.28515625" style="1174" customWidth="1"/>
    <col min="8978" max="9205" width="12" style="1174" customWidth="1"/>
    <col min="9206" max="9217" width="0" style="1174" hidden="1"/>
    <col min="9218" max="9218" width="9.42578125" style="1174" customWidth="1"/>
    <col min="9219" max="9219" width="13" style="1174" customWidth="1"/>
    <col min="9220" max="9220" width="4.140625" style="1174" customWidth="1"/>
    <col min="9221" max="9221" width="1.5703125" style="1174" customWidth="1"/>
    <col min="9222" max="9222" width="8.42578125" style="1174" customWidth="1"/>
    <col min="9223" max="9223" width="15.85546875" style="1174" customWidth="1"/>
    <col min="9224" max="9224" width="15.7109375" style="1174" bestFit="1" customWidth="1"/>
    <col min="9225" max="9225" width="12.140625" style="1174" bestFit="1" customWidth="1"/>
    <col min="9226" max="9226" width="13.28515625" style="1174" bestFit="1" customWidth="1"/>
    <col min="9227" max="9227" width="15.42578125" style="1174" customWidth="1"/>
    <col min="9228" max="9228" width="14.140625" style="1174" bestFit="1" customWidth="1"/>
    <col min="9229" max="9229" width="15.42578125" style="1174" bestFit="1" customWidth="1"/>
    <col min="9230" max="9230" width="13.42578125" style="1174" customWidth="1"/>
    <col min="9231" max="9231" width="1.28515625" style="1174" customWidth="1"/>
    <col min="9232" max="9232" width="8.7109375" style="1174" customWidth="1"/>
    <col min="9233" max="9233" width="1.28515625" style="1174" customWidth="1"/>
    <col min="9234" max="9461" width="12" style="1174" customWidth="1"/>
    <col min="9462" max="9473" width="0" style="1174" hidden="1"/>
    <col min="9474" max="9474" width="9.42578125" style="1174" customWidth="1"/>
    <col min="9475" max="9475" width="13" style="1174" customWidth="1"/>
    <col min="9476" max="9476" width="4.140625" style="1174" customWidth="1"/>
    <col min="9477" max="9477" width="1.5703125" style="1174" customWidth="1"/>
    <col min="9478" max="9478" width="8.42578125" style="1174" customWidth="1"/>
    <col min="9479" max="9479" width="15.85546875" style="1174" customWidth="1"/>
    <col min="9480" max="9480" width="15.7109375" style="1174" bestFit="1" customWidth="1"/>
    <col min="9481" max="9481" width="12.140625" style="1174" bestFit="1" customWidth="1"/>
    <col min="9482" max="9482" width="13.28515625" style="1174" bestFit="1" customWidth="1"/>
    <col min="9483" max="9483" width="15.42578125" style="1174" customWidth="1"/>
    <col min="9484" max="9484" width="14.140625" style="1174" bestFit="1" customWidth="1"/>
    <col min="9485" max="9485" width="15.42578125" style="1174" bestFit="1" customWidth="1"/>
    <col min="9486" max="9486" width="13.42578125" style="1174" customWidth="1"/>
    <col min="9487" max="9487" width="1.28515625" style="1174" customWidth="1"/>
    <col min="9488" max="9488" width="8.7109375" style="1174" customWidth="1"/>
    <col min="9489" max="9489" width="1.28515625" style="1174" customWidth="1"/>
    <col min="9490" max="9717" width="12" style="1174" customWidth="1"/>
    <col min="9718" max="9729" width="0" style="1174" hidden="1"/>
    <col min="9730" max="9730" width="9.42578125" style="1174" customWidth="1"/>
    <col min="9731" max="9731" width="13" style="1174" customWidth="1"/>
    <col min="9732" max="9732" width="4.140625" style="1174" customWidth="1"/>
    <col min="9733" max="9733" width="1.5703125" style="1174" customWidth="1"/>
    <col min="9734" max="9734" width="8.42578125" style="1174" customWidth="1"/>
    <col min="9735" max="9735" width="15.85546875" style="1174" customWidth="1"/>
    <col min="9736" max="9736" width="15.7109375" style="1174" bestFit="1" customWidth="1"/>
    <col min="9737" max="9737" width="12.140625" style="1174" bestFit="1" customWidth="1"/>
    <col min="9738" max="9738" width="13.28515625" style="1174" bestFit="1" customWidth="1"/>
    <col min="9739" max="9739" width="15.42578125" style="1174" customWidth="1"/>
    <col min="9740" max="9740" width="14.140625" style="1174" bestFit="1" customWidth="1"/>
    <col min="9741" max="9741" width="15.42578125" style="1174" bestFit="1" customWidth="1"/>
    <col min="9742" max="9742" width="13.42578125" style="1174" customWidth="1"/>
    <col min="9743" max="9743" width="1.28515625" style="1174" customWidth="1"/>
    <col min="9744" max="9744" width="8.7109375" style="1174" customWidth="1"/>
    <col min="9745" max="9745" width="1.28515625" style="1174" customWidth="1"/>
    <col min="9746" max="9973" width="12" style="1174" customWidth="1"/>
    <col min="9974" max="9985" width="0" style="1174" hidden="1"/>
    <col min="9986" max="9986" width="9.42578125" style="1174" customWidth="1"/>
    <col min="9987" max="9987" width="13" style="1174" customWidth="1"/>
    <col min="9988" max="9988" width="4.140625" style="1174" customWidth="1"/>
    <col min="9989" max="9989" width="1.5703125" style="1174" customWidth="1"/>
    <col min="9990" max="9990" width="8.42578125" style="1174" customWidth="1"/>
    <col min="9991" max="9991" width="15.85546875" style="1174" customWidth="1"/>
    <col min="9992" max="9992" width="15.7109375" style="1174" bestFit="1" customWidth="1"/>
    <col min="9993" max="9993" width="12.140625" style="1174" bestFit="1" customWidth="1"/>
    <col min="9994" max="9994" width="13.28515625" style="1174" bestFit="1" customWidth="1"/>
    <col min="9995" max="9995" width="15.42578125" style="1174" customWidth="1"/>
    <col min="9996" max="9996" width="14.140625" style="1174" bestFit="1" customWidth="1"/>
    <col min="9997" max="9997" width="15.42578125" style="1174" bestFit="1" customWidth="1"/>
    <col min="9998" max="9998" width="13.42578125" style="1174" customWidth="1"/>
    <col min="9999" max="9999" width="1.28515625" style="1174" customWidth="1"/>
    <col min="10000" max="10000" width="8.7109375" style="1174" customWidth="1"/>
    <col min="10001" max="10001" width="1.28515625" style="1174" customWidth="1"/>
    <col min="10002" max="10229" width="12" style="1174" customWidth="1"/>
    <col min="10230" max="10241" width="0" style="1174" hidden="1"/>
    <col min="10242" max="10242" width="9.42578125" style="1174" customWidth="1"/>
    <col min="10243" max="10243" width="13" style="1174" customWidth="1"/>
    <col min="10244" max="10244" width="4.140625" style="1174" customWidth="1"/>
    <col min="10245" max="10245" width="1.5703125" style="1174" customWidth="1"/>
    <col min="10246" max="10246" width="8.42578125" style="1174" customWidth="1"/>
    <col min="10247" max="10247" width="15.85546875" style="1174" customWidth="1"/>
    <col min="10248" max="10248" width="15.7109375" style="1174" bestFit="1" customWidth="1"/>
    <col min="10249" max="10249" width="12.140625" style="1174" bestFit="1" customWidth="1"/>
    <col min="10250" max="10250" width="13.28515625" style="1174" bestFit="1" customWidth="1"/>
    <col min="10251" max="10251" width="15.42578125" style="1174" customWidth="1"/>
    <col min="10252" max="10252" width="14.140625" style="1174" bestFit="1" customWidth="1"/>
    <col min="10253" max="10253" width="15.42578125" style="1174" bestFit="1" customWidth="1"/>
    <col min="10254" max="10254" width="13.42578125" style="1174" customWidth="1"/>
    <col min="10255" max="10255" width="1.28515625" style="1174" customWidth="1"/>
    <col min="10256" max="10256" width="8.7109375" style="1174" customWidth="1"/>
    <col min="10257" max="10257" width="1.28515625" style="1174" customWidth="1"/>
    <col min="10258" max="10485" width="12" style="1174" customWidth="1"/>
    <col min="10486" max="10497" width="0" style="1174" hidden="1"/>
    <col min="10498" max="10498" width="9.42578125" style="1174" customWidth="1"/>
    <col min="10499" max="10499" width="13" style="1174" customWidth="1"/>
    <col min="10500" max="10500" width="4.140625" style="1174" customWidth="1"/>
    <col min="10501" max="10501" width="1.5703125" style="1174" customWidth="1"/>
    <col min="10502" max="10502" width="8.42578125" style="1174" customWidth="1"/>
    <col min="10503" max="10503" width="15.85546875" style="1174" customWidth="1"/>
    <col min="10504" max="10504" width="15.7109375" style="1174" bestFit="1" customWidth="1"/>
    <col min="10505" max="10505" width="12.140625" style="1174" bestFit="1" customWidth="1"/>
    <col min="10506" max="10506" width="13.28515625" style="1174" bestFit="1" customWidth="1"/>
    <col min="10507" max="10507" width="15.42578125" style="1174" customWidth="1"/>
    <col min="10508" max="10508" width="14.140625" style="1174" bestFit="1" customWidth="1"/>
    <col min="10509" max="10509" width="15.42578125" style="1174" bestFit="1" customWidth="1"/>
    <col min="10510" max="10510" width="13.42578125" style="1174" customWidth="1"/>
    <col min="10511" max="10511" width="1.28515625" style="1174" customWidth="1"/>
    <col min="10512" max="10512" width="8.7109375" style="1174" customWidth="1"/>
    <col min="10513" max="10513" width="1.28515625" style="1174" customWidth="1"/>
    <col min="10514" max="10741" width="12" style="1174" customWidth="1"/>
    <col min="10742" max="10753" width="0" style="1174" hidden="1"/>
    <col min="10754" max="10754" width="9.42578125" style="1174" customWidth="1"/>
    <col min="10755" max="10755" width="13" style="1174" customWidth="1"/>
    <col min="10756" max="10756" width="4.140625" style="1174" customWidth="1"/>
    <col min="10757" max="10757" width="1.5703125" style="1174" customWidth="1"/>
    <col min="10758" max="10758" width="8.42578125" style="1174" customWidth="1"/>
    <col min="10759" max="10759" width="15.85546875" style="1174" customWidth="1"/>
    <col min="10760" max="10760" width="15.7109375" style="1174" bestFit="1" customWidth="1"/>
    <col min="10761" max="10761" width="12.140625" style="1174" bestFit="1" customWidth="1"/>
    <col min="10762" max="10762" width="13.28515625" style="1174" bestFit="1" customWidth="1"/>
    <col min="10763" max="10763" width="15.42578125" style="1174" customWidth="1"/>
    <col min="10764" max="10764" width="14.140625" style="1174" bestFit="1" customWidth="1"/>
    <col min="10765" max="10765" width="15.42578125" style="1174" bestFit="1" customWidth="1"/>
    <col min="10766" max="10766" width="13.42578125" style="1174" customWidth="1"/>
    <col min="10767" max="10767" width="1.28515625" style="1174" customWidth="1"/>
    <col min="10768" max="10768" width="8.7109375" style="1174" customWidth="1"/>
    <col min="10769" max="10769" width="1.28515625" style="1174" customWidth="1"/>
    <col min="10770" max="10997" width="12" style="1174" customWidth="1"/>
    <col min="10998" max="11009" width="0" style="1174" hidden="1"/>
    <col min="11010" max="11010" width="9.42578125" style="1174" customWidth="1"/>
    <col min="11011" max="11011" width="13" style="1174" customWidth="1"/>
    <col min="11012" max="11012" width="4.140625" style="1174" customWidth="1"/>
    <col min="11013" max="11013" width="1.5703125" style="1174" customWidth="1"/>
    <col min="11014" max="11014" width="8.42578125" style="1174" customWidth="1"/>
    <col min="11015" max="11015" width="15.85546875" style="1174" customWidth="1"/>
    <col min="11016" max="11016" width="15.7109375" style="1174" bestFit="1" customWidth="1"/>
    <col min="11017" max="11017" width="12.140625" style="1174" bestFit="1" customWidth="1"/>
    <col min="11018" max="11018" width="13.28515625" style="1174" bestFit="1" customWidth="1"/>
    <col min="11019" max="11019" width="15.42578125" style="1174" customWidth="1"/>
    <col min="11020" max="11020" width="14.140625" style="1174" bestFit="1" customWidth="1"/>
    <col min="11021" max="11021" width="15.42578125" style="1174" bestFit="1" customWidth="1"/>
    <col min="11022" max="11022" width="13.42578125" style="1174" customWidth="1"/>
    <col min="11023" max="11023" width="1.28515625" style="1174" customWidth="1"/>
    <col min="11024" max="11024" width="8.7109375" style="1174" customWidth="1"/>
    <col min="11025" max="11025" width="1.28515625" style="1174" customWidth="1"/>
    <col min="11026" max="11253" width="12" style="1174" customWidth="1"/>
    <col min="11254" max="11265" width="0" style="1174" hidden="1"/>
    <col min="11266" max="11266" width="9.42578125" style="1174" customWidth="1"/>
    <col min="11267" max="11267" width="13" style="1174" customWidth="1"/>
    <col min="11268" max="11268" width="4.140625" style="1174" customWidth="1"/>
    <col min="11269" max="11269" width="1.5703125" style="1174" customWidth="1"/>
    <col min="11270" max="11270" width="8.42578125" style="1174" customWidth="1"/>
    <col min="11271" max="11271" width="15.85546875" style="1174" customWidth="1"/>
    <col min="11272" max="11272" width="15.7109375" style="1174" bestFit="1" customWidth="1"/>
    <col min="11273" max="11273" width="12.140625" style="1174" bestFit="1" customWidth="1"/>
    <col min="11274" max="11274" width="13.28515625" style="1174" bestFit="1" customWidth="1"/>
    <col min="11275" max="11275" width="15.42578125" style="1174" customWidth="1"/>
    <col min="11276" max="11276" width="14.140625" style="1174" bestFit="1" customWidth="1"/>
    <col min="11277" max="11277" width="15.42578125" style="1174" bestFit="1" customWidth="1"/>
    <col min="11278" max="11278" width="13.42578125" style="1174" customWidth="1"/>
    <col min="11279" max="11279" width="1.28515625" style="1174" customWidth="1"/>
    <col min="11280" max="11280" width="8.7109375" style="1174" customWidth="1"/>
    <col min="11281" max="11281" width="1.28515625" style="1174" customWidth="1"/>
    <col min="11282" max="11509" width="12" style="1174" customWidth="1"/>
    <col min="11510" max="11521" width="0" style="1174" hidden="1"/>
    <col min="11522" max="11522" width="9.42578125" style="1174" customWidth="1"/>
    <col min="11523" max="11523" width="13" style="1174" customWidth="1"/>
    <col min="11524" max="11524" width="4.140625" style="1174" customWidth="1"/>
    <col min="11525" max="11525" width="1.5703125" style="1174" customWidth="1"/>
    <col min="11526" max="11526" width="8.42578125" style="1174" customWidth="1"/>
    <col min="11527" max="11527" width="15.85546875" style="1174" customWidth="1"/>
    <col min="11528" max="11528" width="15.7109375" style="1174" bestFit="1" customWidth="1"/>
    <col min="11529" max="11529" width="12.140625" style="1174" bestFit="1" customWidth="1"/>
    <col min="11530" max="11530" width="13.28515625" style="1174" bestFit="1" customWidth="1"/>
    <col min="11531" max="11531" width="15.42578125" style="1174" customWidth="1"/>
    <col min="11532" max="11532" width="14.140625" style="1174" bestFit="1" customWidth="1"/>
    <col min="11533" max="11533" width="15.42578125" style="1174" bestFit="1" customWidth="1"/>
    <col min="11534" max="11534" width="13.42578125" style="1174" customWidth="1"/>
    <col min="11535" max="11535" width="1.28515625" style="1174" customWidth="1"/>
    <col min="11536" max="11536" width="8.7109375" style="1174" customWidth="1"/>
    <col min="11537" max="11537" width="1.28515625" style="1174" customWidth="1"/>
    <col min="11538" max="11765" width="12" style="1174" customWidth="1"/>
    <col min="11766" max="11777" width="0" style="1174" hidden="1"/>
    <col min="11778" max="11778" width="9.42578125" style="1174" customWidth="1"/>
    <col min="11779" max="11779" width="13" style="1174" customWidth="1"/>
    <col min="11780" max="11780" width="4.140625" style="1174" customWidth="1"/>
    <col min="11781" max="11781" width="1.5703125" style="1174" customWidth="1"/>
    <col min="11782" max="11782" width="8.42578125" style="1174" customWidth="1"/>
    <col min="11783" max="11783" width="15.85546875" style="1174" customWidth="1"/>
    <col min="11784" max="11784" width="15.7109375" style="1174" bestFit="1" customWidth="1"/>
    <col min="11785" max="11785" width="12.140625" style="1174" bestFit="1" customWidth="1"/>
    <col min="11786" max="11786" width="13.28515625" style="1174" bestFit="1" customWidth="1"/>
    <col min="11787" max="11787" width="15.42578125" style="1174" customWidth="1"/>
    <col min="11788" max="11788" width="14.140625" style="1174" bestFit="1" customWidth="1"/>
    <col min="11789" max="11789" width="15.42578125" style="1174" bestFit="1" customWidth="1"/>
    <col min="11790" max="11790" width="13.42578125" style="1174" customWidth="1"/>
    <col min="11791" max="11791" width="1.28515625" style="1174" customWidth="1"/>
    <col min="11792" max="11792" width="8.7109375" style="1174" customWidth="1"/>
    <col min="11793" max="11793" width="1.28515625" style="1174" customWidth="1"/>
    <col min="11794" max="12021" width="12" style="1174" customWidth="1"/>
    <col min="12022" max="12033" width="0" style="1174" hidden="1"/>
    <col min="12034" max="12034" width="9.42578125" style="1174" customWidth="1"/>
    <col min="12035" max="12035" width="13" style="1174" customWidth="1"/>
    <col min="12036" max="12036" width="4.140625" style="1174" customWidth="1"/>
    <col min="12037" max="12037" width="1.5703125" style="1174" customWidth="1"/>
    <col min="12038" max="12038" width="8.42578125" style="1174" customWidth="1"/>
    <col min="12039" max="12039" width="15.85546875" style="1174" customWidth="1"/>
    <col min="12040" max="12040" width="15.7109375" style="1174" bestFit="1" customWidth="1"/>
    <col min="12041" max="12041" width="12.140625" style="1174" bestFit="1" customWidth="1"/>
    <col min="12042" max="12042" width="13.28515625" style="1174" bestFit="1" customWidth="1"/>
    <col min="12043" max="12043" width="15.42578125" style="1174" customWidth="1"/>
    <col min="12044" max="12044" width="14.140625" style="1174" bestFit="1" customWidth="1"/>
    <col min="12045" max="12045" width="15.42578125" style="1174" bestFit="1" customWidth="1"/>
    <col min="12046" max="12046" width="13.42578125" style="1174" customWidth="1"/>
    <col min="12047" max="12047" width="1.28515625" style="1174" customWidth="1"/>
    <col min="12048" max="12048" width="8.7109375" style="1174" customWidth="1"/>
    <col min="12049" max="12049" width="1.28515625" style="1174" customWidth="1"/>
    <col min="12050" max="12277" width="12" style="1174" customWidth="1"/>
    <col min="12278" max="12289" width="0" style="1174" hidden="1"/>
    <col min="12290" max="12290" width="9.42578125" style="1174" customWidth="1"/>
    <col min="12291" max="12291" width="13" style="1174" customWidth="1"/>
    <col min="12292" max="12292" width="4.140625" style="1174" customWidth="1"/>
    <col min="12293" max="12293" width="1.5703125" style="1174" customWidth="1"/>
    <col min="12294" max="12294" width="8.42578125" style="1174" customWidth="1"/>
    <col min="12295" max="12295" width="15.85546875" style="1174" customWidth="1"/>
    <col min="12296" max="12296" width="15.7109375" style="1174" bestFit="1" customWidth="1"/>
    <col min="12297" max="12297" width="12.140625" style="1174" bestFit="1" customWidth="1"/>
    <col min="12298" max="12298" width="13.28515625" style="1174" bestFit="1" customWidth="1"/>
    <col min="12299" max="12299" width="15.42578125" style="1174" customWidth="1"/>
    <col min="12300" max="12300" width="14.140625" style="1174" bestFit="1" customWidth="1"/>
    <col min="12301" max="12301" width="15.42578125" style="1174" bestFit="1" customWidth="1"/>
    <col min="12302" max="12302" width="13.42578125" style="1174" customWidth="1"/>
    <col min="12303" max="12303" width="1.28515625" style="1174" customWidth="1"/>
    <col min="12304" max="12304" width="8.7109375" style="1174" customWidth="1"/>
    <col min="12305" max="12305" width="1.28515625" style="1174" customWidth="1"/>
    <col min="12306" max="12533" width="12" style="1174" customWidth="1"/>
    <col min="12534" max="12545" width="0" style="1174" hidden="1"/>
    <col min="12546" max="12546" width="9.42578125" style="1174" customWidth="1"/>
    <col min="12547" max="12547" width="13" style="1174" customWidth="1"/>
    <col min="12548" max="12548" width="4.140625" style="1174" customWidth="1"/>
    <col min="12549" max="12549" width="1.5703125" style="1174" customWidth="1"/>
    <col min="12550" max="12550" width="8.42578125" style="1174" customWidth="1"/>
    <col min="12551" max="12551" width="15.85546875" style="1174" customWidth="1"/>
    <col min="12552" max="12552" width="15.7109375" style="1174" bestFit="1" customWidth="1"/>
    <col min="12553" max="12553" width="12.140625" style="1174" bestFit="1" customWidth="1"/>
    <col min="12554" max="12554" width="13.28515625" style="1174" bestFit="1" customWidth="1"/>
    <col min="12555" max="12555" width="15.42578125" style="1174" customWidth="1"/>
    <col min="12556" max="12556" width="14.140625" style="1174" bestFit="1" customWidth="1"/>
    <col min="12557" max="12557" width="15.42578125" style="1174" bestFit="1" customWidth="1"/>
    <col min="12558" max="12558" width="13.42578125" style="1174" customWidth="1"/>
    <col min="12559" max="12559" width="1.28515625" style="1174" customWidth="1"/>
    <col min="12560" max="12560" width="8.7109375" style="1174" customWidth="1"/>
    <col min="12561" max="12561" width="1.28515625" style="1174" customWidth="1"/>
    <col min="12562" max="12789" width="12" style="1174" customWidth="1"/>
    <col min="12790" max="12801" width="0" style="1174" hidden="1"/>
    <col min="12802" max="12802" width="9.42578125" style="1174" customWidth="1"/>
    <col min="12803" max="12803" width="13" style="1174" customWidth="1"/>
    <col min="12804" max="12804" width="4.140625" style="1174" customWidth="1"/>
    <col min="12805" max="12805" width="1.5703125" style="1174" customWidth="1"/>
    <col min="12806" max="12806" width="8.42578125" style="1174" customWidth="1"/>
    <col min="12807" max="12807" width="15.85546875" style="1174" customWidth="1"/>
    <col min="12808" max="12808" width="15.7109375" style="1174" bestFit="1" customWidth="1"/>
    <col min="12809" max="12809" width="12.140625" style="1174" bestFit="1" customWidth="1"/>
    <col min="12810" max="12810" width="13.28515625" style="1174" bestFit="1" customWidth="1"/>
    <col min="12811" max="12811" width="15.42578125" style="1174" customWidth="1"/>
    <col min="12812" max="12812" width="14.140625" style="1174" bestFit="1" customWidth="1"/>
    <col min="12813" max="12813" width="15.42578125" style="1174" bestFit="1" customWidth="1"/>
    <col min="12814" max="12814" width="13.42578125" style="1174" customWidth="1"/>
    <col min="12815" max="12815" width="1.28515625" style="1174" customWidth="1"/>
    <col min="12816" max="12816" width="8.7109375" style="1174" customWidth="1"/>
    <col min="12817" max="12817" width="1.28515625" style="1174" customWidth="1"/>
    <col min="12818" max="13045" width="12" style="1174" customWidth="1"/>
    <col min="13046" max="13057" width="0" style="1174" hidden="1"/>
    <col min="13058" max="13058" width="9.42578125" style="1174" customWidth="1"/>
    <col min="13059" max="13059" width="13" style="1174" customWidth="1"/>
    <col min="13060" max="13060" width="4.140625" style="1174" customWidth="1"/>
    <col min="13061" max="13061" width="1.5703125" style="1174" customWidth="1"/>
    <col min="13062" max="13062" width="8.42578125" style="1174" customWidth="1"/>
    <col min="13063" max="13063" width="15.85546875" style="1174" customWidth="1"/>
    <col min="13064" max="13064" width="15.7109375" style="1174" bestFit="1" customWidth="1"/>
    <col min="13065" max="13065" width="12.140625" style="1174" bestFit="1" customWidth="1"/>
    <col min="13066" max="13066" width="13.28515625" style="1174" bestFit="1" customWidth="1"/>
    <col min="13067" max="13067" width="15.42578125" style="1174" customWidth="1"/>
    <col min="13068" max="13068" width="14.140625" style="1174" bestFit="1" customWidth="1"/>
    <col min="13069" max="13069" width="15.42578125" style="1174" bestFit="1" customWidth="1"/>
    <col min="13070" max="13070" width="13.42578125" style="1174" customWidth="1"/>
    <col min="13071" max="13071" width="1.28515625" style="1174" customWidth="1"/>
    <col min="13072" max="13072" width="8.7109375" style="1174" customWidth="1"/>
    <col min="13073" max="13073" width="1.28515625" style="1174" customWidth="1"/>
    <col min="13074" max="13301" width="12" style="1174" customWidth="1"/>
    <col min="13302" max="13313" width="0" style="1174" hidden="1"/>
    <col min="13314" max="13314" width="9.42578125" style="1174" customWidth="1"/>
    <col min="13315" max="13315" width="13" style="1174" customWidth="1"/>
    <col min="13316" max="13316" width="4.140625" style="1174" customWidth="1"/>
    <col min="13317" max="13317" width="1.5703125" style="1174" customWidth="1"/>
    <col min="13318" max="13318" width="8.42578125" style="1174" customWidth="1"/>
    <col min="13319" max="13319" width="15.85546875" style="1174" customWidth="1"/>
    <col min="13320" max="13320" width="15.7109375" style="1174" bestFit="1" customWidth="1"/>
    <col min="13321" max="13321" width="12.140625" style="1174" bestFit="1" customWidth="1"/>
    <col min="13322" max="13322" width="13.28515625" style="1174" bestFit="1" customWidth="1"/>
    <col min="13323" max="13323" width="15.42578125" style="1174" customWidth="1"/>
    <col min="13324" max="13324" width="14.140625" style="1174" bestFit="1" customWidth="1"/>
    <col min="13325" max="13325" width="15.42578125" style="1174" bestFit="1" customWidth="1"/>
    <col min="13326" max="13326" width="13.42578125" style="1174" customWidth="1"/>
    <col min="13327" max="13327" width="1.28515625" style="1174" customWidth="1"/>
    <col min="13328" max="13328" width="8.7109375" style="1174" customWidth="1"/>
    <col min="13329" max="13329" width="1.28515625" style="1174" customWidth="1"/>
    <col min="13330" max="13557" width="12" style="1174" customWidth="1"/>
    <col min="13558" max="13569" width="0" style="1174" hidden="1"/>
    <col min="13570" max="13570" width="9.42578125" style="1174" customWidth="1"/>
    <col min="13571" max="13571" width="13" style="1174" customWidth="1"/>
    <col min="13572" max="13572" width="4.140625" style="1174" customWidth="1"/>
    <col min="13573" max="13573" width="1.5703125" style="1174" customWidth="1"/>
    <col min="13574" max="13574" width="8.42578125" style="1174" customWidth="1"/>
    <col min="13575" max="13575" width="15.85546875" style="1174" customWidth="1"/>
    <col min="13576" max="13576" width="15.7109375" style="1174" bestFit="1" customWidth="1"/>
    <col min="13577" max="13577" width="12.140625" style="1174" bestFit="1" customWidth="1"/>
    <col min="13578" max="13578" width="13.28515625" style="1174" bestFit="1" customWidth="1"/>
    <col min="13579" max="13579" width="15.42578125" style="1174" customWidth="1"/>
    <col min="13580" max="13580" width="14.140625" style="1174" bestFit="1" customWidth="1"/>
    <col min="13581" max="13581" width="15.42578125" style="1174" bestFit="1" customWidth="1"/>
    <col min="13582" max="13582" width="13.42578125" style="1174" customWidth="1"/>
    <col min="13583" max="13583" width="1.28515625" style="1174" customWidth="1"/>
    <col min="13584" max="13584" width="8.7109375" style="1174" customWidth="1"/>
    <col min="13585" max="13585" width="1.28515625" style="1174" customWidth="1"/>
    <col min="13586" max="13813" width="12" style="1174" customWidth="1"/>
    <col min="13814" max="13825" width="0" style="1174" hidden="1"/>
    <col min="13826" max="13826" width="9.42578125" style="1174" customWidth="1"/>
    <col min="13827" max="13827" width="13" style="1174" customWidth="1"/>
    <col min="13828" max="13828" width="4.140625" style="1174" customWidth="1"/>
    <col min="13829" max="13829" width="1.5703125" style="1174" customWidth="1"/>
    <col min="13830" max="13830" width="8.42578125" style="1174" customWidth="1"/>
    <col min="13831" max="13831" width="15.85546875" style="1174" customWidth="1"/>
    <col min="13832" max="13832" width="15.7109375" style="1174" bestFit="1" customWidth="1"/>
    <col min="13833" max="13833" width="12.140625" style="1174" bestFit="1" customWidth="1"/>
    <col min="13834" max="13834" width="13.28515625" style="1174" bestFit="1" customWidth="1"/>
    <col min="13835" max="13835" width="15.42578125" style="1174" customWidth="1"/>
    <col min="13836" max="13836" width="14.140625" style="1174" bestFit="1" customWidth="1"/>
    <col min="13837" max="13837" width="15.42578125" style="1174" bestFit="1" customWidth="1"/>
    <col min="13838" max="13838" width="13.42578125" style="1174" customWidth="1"/>
    <col min="13839" max="13839" width="1.28515625" style="1174" customWidth="1"/>
    <col min="13840" max="13840" width="8.7109375" style="1174" customWidth="1"/>
    <col min="13841" max="13841" width="1.28515625" style="1174" customWidth="1"/>
    <col min="13842" max="14069" width="12" style="1174" customWidth="1"/>
    <col min="14070" max="14081" width="0" style="1174" hidden="1"/>
    <col min="14082" max="14082" width="9.42578125" style="1174" customWidth="1"/>
    <col min="14083" max="14083" width="13" style="1174" customWidth="1"/>
    <col min="14084" max="14084" width="4.140625" style="1174" customWidth="1"/>
    <col min="14085" max="14085" width="1.5703125" style="1174" customWidth="1"/>
    <col min="14086" max="14086" width="8.42578125" style="1174" customWidth="1"/>
    <col min="14087" max="14087" width="15.85546875" style="1174" customWidth="1"/>
    <col min="14088" max="14088" width="15.7109375" style="1174" bestFit="1" customWidth="1"/>
    <col min="14089" max="14089" width="12.140625" style="1174" bestFit="1" customWidth="1"/>
    <col min="14090" max="14090" width="13.28515625" style="1174" bestFit="1" customWidth="1"/>
    <col min="14091" max="14091" width="15.42578125" style="1174" customWidth="1"/>
    <col min="14092" max="14092" width="14.140625" style="1174" bestFit="1" customWidth="1"/>
    <col min="14093" max="14093" width="15.42578125" style="1174" bestFit="1" customWidth="1"/>
    <col min="14094" max="14094" width="13.42578125" style="1174" customWidth="1"/>
    <col min="14095" max="14095" width="1.28515625" style="1174" customWidth="1"/>
    <col min="14096" max="14096" width="8.7109375" style="1174" customWidth="1"/>
    <col min="14097" max="14097" width="1.28515625" style="1174" customWidth="1"/>
    <col min="14098" max="14325" width="12" style="1174" customWidth="1"/>
    <col min="14326" max="14337" width="0" style="1174" hidden="1"/>
    <col min="14338" max="14338" width="9.42578125" style="1174" customWidth="1"/>
    <col min="14339" max="14339" width="13" style="1174" customWidth="1"/>
    <col min="14340" max="14340" width="4.140625" style="1174" customWidth="1"/>
    <col min="14341" max="14341" width="1.5703125" style="1174" customWidth="1"/>
    <col min="14342" max="14342" width="8.42578125" style="1174" customWidth="1"/>
    <col min="14343" max="14343" width="15.85546875" style="1174" customWidth="1"/>
    <col min="14344" max="14344" width="15.7109375" style="1174" bestFit="1" customWidth="1"/>
    <col min="14345" max="14345" width="12.140625" style="1174" bestFit="1" customWidth="1"/>
    <col min="14346" max="14346" width="13.28515625" style="1174" bestFit="1" customWidth="1"/>
    <col min="14347" max="14347" width="15.42578125" style="1174" customWidth="1"/>
    <col min="14348" max="14348" width="14.140625" style="1174" bestFit="1" customWidth="1"/>
    <col min="14349" max="14349" width="15.42578125" style="1174" bestFit="1" customWidth="1"/>
    <col min="14350" max="14350" width="13.42578125" style="1174" customWidth="1"/>
    <col min="14351" max="14351" width="1.28515625" style="1174" customWidth="1"/>
    <col min="14352" max="14352" width="8.7109375" style="1174" customWidth="1"/>
    <col min="14353" max="14353" width="1.28515625" style="1174" customWidth="1"/>
    <col min="14354" max="14581" width="12" style="1174" customWidth="1"/>
    <col min="14582" max="14593" width="0" style="1174" hidden="1"/>
    <col min="14594" max="14594" width="9.42578125" style="1174" customWidth="1"/>
    <col min="14595" max="14595" width="13" style="1174" customWidth="1"/>
    <col min="14596" max="14596" width="4.140625" style="1174" customWidth="1"/>
    <col min="14597" max="14597" width="1.5703125" style="1174" customWidth="1"/>
    <col min="14598" max="14598" width="8.42578125" style="1174" customWidth="1"/>
    <col min="14599" max="14599" width="15.85546875" style="1174" customWidth="1"/>
    <col min="14600" max="14600" width="15.7109375" style="1174" bestFit="1" customWidth="1"/>
    <col min="14601" max="14601" width="12.140625" style="1174" bestFit="1" customWidth="1"/>
    <col min="14602" max="14602" width="13.28515625" style="1174" bestFit="1" customWidth="1"/>
    <col min="14603" max="14603" width="15.42578125" style="1174" customWidth="1"/>
    <col min="14604" max="14604" width="14.140625" style="1174" bestFit="1" customWidth="1"/>
    <col min="14605" max="14605" width="15.42578125" style="1174" bestFit="1" customWidth="1"/>
    <col min="14606" max="14606" width="13.42578125" style="1174" customWidth="1"/>
    <col min="14607" max="14607" width="1.28515625" style="1174" customWidth="1"/>
    <col min="14608" max="14608" width="8.7109375" style="1174" customWidth="1"/>
    <col min="14609" max="14609" width="1.28515625" style="1174" customWidth="1"/>
    <col min="14610" max="14837" width="12" style="1174" customWidth="1"/>
    <col min="14838" max="14849" width="0" style="1174" hidden="1"/>
    <col min="14850" max="14850" width="9.42578125" style="1174" customWidth="1"/>
    <col min="14851" max="14851" width="13" style="1174" customWidth="1"/>
    <col min="14852" max="14852" width="4.140625" style="1174" customWidth="1"/>
    <col min="14853" max="14853" width="1.5703125" style="1174" customWidth="1"/>
    <col min="14854" max="14854" width="8.42578125" style="1174" customWidth="1"/>
    <col min="14855" max="14855" width="15.85546875" style="1174" customWidth="1"/>
    <col min="14856" max="14856" width="15.7109375" style="1174" bestFit="1" customWidth="1"/>
    <col min="14857" max="14857" width="12.140625" style="1174" bestFit="1" customWidth="1"/>
    <col min="14858" max="14858" width="13.28515625" style="1174" bestFit="1" customWidth="1"/>
    <col min="14859" max="14859" width="15.42578125" style="1174" customWidth="1"/>
    <col min="14860" max="14860" width="14.140625" style="1174" bestFit="1" customWidth="1"/>
    <col min="14861" max="14861" width="15.42578125" style="1174" bestFit="1" customWidth="1"/>
    <col min="14862" max="14862" width="13.42578125" style="1174" customWidth="1"/>
    <col min="14863" max="14863" width="1.28515625" style="1174" customWidth="1"/>
    <col min="14864" max="14864" width="8.7109375" style="1174" customWidth="1"/>
    <col min="14865" max="14865" width="1.28515625" style="1174" customWidth="1"/>
    <col min="14866" max="15093" width="12" style="1174" customWidth="1"/>
    <col min="15094" max="15105" width="0" style="1174" hidden="1"/>
    <col min="15106" max="15106" width="9.42578125" style="1174" customWidth="1"/>
    <col min="15107" max="15107" width="13" style="1174" customWidth="1"/>
    <col min="15108" max="15108" width="4.140625" style="1174" customWidth="1"/>
    <col min="15109" max="15109" width="1.5703125" style="1174" customWidth="1"/>
    <col min="15110" max="15110" width="8.42578125" style="1174" customWidth="1"/>
    <col min="15111" max="15111" width="15.85546875" style="1174" customWidth="1"/>
    <col min="15112" max="15112" width="15.7109375" style="1174" bestFit="1" customWidth="1"/>
    <col min="15113" max="15113" width="12.140625" style="1174" bestFit="1" customWidth="1"/>
    <col min="15114" max="15114" width="13.28515625" style="1174" bestFit="1" customWidth="1"/>
    <col min="15115" max="15115" width="15.42578125" style="1174" customWidth="1"/>
    <col min="15116" max="15116" width="14.140625" style="1174" bestFit="1" customWidth="1"/>
    <col min="15117" max="15117" width="15.42578125" style="1174" bestFit="1" customWidth="1"/>
    <col min="15118" max="15118" width="13.42578125" style="1174" customWidth="1"/>
    <col min="15119" max="15119" width="1.28515625" style="1174" customWidth="1"/>
    <col min="15120" max="15120" width="8.7109375" style="1174" customWidth="1"/>
    <col min="15121" max="15121" width="1.28515625" style="1174" customWidth="1"/>
    <col min="15122" max="15349" width="12" style="1174" customWidth="1"/>
    <col min="15350" max="15361" width="0" style="1174" hidden="1"/>
    <col min="15362" max="15362" width="9.42578125" style="1174" customWidth="1"/>
    <col min="15363" max="15363" width="13" style="1174" customWidth="1"/>
    <col min="15364" max="15364" width="4.140625" style="1174" customWidth="1"/>
    <col min="15365" max="15365" width="1.5703125" style="1174" customWidth="1"/>
    <col min="15366" max="15366" width="8.42578125" style="1174" customWidth="1"/>
    <col min="15367" max="15367" width="15.85546875" style="1174" customWidth="1"/>
    <col min="15368" max="15368" width="15.7109375" style="1174" bestFit="1" customWidth="1"/>
    <col min="15369" max="15369" width="12.140625" style="1174" bestFit="1" customWidth="1"/>
    <col min="15370" max="15370" width="13.28515625" style="1174" bestFit="1" customWidth="1"/>
    <col min="15371" max="15371" width="15.42578125" style="1174" customWidth="1"/>
    <col min="15372" max="15372" width="14.140625" style="1174" bestFit="1" customWidth="1"/>
    <col min="15373" max="15373" width="15.42578125" style="1174" bestFit="1" customWidth="1"/>
    <col min="15374" max="15374" width="13.42578125" style="1174" customWidth="1"/>
    <col min="15375" max="15375" width="1.28515625" style="1174" customWidth="1"/>
    <col min="15376" max="15376" width="8.7109375" style="1174" customWidth="1"/>
    <col min="15377" max="15377" width="1.28515625" style="1174" customWidth="1"/>
    <col min="15378" max="15605" width="12" style="1174" customWidth="1"/>
    <col min="15606" max="15617" width="0" style="1174" hidden="1"/>
    <col min="15618" max="15618" width="9.42578125" style="1174" customWidth="1"/>
    <col min="15619" max="15619" width="13" style="1174" customWidth="1"/>
    <col min="15620" max="15620" width="4.140625" style="1174" customWidth="1"/>
    <col min="15621" max="15621" width="1.5703125" style="1174" customWidth="1"/>
    <col min="15622" max="15622" width="8.42578125" style="1174" customWidth="1"/>
    <col min="15623" max="15623" width="15.85546875" style="1174" customWidth="1"/>
    <col min="15624" max="15624" width="15.7109375" style="1174" bestFit="1" customWidth="1"/>
    <col min="15625" max="15625" width="12.140625" style="1174" bestFit="1" customWidth="1"/>
    <col min="15626" max="15626" width="13.28515625" style="1174" bestFit="1" customWidth="1"/>
    <col min="15627" max="15627" width="15.42578125" style="1174" customWidth="1"/>
    <col min="15628" max="15628" width="14.140625" style="1174" bestFit="1" customWidth="1"/>
    <col min="15629" max="15629" width="15.42578125" style="1174" bestFit="1" customWidth="1"/>
    <col min="15630" max="15630" width="13.42578125" style="1174" customWidth="1"/>
    <col min="15631" max="15631" width="1.28515625" style="1174" customWidth="1"/>
    <col min="15632" max="15632" width="8.7109375" style="1174" customWidth="1"/>
    <col min="15633" max="15633" width="1.28515625" style="1174" customWidth="1"/>
    <col min="15634" max="15861" width="12" style="1174" customWidth="1"/>
    <col min="15862" max="15873" width="0" style="1174" hidden="1"/>
    <col min="15874" max="15874" width="9.42578125" style="1174" customWidth="1"/>
    <col min="15875" max="15875" width="13" style="1174" customWidth="1"/>
    <col min="15876" max="15876" width="4.140625" style="1174" customWidth="1"/>
    <col min="15877" max="15877" width="1.5703125" style="1174" customWidth="1"/>
    <col min="15878" max="15878" width="8.42578125" style="1174" customWidth="1"/>
    <col min="15879" max="15879" width="15.85546875" style="1174" customWidth="1"/>
    <col min="15880" max="15880" width="15.7109375" style="1174" bestFit="1" customWidth="1"/>
    <col min="15881" max="15881" width="12.140625" style="1174" bestFit="1" customWidth="1"/>
    <col min="15882" max="15882" width="13.28515625" style="1174" bestFit="1" customWidth="1"/>
    <col min="15883" max="15883" width="15.42578125" style="1174" customWidth="1"/>
    <col min="15884" max="15884" width="14.140625" style="1174" bestFit="1" customWidth="1"/>
    <col min="15885" max="15885" width="15.42578125" style="1174" bestFit="1" customWidth="1"/>
    <col min="15886" max="15886" width="13.42578125" style="1174" customWidth="1"/>
    <col min="15887" max="15887" width="1.28515625" style="1174" customWidth="1"/>
    <col min="15888" max="15888" width="8.7109375" style="1174" customWidth="1"/>
    <col min="15889" max="15889" width="1.28515625" style="1174" customWidth="1"/>
    <col min="15890" max="16117" width="12" style="1174" customWidth="1"/>
    <col min="16118" max="16129" width="0" style="1174" hidden="1"/>
    <col min="16130" max="16130" width="9.42578125" style="1174" customWidth="1"/>
    <col min="16131" max="16131" width="13" style="1174" customWidth="1"/>
    <col min="16132" max="16132" width="4.140625" style="1174" customWidth="1"/>
    <col min="16133" max="16133" width="1.5703125" style="1174" customWidth="1"/>
    <col min="16134" max="16134" width="8.42578125" style="1174" customWidth="1"/>
    <col min="16135" max="16135" width="15.85546875" style="1174" customWidth="1"/>
    <col min="16136" max="16136" width="15.7109375" style="1174" bestFit="1" customWidth="1"/>
    <col min="16137" max="16137" width="12.140625" style="1174" bestFit="1" customWidth="1"/>
    <col min="16138" max="16138" width="13.28515625" style="1174" bestFit="1" customWidth="1"/>
    <col min="16139" max="16139" width="15.42578125" style="1174" customWidth="1"/>
    <col min="16140" max="16140" width="14.140625" style="1174" bestFit="1" customWidth="1"/>
    <col min="16141" max="16141" width="15.42578125" style="1174" bestFit="1" customWidth="1"/>
    <col min="16142" max="16142" width="13.42578125" style="1174" customWidth="1"/>
    <col min="16143" max="16143" width="1.28515625" style="1174" customWidth="1"/>
    <col min="16144" max="16144" width="8.7109375" style="1174" customWidth="1"/>
    <col min="16145" max="16145" width="1.28515625" style="1174" customWidth="1"/>
    <col min="16146" max="16373" width="12" style="1174" customWidth="1"/>
    <col min="16374" max="16384" width="0" style="1174" hidden="1"/>
  </cols>
  <sheetData>
    <row r="1" spans="3:114" ht="28.35" customHeight="1"/>
    <row r="2" spans="3:114" ht="28.35" customHeight="1">
      <c r="C2" s="1190"/>
      <c r="H2" s="2724"/>
      <c r="I2" s="2724"/>
      <c r="J2" s="2724"/>
      <c r="K2" s="1760"/>
      <c r="L2" s="1760"/>
      <c r="M2" s="1760"/>
      <c r="N2" s="1760"/>
      <c r="O2" s="1844"/>
      <c r="P2" s="1760"/>
      <c r="T2" s="2867"/>
      <c r="U2" s="3208"/>
      <c r="V2" s="3175"/>
    </row>
    <row r="3" spans="3:114" s="1845" customFormat="1" ht="28.35" customHeight="1">
      <c r="C3" s="3372"/>
      <c r="D3" s="4856" t="s">
        <v>1509</v>
      </c>
      <c r="E3" s="4856"/>
      <c r="F3" s="4856"/>
      <c r="G3" s="4856"/>
      <c r="H3" s="4856"/>
      <c r="I3" s="4856"/>
      <c r="J3" s="4856"/>
      <c r="K3" s="4856"/>
      <c r="L3" s="4856"/>
      <c r="M3" s="4856"/>
      <c r="N3" s="4856"/>
      <c r="O3" s="4856"/>
      <c r="P3" s="4856"/>
      <c r="Q3" s="4856"/>
      <c r="T3" s="3373"/>
      <c r="U3" s="3372"/>
      <c r="V3" s="2885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</row>
    <row r="4" spans="3:114" s="2498" customFormat="1" ht="28.35" customHeight="1">
      <c r="C4" s="3374"/>
      <c r="D4" s="4713" t="s">
        <v>1510</v>
      </c>
      <c r="E4" s="4713"/>
      <c r="F4" s="4713"/>
      <c r="G4" s="4713"/>
      <c r="H4" s="4713"/>
      <c r="I4" s="4713"/>
      <c r="J4" s="4713"/>
      <c r="K4" s="4713"/>
      <c r="L4" s="4713"/>
      <c r="M4" s="4713"/>
      <c r="N4" s="4713"/>
      <c r="O4" s="4713"/>
      <c r="P4" s="4713"/>
      <c r="Q4" s="4713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</row>
    <row r="5" spans="3:114" s="1849" customFormat="1" ht="17.100000000000001" customHeight="1">
      <c r="C5" s="2499"/>
      <c r="D5" s="2334" t="s">
        <v>1482</v>
      </c>
      <c r="E5" s="3054"/>
      <c r="F5" s="3054"/>
      <c r="G5" s="3054"/>
      <c r="H5" s="3054"/>
      <c r="I5" s="3054"/>
      <c r="J5" s="3054"/>
      <c r="K5" s="3375"/>
      <c r="L5" s="3375"/>
      <c r="M5" s="3054"/>
      <c r="N5" s="3054"/>
      <c r="O5" s="3397"/>
      <c r="P5" s="3054"/>
      <c r="Q5" s="2544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</row>
    <row r="6" spans="3:114" ht="4.3499999999999996" customHeight="1">
      <c r="C6" s="1190"/>
      <c r="D6" s="1323"/>
      <c r="E6" s="1323"/>
      <c r="F6" s="1323"/>
      <c r="G6" s="1323"/>
      <c r="H6" s="2103"/>
      <c r="I6" s="1763"/>
      <c r="J6" s="1763"/>
      <c r="K6" s="3376"/>
      <c r="L6" s="1323"/>
      <c r="M6" s="2103"/>
      <c r="N6" s="2103"/>
      <c r="O6" s="2282"/>
      <c r="P6" s="2773"/>
      <c r="Q6" s="1323"/>
    </row>
    <row r="7" spans="3:114" s="1999" customFormat="1" ht="6" customHeight="1">
      <c r="C7" s="2390"/>
      <c r="D7" s="1863"/>
      <c r="E7" s="3377"/>
      <c r="F7" s="3377"/>
      <c r="G7" s="3377"/>
      <c r="H7" s="1229"/>
      <c r="I7" s="1226"/>
      <c r="J7" s="1226"/>
      <c r="K7" s="1229"/>
      <c r="L7" s="1226"/>
      <c r="M7" s="1226"/>
      <c r="N7" s="3398"/>
      <c r="O7" s="1229"/>
      <c r="P7" s="1229"/>
      <c r="Q7" s="1230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</row>
    <row r="8" spans="3:114" s="1986" customFormat="1" ht="39.75" customHeight="1">
      <c r="C8" s="2390"/>
      <c r="D8" s="3378" t="s">
        <v>1483</v>
      </c>
      <c r="E8" s="1292"/>
      <c r="F8" s="1292"/>
      <c r="G8" s="1292"/>
      <c r="H8" s="1236"/>
      <c r="I8" s="1236"/>
      <c r="J8" s="1236"/>
      <c r="K8" s="1236"/>
      <c r="L8" s="1236"/>
      <c r="M8" s="1236"/>
      <c r="N8" s="1356" t="s">
        <v>1484</v>
      </c>
      <c r="O8" s="1236"/>
      <c r="P8" s="1236"/>
      <c r="Q8" s="1237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</row>
    <row r="9" spans="3:114" ht="21.2" customHeight="1">
      <c r="C9" s="1801"/>
      <c r="D9" s="3379"/>
      <c r="E9" s="2520"/>
      <c r="F9" s="2520"/>
      <c r="G9" s="1822"/>
      <c r="H9" s="1384"/>
      <c r="I9" s="3380"/>
      <c r="J9" s="1822"/>
      <c r="K9" s="2548"/>
      <c r="L9" s="1384"/>
      <c r="M9" s="1384"/>
      <c r="N9" s="1384"/>
      <c r="O9" s="1283"/>
      <c r="P9" s="1283"/>
      <c r="Q9" s="1294"/>
    </row>
    <row r="10" spans="3:114" ht="21.2" customHeight="1">
      <c r="C10" s="1807"/>
      <c r="D10" s="4774" t="s">
        <v>1382</v>
      </c>
      <c r="E10" s="4672"/>
      <c r="F10" s="4672"/>
      <c r="G10" s="4685"/>
      <c r="H10" s="1731" t="s">
        <v>1371</v>
      </c>
      <c r="I10" s="4683" t="s">
        <v>1317</v>
      </c>
      <c r="J10" s="4685"/>
      <c r="K10" s="1731" t="s">
        <v>1485</v>
      </c>
      <c r="L10" s="1731" t="s">
        <v>1386</v>
      </c>
      <c r="M10" s="1731" t="s">
        <v>1486</v>
      </c>
      <c r="N10" s="1242" t="s">
        <v>1487</v>
      </c>
      <c r="O10" s="1283"/>
      <c r="P10" s="1283"/>
      <c r="Q10" s="1294"/>
      <c r="S10" s="1190"/>
    </row>
    <row r="11" spans="3:114" ht="21.2" customHeight="1">
      <c r="C11" s="1807"/>
      <c r="D11" s="4794" t="s">
        <v>1388</v>
      </c>
      <c r="E11" s="4750"/>
      <c r="F11" s="4750"/>
      <c r="G11" s="4795"/>
      <c r="H11" s="1731" t="s">
        <v>1373</v>
      </c>
      <c r="I11" s="4683" t="s">
        <v>1390</v>
      </c>
      <c r="J11" s="4685"/>
      <c r="K11" s="1731" t="s">
        <v>1488</v>
      </c>
      <c r="L11" s="1731" t="s">
        <v>1393</v>
      </c>
      <c r="M11" s="1731" t="s">
        <v>1489</v>
      </c>
      <c r="N11" s="1242" t="s">
        <v>395</v>
      </c>
      <c r="O11" s="1240"/>
      <c r="P11" s="1240"/>
      <c r="Q11" s="2273"/>
    </row>
    <row r="12" spans="3:114" ht="21.2" customHeight="1">
      <c r="C12" s="1807"/>
      <c r="D12" s="1231"/>
      <c r="E12" s="1234"/>
      <c r="F12" s="1234"/>
      <c r="G12" s="1998"/>
      <c r="H12" s="1731"/>
      <c r="I12" s="1282"/>
      <c r="J12" s="1998"/>
      <c r="K12" s="2611"/>
      <c r="L12" s="1731"/>
      <c r="M12" s="1731"/>
      <c r="N12" s="1242"/>
      <c r="O12" s="1283"/>
      <c r="P12" s="1283"/>
      <c r="Q12" s="1294"/>
    </row>
    <row r="13" spans="3:114" ht="21.2" customHeight="1">
      <c r="C13" s="1807"/>
      <c r="D13" s="1231"/>
      <c r="E13" s="1234"/>
      <c r="F13" s="1234"/>
      <c r="G13" s="1998"/>
      <c r="H13" s="1731"/>
      <c r="I13" s="1282"/>
      <c r="J13" s="1998"/>
      <c r="K13" s="1731" t="s">
        <v>1490</v>
      </c>
      <c r="L13" s="1731" t="s">
        <v>1491</v>
      </c>
      <c r="M13" s="1731" t="s">
        <v>1404</v>
      </c>
      <c r="N13" s="1242"/>
      <c r="O13" s="1240"/>
      <c r="P13" s="1240"/>
      <c r="Q13" s="2273"/>
    </row>
    <row r="14" spans="3:114" ht="21.2" customHeight="1">
      <c r="C14" s="1807"/>
      <c r="D14" s="4774" t="s">
        <v>1492</v>
      </c>
      <c r="E14" s="4672"/>
      <c r="F14" s="4672"/>
      <c r="G14" s="4685"/>
      <c r="H14" s="1731" t="s">
        <v>1410</v>
      </c>
      <c r="I14" s="1282"/>
      <c r="J14" s="1998"/>
      <c r="K14" s="1731" t="s">
        <v>1330</v>
      </c>
      <c r="L14" s="1731" t="s">
        <v>127</v>
      </c>
      <c r="M14" s="1731" t="s">
        <v>1493</v>
      </c>
      <c r="N14" s="1242" t="s">
        <v>401</v>
      </c>
      <c r="O14" s="1283"/>
      <c r="P14" s="1283"/>
      <c r="Q14" s="1294"/>
    </row>
    <row r="15" spans="3:114" s="1801" customFormat="1" ht="21.2" customHeight="1">
      <c r="C15" s="1807"/>
      <c r="D15" s="4953" t="s">
        <v>1417</v>
      </c>
      <c r="E15" s="4769"/>
      <c r="F15" s="4769"/>
      <c r="G15" s="4769"/>
      <c r="H15" s="1732" t="s">
        <v>1329</v>
      </c>
      <c r="I15" s="4769" t="s">
        <v>1419</v>
      </c>
      <c r="J15" s="4769"/>
      <c r="K15" s="1732" t="s">
        <v>1494</v>
      </c>
      <c r="L15" s="1732" t="s">
        <v>1421</v>
      </c>
      <c r="M15" s="1732" t="s">
        <v>1422</v>
      </c>
      <c r="N15" s="2515" t="s">
        <v>1495</v>
      </c>
      <c r="O15" s="2094"/>
      <c r="P15" s="1772"/>
      <c r="Q15" s="2123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</row>
    <row r="16" spans="3:114" ht="18.95" customHeight="1">
      <c r="C16" s="2771"/>
      <c r="D16" s="4948">
        <v>7.3</v>
      </c>
      <c r="E16" s="4949"/>
      <c r="F16" s="4949"/>
      <c r="G16" s="4949"/>
      <c r="H16" s="1171">
        <v>19.600000000000001</v>
      </c>
      <c r="I16" s="4950">
        <v>2</v>
      </c>
      <c r="J16" s="4950"/>
      <c r="K16" s="1171">
        <v>15.4</v>
      </c>
      <c r="L16" s="1171">
        <v>94</v>
      </c>
      <c r="M16" s="1171">
        <v>20.5</v>
      </c>
      <c r="N16" s="1424">
        <v>15.2</v>
      </c>
      <c r="O16" s="3399"/>
      <c r="P16" s="2324">
        <v>1969</v>
      </c>
      <c r="Q16" s="1617"/>
    </row>
    <row r="17" spans="3:17" ht="18.95" customHeight="1">
      <c r="C17" s="2771"/>
      <c r="D17" s="4945">
        <v>4.8</v>
      </c>
      <c r="E17" s="4725"/>
      <c r="F17" s="4725"/>
      <c r="G17" s="4725"/>
      <c r="H17" s="2244">
        <v>16.600000000000001</v>
      </c>
      <c r="I17" s="4730">
        <v>2.8</v>
      </c>
      <c r="J17" s="4730"/>
      <c r="K17" s="2244">
        <v>11</v>
      </c>
      <c r="L17" s="2244">
        <v>87.4</v>
      </c>
      <c r="M17" s="2244">
        <v>25.8</v>
      </c>
      <c r="N17" s="1345">
        <v>15.2</v>
      </c>
      <c r="O17" s="3400"/>
      <c r="P17" s="1728">
        <v>1970</v>
      </c>
      <c r="Q17" s="1524"/>
    </row>
    <row r="18" spans="3:17" ht="18.95" customHeight="1">
      <c r="C18" s="2771"/>
      <c r="D18" s="4948">
        <v>5.3</v>
      </c>
      <c r="E18" s="4949"/>
      <c r="F18" s="4949"/>
      <c r="G18" s="4949"/>
      <c r="H18" s="1171">
        <v>27.8</v>
      </c>
      <c r="I18" s="4950">
        <v>4.2</v>
      </c>
      <c r="J18" s="4950"/>
      <c r="K18" s="1171">
        <v>10.5</v>
      </c>
      <c r="L18" s="1171">
        <v>59.3</v>
      </c>
      <c r="M18" s="1171">
        <v>19.899999999999999</v>
      </c>
      <c r="N18" s="1424">
        <v>13.8</v>
      </c>
      <c r="O18" s="3399"/>
      <c r="P18" s="2324">
        <v>1971</v>
      </c>
      <c r="Q18" s="1617"/>
    </row>
    <row r="19" spans="3:17" ht="18.95" customHeight="1">
      <c r="C19" s="2771"/>
      <c r="D19" s="4945">
        <v>5.4</v>
      </c>
      <c r="E19" s="4725"/>
      <c r="F19" s="4725"/>
      <c r="G19" s="4725"/>
      <c r="H19" s="2244">
        <v>44.8</v>
      </c>
      <c r="I19" s="4730">
        <v>4.0999999999999996</v>
      </c>
      <c r="J19" s="4730"/>
      <c r="K19" s="2244">
        <v>15.5</v>
      </c>
      <c r="L19" s="2244">
        <v>64.599999999999994</v>
      </c>
      <c r="M19" s="2244">
        <v>21.5</v>
      </c>
      <c r="N19" s="1345">
        <v>17.2</v>
      </c>
      <c r="O19" s="3400"/>
      <c r="P19" s="1728">
        <v>1972</v>
      </c>
      <c r="Q19" s="1524"/>
    </row>
    <row r="20" spans="3:17" ht="18.95" customHeight="1">
      <c r="C20" s="2771"/>
      <c r="D20" s="4948">
        <v>6.5</v>
      </c>
      <c r="E20" s="4949"/>
      <c r="F20" s="4949"/>
      <c r="G20" s="4949"/>
      <c r="H20" s="1171">
        <v>41.1</v>
      </c>
      <c r="I20" s="4950">
        <v>5.6</v>
      </c>
      <c r="J20" s="4950"/>
      <c r="K20" s="1171">
        <v>17.7</v>
      </c>
      <c r="L20" s="1171">
        <v>134.80000000000001</v>
      </c>
      <c r="M20" s="1171">
        <v>22.9</v>
      </c>
      <c r="N20" s="1424">
        <v>18.7</v>
      </c>
      <c r="O20" s="3399"/>
      <c r="P20" s="2324">
        <v>1973</v>
      </c>
      <c r="Q20" s="1617"/>
    </row>
    <row r="21" spans="3:17" ht="18.95" customHeight="1">
      <c r="C21" s="2771"/>
      <c r="D21" s="4945">
        <v>8.3000000000000007</v>
      </c>
      <c r="E21" s="4725"/>
      <c r="F21" s="4725"/>
      <c r="G21" s="4725"/>
      <c r="H21" s="2244">
        <v>54</v>
      </c>
      <c r="I21" s="4730">
        <v>7.5</v>
      </c>
      <c r="J21" s="4730"/>
      <c r="K21" s="2244">
        <v>23.7</v>
      </c>
      <c r="L21" s="2244">
        <v>105.6</v>
      </c>
      <c r="M21" s="2244">
        <v>38</v>
      </c>
      <c r="N21" s="1345">
        <v>26.5</v>
      </c>
      <c r="O21" s="3400"/>
      <c r="P21" s="1728">
        <v>1974</v>
      </c>
      <c r="Q21" s="1524"/>
    </row>
    <row r="22" spans="3:17" ht="18.95" customHeight="1">
      <c r="C22" s="2771"/>
      <c r="D22" s="4948">
        <v>22.9</v>
      </c>
      <c r="E22" s="4949"/>
      <c r="F22" s="4949"/>
      <c r="G22" s="4949"/>
      <c r="H22" s="1171">
        <v>16.8</v>
      </c>
      <c r="I22" s="4950">
        <v>9.1</v>
      </c>
      <c r="J22" s="4950"/>
      <c r="K22" s="1171">
        <v>17.899999999999999</v>
      </c>
      <c r="L22" s="1171">
        <v>102.6</v>
      </c>
      <c r="M22" s="1171">
        <v>37.799999999999997</v>
      </c>
      <c r="N22" s="1424">
        <v>22.8</v>
      </c>
      <c r="O22" s="3399"/>
      <c r="P22" s="2324">
        <v>1975</v>
      </c>
      <c r="Q22" s="1617"/>
    </row>
    <row r="23" spans="3:17" ht="18.95" customHeight="1">
      <c r="C23" s="2771"/>
      <c r="D23" s="4945">
        <v>29.7</v>
      </c>
      <c r="E23" s="4725"/>
      <c r="F23" s="4725"/>
      <c r="G23" s="4725"/>
      <c r="H23" s="2244">
        <v>24.3</v>
      </c>
      <c r="I23" s="4730">
        <v>11.2</v>
      </c>
      <c r="J23" s="4730"/>
      <c r="K23" s="2244">
        <v>26.7</v>
      </c>
      <c r="L23" s="2244">
        <v>98.7</v>
      </c>
      <c r="M23" s="2244">
        <v>44.4</v>
      </c>
      <c r="N23" s="1345">
        <v>28.9</v>
      </c>
      <c r="O23" s="3400"/>
      <c r="P23" s="1728">
        <v>1976</v>
      </c>
      <c r="Q23" s="1524"/>
    </row>
    <row r="24" spans="3:17" ht="18.95" customHeight="1">
      <c r="C24" s="2771"/>
      <c r="D24" s="4948">
        <v>45.5</v>
      </c>
      <c r="E24" s="4949"/>
      <c r="F24" s="4949"/>
      <c r="G24" s="4949"/>
      <c r="H24" s="1171">
        <v>42.9</v>
      </c>
      <c r="I24" s="4950">
        <v>16.100000000000001</v>
      </c>
      <c r="J24" s="4950"/>
      <c r="K24" s="1171">
        <v>29.4</v>
      </c>
      <c r="L24" s="1171">
        <v>111.3</v>
      </c>
      <c r="M24" s="1171">
        <v>51.6</v>
      </c>
      <c r="N24" s="1424">
        <v>34.799999999999997</v>
      </c>
      <c r="O24" s="3399"/>
      <c r="P24" s="2324">
        <v>1977</v>
      </c>
      <c r="Q24" s="1617"/>
    </row>
    <row r="25" spans="3:17" ht="18.95" customHeight="1">
      <c r="C25" s="2771"/>
      <c r="D25" s="4945">
        <v>63.6</v>
      </c>
      <c r="E25" s="4725"/>
      <c r="F25" s="4725"/>
      <c r="G25" s="4725"/>
      <c r="H25" s="2244">
        <v>49.9</v>
      </c>
      <c r="I25" s="4730">
        <v>15.5</v>
      </c>
      <c r="J25" s="4730"/>
      <c r="K25" s="2244">
        <v>34.799999999999997</v>
      </c>
      <c r="L25" s="2244">
        <v>93.4</v>
      </c>
      <c r="M25" s="2244">
        <v>46.8</v>
      </c>
      <c r="N25" s="1345">
        <v>37.5</v>
      </c>
      <c r="O25" s="3400"/>
      <c r="P25" s="1728">
        <v>1978</v>
      </c>
      <c r="Q25" s="1524"/>
    </row>
    <row r="26" spans="3:17" ht="18.95" customHeight="1">
      <c r="C26" s="2771"/>
      <c r="D26" s="4948">
        <v>67.5</v>
      </c>
      <c r="E26" s="4949"/>
      <c r="F26" s="4949"/>
      <c r="G26" s="4949"/>
      <c r="H26" s="1171">
        <v>58.4</v>
      </c>
      <c r="I26" s="4950">
        <v>21.5</v>
      </c>
      <c r="J26" s="4950"/>
      <c r="K26" s="1171">
        <v>42.6</v>
      </c>
      <c r="L26" s="1171">
        <v>219.5</v>
      </c>
      <c r="M26" s="1171">
        <v>57.3</v>
      </c>
      <c r="N26" s="1424">
        <v>46.3</v>
      </c>
      <c r="O26" s="3399"/>
      <c r="P26" s="2324">
        <v>1979</v>
      </c>
      <c r="Q26" s="1617"/>
    </row>
    <row r="27" spans="3:17" ht="18.95" customHeight="1">
      <c r="C27" s="2771"/>
      <c r="D27" s="4945">
        <v>77.2</v>
      </c>
      <c r="E27" s="4725"/>
      <c r="F27" s="4725"/>
      <c r="G27" s="4725"/>
      <c r="H27" s="2244">
        <v>69.3</v>
      </c>
      <c r="I27" s="4730">
        <v>27.5</v>
      </c>
      <c r="J27" s="4730"/>
      <c r="K27" s="2244">
        <v>56.3</v>
      </c>
      <c r="L27" s="2244">
        <v>331.1</v>
      </c>
      <c r="M27" s="2244">
        <v>63.1</v>
      </c>
      <c r="N27" s="1345">
        <v>57.8</v>
      </c>
      <c r="O27" s="3400"/>
      <c r="P27" s="1728">
        <v>1980</v>
      </c>
      <c r="Q27" s="1524"/>
    </row>
    <row r="28" spans="3:17" ht="18.95" customHeight="1">
      <c r="C28" s="2771"/>
      <c r="D28" s="4948">
        <v>90.2</v>
      </c>
      <c r="E28" s="4949"/>
      <c r="F28" s="4949"/>
      <c r="G28" s="4949"/>
      <c r="H28" s="1171">
        <v>126.8</v>
      </c>
      <c r="I28" s="4950">
        <v>31.1</v>
      </c>
      <c r="J28" s="4950"/>
      <c r="K28" s="1171">
        <v>53.8</v>
      </c>
      <c r="L28" s="1171">
        <v>344.4</v>
      </c>
      <c r="M28" s="1171">
        <v>72.3</v>
      </c>
      <c r="N28" s="1424">
        <v>67.400000000000006</v>
      </c>
      <c r="O28" s="3399"/>
      <c r="P28" s="2324">
        <v>1981</v>
      </c>
      <c r="Q28" s="1617"/>
    </row>
    <row r="29" spans="3:17" ht="18.95" customHeight="1">
      <c r="C29" s="2771"/>
      <c r="D29" s="4945">
        <v>117</v>
      </c>
      <c r="E29" s="4725"/>
      <c r="F29" s="4725"/>
      <c r="G29" s="4725"/>
      <c r="H29" s="2244">
        <v>92.8</v>
      </c>
      <c r="I29" s="4730">
        <v>41.4</v>
      </c>
      <c r="J29" s="4730"/>
      <c r="K29" s="2244">
        <v>54.1</v>
      </c>
      <c r="L29" s="2244">
        <v>312.3</v>
      </c>
      <c r="M29" s="2244">
        <v>87.1</v>
      </c>
      <c r="N29" s="1345">
        <v>69</v>
      </c>
      <c r="O29" s="3400"/>
      <c r="P29" s="1728">
        <v>1982</v>
      </c>
      <c r="Q29" s="1524"/>
    </row>
    <row r="30" spans="3:17" ht="18.95" customHeight="1">
      <c r="C30" s="2771"/>
      <c r="D30" s="4948">
        <v>60.3</v>
      </c>
      <c r="E30" s="4949"/>
      <c r="F30" s="4949"/>
      <c r="G30" s="4949"/>
      <c r="H30" s="1171">
        <v>52.5</v>
      </c>
      <c r="I30" s="4950">
        <v>78.400000000000006</v>
      </c>
      <c r="J30" s="4950"/>
      <c r="K30" s="1171">
        <v>56.3</v>
      </c>
      <c r="L30" s="1171">
        <v>204</v>
      </c>
      <c r="M30" s="1171">
        <v>90.2</v>
      </c>
      <c r="N30" s="1424">
        <v>68.400000000000006</v>
      </c>
      <c r="O30" s="3399"/>
      <c r="P30" s="2324">
        <v>1983</v>
      </c>
      <c r="Q30" s="1617"/>
    </row>
    <row r="31" spans="3:17" ht="18.95" customHeight="1">
      <c r="C31" s="2771"/>
      <c r="D31" s="4945">
        <v>127.2</v>
      </c>
      <c r="E31" s="4725"/>
      <c r="F31" s="4725"/>
      <c r="G31" s="4725"/>
      <c r="H31" s="2244">
        <v>92.3</v>
      </c>
      <c r="I31" s="4730">
        <v>112.3</v>
      </c>
      <c r="J31" s="4730"/>
      <c r="K31" s="2244">
        <v>85</v>
      </c>
      <c r="L31" s="2244">
        <v>232.1</v>
      </c>
      <c r="M31" s="2244">
        <v>96.5</v>
      </c>
      <c r="N31" s="1345">
        <v>96</v>
      </c>
      <c r="O31" s="3400"/>
      <c r="P31" s="1728">
        <v>1984</v>
      </c>
      <c r="Q31" s="1524"/>
    </row>
    <row r="32" spans="3:17" ht="18.95" customHeight="1">
      <c r="C32" s="2771"/>
      <c r="D32" s="4948">
        <v>100</v>
      </c>
      <c r="E32" s="4949"/>
      <c r="F32" s="4949"/>
      <c r="G32" s="4949"/>
      <c r="H32" s="1171">
        <v>100</v>
      </c>
      <c r="I32" s="4950">
        <v>100</v>
      </c>
      <c r="J32" s="4950"/>
      <c r="K32" s="1171">
        <v>100</v>
      </c>
      <c r="L32" s="1171">
        <v>100</v>
      </c>
      <c r="M32" s="1171">
        <v>100</v>
      </c>
      <c r="N32" s="1424">
        <v>100</v>
      </c>
      <c r="O32" s="3399"/>
      <c r="P32" s="2324">
        <v>1985</v>
      </c>
      <c r="Q32" s="1617"/>
    </row>
    <row r="33" spans="3:114" ht="18.95" customHeight="1">
      <c r="C33" s="2771"/>
      <c r="D33" s="4945">
        <v>47.9</v>
      </c>
      <c r="E33" s="4725"/>
      <c r="F33" s="4725"/>
      <c r="G33" s="4725"/>
      <c r="H33" s="2244">
        <v>52.2</v>
      </c>
      <c r="I33" s="4730">
        <v>124</v>
      </c>
      <c r="J33" s="4730"/>
      <c r="K33" s="2244">
        <v>122.5</v>
      </c>
      <c r="L33" s="2244">
        <v>60.5</v>
      </c>
      <c r="M33" s="2244">
        <v>98</v>
      </c>
      <c r="N33" s="1345">
        <v>102.6</v>
      </c>
      <c r="O33" s="3400"/>
      <c r="P33" s="1728">
        <v>1986</v>
      </c>
      <c r="Q33" s="1524"/>
    </row>
    <row r="34" spans="3:114" ht="18.95" customHeight="1">
      <c r="C34" s="2771"/>
      <c r="D34" s="4948">
        <v>78.5</v>
      </c>
      <c r="E34" s="4949"/>
      <c r="F34" s="4949"/>
      <c r="G34" s="4949"/>
      <c r="H34" s="1171">
        <v>104.1</v>
      </c>
      <c r="I34" s="4950">
        <v>157.19999999999999</v>
      </c>
      <c r="J34" s="4950"/>
      <c r="K34" s="1171">
        <v>130.5</v>
      </c>
      <c r="L34" s="1171">
        <v>194.9</v>
      </c>
      <c r="M34" s="1171">
        <v>81.400000000000006</v>
      </c>
      <c r="N34" s="1424">
        <v>121.9</v>
      </c>
      <c r="O34" s="3399"/>
      <c r="P34" s="2324">
        <v>1987</v>
      </c>
      <c r="Q34" s="1617"/>
    </row>
    <row r="35" spans="3:114" ht="18.95" customHeight="1">
      <c r="C35" s="2771"/>
      <c r="D35" s="4945">
        <v>83.6</v>
      </c>
      <c r="E35" s="4725"/>
      <c r="F35" s="4725"/>
      <c r="G35" s="4725"/>
      <c r="H35" s="2244">
        <v>91.6</v>
      </c>
      <c r="I35" s="4730">
        <v>188.9</v>
      </c>
      <c r="J35" s="4730"/>
      <c r="K35" s="2244">
        <v>164.1</v>
      </c>
      <c r="L35" s="2244">
        <v>91.2</v>
      </c>
      <c r="M35" s="2244">
        <v>65.099999999999994</v>
      </c>
      <c r="N35" s="1345">
        <v>136.6</v>
      </c>
      <c r="O35" s="3400"/>
      <c r="P35" s="1728">
        <v>1988</v>
      </c>
      <c r="Q35" s="1524"/>
    </row>
    <row r="36" spans="3:114" ht="18.95" customHeight="1">
      <c r="C36" s="3382"/>
      <c r="D36" s="4948">
        <v>105</v>
      </c>
      <c r="E36" s="4949"/>
      <c r="F36" s="4949"/>
      <c r="G36" s="4949"/>
      <c r="H36" s="1171">
        <v>142.69999999999999</v>
      </c>
      <c r="I36" s="4950">
        <v>227.2</v>
      </c>
      <c r="J36" s="4950"/>
      <c r="K36" s="1171">
        <v>144</v>
      </c>
      <c r="L36" s="1171">
        <v>89.6</v>
      </c>
      <c r="M36" s="1171">
        <v>98.1</v>
      </c>
      <c r="N36" s="1424">
        <v>144</v>
      </c>
      <c r="O36" s="3399"/>
      <c r="P36" s="2324">
        <v>1989</v>
      </c>
      <c r="Q36" s="3401"/>
      <c r="R36" s="1963"/>
      <c r="S36" s="1963"/>
      <c r="T36" s="1963"/>
      <c r="U36" s="1963"/>
      <c r="V36" s="1963"/>
    </row>
    <row r="37" spans="3:114" ht="18.95" customHeight="1">
      <c r="C37" s="3382"/>
      <c r="D37" s="4945">
        <v>124.1</v>
      </c>
      <c r="E37" s="4725"/>
      <c r="F37" s="4725"/>
      <c r="G37" s="4725"/>
      <c r="H37" s="2244">
        <v>130.30000000000001</v>
      </c>
      <c r="I37" s="4730">
        <v>230.7</v>
      </c>
      <c r="J37" s="4730"/>
      <c r="K37" s="2244">
        <v>127.3</v>
      </c>
      <c r="L37" s="2244">
        <v>112</v>
      </c>
      <c r="M37" s="2244">
        <v>88.7</v>
      </c>
      <c r="N37" s="1345">
        <v>138.6</v>
      </c>
      <c r="O37" s="3400"/>
      <c r="P37" s="1728">
        <v>1990</v>
      </c>
      <c r="Q37" s="3402"/>
      <c r="R37" s="1963"/>
      <c r="S37" s="1963"/>
      <c r="T37" s="1963"/>
      <c r="U37" s="1963"/>
      <c r="V37" s="1963"/>
    </row>
    <row r="38" spans="3:114" ht="18.95" customHeight="1">
      <c r="C38" s="3382"/>
      <c r="D38" s="4948">
        <v>89.5</v>
      </c>
      <c r="E38" s="4949"/>
      <c r="F38" s="4949"/>
      <c r="G38" s="4949"/>
      <c r="H38" s="1171">
        <v>96.6</v>
      </c>
      <c r="I38" s="4950">
        <v>190</v>
      </c>
      <c r="J38" s="4950"/>
      <c r="K38" s="1171">
        <v>118.6</v>
      </c>
      <c r="L38" s="1171">
        <v>214.1</v>
      </c>
      <c r="M38" s="1171">
        <v>79.599999999999994</v>
      </c>
      <c r="N38" s="1424">
        <v>121.8</v>
      </c>
      <c r="O38" s="3399"/>
      <c r="P38" s="2324">
        <v>1991</v>
      </c>
      <c r="Q38" s="3401"/>
      <c r="R38" s="1963"/>
      <c r="S38" s="1963"/>
      <c r="T38" s="1963"/>
      <c r="U38" s="1963"/>
      <c r="V38" s="1963"/>
    </row>
    <row r="39" spans="3:114" ht="18.95" customHeight="1">
      <c r="C39" s="3382"/>
      <c r="D39" s="4945">
        <v>139.4</v>
      </c>
      <c r="E39" s="4725"/>
      <c r="F39" s="4725"/>
      <c r="G39" s="4725"/>
      <c r="H39" s="2244">
        <v>103.2</v>
      </c>
      <c r="I39" s="4730">
        <v>216.8</v>
      </c>
      <c r="J39" s="4730"/>
      <c r="K39" s="2244">
        <v>112.8</v>
      </c>
      <c r="L39" s="2244">
        <v>163.19999999999999</v>
      </c>
      <c r="M39" s="2244">
        <v>111.4</v>
      </c>
      <c r="N39" s="1345">
        <v>133.80000000000001</v>
      </c>
      <c r="O39" s="3400"/>
      <c r="P39" s="1728">
        <v>1992</v>
      </c>
      <c r="Q39" s="3402"/>
      <c r="R39" s="1963"/>
      <c r="S39" s="1963"/>
      <c r="T39" s="1963"/>
      <c r="U39" s="1963"/>
      <c r="V39" s="1963"/>
    </row>
    <row r="40" spans="3:114" ht="18.95" customHeight="1">
      <c r="C40" s="2771"/>
      <c r="D40" s="4948">
        <v>154.4</v>
      </c>
      <c r="E40" s="4949"/>
      <c r="F40" s="4949"/>
      <c r="G40" s="4949"/>
      <c r="H40" s="1171">
        <v>122.8</v>
      </c>
      <c r="I40" s="4950">
        <v>216.8</v>
      </c>
      <c r="J40" s="4950"/>
      <c r="K40" s="1171">
        <v>111.9</v>
      </c>
      <c r="L40" s="1171">
        <v>68.2</v>
      </c>
      <c r="M40" s="1171">
        <v>114.6</v>
      </c>
      <c r="N40" s="1424">
        <v>144.5</v>
      </c>
      <c r="O40" s="3399"/>
      <c r="P40" s="2324">
        <v>1993</v>
      </c>
      <c r="Q40" s="3401"/>
      <c r="R40" s="1963"/>
      <c r="S40" s="1963"/>
      <c r="T40" s="1963"/>
      <c r="U40" s="1963"/>
      <c r="V40" s="1963"/>
    </row>
    <row r="41" spans="3:114" ht="18.95" customHeight="1">
      <c r="C41" s="2771"/>
      <c r="D41" s="4945">
        <v>118.2</v>
      </c>
      <c r="E41" s="4725"/>
      <c r="F41" s="4725"/>
      <c r="G41" s="4725"/>
      <c r="H41" s="2244">
        <v>126.7</v>
      </c>
      <c r="I41" s="4730">
        <v>260</v>
      </c>
      <c r="J41" s="4730"/>
      <c r="K41" s="2244">
        <v>115.6</v>
      </c>
      <c r="L41" s="2244">
        <v>68.599999999999994</v>
      </c>
      <c r="M41" s="2244">
        <v>72.099999999999994</v>
      </c>
      <c r="N41" s="1345">
        <v>154.69999999999999</v>
      </c>
      <c r="O41" s="3400"/>
      <c r="P41" s="1728">
        <v>1994</v>
      </c>
      <c r="Q41" s="3402"/>
      <c r="R41" s="1963"/>
      <c r="S41" s="1963"/>
      <c r="T41" s="1963"/>
      <c r="U41" s="1963"/>
      <c r="V41" s="1963"/>
    </row>
    <row r="42" spans="3:114" ht="6" customHeight="1">
      <c r="C42" s="3385"/>
      <c r="D42" s="1641"/>
      <c r="E42" s="1651"/>
      <c r="F42" s="1651"/>
      <c r="G42" s="1651"/>
      <c r="H42" s="2014"/>
      <c r="I42" s="3403"/>
      <c r="J42" s="3403"/>
      <c r="K42" s="2014"/>
      <c r="L42" s="2014"/>
      <c r="M42" s="2014"/>
      <c r="N42" s="1346"/>
      <c r="O42" s="2384"/>
      <c r="P42" s="1724"/>
      <c r="Q42" s="3404"/>
      <c r="R42" s="1963"/>
      <c r="S42" s="1963"/>
      <c r="T42" s="1963"/>
      <c r="U42" s="1963"/>
      <c r="V42" s="1963"/>
    </row>
    <row r="43" spans="3:114" ht="4.3499999999999996" customHeight="1">
      <c r="C43" s="1964"/>
      <c r="D43" s="3386"/>
      <c r="E43" s="3386"/>
      <c r="F43" s="3386"/>
      <c r="G43" s="3386"/>
      <c r="H43" s="3386"/>
      <c r="I43" s="3386"/>
      <c r="J43" s="3386"/>
      <c r="K43" s="3386"/>
      <c r="L43" s="3387"/>
      <c r="M43" s="3386"/>
      <c r="N43" s="3386"/>
      <c r="O43" s="3386"/>
      <c r="P43" s="3386"/>
      <c r="Q43" s="3386"/>
      <c r="R43" s="1963"/>
      <c r="S43" s="1963"/>
      <c r="T43" s="1963"/>
      <c r="U43" s="1963"/>
      <c r="V43" s="1963"/>
    </row>
    <row r="44" spans="3:114" s="1849" customFormat="1" ht="17.100000000000001" customHeight="1">
      <c r="C44" s="2499"/>
      <c r="D44" s="2334" t="s">
        <v>1496</v>
      </c>
      <c r="E44" s="3405"/>
      <c r="F44" s="3405"/>
      <c r="G44" s="3405"/>
      <c r="H44" s="3405"/>
      <c r="I44" s="3405"/>
      <c r="J44" s="3405"/>
      <c r="K44" s="3388"/>
      <c r="L44" s="3388"/>
      <c r="M44" s="3405"/>
      <c r="N44" s="3405"/>
      <c r="O44" s="2313"/>
      <c r="P44" s="3405"/>
      <c r="Q44" s="2773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</row>
    <row r="45" spans="3:114" ht="4.3499999999999996" customHeight="1">
      <c r="C45" s="1190"/>
      <c r="D45" s="1323"/>
      <c r="E45" s="1323"/>
      <c r="F45" s="1323"/>
      <c r="G45" s="1323"/>
      <c r="H45" s="2103"/>
      <c r="I45" s="1763"/>
      <c r="J45" s="1763"/>
      <c r="K45" s="3376"/>
      <c r="L45" s="1323"/>
      <c r="M45" s="2103"/>
      <c r="N45" s="2103"/>
      <c r="O45" s="2282"/>
      <c r="P45" s="2773"/>
      <c r="Q45" s="1323"/>
    </row>
    <row r="46" spans="3:114" s="1999" customFormat="1" ht="6" customHeight="1">
      <c r="C46" s="2390"/>
      <c r="D46" s="1863"/>
      <c r="E46" s="3377"/>
      <c r="F46" s="3377"/>
      <c r="G46" s="3377"/>
      <c r="H46" s="1229"/>
      <c r="I46" s="1226"/>
      <c r="J46" s="1226"/>
      <c r="K46" s="1229"/>
      <c r="L46" s="1226"/>
      <c r="M46" s="1226"/>
      <c r="N46" s="2110"/>
      <c r="O46" s="1278"/>
      <c r="P46" s="1229"/>
      <c r="Q46" s="1230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</row>
    <row r="47" spans="3:114" s="1986" customFormat="1" ht="39.75" customHeight="1">
      <c r="C47" s="2390"/>
      <c r="D47" s="3378" t="s">
        <v>1483</v>
      </c>
      <c r="E47" s="1292"/>
      <c r="F47" s="1292"/>
      <c r="G47" s="1292"/>
      <c r="H47" s="1236"/>
      <c r="I47" s="1362"/>
      <c r="J47" s="1362"/>
      <c r="K47" s="1236"/>
      <c r="L47" s="1362"/>
      <c r="M47" s="1362"/>
      <c r="N47" s="1243" t="s">
        <v>1484</v>
      </c>
      <c r="O47" s="3070"/>
      <c r="P47" s="1236"/>
      <c r="Q47" s="123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</row>
    <row r="48" spans="3:114" ht="21.2" customHeight="1">
      <c r="C48" s="1801"/>
      <c r="D48" s="3379"/>
      <c r="E48" s="2520"/>
      <c r="F48" s="1822"/>
      <c r="G48" s="1384"/>
      <c r="H48" s="1384"/>
      <c r="I48" s="1384"/>
      <c r="J48" s="2548"/>
      <c r="K48" s="2548"/>
      <c r="L48" s="1384"/>
      <c r="M48" s="1384"/>
      <c r="N48" s="1384"/>
      <c r="O48" s="1283"/>
      <c r="P48" s="1283"/>
      <c r="Q48" s="1294"/>
    </row>
    <row r="49" spans="1:114" ht="21.2" customHeight="1">
      <c r="C49" s="1807"/>
      <c r="D49" s="4774" t="s">
        <v>1382</v>
      </c>
      <c r="E49" s="4672"/>
      <c r="F49" s="4685"/>
      <c r="G49" s="1731" t="s">
        <v>1497</v>
      </c>
      <c r="H49" s="1731" t="s">
        <v>1371</v>
      </c>
      <c r="I49" s="1731" t="s">
        <v>1317</v>
      </c>
      <c r="J49" s="1731" t="s">
        <v>1498</v>
      </c>
      <c r="K49" s="1731" t="s">
        <v>1485</v>
      </c>
      <c r="L49" s="2271" t="s">
        <v>1386</v>
      </c>
      <c r="M49" s="1731" t="s">
        <v>1486</v>
      </c>
      <c r="N49" s="1242" t="s">
        <v>1487</v>
      </c>
      <c r="O49" s="1283"/>
      <c r="P49" s="1283"/>
      <c r="Q49" s="1294"/>
      <c r="S49" s="1190"/>
    </row>
    <row r="50" spans="1:114" ht="21.2" customHeight="1">
      <c r="C50" s="1807"/>
      <c r="D50" s="4774" t="s">
        <v>1388</v>
      </c>
      <c r="E50" s="4672"/>
      <c r="F50" s="4685"/>
      <c r="G50" s="1731" t="s">
        <v>668</v>
      </c>
      <c r="H50" s="1731" t="s">
        <v>1373</v>
      </c>
      <c r="I50" s="1731" t="s">
        <v>1390</v>
      </c>
      <c r="J50" s="1731" t="s">
        <v>1499</v>
      </c>
      <c r="K50" s="1731" t="s">
        <v>1488</v>
      </c>
      <c r="L50" s="2271" t="s">
        <v>1393</v>
      </c>
      <c r="M50" s="1731" t="s">
        <v>1489</v>
      </c>
      <c r="N50" s="1242" t="s">
        <v>395</v>
      </c>
      <c r="O50" s="1240"/>
      <c r="P50" s="1240"/>
      <c r="Q50" s="2273"/>
    </row>
    <row r="51" spans="1:114" ht="21.2" customHeight="1">
      <c r="C51" s="1807"/>
      <c r="D51" s="1231"/>
      <c r="E51" s="1234"/>
      <c r="F51" s="1998"/>
      <c r="G51" s="1731"/>
      <c r="H51" s="1731"/>
      <c r="I51" s="1731"/>
      <c r="J51" s="1235"/>
      <c r="K51" s="1235"/>
      <c r="L51" s="1731"/>
      <c r="M51" s="1731"/>
      <c r="N51" s="1242"/>
      <c r="O51" s="1283"/>
      <c r="P51" s="1283"/>
      <c r="Q51" s="1294"/>
    </row>
    <row r="52" spans="1:114" ht="21.2" customHeight="1">
      <c r="C52" s="3389"/>
      <c r="D52" s="4954" t="s">
        <v>1500</v>
      </c>
      <c r="E52" s="4682"/>
      <c r="F52" s="4682"/>
      <c r="G52" s="1731" t="s">
        <v>1501</v>
      </c>
      <c r="H52" s="1731"/>
      <c r="I52" s="1731"/>
      <c r="J52" s="1731" t="s">
        <v>1502</v>
      </c>
      <c r="K52" s="1731" t="s">
        <v>1490</v>
      </c>
      <c r="L52" s="1731" t="s">
        <v>1491</v>
      </c>
      <c r="M52" s="1731" t="s">
        <v>1404</v>
      </c>
      <c r="N52" s="1242"/>
      <c r="O52" s="1240"/>
      <c r="P52" s="1240"/>
      <c r="Q52" s="2273"/>
    </row>
    <row r="53" spans="1:114" ht="21.2" customHeight="1">
      <c r="C53" s="1807"/>
      <c r="D53" s="4954" t="s">
        <v>1503</v>
      </c>
      <c r="E53" s="4682"/>
      <c r="F53" s="4682"/>
      <c r="G53" s="1731" t="s">
        <v>1411</v>
      </c>
      <c r="H53" s="1731" t="s">
        <v>1410</v>
      </c>
      <c r="I53" s="1731"/>
      <c r="J53" s="1731" t="s">
        <v>1406</v>
      </c>
      <c r="K53" s="1731" t="s">
        <v>1330</v>
      </c>
      <c r="L53" s="1731" t="s">
        <v>127</v>
      </c>
      <c r="M53" s="1731" t="s">
        <v>1493</v>
      </c>
      <c r="N53" s="1242" t="s">
        <v>401</v>
      </c>
      <c r="O53" s="1283"/>
      <c r="P53" s="1283"/>
      <c r="Q53" s="1294"/>
    </row>
    <row r="54" spans="1:114" s="1801" customFormat="1" ht="21.2" customHeight="1">
      <c r="C54" s="1807"/>
      <c r="D54" s="4953" t="s">
        <v>1417</v>
      </c>
      <c r="E54" s="4769"/>
      <c r="F54" s="4769"/>
      <c r="G54" s="1732" t="s">
        <v>1504</v>
      </c>
      <c r="H54" s="1732" t="s">
        <v>1329</v>
      </c>
      <c r="I54" s="1732" t="s">
        <v>1419</v>
      </c>
      <c r="J54" s="1732" t="s">
        <v>1505</v>
      </c>
      <c r="K54" s="1732" t="s">
        <v>1494</v>
      </c>
      <c r="L54" s="1732" t="s">
        <v>1421</v>
      </c>
      <c r="M54" s="1732" t="s">
        <v>1422</v>
      </c>
      <c r="N54" s="2515" t="s">
        <v>1495</v>
      </c>
      <c r="O54" s="1772"/>
      <c r="P54" s="1772"/>
      <c r="Q54" s="2123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</row>
    <row r="55" spans="1:114" s="3357" customFormat="1" ht="20.100000000000001" customHeight="1">
      <c r="A55" s="1174"/>
      <c r="B55" s="1174"/>
      <c r="C55" s="2771"/>
      <c r="D55" s="4945">
        <v>102.9</v>
      </c>
      <c r="E55" s="4725"/>
      <c r="F55" s="4725"/>
      <c r="G55" s="2244">
        <v>110.8</v>
      </c>
      <c r="H55" s="2244">
        <v>89.9</v>
      </c>
      <c r="I55" s="2244">
        <v>97.4</v>
      </c>
      <c r="J55" s="2244">
        <v>164.1</v>
      </c>
      <c r="K55" s="2244">
        <v>114.9</v>
      </c>
      <c r="L55" s="2244">
        <v>149.30000000000001</v>
      </c>
      <c r="M55" s="2244">
        <v>100.7</v>
      </c>
      <c r="N55" s="1345">
        <v>108.7</v>
      </c>
      <c r="O55" s="1173"/>
      <c r="P55" s="1728">
        <v>1995</v>
      </c>
      <c r="Q55" s="1524"/>
      <c r="R55" s="1174"/>
      <c r="S55" s="1174"/>
      <c r="T55" s="1174"/>
      <c r="U55" s="1174"/>
      <c r="V55" s="1174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</row>
    <row r="56" spans="1:114" ht="20.100000000000001" customHeight="1">
      <c r="C56" s="2771"/>
      <c r="D56" s="4946">
        <v>135</v>
      </c>
      <c r="E56" s="4947"/>
      <c r="F56" s="4947"/>
      <c r="G56" s="1577">
        <v>57.9</v>
      </c>
      <c r="H56" s="1577">
        <v>112.3</v>
      </c>
      <c r="I56" s="1577">
        <v>97.9</v>
      </c>
      <c r="J56" s="1577">
        <v>72.099999999999994</v>
      </c>
      <c r="K56" s="1577">
        <v>118.8</v>
      </c>
      <c r="L56" s="1577">
        <v>105.5</v>
      </c>
      <c r="M56" s="1577">
        <v>129.4</v>
      </c>
      <c r="N56" s="1525">
        <v>105.8</v>
      </c>
      <c r="O56" s="1527"/>
      <c r="P56" s="1475">
        <v>1996</v>
      </c>
      <c r="Q56" s="1526"/>
    </row>
    <row r="57" spans="1:114" s="3357" customFormat="1" ht="20.100000000000001" customHeight="1">
      <c r="A57" s="1174"/>
      <c r="B57" s="1174"/>
      <c r="C57" s="2771"/>
      <c r="D57" s="4945">
        <v>150.80000000000001</v>
      </c>
      <c r="E57" s="4725"/>
      <c r="F57" s="4725"/>
      <c r="G57" s="2244">
        <v>91.1</v>
      </c>
      <c r="H57" s="2244">
        <v>120</v>
      </c>
      <c r="I57" s="2244">
        <v>105.5</v>
      </c>
      <c r="J57" s="2244">
        <v>107.4</v>
      </c>
      <c r="K57" s="2244">
        <v>108</v>
      </c>
      <c r="L57" s="2244">
        <v>99.6</v>
      </c>
      <c r="M57" s="2244">
        <v>137.19999999999999</v>
      </c>
      <c r="N57" s="1345">
        <v>113</v>
      </c>
      <c r="O57" s="1173"/>
      <c r="P57" s="1728">
        <v>1997</v>
      </c>
      <c r="Q57" s="1524"/>
      <c r="R57" s="1174"/>
      <c r="S57" s="1174"/>
      <c r="T57" s="1174"/>
      <c r="U57" s="1174"/>
      <c r="V57" s="1174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</row>
    <row r="58" spans="1:114" ht="20.100000000000001" customHeight="1">
      <c r="C58" s="2771"/>
      <c r="D58" s="4946">
        <v>241.6</v>
      </c>
      <c r="E58" s="4947"/>
      <c r="F58" s="4947"/>
      <c r="G58" s="1577">
        <v>88.4</v>
      </c>
      <c r="H58" s="1577">
        <v>105.5</v>
      </c>
      <c r="I58" s="1577">
        <v>117.7</v>
      </c>
      <c r="J58" s="1577">
        <v>75</v>
      </c>
      <c r="K58" s="1577">
        <v>110.9</v>
      </c>
      <c r="L58" s="1577">
        <v>179.5</v>
      </c>
      <c r="M58" s="1577">
        <v>136.5</v>
      </c>
      <c r="N58" s="1525">
        <v>116.2</v>
      </c>
      <c r="O58" s="1527"/>
      <c r="P58" s="1475">
        <v>1998</v>
      </c>
      <c r="Q58" s="1526"/>
    </row>
    <row r="59" spans="1:114" s="3357" customFormat="1" ht="20.100000000000001" customHeight="1">
      <c r="A59" s="1174"/>
      <c r="B59" s="1174"/>
      <c r="C59" s="2771"/>
      <c r="D59" s="4945">
        <v>231.7</v>
      </c>
      <c r="E59" s="4725"/>
      <c r="F59" s="4725"/>
      <c r="G59" s="2244">
        <v>139.1</v>
      </c>
      <c r="H59" s="2244">
        <v>123.7</v>
      </c>
      <c r="I59" s="2244">
        <v>128.1</v>
      </c>
      <c r="J59" s="2244">
        <v>64.5</v>
      </c>
      <c r="K59" s="2244">
        <v>105.7</v>
      </c>
      <c r="L59" s="2244">
        <v>93.2</v>
      </c>
      <c r="M59" s="2244">
        <v>115.3</v>
      </c>
      <c r="N59" s="1345">
        <v>119.5</v>
      </c>
      <c r="O59" s="1173"/>
      <c r="P59" s="1728">
        <v>1999</v>
      </c>
      <c r="Q59" s="1524"/>
      <c r="R59" s="1174"/>
      <c r="S59" s="1174"/>
      <c r="T59" s="1174"/>
      <c r="U59" s="1174"/>
      <c r="V59" s="1174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</row>
    <row r="60" spans="1:114" ht="20.100000000000001" customHeight="1">
      <c r="C60" s="2771"/>
      <c r="D60" s="4946">
        <v>384.1</v>
      </c>
      <c r="E60" s="4947"/>
      <c r="F60" s="4947"/>
      <c r="G60" s="1577">
        <v>140.6</v>
      </c>
      <c r="H60" s="1577">
        <v>135.9</v>
      </c>
      <c r="I60" s="1577">
        <v>129</v>
      </c>
      <c r="J60" s="1577">
        <v>77.900000000000006</v>
      </c>
      <c r="K60" s="1577">
        <v>107.2</v>
      </c>
      <c r="L60" s="1577">
        <v>296.7</v>
      </c>
      <c r="M60" s="1577">
        <v>108.8</v>
      </c>
      <c r="N60" s="1525">
        <v>128.9</v>
      </c>
      <c r="O60" s="1527"/>
      <c r="P60" s="1475">
        <v>2000</v>
      </c>
      <c r="Q60" s="1526"/>
    </row>
    <row r="61" spans="1:114" s="3357" customFormat="1" ht="20.100000000000001" customHeight="1">
      <c r="A61" s="1174"/>
      <c r="B61" s="1174"/>
      <c r="C61" s="2771"/>
      <c r="D61" s="4945">
        <v>722.3</v>
      </c>
      <c r="E61" s="4725"/>
      <c r="F61" s="4725"/>
      <c r="G61" s="2244">
        <v>243.2</v>
      </c>
      <c r="H61" s="2244">
        <v>184.6</v>
      </c>
      <c r="I61" s="2244">
        <v>132.1</v>
      </c>
      <c r="J61" s="2244">
        <v>71.599999999999994</v>
      </c>
      <c r="K61" s="2244">
        <v>114.7</v>
      </c>
      <c r="L61" s="2244">
        <v>801.1</v>
      </c>
      <c r="M61" s="2244">
        <v>104.7</v>
      </c>
      <c r="N61" s="1345">
        <v>158.69999999999999</v>
      </c>
      <c r="O61" s="1173"/>
      <c r="P61" s="1728">
        <v>2001</v>
      </c>
      <c r="Q61" s="1524"/>
      <c r="R61" s="1174"/>
      <c r="S61" s="1174"/>
      <c r="T61" s="1174"/>
      <c r="U61" s="1174"/>
      <c r="V61" s="1174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</row>
    <row r="62" spans="1:114" ht="20.100000000000001" customHeight="1">
      <c r="C62" s="2771"/>
      <c r="D62" s="4946">
        <v>1110.9000000000001</v>
      </c>
      <c r="E62" s="4947"/>
      <c r="F62" s="4947"/>
      <c r="G62" s="1577">
        <v>205.2</v>
      </c>
      <c r="H62" s="1577">
        <v>157.4</v>
      </c>
      <c r="I62" s="1577">
        <v>143.1</v>
      </c>
      <c r="J62" s="1577">
        <v>115.3</v>
      </c>
      <c r="K62" s="1577">
        <v>119.5</v>
      </c>
      <c r="L62" s="1577">
        <v>1140.5999999999999</v>
      </c>
      <c r="M62" s="1577">
        <v>120.8</v>
      </c>
      <c r="N62" s="1525">
        <v>182.5</v>
      </c>
      <c r="O62" s="1527"/>
      <c r="P62" s="1475">
        <v>2002</v>
      </c>
      <c r="Q62" s="1526"/>
    </row>
    <row r="63" spans="1:114" s="3360" customFormat="1" ht="20.100000000000001" customHeight="1">
      <c r="A63" s="1174"/>
      <c r="B63" s="1174"/>
      <c r="C63" s="1807"/>
      <c r="D63" s="4945">
        <v>1622.6</v>
      </c>
      <c r="E63" s="4725"/>
      <c r="F63" s="4725"/>
      <c r="G63" s="1724">
        <v>158.1</v>
      </c>
      <c r="H63" s="1724">
        <v>145</v>
      </c>
      <c r="I63" s="1724">
        <v>141.69999999999999</v>
      </c>
      <c r="J63" s="1724">
        <v>71</v>
      </c>
      <c r="K63" s="1724">
        <v>118.2</v>
      </c>
      <c r="L63" s="1724">
        <v>1659.1</v>
      </c>
      <c r="M63" s="1724">
        <v>126.1</v>
      </c>
      <c r="N63" s="1345">
        <v>196.1</v>
      </c>
      <c r="O63" s="1173"/>
      <c r="P63" s="1728">
        <v>2003</v>
      </c>
      <c r="Q63" s="1524"/>
      <c r="R63" s="1174"/>
      <c r="S63" s="1174"/>
      <c r="T63" s="1174"/>
      <c r="U63" s="1174"/>
      <c r="V63" s="1174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</row>
    <row r="64" spans="1:114" s="1801" customFormat="1" ht="20.100000000000001" customHeight="1">
      <c r="A64" s="1174"/>
      <c r="B64" s="1174"/>
      <c r="C64" s="1807"/>
      <c r="D64" s="4946">
        <v>2568.3000000000002</v>
      </c>
      <c r="E64" s="4947"/>
      <c r="F64" s="4947"/>
      <c r="G64" s="1739">
        <v>166.9</v>
      </c>
      <c r="H64" s="1739">
        <v>150.1</v>
      </c>
      <c r="I64" s="1739">
        <v>153.80000000000001</v>
      </c>
      <c r="J64" s="1739">
        <v>191.5</v>
      </c>
      <c r="K64" s="1739">
        <v>126.1</v>
      </c>
      <c r="L64" s="1739">
        <v>1582.7</v>
      </c>
      <c r="M64" s="1739">
        <v>159.19999999999999</v>
      </c>
      <c r="N64" s="1525">
        <v>240.2</v>
      </c>
      <c r="O64" s="1527"/>
      <c r="P64" s="1475">
        <v>2004</v>
      </c>
      <c r="Q64" s="1526"/>
      <c r="R64" s="1174"/>
      <c r="S64" s="1174"/>
      <c r="T64" s="1174"/>
      <c r="U64" s="1174"/>
      <c r="V64" s="117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</row>
    <row r="65" spans="1:114" s="3357" customFormat="1" ht="20.100000000000001" customHeight="1">
      <c r="A65" s="1174"/>
      <c r="B65" s="1174"/>
      <c r="C65" s="3385"/>
      <c r="D65" s="4945">
        <v>2405.6999999999998</v>
      </c>
      <c r="E65" s="4725"/>
      <c r="F65" s="4725"/>
      <c r="G65" s="1724">
        <v>282.5</v>
      </c>
      <c r="H65" s="1724">
        <v>159.80000000000001</v>
      </c>
      <c r="I65" s="1724">
        <v>154.9</v>
      </c>
      <c r="J65" s="1724">
        <v>122.8</v>
      </c>
      <c r="K65" s="1724">
        <v>111.9</v>
      </c>
      <c r="L65" s="1724">
        <v>1589.9</v>
      </c>
      <c r="M65" s="1724">
        <v>208.4</v>
      </c>
      <c r="N65" s="1345">
        <v>234.1</v>
      </c>
      <c r="O65" s="1173"/>
      <c r="P65" s="1728">
        <v>2005</v>
      </c>
      <c r="Q65" s="1524"/>
      <c r="R65" s="1174"/>
      <c r="S65" s="1174"/>
      <c r="T65" s="1174"/>
      <c r="U65" s="1174"/>
      <c r="V65" s="1174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</row>
    <row r="66" spans="1:114" s="1801" customFormat="1" ht="20.100000000000001" customHeight="1">
      <c r="A66" s="1174"/>
      <c r="B66" s="1174"/>
      <c r="C66" s="3393"/>
      <c r="D66" s="4946">
        <v>2537.6</v>
      </c>
      <c r="E66" s="4947"/>
      <c r="F66" s="4947"/>
      <c r="G66" s="1739">
        <v>213.6</v>
      </c>
      <c r="H66" s="1739">
        <v>173.7</v>
      </c>
      <c r="I66" s="1739">
        <v>156</v>
      </c>
      <c r="J66" s="1739">
        <v>104.6</v>
      </c>
      <c r="K66" s="1739">
        <v>101.9</v>
      </c>
      <c r="L66" s="1739">
        <v>2159.6</v>
      </c>
      <c r="M66" s="1739">
        <v>194.1</v>
      </c>
      <c r="N66" s="1525">
        <v>240</v>
      </c>
      <c r="O66" s="1527"/>
      <c r="P66" s="1475">
        <v>2006</v>
      </c>
      <c r="Q66" s="1526"/>
      <c r="R66" s="1174"/>
      <c r="S66" s="1174"/>
      <c r="T66" s="1174"/>
      <c r="U66" s="1174"/>
      <c r="V66" s="1174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</row>
    <row r="67" spans="1:114" s="3357" customFormat="1" ht="20.100000000000001" customHeight="1">
      <c r="A67" s="1174"/>
      <c r="B67" s="1174"/>
      <c r="C67" s="3385"/>
      <c r="D67" s="4945">
        <v>2134</v>
      </c>
      <c r="E67" s="4725"/>
      <c r="F67" s="4725"/>
      <c r="G67" s="1724">
        <v>297.7</v>
      </c>
      <c r="H67" s="1724">
        <v>178.4</v>
      </c>
      <c r="I67" s="1724">
        <v>150.4</v>
      </c>
      <c r="J67" s="1724">
        <v>27.2</v>
      </c>
      <c r="K67" s="1724">
        <v>116</v>
      </c>
      <c r="L67" s="1724">
        <v>2626.2</v>
      </c>
      <c r="M67" s="1724">
        <v>192.8</v>
      </c>
      <c r="N67" s="1345">
        <v>224.8</v>
      </c>
      <c r="O67" s="1173"/>
      <c r="P67" s="1728">
        <v>2007</v>
      </c>
      <c r="Q67" s="1524"/>
      <c r="R67" s="1174"/>
      <c r="S67" s="1174"/>
      <c r="T67" s="1174"/>
      <c r="U67" s="1174"/>
      <c r="V67" s="1174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</row>
    <row r="68" spans="1:114" s="1191" customFormat="1">
      <c r="A68" s="1174"/>
      <c r="B68" s="1174"/>
      <c r="C68" s="1980"/>
      <c r="D68" s="4946">
        <v>1738.8</v>
      </c>
      <c r="E68" s="4947"/>
      <c r="F68" s="4947"/>
      <c r="G68" s="1739">
        <v>318.8</v>
      </c>
      <c r="H68" s="1739">
        <v>260.3</v>
      </c>
      <c r="I68" s="1739">
        <v>156.69999999999999</v>
      </c>
      <c r="J68" s="1739">
        <v>30.6</v>
      </c>
      <c r="K68" s="1739">
        <v>114.6</v>
      </c>
      <c r="L68" s="1739">
        <v>2903.6</v>
      </c>
      <c r="M68" s="1739">
        <v>257.10000000000002</v>
      </c>
      <c r="N68" s="1525">
        <v>202.3</v>
      </c>
      <c r="O68" s="1527"/>
      <c r="P68" s="1475">
        <v>2008</v>
      </c>
      <c r="Q68" s="1526"/>
      <c r="R68" s="1174"/>
      <c r="S68" s="1174"/>
      <c r="T68" s="1174"/>
      <c r="U68" s="1174"/>
      <c r="V68" s="1174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</row>
    <row r="69" spans="1:114" s="1191" customFormat="1">
      <c r="C69" s="1980"/>
      <c r="D69" s="4945">
        <v>1469.9</v>
      </c>
      <c r="E69" s="4725"/>
      <c r="F69" s="4725"/>
      <c r="G69" s="1724">
        <v>230.6</v>
      </c>
      <c r="H69" s="1724">
        <v>285.89999999999998</v>
      </c>
      <c r="I69" s="1724">
        <v>152.69999999999999</v>
      </c>
      <c r="J69" s="1724">
        <v>10.4</v>
      </c>
      <c r="K69" s="1724">
        <v>72</v>
      </c>
      <c r="L69" s="1724">
        <v>2389.4</v>
      </c>
      <c r="M69" s="1724">
        <v>270.60000000000002</v>
      </c>
      <c r="N69" s="1345">
        <v>178.2</v>
      </c>
      <c r="O69" s="1173"/>
      <c r="P69" s="1728">
        <v>2009</v>
      </c>
      <c r="Q69" s="1524"/>
      <c r="R69" s="1174"/>
      <c r="S69" s="1174"/>
      <c r="T69" s="1174"/>
      <c r="U69" s="1174"/>
      <c r="V69" s="1174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</row>
    <row r="70" spans="1:114" s="1191" customFormat="1">
      <c r="C70" s="1980"/>
      <c r="D70" s="4946">
        <v>1726.2</v>
      </c>
      <c r="E70" s="4947"/>
      <c r="F70" s="4947"/>
      <c r="G70" s="4482">
        <v>247.5</v>
      </c>
      <c r="H70" s="4482">
        <v>335.6</v>
      </c>
      <c r="I70" s="4482">
        <v>199.7</v>
      </c>
      <c r="J70" s="4482">
        <v>13.3</v>
      </c>
      <c r="K70" s="4482">
        <v>130.9</v>
      </c>
      <c r="L70" s="4482">
        <v>2565.8000000000002</v>
      </c>
      <c r="M70" s="4482">
        <v>247.5</v>
      </c>
      <c r="N70" s="1525">
        <v>241.6</v>
      </c>
      <c r="O70" s="1527"/>
      <c r="P70" s="1475">
        <v>2010</v>
      </c>
      <c r="Q70" s="1526"/>
      <c r="R70" s="1980"/>
      <c r="S70" s="1980"/>
      <c r="T70" s="1980"/>
      <c r="U70" s="1980"/>
      <c r="V70" s="198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</row>
    <row r="71" spans="1:114" s="1191" customFormat="1">
      <c r="C71" s="1980"/>
      <c r="D71" s="4945">
        <v>1731.8</v>
      </c>
      <c r="E71" s="4725"/>
      <c r="F71" s="4725"/>
      <c r="G71" s="4481">
        <v>247.6</v>
      </c>
      <c r="H71" s="4481">
        <v>341.3</v>
      </c>
      <c r="I71" s="4481">
        <v>180.9</v>
      </c>
      <c r="J71" s="4481">
        <v>20.399999999999999</v>
      </c>
      <c r="K71" s="4481">
        <v>155.30000000000001</v>
      </c>
      <c r="L71" s="4481">
        <v>2079.5</v>
      </c>
      <c r="M71" s="4481">
        <v>289.60000000000002</v>
      </c>
      <c r="N71" s="1345">
        <v>245.3</v>
      </c>
      <c r="O71" s="1173"/>
      <c r="P71" s="4480">
        <v>2011</v>
      </c>
      <c r="Q71" s="1524"/>
      <c r="R71" s="3406"/>
      <c r="S71" s="1980"/>
      <c r="T71" s="1980"/>
      <c r="U71" s="1980"/>
      <c r="V71" s="1980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</row>
    <row r="72" spans="1:114" s="1191" customFormat="1">
      <c r="C72" s="1980"/>
      <c r="D72" s="4946">
        <v>1986.3</v>
      </c>
      <c r="E72" s="4947"/>
      <c r="F72" s="4947"/>
      <c r="G72" s="4482">
        <v>259.7</v>
      </c>
      <c r="H72" s="4482">
        <v>342.4</v>
      </c>
      <c r="I72" s="4482">
        <v>182</v>
      </c>
      <c r="J72" s="4482">
        <v>24.8</v>
      </c>
      <c r="K72" s="4482">
        <v>116.2</v>
      </c>
      <c r="L72" s="4482">
        <v>2881.5</v>
      </c>
      <c r="M72" s="4482">
        <v>263.89999999999998</v>
      </c>
      <c r="N72" s="1525">
        <v>225.2</v>
      </c>
      <c r="O72" s="1527"/>
      <c r="P72" s="1475">
        <v>2012</v>
      </c>
      <c r="Q72" s="1526"/>
      <c r="R72" s="3406"/>
      <c r="S72" s="1980"/>
      <c r="T72" s="1980"/>
      <c r="U72" s="1980"/>
      <c r="V72" s="1980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</row>
    <row r="73" spans="1:114" s="1191" customFormat="1">
      <c r="C73" s="1980"/>
      <c r="D73" s="4945">
        <v>2242.4</v>
      </c>
      <c r="E73" s="4725"/>
      <c r="F73" s="4725"/>
      <c r="G73" s="4481">
        <v>311.3</v>
      </c>
      <c r="H73" s="4481">
        <v>363.3</v>
      </c>
      <c r="I73" s="4481">
        <v>216.8</v>
      </c>
      <c r="J73" s="4481">
        <v>19.399999999999999</v>
      </c>
      <c r="K73" s="4481">
        <v>101.9</v>
      </c>
      <c r="L73" s="4481">
        <v>3479.2</v>
      </c>
      <c r="M73" s="4481">
        <v>296.3</v>
      </c>
      <c r="N73" s="1345">
        <v>248</v>
      </c>
      <c r="O73" s="1173"/>
      <c r="P73" s="4480">
        <v>2013</v>
      </c>
      <c r="Q73" s="1524"/>
      <c r="R73" s="3407"/>
      <c r="S73" s="1980"/>
      <c r="T73" s="1980"/>
      <c r="U73" s="1980"/>
      <c r="V73" s="1980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</row>
    <row r="74" spans="1:114" s="1191" customFormat="1">
      <c r="C74" s="1980"/>
      <c r="D74" s="4946">
        <v>1386.1</v>
      </c>
      <c r="E74" s="4947"/>
      <c r="F74" s="4947"/>
      <c r="G74" s="4482">
        <v>462.3</v>
      </c>
      <c r="H74" s="4482">
        <v>327.39999999999998</v>
      </c>
      <c r="I74" s="4482">
        <v>199.5</v>
      </c>
      <c r="J74" s="4482">
        <v>13.5</v>
      </c>
      <c r="K74" s="4482">
        <v>133.30000000000001</v>
      </c>
      <c r="L74" s="4482">
        <v>3501.3</v>
      </c>
      <c r="M74" s="4482">
        <v>303.39999999999998</v>
      </c>
      <c r="N74" s="1525">
        <v>261.3</v>
      </c>
      <c r="O74" s="1527"/>
      <c r="P74" s="1475">
        <v>2014</v>
      </c>
      <c r="Q74" s="1526"/>
      <c r="R74" s="3406"/>
      <c r="S74" s="1980"/>
      <c r="T74" s="1980"/>
      <c r="U74" s="1980"/>
      <c r="V74" s="1980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</row>
    <row r="75" spans="1:114" s="1191" customFormat="1">
      <c r="C75" s="1980"/>
      <c r="D75" s="4945">
        <v>1556.6416666666667</v>
      </c>
      <c r="E75" s="4725"/>
      <c r="F75" s="4725"/>
      <c r="G75" s="4481">
        <v>442.96666666666664</v>
      </c>
      <c r="H75" s="4481">
        <v>266.56666666666672</v>
      </c>
      <c r="I75" s="4481">
        <v>178.43333333333331</v>
      </c>
      <c r="J75" s="4481">
        <v>7.7833333333333341</v>
      </c>
      <c r="K75" s="4481">
        <v>137.1</v>
      </c>
      <c r="L75" s="4481">
        <v>3062.2333333333331</v>
      </c>
      <c r="M75" s="4481">
        <v>296.69166666666666</v>
      </c>
      <c r="N75" s="1345">
        <v>254.79166666666666</v>
      </c>
      <c r="O75" s="1173"/>
      <c r="P75" s="4480">
        <v>2015</v>
      </c>
      <c r="Q75" s="1524"/>
      <c r="R75" s="3407"/>
      <c r="S75" s="1980"/>
      <c r="T75" s="1980"/>
      <c r="U75" s="1980"/>
      <c r="V75" s="1980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</row>
    <row r="76" spans="1:114" s="1191" customFormat="1" ht="24">
      <c r="C76" s="1980"/>
      <c r="D76" s="4946">
        <v>1271.8</v>
      </c>
      <c r="E76" s="4947"/>
      <c r="F76" s="4947"/>
      <c r="G76" s="4511">
        <v>283.3</v>
      </c>
      <c r="H76" s="4511">
        <v>249.5</v>
      </c>
      <c r="I76" s="4511">
        <v>205.2</v>
      </c>
      <c r="J76" s="4511">
        <v>10.7</v>
      </c>
      <c r="K76" s="4511">
        <v>119.7</v>
      </c>
      <c r="L76" s="4511">
        <v>2057.5</v>
      </c>
      <c r="M76" s="4511">
        <v>249.9</v>
      </c>
      <c r="N76" s="1525">
        <v>245.1</v>
      </c>
      <c r="O76" s="1527"/>
      <c r="P76" s="1658" t="s">
        <v>2618</v>
      </c>
      <c r="Q76" s="1526"/>
      <c r="R76" s="3406"/>
      <c r="S76" s="1980"/>
      <c r="T76" s="1980"/>
      <c r="U76" s="1980"/>
      <c r="V76" s="1980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</row>
    <row r="77" spans="1:114" s="1191" customFormat="1" ht="24">
      <c r="C77" s="1980"/>
      <c r="D77" s="4945">
        <v>1048.7</v>
      </c>
      <c r="E77" s="4725"/>
      <c r="F77" s="4725"/>
      <c r="G77" s="4510">
        <v>228.3</v>
      </c>
      <c r="H77" s="4510">
        <v>253.2</v>
      </c>
      <c r="I77" s="4510">
        <v>213.2</v>
      </c>
      <c r="J77" s="4510">
        <v>5.3</v>
      </c>
      <c r="K77" s="4510">
        <v>129</v>
      </c>
      <c r="L77" s="4510">
        <v>1590.6</v>
      </c>
      <c r="M77" s="4510">
        <v>251.1</v>
      </c>
      <c r="N77" s="1345">
        <v>253.2</v>
      </c>
      <c r="O77" s="1173"/>
      <c r="P77" s="4501" t="s">
        <v>2748</v>
      </c>
      <c r="Q77" s="1524"/>
      <c r="R77" s="3407"/>
      <c r="S77" s="1980"/>
      <c r="T77" s="1980"/>
      <c r="U77" s="1980"/>
      <c r="V77" s="1980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</row>
    <row r="78" spans="1:114" s="1191" customFormat="1" ht="24">
      <c r="C78" s="1980"/>
      <c r="D78" s="4946">
        <v>857.74166666666702</v>
      </c>
      <c r="E78" s="4947"/>
      <c r="F78" s="4947"/>
      <c r="G78" s="4511">
        <v>257.90833333333336</v>
      </c>
      <c r="H78" s="4511">
        <v>233.07500000000002</v>
      </c>
      <c r="I78" s="4511">
        <v>227.50833333333333</v>
      </c>
      <c r="J78" s="4511">
        <v>4.1416666666666666</v>
      </c>
      <c r="K78" s="4511">
        <v>138.25000000000003</v>
      </c>
      <c r="L78" s="4511">
        <v>1722.9166666666667</v>
      </c>
      <c r="M78" s="4511">
        <v>183.65</v>
      </c>
      <c r="N78" s="1525">
        <v>245.1333333333333</v>
      </c>
      <c r="O78" s="1527"/>
      <c r="P78" s="1658" t="s">
        <v>2928</v>
      </c>
      <c r="Q78" s="1526"/>
      <c r="R78" s="3406"/>
      <c r="S78" s="1980"/>
      <c r="T78" s="1980"/>
      <c r="U78" s="1980"/>
      <c r="V78" s="1980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</row>
    <row r="79" spans="1:114" s="1191" customFormat="1" ht="24">
      <c r="C79" s="1980"/>
      <c r="D79" s="4945">
        <v>989.1</v>
      </c>
      <c r="E79" s="4725"/>
      <c r="F79" s="4725"/>
      <c r="G79" s="4510">
        <v>134.1</v>
      </c>
      <c r="H79" s="4510">
        <v>311.89999999999998</v>
      </c>
      <c r="I79" s="4510">
        <v>280.89999999999998</v>
      </c>
      <c r="J79" s="4510">
        <v>3.8</v>
      </c>
      <c r="K79" s="4510">
        <v>143.9</v>
      </c>
      <c r="L79" s="4510">
        <v>1338.5</v>
      </c>
      <c r="M79" s="4510">
        <v>279</v>
      </c>
      <c r="N79" s="1345">
        <v>293.2</v>
      </c>
      <c r="O79" s="1173"/>
      <c r="P79" s="4501" t="s">
        <v>3028</v>
      </c>
      <c r="Q79" s="1524"/>
      <c r="R79" s="3407"/>
      <c r="S79" s="1980"/>
      <c r="T79" s="1980"/>
      <c r="U79" s="1980"/>
      <c r="V79" s="1980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</row>
    <row r="80" spans="1:114" s="1191" customFormat="1" ht="24">
      <c r="C80" s="1980"/>
      <c r="D80" s="4946">
        <v>831.9</v>
      </c>
      <c r="E80" s="4947"/>
      <c r="F80" s="4947"/>
      <c r="G80" s="4511">
        <v>124.76666666666664</v>
      </c>
      <c r="H80" s="4511">
        <v>284.73333333333329</v>
      </c>
      <c r="I80" s="4511">
        <v>364.63333333333338</v>
      </c>
      <c r="J80" s="4511">
        <v>9.5833333333333339</v>
      </c>
      <c r="K80" s="4511">
        <v>132.85833333333335</v>
      </c>
      <c r="L80" s="4511">
        <v>1365.5916666666665</v>
      </c>
      <c r="M80" s="4511">
        <v>252.4</v>
      </c>
      <c r="N80" s="1525">
        <v>301.3</v>
      </c>
      <c r="O80" s="1527"/>
      <c r="P80" s="1658" t="s">
        <v>3101</v>
      </c>
      <c r="Q80" s="1526"/>
      <c r="R80" s="3407"/>
      <c r="S80" s="1980"/>
      <c r="T80" s="1980"/>
      <c r="U80" s="1980"/>
      <c r="V80" s="19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</row>
    <row r="81" spans="3:114" ht="24">
      <c r="C81" s="1963"/>
      <c r="D81" s="4945">
        <v>780.2</v>
      </c>
      <c r="E81" s="4725"/>
      <c r="F81" s="4725"/>
      <c r="G81" s="4517">
        <v>181.5</v>
      </c>
      <c r="H81" s="4517">
        <v>445.5</v>
      </c>
      <c r="I81" s="4517">
        <v>320.10000000000002</v>
      </c>
      <c r="J81" s="4517">
        <v>6.9</v>
      </c>
      <c r="K81" s="4517">
        <v>190.1</v>
      </c>
      <c r="L81" s="4517">
        <v>1518.3</v>
      </c>
      <c r="M81" s="4517">
        <v>333.3</v>
      </c>
      <c r="N81" s="1345">
        <v>326.2</v>
      </c>
      <c r="O81" s="1173"/>
      <c r="P81" s="4529" t="s">
        <v>3106</v>
      </c>
      <c r="Q81" s="1524"/>
      <c r="R81" s="1963"/>
      <c r="S81" s="1963"/>
      <c r="T81" s="1963"/>
      <c r="U81" s="1963"/>
      <c r="V81" s="1963"/>
    </row>
    <row r="82" spans="3:114" s="1191" customFormat="1" ht="24">
      <c r="C82" s="1980"/>
      <c r="D82" s="4951">
        <v>1306.8</v>
      </c>
      <c r="E82" s="4952"/>
      <c r="F82" s="4952"/>
      <c r="G82" s="3395">
        <v>328.1</v>
      </c>
      <c r="H82" s="3395">
        <v>399.2</v>
      </c>
      <c r="I82" s="3395">
        <v>321.2</v>
      </c>
      <c r="J82" s="3395">
        <v>6.9</v>
      </c>
      <c r="K82" s="3395">
        <v>361.7</v>
      </c>
      <c r="L82" s="3395">
        <v>1167.5</v>
      </c>
      <c r="M82" s="3395">
        <v>372.3</v>
      </c>
      <c r="N82" s="4559">
        <v>421.1</v>
      </c>
      <c r="O82" s="4562"/>
      <c r="P82" s="4552" t="s">
        <v>3116</v>
      </c>
      <c r="Q82" s="4561"/>
      <c r="R82" s="3407"/>
      <c r="S82" s="1980"/>
      <c r="T82" s="1980"/>
      <c r="U82" s="1980"/>
      <c r="V82" s="1980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</row>
    <row r="83" spans="3:114">
      <c r="C83" s="1963"/>
      <c r="D83" s="453" t="s">
        <v>1511</v>
      </c>
      <c r="E83" s="426"/>
      <c r="F83" s="426"/>
      <c r="G83" s="2082"/>
      <c r="H83" s="2082"/>
      <c r="I83" s="2082"/>
      <c r="J83" s="2082"/>
      <c r="K83" s="2082"/>
      <c r="L83" s="2082"/>
      <c r="M83" s="2082"/>
      <c r="N83" s="2082"/>
      <c r="O83" s="2088"/>
      <c r="P83" s="4495"/>
      <c r="Q83" s="3288" t="s">
        <v>1512</v>
      </c>
      <c r="R83" s="1963"/>
      <c r="S83" s="1963"/>
      <c r="T83" s="1963"/>
      <c r="U83" s="1963"/>
      <c r="V83" s="1963"/>
    </row>
    <row r="84" spans="3:114">
      <c r="C84" s="1963"/>
      <c r="H84" s="1843"/>
      <c r="I84" s="1843"/>
      <c r="J84" s="1843"/>
      <c r="K84" s="1843"/>
      <c r="L84" s="1843"/>
      <c r="R84" s="1963"/>
      <c r="S84" s="1963"/>
      <c r="T84" s="1963"/>
      <c r="U84" s="1963"/>
      <c r="V84" s="1963"/>
    </row>
    <row r="85" spans="3:114">
      <c r="C85" s="1963"/>
      <c r="D85" s="1843"/>
      <c r="E85" s="1843"/>
      <c r="F85" s="1843"/>
      <c r="G85" s="1843"/>
      <c r="H85" s="1843"/>
      <c r="I85" s="1843"/>
      <c r="J85" s="1843"/>
      <c r="K85" s="1843"/>
      <c r="L85" s="1843"/>
      <c r="M85" s="1843"/>
      <c r="N85" s="1843"/>
      <c r="O85" s="2618"/>
      <c r="P85" s="1843"/>
      <c r="Q85" s="1843"/>
      <c r="R85" s="1963"/>
      <c r="S85" s="1963"/>
      <c r="T85" s="1963"/>
      <c r="U85" s="1963"/>
      <c r="V85" s="1963"/>
    </row>
    <row r="86" spans="3:114">
      <c r="C86" s="1963"/>
      <c r="D86" s="1843"/>
      <c r="E86" s="1843"/>
      <c r="F86" s="1843"/>
      <c r="G86" s="1843"/>
      <c r="H86" s="1843"/>
      <c r="I86" s="1843"/>
      <c r="J86" s="1843"/>
      <c r="K86" s="1843"/>
      <c r="L86" s="1843"/>
      <c r="M86" s="1843"/>
      <c r="N86" s="1843"/>
      <c r="O86" s="2618"/>
      <c r="P86" s="1843"/>
      <c r="Q86" s="1843"/>
      <c r="R86" s="1963"/>
      <c r="S86" s="1963"/>
      <c r="T86" s="1963"/>
      <c r="U86" s="1963"/>
      <c r="V86" s="1963"/>
    </row>
    <row r="87" spans="3:114">
      <c r="C87" s="1963"/>
      <c r="D87" s="1843"/>
      <c r="E87" s="1843"/>
      <c r="F87" s="1843"/>
      <c r="G87" s="1843"/>
      <c r="H87" s="1843"/>
      <c r="I87" s="1843"/>
      <c r="J87" s="1843"/>
      <c r="K87" s="1843"/>
      <c r="L87" s="1843"/>
      <c r="M87" s="1843"/>
      <c r="N87" s="1843"/>
      <c r="O87" s="2618"/>
      <c r="P87" s="1843"/>
      <c r="Q87" s="1843"/>
      <c r="R87" s="1963"/>
      <c r="S87" s="1963"/>
      <c r="T87" s="1963"/>
      <c r="U87" s="1963"/>
      <c r="V87" s="1963"/>
    </row>
    <row r="88" spans="3:114">
      <c r="C88" s="1963"/>
      <c r="D88" s="1843"/>
      <c r="E88" s="1843"/>
      <c r="F88" s="1843"/>
      <c r="G88" s="1843"/>
      <c r="H88" s="1843"/>
      <c r="I88" s="1843"/>
      <c r="J88" s="1843"/>
      <c r="K88" s="1843"/>
      <c r="L88" s="1843"/>
      <c r="M88" s="1843"/>
      <c r="N88" s="1843"/>
      <c r="O88" s="2618"/>
      <c r="P88" s="1843"/>
      <c r="Q88" s="1843"/>
      <c r="R88" s="1963"/>
      <c r="S88" s="1963"/>
      <c r="T88" s="1963"/>
      <c r="U88" s="1963"/>
      <c r="V88" s="1963"/>
    </row>
    <row r="89" spans="3:114">
      <c r="C89" s="1963"/>
      <c r="D89" s="1843"/>
      <c r="E89" s="1843"/>
      <c r="F89" s="1843"/>
      <c r="G89" s="1843"/>
      <c r="H89" s="1843"/>
      <c r="I89" s="1843"/>
      <c r="J89" s="1843"/>
      <c r="K89" s="1843"/>
      <c r="L89" s="1843"/>
      <c r="M89" s="1843"/>
      <c r="N89" s="1843"/>
      <c r="O89" s="2618"/>
      <c r="P89" s="1843"/>
      <c r="Q89" s="1843"/>
      <c r="R89" s="1963"/>
      <c r="S89" s="1963"/>
      <c r="T89" s="1963"/>
      <c r="U89" s="1963"/>
      <c r="V89" s="1963"/>
    </row>
    <row r="90" spans="3:114">
      <c r="C90" s="1963"/>
      <c r="D90" s="1843"/>
      <c r="E90" s="1843"/>
      <c r="F90" s="1843"/>
      <c r="G90" s="1843"/>
      <c r="H90" s="1843"/>
      <c r="I90" s="1843"/>
      <c r="J90" s="1843"/>
      <c r="K90" s="1843"/>
      <c r="L90" s="1843"/>
      <c r="M90" s="1843"/>
      <c r="N90" s="1843"/>
      <c r="O90" s="2618"/>
      <c r="P90" s="1843"/>
      <c r="Q90" s="1843"/>
      <c r="R90" s="1963"/>
      <c r="S90" s="1963"/>
      <c r="T90" s="1963"/>
      <c r="U90" s="1963"/>
      <c r="V90" s="1963"/>
    </row>
    <row r="91" spans="3:114">
      <c r="C91" s="1963"/>
      <c r="D91" s="1843"/>
      <c r="E91" s="1843"/>
      <c r="F91" s="1843"/>
      <c r="G91" s="1843"/>
      <c r="H91" s="1843"/>
      <c r="I91" s="1843"/>
      <c r="J91" s="1843"/>
      <c r="K91" s="1843"/>
      <c r="L91" s="1843"/>
      <c r="M91" s="1843"/>
      <c r="N91" s="1843"/>
      <c r="O91" s="2618"/>
      <c r="P91" s="1843"/>
      <c r="Q91" s="1843"/>
      <c r="R91" s="1963"/>
      <c r="S91" s="1963"/>
      <c r="T91" s="1963"/>
      <c r="U91" s="1963"/>
      <c r="V91" s="1963"/>
    </row>
    <row r="92" spans="3:114">
      <c r="C92" s="1963"/>
      <c r="D92" s="1843"/>
      <c r="E92" s="1843"/>
      <c r="F92" s="1843"/>
      <c r="G92" s="1843"/>
      <c r="H92" s="1843"/>
      <c r="I92" s="1843"/>
      <c r="J92" s="1843"/>
      <c r="K92" s="1843"/>
      <c r="L92" s="1843"/>
      <c r="M92" s="1843"/>
      <c r="N92" s="1843"/>
      <c r="O92" s="2618"/>
      <c r="P92" s="1843"/>
      <c r="Q92" s="1843"/>
      <c r="R92" s="1963"/>
      <c r="S92" s="1963"/>
      <c r="T92" s="1963"/>
      <c r="U92" s="1963"/>
      <c r="V92" s="1963"/>
    </row>
    <row r="93" spans="3:114">
      <c r="C93" s="1963"/>
      <c r="D93" s="1843"/>
      <c r="E93" s="1843"/>
      <c r="F93" s="1843"/>
      <c r="G93" s="1843"/>
      <c r="H93" s="1843"/>
      <c r="I93" s="1843"/>
      <c r="J93" s="1843"/>
      <c r="K93" s="1843"/>
      <c r="L93" s="1843"/>
      <c r="M93" s="1843"/>
      <c r="N93" s="1843"/>
      <c r="O93" s="2618"/>
      <c r="P93" s="1843"/>
      <c r="Q93" s="1843"/>
      <c r="R93" s="1963"/>
      <c r="S93" s="1963"/>
      <c r="T93" s="1963"/>
      <c r="U93" s="1963"/>
      <c r="V93" s="1963"/>
    </row>
    <row r="94" spans="3:114">
      <c r="C94" s="1963"/>
      <c r="D94" s="1843"/>
      <c r="E94" s="1843"/>
      <c r="F94" s="1843"/>
      <c r="G94" s="1843"/>
      <c r="H94" s="1843"/>
      <c r="I94" s="1843"/>
      <c r="J94" s="1843"/>
      <c r="K94" s="1843"/>
      <c r="L94" s="1843"/>
      <c r="M94" s="1843"/>
      <c r="N94" s="1843"/>
      <c r="O94" s="2618"/>
      <c r="P94" s="1843"/>
      <c r="Q94" s="1843"/>
      <c r="R94" s="1963"/>
      <c r="S94" s="1963"/>
      <c r="T94" s="1963"/>
      <c r="U94" s="1963"/>
      <c r="V94" s="1963"/>
    </row>
    <row r="95" spans="3:114">
      <c r="C95" s="1963"/>
      <c r="D95" s="1843"/>
      <c r="E95" s="1843"/>
      <c r="F95" s="1843"/>
      <c r="G95" s="1843"/>
      <c r="H95" s="1843"/>
      <c r="I95" s="1843"/>
      <c r="J95" s="1843"/>
      <c r="K95" s="1843"/>
      <c r="L95" s="1843"/>
      <c r="M95" s="1843"/>
      <c r="N95" s="1843"/>
      <c r="O95" s="2618"/>
      <c r="P95" s="1843"/>
      <c r="Q95" s="1843"/>
      <c r="R95" s="1963"/>
      <c r="S95" s="1963"/>
      <c r="T95" s="1963"/>
      <c r="U95" s="1963"/>
      <c r="V95" s="1963"/>
    </row>
    <row r="96" spans="3:114">
      <c r="C96" s="1963"/>
      <c r="D96" s="1843"/>
      <c r="E96" s="1843"/>
      <c r="F96" s="1843"/>
      <c r="G96" s="1843"/>
      <c r="H96" s="1843"/>
      <c r="I96" s="1843"/>
      <c r="J96" s="1843"/>
      <c r="K96" s="1843"/>
      <c r="L96" s="1843"/>
      <c r="M96" s="1843"/>
      <c r="N96" s="1843"/>
      <c r="O96" s="2618"/>
      <c r="P96" s="1843"/>
      <c r="Q96" s="1843"/>
      <c r="R96" s="1963"/>
      <c r="S96" s="1963"/>
      <c r="T96" s="1963"/>
      <c r="U96" s="1963"/>
      <c r="V96" s="1963"/>
    </row>
    <row r="97" spans="3:22">
      <c r="C97" s="1963"/>
      <c r="D97" s="1843"/>
      <c r="E97" s="1843"/>
      <c r="F97" s="1843"/>
      <c r="G97" s="1843"/>
      <c r="H97" s="1843"/>
      <c r="I97" s="1843"/>
      <c r="J97" s="1843"/>
      <c r="K97" s="1843"/>
      <c r="L97" s="1843"/>
      <c r="M97" s="1843"/>
      <c r="N97" s="1843"/>
      <c r="O97" s="2618"/>
      <c r="P97" s="1843"/>
      <c r="Q97" s="1843"/>
      <c r="R97" s="1963"/>
      <c r="S97" s="1963"/>
      <c r="T97" s="1963"/>
      <c r="U97" s="1963"/>
      <c r="V97" s="1963"/>
    </row>
    <row r="98" spans="3:22">
      <c r="C98" s="1963"/>
      <c r="D98" s="1843"/>
      <c r="E98" s="1843"/>
      <c r="F98" s="1843"/>
      <c r="G98" s="1843"/>
      <c r="H98" s="1843"/>
      <c r="I98" s="1843"/>
      <c r="J98" s="1843"/>
      <c r="K98" s="1843"/>
      <c r="L98" s="1843"/>
      <c r="M98" s="1843"/>
      <c r="N98" s="1843"/>
      <c r="O98" s="2618"/>
      <c r="P98" s="1843"/>
      <c r="Q98" s="1843"/>
      <c r="R98" s="1963"/>
      <c r="S98" s="1963"/>
      <c r="T98" s="1963"/>
      <c r="U98" s="1963"/>
      <c r="V98" s="1963"/>
    </row>
    <row r="99" spans="3:22">
      <c r="C99" s="1963"/>
      <c r="D99" s="1843"/>
      <c r="E99" s="1843"/>
      <c r="F99" s="1843"/>
      <c r="G99" s="1843"/>
      <c r="H99" s="1843"/>
      <c r="I99" s="1843"/>
      <c r="J99" s="1843"/>
      <c r="K99" s="1843"/>
      <c r="L99" s="1843"/>
      <c r="M99" s="1843"/>
      <c r="N99" s="1843"/>
      <c r="O99" s="2618"/>
      <c r="P99" s="1843"/>
      <c r="Q99" s="1843"/>
      <c r="R99" s="1963"/>
      <c r="S99" s="1963"/>
      <c r="T99" s="1963"/>
      <c r="U99" s="1963"/>
      <c r="V99" s="1963"/>
    </row>
    <row r="100" spans="3:22">
      <c r="C100" s="1963"/>
      <c r="D100" s="1843"/>
      <c r="E100" s="1843"/>
      <c r="F100" s="1843"/>
      <c r="G100" s="1843"/>
      <c r="H100" s="1843"/>
      <c r="I100" s="1843"/>
      <c r="J100" s="1843"/>
      <c r="K100" s="1843"/>
      <c r="L100" s="1843"/>
      <c r="M100" s="1843"/>
      <c r="N100" s="1843"/>
      <c r="O100" s="2618"/>
      <c r="P100" s="1843"/>
      <c r="Q100" s="1843"/>
      <c r="R100" s="1963"/>
      <c r="S100" s="1963"/>
      <c r="T100" s="1963"/>
      <c r="U100" s="1963"/>
      <c r="V100" s="1963"/>
    </row>
    <row r="101" spans="3:22">
      <c r="C101" s="1963"/>
      <c r="D101" s="1843"/>
      <c r="E101" s="1843"/>
      <c r="F101" s="1843"/>
      <c r="G101" s="1843"/>
      <c r="H101" s="1843"/>
      <c r="I101" s="1843"/>
      <c r="J101" s="1843"/>
      <c r="K101" s="1843"/>
      <c r="L101" s="1843"/>
      <c r="M101" s="1843"/>
      <c r="N101" s="1843"/>
      <c r="O101" s="2618"/>
      <c r="P101" s="1843"/>
      <c r="Q101" s="1843"/>
      <c r="R101" s="1963"/>
      <c r="S101" s="1963"/>
      <c r="T101" s="1963"/>
      <c r="U101" s="1963"/>
      <c r="V101" s="1963"/>
    </row>
    <row r="102" spans="3:22">
      <c r="C102" s="1963"/>
      <c r="D102" s="1843"/>
      <c r="E102" s="1843"/>
      <c r="F102" s="1843"/>
      <c r="G102" s="1843"/>
      <c r="H102" s="1843"/>
      <c r="I102" s="1843"/>
      <c r="J102" s="1843"/>
      <c r="K102" s="1843"/>
      <c r="L102" s="1843"/>
      <c r="M102" s="1843"/>
      <c r="N102" s="1843"/>
      <c r="O102" s="2618"/>
      <c r="P102" s="1843"/>
      <c r="Q102" s="1843"/>
      <c r="R102" s="1963"/>
      <c r="S102" s="1963"/>
      <c r="T102" s="1963"/>
      <c r="U102" s="1963"/>
      <c r="V102" s="1963"/>
    </row>
    <row r="103" spans="3:22">
      <c r="C103" s="1963"/>
      <c r="D103" s="1843"/>
      <c r="E103" s="1843"/>
      <c r="F103" s="1843"/>
      <c r="G103" s="1843"/>
      <c r="H103" s="1843"/>
      <c r="I103" s="1843"/>
      <c r="J103" s="1843"/>
      <c r="K103" s="1843"/>
      <c r="L103" s="1843"/>
      <c r="M103" s="1843"/>
      <c r="N103" s="1843"/>
      <c r="O103" s="2618"/>
      <c r="P103" s="1843"/>
      <c r="Q103" s="1843"/>
      <c r="R103" s="1963"/>
      <c r="S103" s="1963"/>
      <c r="T103" s="1963"/>
      <c r="U103" s="1963"/>
      <c r="V103" s="1963"/>
    </row>
    <row r="104" spans="3:22">
      <c r="C104" s="1963"/>
      <c r="D104" s="1843"/>
      <c r="E104" s="1843"/>
      <c r="F104" s="1843"/>
      <c r="G104" s="1843"/>
      <c r="H104" s="1843"/>
      <c r="I104" s="1843"/>
      <c r="J104" s="1843"/>
      <c r="K104" s="1843"/>
      <c r="L104" s="1843"/>
      <c r="M104" s="1843"/>
      <c r="N104" s="1843"/>
      <c r="O104" s="2618"/>
      <c r="P104" s="1843"/>
      <c r="Q104" s="1843"/>
      <c r="R104" s="1963"/>
      <c r="S104" s="1963"/>
      <c r="T104" s="1963"/>
      <c r="U104" s="1963"/>
      <c r="V104" s="1963"/>
    </row>
    <row r="105" spans="3:22">
      <c r="C105" s="1963"/>
      <c r="D105" s="1843"/>
      <c r="E105" s="1843"/>
      <c r="F105" s="1843"/>
      <c r="G105" s="1843"/>
      <c r="H105" s="1843"/>
      <c r="I105" s="1843"/>
      <c r="J105" s="1843"/>
      <c r="K105" s="1843"/>
      <c r="L105" s="1843"/>
      <c r="M105" s="1843"/>
      <c r="N105" s="1843"/>
      <c r="O105" s="2618"/>
      <c r="P105" s="1843"/>
      <c r="Q105" s="1843"/>
      <c r="R105" s="1963"/>
      <c r="S105" s="1963"/>
      <c r="T105" s="1963"/>
      <c r="U105" s="1963"/>
      <c r="V105" s="1963"/>
    </row>
    <row r="106" spans="3:22">
      <c r="C106" s="1963"/>
      <c r="D106" s="1843"/>
      <c r="E106" s="1843"/>
      <c r="F106" s="1843"/>
      <c r="G106" s="1843"/>
      <c r="H106" s="1843"/>
      <c r="I106" s="1843"/>
      <c r="J106" s="1843"/>
      <c r="K106" s="1843"/>
      <c r="L106" s="1843"/>
      <c r="M106" s="1843"/>
      <c r="N106" s="1843"/>
      <c r="O106" s="2618"/>
      <c r="P106" s="1843"/>
      <c r="Q106" s="1843"/>
      <c r="R106" s="1963"/>
      <c r="S106" s="1963"/>
      <c r="T106" s="1963"/>
      <c r="U106" s="1963"/>
      <c r="V106" s="1963"/>
    </row>
    <row r="107" spans="3:22">
      <c r="C107" s="1963"/>
      <c r="D107" s="1843"/>
      <c r="E107" s="1843"/>
      <c r="F107" s="1843"/>
      <c r="G107" s="1843"/>
      <c r="H107" s="1843"/>
      <c r="I107" s="1843"/>
      <c r="J107" s="1843"/>
      <c r="K107" s="1843"/>
      <c r="L107" s="1843"/>
      <c r="M107" s="1843"/>
      <c r="N107" s="1843"/>
      <c r="O107" s="2618"/>
      <c r="P107" s="1843"/>
      <c r="Q107" s="1843"/>
      <c r="R107" s="1963"/>
      <c r="S107" s="1963"/>
      <c r="T107" s="1963"/>
      <c r="U107" s="1963"/>
      <c r="V107" s="1963"/>
    </row>
    <row r="108" spans="3:22">
      <c r="C108" s="1963"/>
      <c r="D108" s="1843"/>
      <c r="E108" s="1843"/>
      <c r="F108" s="1843"/>
      <c r="G108" s="1843"/>
      <c r="H108" s="1843"/>
      <c r="I108" s="1843"/>
      <c r="J108" s="1843"/>
      <c r="K108" s="1843"/>
      <c r="L108" s="1843"/>
      <c r="M108" s="1843"/>
      <c r="N108" s="1843"/>
      <c r="O108" s="2618"/>
      <c r="P108" s="1843"/>
      <c r="Q108" s="1843"/>
      <c r="R108" s="1963"/>
      <c r="S108" s="1963"/>
      <c r="T108" s="1963"/>
      <c r="U108" s="1963"/>
      <c r="V108" s="1963"/>
    </row>
    <row r="109" spans="3:22">
      <c r="C109" s="1963"/>
      <c r="D109" s="1843"/>
      <c r="E109" s="1843"/>
      <c r="F109" s="1843"/>
      <c r="G109" s="1843"/>
      <c r="H109" s="1843"/>
      <c r="I109" s="1843"/>
      <c r="J109" s="1843"/>
      <c r="K109" s="1843"/>
      <c r="L109" s="1843"/>
      <c r="M109" s="1843"/>
      <c r="N109" s="1843"/>
      <c r="O109" s="2618"/>
      <c r="P109" s="1843"/>
      <c r="Q109" s="1843"/>
      <c r="R109" s="1963"/>
      <c r="S109" s="1963"/>
      <c r="T109" s="1963"/>
      <c r="U109" s="1963"/>
      <c r="V109" s="1963"/>
    </row>
    <row r="110" spans="3:22">
      <c r="C110" s="1963"/>
      <c r="D110" s="1843"/>
      <c r="E110" s="1843"/>
      <c r="F110" s="1843"/>
      <c r="G110" s="1843"/>
      <c r="H110" s="1843"/>
      <c r="I110" s="1843"/>
      <c r="J110" s="1843"/>
      <c r="K110" s="1843"/>
      <c r="L110" s="1843"/>
      <c r="M110" s="1843"/>
      <c r="N110" s="1843"/>
      <c r="O110" s="2618"/>
      <c r="P110" s="1843"/>
      <c r="Q110" s="1843"/>
      <c r="R110" s="1963"/>
      <c r="S110" s="1963"/>
      <c r="T110" s="1963"/>
      <c r="U110" s="1963"/>
      <c r="V110" s="1963"/>
    </row>
    <row r="111" spans="3:22">
      <c r="C111" s="1963"/>
      <c r="D111" s="1843"/>
      <c r="E111" s="1843"/>
      <c r="F111" s="1843"/>
      <c r="G111" s="1843"/>
      <c r="H111" s="1843"/>
      <c r="I111" s="1843"/>
      <c r="J111" s="1843"/>
      <c r="K111" s="1843"/>
      <c r="L111" s="1843"/>
      <c r="M111" s="1843"/>
      <c r="N111" s="1843"/>
      <c r="O111" s="2618"/>
      <c r="P111" s="1843"/>
      <c r="Q111" s="1843"/>
      <c r="R111" s="1963"/>
      <c r="S111" s="1963"/>
      <c r="T111" s="1963"/>
      <c r="U111" s="1963"/>
      <c r="V111" s="1963"/>
    </row>
    <row r="112" spans="3:22">
      <c r="C112" s="1963"/>
      <c r="D112" s="1843"/>
      <c r="E112" s="1843"/>
      <c r="F112" s="1843"/>
      <c r="G112" s="1843"/>
      <c r="H112" s="1843"/>
      <c r="I112" s="1843"/>
      <c r="J112" s="1843"/>
      <c r="K112" s="1843"/>
      <c r="L112" s="1843"/>
      <c r="M112" s="1843"/>
      <c r="N112" s="1843"/>
      <c r="O112" s="2618"/>
      <c r="P112" s="1843"/>
      <c r="Q112" s="1843"/>
      <c r="R112" s="1963"/>
      <c r="S112" s="1963"/>
      <c r="T112" s="1963"/>
      <c r="U112" s="1963"/>
      <c r="V112" s="1963"/>
    </row>
    <row r="113" spans="3:22">
      <c r="C113" s="1963"/>
      <c r="D113" s="1843"/>
      <c r="E113" s="1843"/>
      <c r="F113" s="1843"/>
      <c r="G113" s="1843"/>
      <c r="H113" s="1843"/>
      <c r="I113" s="1843"/>
      <c r="J113" s="1843"/>
      <c r="K113" s="1843"/>
      <c r="L113" s="1843"/>
      <c r="M113" s="1843"/>
      <c r="N113" s="1843"/>
      <c r="O113" s="2618"/>
      <c r="P113" s="1843"/>
      <c r="Q113" s="1843"/>
      <c r="R113" s="1963"/>
      <c r="S113" s="1963"/>
      <c r="T113" s="1963"/>
      <c r="U113" s="1963"/>
      <c r="V113" s="1963"/>
    </row>
    <row r="114" spans="3:22">
      <c r="C114" s="1963"/>
      <c r="D114" s="1843"/>
      <c r="E114" s="1843"/>
      <c r="F114" s="1843"/>
      <c r="G114" s="1843"/>
      <c r="H114" s="1843"/>
      <c r="I114" s="1843"/>
      <c r="J114" s="1843"/>
      <c r="K114" s="1843"/>
      <c r="L114" s="1843"/>
      <c r="M114" s="1843"/>
      <c r="N114" s="1843"/>
      <c r="O114" s="2618"/>
      <c r="P114" s="1843"/>
      <c r="Q114" s="1843"/>
      <c r="R114" s="1963"/>
      <c r="S114" s="1963"/>
      <c r="T114" s="1963"/>
      <c r="U114" s="1963"/>
      <c r="V114" s="1963"/>
    </row>
    <row r="115" spans="3:22">
      <c r="C115" s="1963"/>
      <c r="D115" s="1843"/>
      <c r="E115" s="1843"/>
      <c r="F115" s="1843"/>
      <c r="G115" s="1843"/>
      <c r="H115" s="1843"/>
      <c r="I115" s="1843"/>
      <c r="J115" s="1843"/>
      <c r="K115" s="1843"/>
      <c r="L115" s="1843"/>
      <c r="M115" s="1843"/>
      <c r="N115" s="1843"/>
      <c r="O115" s="2618"/>
      <c r="P115" s="1843"/>
      <c r="Q115" s="1843"/>
      <c r="R115" s="1963"/>
      <c r="S115" s="1963"/>
      <c r="T115" s="1963"/>
      <c r="U115" s="1963"/>
      <c r="V115" s="1963"/>
    </row>
    <row r="116" spans="3:22">
      <c r="C116" s="1963"/>
      <c r="D116" s="1843"/>
      <c r="E116" s="1843"/>
      <c r="F116" s="1843"/>
      <c r="G116" s="1843"/>
      <c r="H116" s="1843"/>
      <c r="I116" s="1843"/>
      <c r="J116" s="1843"/>
      <c r="K116" s="1843"/>
      <c r="L116" s="1843"/>
      <c r="M116" s="1843"/>
      <c r="N116" s="1843"/>
      <c r="O116" s="2618"/>
      <c r="P116" s="1843"/>
      <c r="Q116" s="1843"/>
      <c r="R116" s="1963"/>
      <c r="S116" s="1963"/>
      <c r="T116" s="1963"/>
      <c r="U116" s="1963"/>
      <c r="V116" s="1963"/>
    </row>
    <row r="117" spans="3:22">
      <c r="C117" s="1963"/>
      <c r="D117" s="1843"/>
      <c r="E117" s="1843"/>
      <c r="F117" s="1843"/>
      <c r="G117" s="1843"/>
      <c r="H117" s="1843"/>
      <c r="I117" s="1843"/>
      <c r="J117" s="1843"/>
      <c r="K117" s="1843"/>
      <c r="L117" s="1843"/>
      <c r="M117" s="1843"/>
      <c r="N117" s="1843"/>
      <c r="O117" s="2618"/>
      <c r="P117" s="1843"/>
      <c r="Q117" s="1843"/>
      <c r="R117" s="1963"/>
      <c r="S117" s="1963"/>
      <c r="T117" s="1963"/>
      <c r="U117" s="1963"/>
      <c r="V117" s="1963"/>
    </row>
    <row r="118" spans="3:22">
      <c r="C118" s="1963"/>
      <c r="D118" s="1843"/>
      <c r="E118" s="1843"/>
      <c r="F118" s="1843"/>
      <c r="G118" s="1843"/>
      <c r="H118" s="1843"/>
      <c r="I118" s="1843"/>
      <c r="J118" s="1843"/>
      <c r="K118" s="1843"/>
      <c r="L118" s="1843"/>
      <c r="M118" s="1843"/>
      <c r="N118" s="1843"/>
      <c r="O118" s="2618"/>
      <c r="P118" s="1843"/>
      <c r="Q118" s="1843"/>
      <c r="R118" s="1963"/>
      <c r="S118" s="1963"/>
      <c r="T118" s="1963"/>
      <c r="U118" s="1963"/>
      <c r="V118" s="1963"/>
    </row>
    <row r="119" spans="3:22">
      <c r="C119" s="1963"/>
      <c r="D119" s="1843"/>
      <c r="E119" s="1843"/>
      <c r="F119" s="1843"/>
      <c r="G119" s="1843"/>
      <c r="H119" s="1843"/>
      <c r="I119" s="1843"/>
      <c r="J119" s="1843"/>
      <c r="K119" s="1843"/>
      <c r="L119" s="1843"/>
      <c r="M119" s="1843"/>
      <c r="N119" s="1843"/>
      <c r="O119" s="2618"/>
      <c r="P119" s="1843"/>
      <c r="Q119" s="1843"/>
      <c r="R119" s="1963"/>
      <c r="S119" s="1963"/>
      <c r="T119" s="1963"/>
      <c r="U119" s="1963"/>
      <c r="V119" s="1963"/>
    </row>
    <row r="120" spans="3:22">
      <c r="C120" s="1963"/>
      <c r="D120" s="1843"/>
      <c r="E120" s="1843"/>
      <c r="F120" s="1843"/>
      <c r="G120" s="1843"/>
      <c r="H120" s="1843"/>
      <c r="I120" s="1843"/>
      <c r="J120" s="1843"/>
      <c r="K120" s="1843"/>
      <c r="L120" s="1843"/>
      <c r="M120" s="1843"/>
      <c r="N120" s="1843"/>
      <c r="O120" s="2618"/>
      <c r="P120" s="1843"/>
      <c r="Q120" s="1843"/>
      <c r="R120" s="1963"/>
      <c r="S120" s="1963"/>
      <c r="T120" s="1963"/>
      <c r="U120" s="1963"/>
      <c r="V120" s="1963"/>
    </row>
    <row r="121" spans="3:22">
      <c r="C121" s="1963"/>
      <c r="D121" s="1843"/>
      <c r="E121" s="1843"/>
      <c r="F121" s="1843"/>
      <c r="G121" s="1843"/>
      <c r="H121" s="1843"/>
      <c r="I121" s="1843"/>
      <c r="J121" s="1843"/>
      <c r="K121" s="1843"/>
      <c r="L121" s="1843"/>
      <c r="M121" s="1843"/>
      <c r="N121" s="1843"/>
      <c r="O121" s="2618"/>
      <c r="P121" s="1843"/>
      <c r="Q121" s="1843"/>
      <c r="R121" s="1963"/>
      <c r="S121" s="1963"/>
      <c r="T121" s="1963"/>
      <c r="U121" s="1963"/>
      <c r="V121" s="1963"/>
    </row>
    <row r="122" spans="3:22">
      <c r="C122" s="1963"/>
      <c r="D122" s="1843"/>
      <c r="E122" s="1843"/>
      <c r="F122" s="1843"/>
      <c r="G122" s="1843"/>
      <c r="H122" s="1843"/>
      <c r="I122" s="1843"/>
      <c r="J122" s="1843"/>
      <c r="K122" s="1843"/>
      <c r="L122" s="1843"/>
      <c r="M122" s="1843"/>
      <c r="N122" s="1843"/>
      <c r="O122" s="2618"/>
      <c r="P122" s="1843"/>
      <c r="Q122" s="1843"/>
      <c r="R122" s="1963"/>
      <c r="S122" s="1963"/>
      <c r="T122" s="1963"/>
      <c r="U122" s="1963"/>
      <c r="V122" s="1963"/>
    </row>
    <row r="123" spans="3:22">
      <c r="C123" s="1963"/>
      <c r="D123" s="1843"/>
      <c r="E123" s="1843"/>
      <c r="F123" s="1843"/>
      <c r="G123" s="1843"/>
      <c r="H123" s="1843"/>
      <c r="I123" s="1843"/>
      <c r="J123" s="1843"/>
      <c r="K123" s="1843"/>
      <c r="L123" s="1843"/>
      <c r="M123" s="1843"/>
      <c r="N123" s="1843"/>
      <c r="O123" s="2618"/>
      <c r="P123" s="1843"/>
      <c r="Q123" s="1843"/>
      <c r="R123" s="1963"/>
      <c r="S123" s="1963"/>
      <c r="T123" s="1963"/>
      <c r="U123" s="1963"/>
      <c r="V123" s="1963"/>
    </row>
    <row r="124" spans="3:22">
      <c r="C124" s="1963"/>
      <c r="D124" s="1843"/>
      <c r="E124" s="1843"/>
      <c r="F124" s="1843"/>
      <c r="G124" s="1843"/>
      <c r="H124" s="1843"/>
      <c r="I124" s="1843"/>
      <c r="J124" s="1843"/>
      <c r="K124" s="1843"/>
      <c r="L124" s="1843"/>
      <c r="M124" s="1843"/>
      <c r="N124" s="1843"/>
      <c r="O124" s="2618"/>
      <c r="P124" s="1843"/>
      <c r="Q124" s="1843"/>
      <c r="R124" s="1963"/>
      <c r="S124" s="1963"/>
      <c r="T124" s="1963"/>
      <c r="U124" s="1963"/>
      <c r="V124" s="1963"/>
    </row>
    <row r="125" spans="3:22">
      <c r="C125" s="1963"/>
      <c r="D125" s="1843"/>
      <c r="E125" s="1843"/>
      <c r="F125" s="1843"/>
      <c r="G125" s="1843"/>
      <c r="H125" s="1843"/>
      <c r="I125" s="1843"/>
      <c r="J125" s="1843"/>
      <c r="K125" s="1843"/>
      <c r="L125" s="1843"/>
      <c r="M125" s="1843"/>
      <c r="N125" s="1843"/>
      <c r="Q125" s="1843"/>
      <c r="R125" s="1963"/>
      <c r="S125" s="1963"/>
      <c r="T125" s="1963"/>
      <c r="U125" s="1963"/>
      <c r="V125" s="1963"/>
    </row>
    <row r="126" spans="3:22">
      <c r="C126" s="1963"/>
      <c r="D126" s="1843"/>
      <c r="E126" s="1843"/>
      <c r="F126" s="1843"/>
      <c r="G126" s="1843"/>
      <c r="H126" s="1843"/>
      <c r="I126" s="1843"/>
      <c r="J126" s="1843"/>
      <c r="K126" s="1843"/>
      <c r="L126" s="1843"/>
      <c r="M126" s="1843"/>
      <c r="N126" s="1843"/>
      <c r="Q126" s="1843"/>
      <c r="R126" s="1963"/>
      <c r="S126" s="1963"/>
      <c r="T126" s="1963"/>
      <c r="U126" s="1963"/>
      <c r="V126" s="1963"/>
    </row>
    <row r="127" spans="3:22">
      <c r="C127" s="1963"/>
      <c r="D127" s="1843"/>
      <c r="E127" s="1843"/>
      <c r="F127" s="1843"/>
      <c r="G127" s="1843"/>
      <c r="H127" s="1843"/>
      <c r="I127" s="1843"/>
      <c r="J127" s="1843"/>
      <c r="K127" s="1843"/>
      <c r="L127" s="1843"/>
      <c r="M127" s="1843"/>
      <c r="N127" s="1843"/>
      <c r="Q127" s="1843"/>
      <c r="R127" s="1963"/>
      <c r="S127" s="1963"/>
      <c r="T127" s="1963"/>
      <c r="U127" s="1963"/>
      <c r="V127" s="1963"/>
    </row>
  </sheetData>
  <mergeCells count="94">
    <mergeCell ref="D76:F76"/>
    <mergeCell ref="D77:F77"/>
    <mergeCell ref="D78:F78"/>
    <mergeCell ref="D71:F71"/>
    <mergeCell ref="D72:F72"/>
    <mergeCell ref="D73:F73"/>
    <mergeCell ref="D74:F74"/>
    <mergeCell ref="D75:F75"/>
    <mergeCell ref="D66:F66"/>
    <mergeCell ref="D67:F67"/>
    <mergeCell ref="D68:F68"/>
    <mergeCell ref="D69:F69"/>
    <mergeCell ref="D70:F70"/>
    <mergeCell ref="D61:F61"/>
    <mergeCell ref="D62:F62"/>
    <mergeCell ref="D63:F63"/>
    <mergeCell ref="D64:F64"/>
    <mergeCell ref="D65:F65"/>
    <mergeCell ref="D56:F56"/>
    <mergeCell ref="D57:F57"/>
    <mergeCell ref="D58:F58"/>
    <mergeCell ref="D59:F59"/>
    <mergeCell ref="D60:F60"/>
    <mergeCell ref="D50:F50"/>
    <mergeCell ref="D52:F52"/>
    <mergeCell ref="D53:F53"/>
    <mergeCell ref="D54:F54"/>
    <mergeCell ref="D55:F55"/>
    <mergeCell ref="D40:G40"/>
    <mergeCell ref="I40:J40"/>
    <mergeCell ref="D41:G41"/>
    <mergeCell ref="I41:J41"/>
    <mergeCell ref="D49:F49"/>
    <mergeCell ref="D39:G39"/>
    <mergeCell ref="I39:J39"/>
    <mergeCell ref="I17:J17"/>
    <mergeCell ref="D18:G18"/>
    <mergeCell ref="I18:J18"/>
    <mergeCell ref="D19:G19"/>
    <mergeCell ref="I19:J19"/>
    <mergeCell ref="D35:G35"/>
    <mergeCell ref="I35:J35"/>
    <mergeCell ref="D36:G36"/>
    <mergeCell ref="I36:J36"/>
    <mergeCell ref="D37:G37"/>
    <mergeCell ref="I37:J37"/>
    <mergeCell ref="D32:G32"/>
    <mergeCell ref="D33:G33"/>
    <mergeCell ref="I33:J33"/>
    <mergeCell ref="D34:G34"/>
    <mergeCell ref="I34:J34"/>
    <mergeCell ref="D38:G38"/>
    <mergeCell ref="I38:J38"/>
    <mergeCell ref="D27:G27"/>
    <mergeCell ref="I27:J27"/>
    <mergeCell ref="D28:G28"/>
    <mergeCell ref="I28:J28"/>
    <mergeCell ref="I32:J32"/>
    <mergeCell ref="I29:J29"/>
    <mergeCell ref="D30:G30"/>
    <mergeCell ref="I30:J30"/>
    <mergeCell ref="D31:G31"/>
    <mergeCell ref="I31:J31"/>
    <mergeCell ref="D29:G29"/>
    <mergeCell ref="D3:Q3"/>
    <mergeCell ref="D4:Q4"/>
    <mergeCell ref="D10:G10"/>
    <mergeCell ref="I10:J10"/>
    <mergeCell ref="D11:G11"/>
    <mergeCell ref="I11:J11"/>
    <mergeCell ref="D26:G26"/>
    <mergeCell ref="I26:J26"/>
    <mergeCell ref="D14:G14"/>
    <mergeCell ref="D15:G15"/>
    <mergeCell ref="I15:J15"/>
    <mergeCell ref="D16:G16"/>
    <mergeCell ref="I16:J16"/>
    <mergeCell ref="I23:J23"/>
    <mergeCell ref="D82:F82"/>
    <mergeCell ref="D81:F81"/>
    <mergeCell ref="D17:G17"/>
    <mergeCell ref="D22:G22"/>
    <mergeCell ref="I22:J22"/>
    <mergeCell ref="D23:G23"/>
    <mergeCell ref="D80:F80"/>
    <mergeCell ref="D79:F79"/>
    <mergeCell ref="D20:G20"/>
    <mergeCell ref="I20:J20"/>
    <mergeCell ref="D21:G21"/>
    <mergeCell ref="I21:J21"/>
    <mergeCell ref="D24:G24"/>
    <mergeCell ref="I24:J24"/>
    <mergeCell ref="D25:G25"/>
    <mergeCell ref="I25:J25"/>
  </mergeCells>
  <printOptions horizontalCentered="1"/>
  <pageMargins left="0.62992125984252001" right="0.62992125984252001" top="0.78740157480314998" bottom="0.98425196850393704" header="0.511811023622047" footer="0.511811023622047"/>
  <pageSetup paperSize="9" scale="51" orientation="portrait" horizontalDpi="300" verticalDpi="300" r:id="rId1"/>
  <headerFooter alignWithMargins="0">
    <oddFooter>&amp;C&amp;"+,Regular"&amp;22-56-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C128"/>
  <sheetViews>
    <sheetView showWhiteSpace="0" topLeftCell="A71" zoomScale="75" zoomScaleNormal="75" workbookViewId="0">
      <selection activeCell="I86" sqref="I86"/>
    </sheetView>
  </sheetViews>
  <sheetFormatPr defaultColWidth="0" defaultRowHeight="20.25"/>
  <cols>
    <col min="1" max="1" width="9.28515625" style="1174" customWidth="1"/>
    <col min="2" max="3" width="8" style="1192" customWidth="1"/>
    <col min="4" max="4" width="18.140625" style="1192" customWidth="1"/>
    <col min="5" max="5" width="3.42578125" style="1192" hidden="1" customWidth="1"/>
    <col min="6" max="6" width="15.42578125" style="1192" bestFit="1" customWidth="1"/>
    <col min="7" max="11" width="15.7109375" style="1192" customWidth="1"/>
    <col min="12" max="12" width="13.85546875" style="1192" customWidth="1"/>
    <col min="13" max="13" width="14.140625" style="1192" customWidth="1"/>
    <col min="14" max="14" width="15.42578125" style="1192" customWidth="1"/>
    <col min="15" max="15" width="8" style="1793" hidden="1" customWidth="1"/>
    <col min="16" max="16" width="1.28515625" style="1793" customWidth="1"/>
    <col min="17" max="17" width="10" style="3173" bestFit="1" customWidth="1"/>
    <col min="18" max="18" width="1.28515625" style="1192" customWidth="1"/>
    <col min="19" max="19" width="3.42578125" style="1192" hidden="1" customWidth="1"/>
    <col min="20" max="22" width="12" style="1174" customWidth="1"/>
    <col min="23" max="30" width="12" style="1174" hidden="1" customWidth="1"/>
    <col min="31" max="172" width="12" style="1174" customWidth="1"/>
    <col min="173" max="256" width="0" style="1174" hidden="1"/>
    <col min="257" max="257" width="9.28515625" style="1174" customWidth="1"/>
    <col min="258" max="259" width="8" style="1174" customWidth="1"/>
    <col min="260" max="260" width="18.140625" style="1174" customWidth="1"/>
    <col min="261" max="261" width="0" style="1174" hidden="1" customWidth="1"/>
    <col min="262" max="262" width="15.42578125" style="1174" bestFit="1" customWidth="1"/>
    <col min="263" max="267" width="15.7109375" style="1174" customWidth="1"/>
    <col min="268" max="268" width="13.85546875" style="1174" customWidth="1"/>
    <col min="269" max="269" width="14.140625" style="1174" customWidth="1"/>
    <col min="270" max="270" width="15.42578125" style="1174" customWidth="1"/>
    <col min="271" max="271" width="0" style="1174" hidden="1" customWidth="1"/>
    <col min="272" max="272" width="1.28515625" style="1174" customWidth="1"/>
    <col min="273" max="273" width="8" style="1174" customWidth="1"/>
    <col min="274" max="274" width="1.28515625" style="1174" customWidth="1"/>
    <col min="275" max="275" width="0" style="1174" hidden="1" customWidth="1"/>
    <col min="276" max="278" width="12" style="1174" customWidth="1"/>
    <col min="279" max="286" width="0" style="1174" hidden="1" customWidth="1"/>
    <col min="287" max="428" width="12" style="1174" customWidth="1"/>
    <col min="429" max="512" width="0" style="1174" hidden="1"/>
    <col min="513" max="513" width="9.28515625" style="1174" customWidth="1"/>
    <col min="514" max="515" width="8" style="1174" customWidth="1"/>
    <col min="516" max="516" width="18.140625" style="1174" customWidth="1"/>
    <col min="517" max="517" width="0" style="1174" hidden="1" customWidth="1"/>
    <col min="518" max="518" width="15.42578125" style="1174" bestFit="1" customWidth="1"/>
    <col min="519" max="523" width="15.7109375" style="1174" customWidth="1"/>
    <col min="524" max="524" width="13.85546875" style="1174" customWidth="1"/>
    <col min="525" max="525" width="14.140625" style="1174" customWidth="1"/>
    <col min="526" max="526" width="15.42578125" style="1174" customWidth="1"/>
    <col min="527" max="527" width="0" style="1174" hidden="1" customWidth="1"/>
    <col min="528" max="528" width="1.28515625" style="1174" customWidth="1"/>
    <col min="529" max="529" width="8" style="1174" customWidth="1"/>
    <col min="530" max="530" width="1.28515625" style="1174" customWidth="1"/>
    <col min="531" max="531" width="0" style="1174" hidden="1" customWidth="1"/>
    <col min="532" max="534" width="12" style="1174" customWidth="1"/>
    <col min="535" max="542" width="0" style="1174" hidden="1" customWidth="1"/>
    <col min="543" max="684" width="12" style="1174" customWidth="1"/>
    <col min="685" max="768" width="0" style="1174" hidden="1"/>
    <col min="769" max="769" width="9.28515625" style="1174" customWidth="1"/>
    <col min="770" max="771" width="8" style="1174" customWidth="1"/>
    <col min="772" max="772" width="18.140625" style="1174" customWidth="1"/>
    <col min="773" max="773" width="0" style="1174" hidden="1" customWidth="1"/>
    <col min="774" max="774" width="15.42578125" style="1174" bestFit="1" customWidth="1"/>
    <col min="775" max="779" width="15.7109375" style="1174" customWidth="1"/>
    <col min="780" max="780" width="13.85546875" style="1174" customWidth="1"/>
    <col min="781" max="781" width="14.140625" style="1174" customWidth="1"/>
    <col min="782" max="782" width="15.42578125" style="1174" customWidth="1"/>
    <col min="783" max="783" width="0" style="1174" hidden="1" customWidth="1"/>
    <col min="784" max="784" width="1.28515625" style="1174" customWidth="1"/>
    <col min="785" max="785" width="8" style="1174" customWidth="1"/>
    <col min="786" max="786" width="1.28515625" style="1174" customWidth="1"/>
    <col min="787" max="787" width="0" style="1174" hidden="1" customWidth="1"/>
    <col min="788" max="790" width="12" style="1174" customWidth="1"/>
    <col min="791" max="798" width="0" style="1174" hidden="1" customWidth="1"/>
    <col min="799" max="940" width="12" style="1174" customWidth="1"/>
    <col min="941" max="1024" width="0" style="1174" hidden="1"/>
    <col min="1025" max="1025" width="9.28515625" style="1174" customWidth="1"/>
    <col min="1026" max="1027" width="8" style="1174" customWidth="1"/>
    <col min="1028" max="1028" width="18.140625" style="1174" customWidth="1"/>
    <col min="1029" max="1029" width="0" style="1174" hidden="1" customWidth="1"/>
    <col min="1030" max="1030" width="15.42578125" style="1174" bestFit="1" customWidth="1"/>
    <col min="1031" max="1035" width="15.7109375" style="1174" customWidth="1"/>
    <col min="1036" max="1036" width="13.85546875" style="1174" customWidth="1"/>
    <col min="1037" max="1037" width="14.140625" style="1174" customWidth="1"/>
    <col min="1038" max="1038" width="15.42578125" style="1174" customWidth="1"/>
    <col min="1039" max="1039" width="0" style="1174" hidden="1" customWidth="1"/>
    <col min="1040" max="1040" width="1.28515625" style="1174" customWidth="1"/>
    <col min="1041" max="1041" width="8" style="1174" customWidth="1"/>
    <col min="1042" max="1042" width="1.28515625" style="1174" customWidth="1"/>
    <col min="1043" max="1043" width="0" style="1174" hidden="1" customWidth="1"/>
    <col min="1044" max="1046" width="12" style="1174" customWidth="1"/>
    <col min="1047" max="1054" width="0" style="1174" hidden="1" customWidth="1"/>
    <col min="1055" max="1196" width="12" style="1174" customWidth="1"/>
    <col min="1197" max="1280" width="0" style="1174" hidden="1"/>
    <col min="1281" max="1281" width="9.28515625" style="1174" customWidth="1"/>
    <col min="1282" max="1283" width="8" style="1174" customWidth="1"/>
    <col min="1284" max="1284" width="18.140625" style="1174" customWidth="1"/>
    <col min="1285" max="1285" width="0" style="1174" hidden="1" customWidth="1"/>
    <col min="1286" max="1286" width="15.42578125" style="1174" bestFit="1" customWidth="1"/>
    <col min="1287" max="1291" width="15.7109375" style="1174" customWidth="1"/>
    <col min="1292" max="1292" width="13.85546875" style="1174" customWidth="1"/>
    <col min="1293" max="1293" width="14.140625" style="1174" customWidth="1"/>
    <col min="1294" max="1294" width="15.42578125" style="1174" customWidth="1"/>
    <col min="1295" max="1295" width="0" style="1174" hidden="1" customWidth="1"/>
    <col min="1296" max="1296" width="1.28515625" style="1174" customWidth="1"/>
    <col min="1297" max="1297" width="8" style="1174" customWidth="1"/>
    <col min="1298" max="1298" width="1.28515625" style="1174" customWidth="1"/>
    <col min="1299" max="1299" width="0" style="1174" hidden="1" customWidth="1"/>
    <col min="1300" max="1302" width="12" style="1174" customWidth="1"/>
    <col min="1303" max="1310" width="0" style="1174" hidden="1" customWidth="1"/>
    <col min="1311" max="1452" width="12" style="1174" customWidth="1"/>
    <col min="1453" max="1536" width="0" style="1174" hidden="1"/>
    <col min="1537" max="1537" width="9.28515625" style="1174" customWidth="1"/>
    <col min="1538" max="1539" width="8" style="1174" customWidth="1"/>
    <col min="1540" max="1540" width="18.140625" style="1174" customWidth="1"/>
    <col min="1541" max="1541" width="0" style="1174" hidden="1" customWidth="1"/>
    <col min="1542" max="1542" width="15.42578125" style="1174" bestFit="1" customWidth="1"/>
    <col min="1543" max="1547" width="15.7109375" style="1174" customWidth="1"/>
    <col min="1548" max="1548" width="13.85546875" style="1174" customWidth="1"/>
    <col min="1549" max="1549" width="14.140625" style="1174" customWidth="1"/>
    <col min="1550" max="1550" width="15.42578125" style="1174" customWidth="1"/>
    <col min="1551" max="1551" width="0" style="1174" hidden="1" customWidth="1"/>
    <col min="1552" max="1552" width="1.28515625" style="1174" customWidth="1"/>
    <col min="1553" max="1553" width="8" style="1174" customWidth="1"/>
    <col min="1554" max="1554" width="1.28515625" style="1174" customWidth="1"/>
    <col min="1555" max="1555" width="0" style="1174" hidden="1" customWidth="1"/>
    <col min="1556" max="1558" width="12" style="1174" customWidth="1"/>
    <col min="1559" max="1566" width="0" style="1174" hidden="1" customWidth="1"/>
    <col min="1567" max="1708" width="12" style="1174" customWidth="1"/>
    <col min="1709" max="1792" width="0" style="1174" hidden="1"/>
    <col min="1793" max="1793" width="9.28515625" style="1174" customWidth="1"/>
    <col min="1794" max="1795" width="8" style="1174" customWidth="1"/>
    <col min="1796" max="1796" width="18.140625" style="1174" customWidth="1"/>
    <col min="1797" max="1797" width="0" style="1174" hidden="1" customWidth="1"/>
    <col min="1798" max="1798" width="15.42578125" style="1174" bestFit="1" customWidth="1"/>
    <col min="1799" max="1803" width="15.7109375" style="1174" customWidth="1"/>
    <col min="1804" max="1804" width="13.85546875" style="1174" customWidth="1"/>
    <col min="1805" max="1805" width="14.140625" style="1174" customWidth="1"/>
    <col min="1806" max="1806" width="15.42578125" style="1174" customWidth="1"/>
    <col min="1807" max="1807" width="0" style="1174" hidden="1" customWidth="1"/>
    <col min="1808" max="1808" width="1.28515625" style="1174" customWidth="1"/>
    <col min="1809" max="1809" width="8" style="1174" customWidth="1"/>
    <col min="1810" max="1810" width="1.28515625" style="1174" customWidth="1"/>
    <col min="1811" max="1811" width="0" style="1174" hidden="1" customWidth="1"/>
    <col min="1812" max="1814" width="12" style="1174" customWidth="1"/>
    <col min="1815" max="1822" width="0" style="1174" hidden="1" customWidth="1"/>
    <col min="1823" max="1964" width="12" style="1174" customWidth="1"/>
    <col min="1965" max="2048" width="0" style="1174" hidden="1"/>
    <col min="2049" max="2049" width="9.28515625" style="1174" customWidth="1"/>
    <col min="2050" max="2051" width="8" style="1174" customWidth="1"/>
    <col min="2052" max="2052" width="18.140625" style="1174" customWidth="1"/>
    <col min="2053" max="2053" width="0" style="1174" hidden="1" customWidth="1"/>
    <col min="2054" max="2054" width="15.42578125" style="1174" bestFit="1" customWidth="1"/>
    <col min="2055" max="2059" width="15.7109375" style="1174" customWidth="1"/>
    <col min="2060" max="2060" width="13.85546875" style="1174" customWidth="1"/>
    <col min="2061" max="2061" width="14.140625" style="1174" customWidth="1"/>
    <col min="2062" max="2062" width="15.42578125" style="1174" customWidth="1"/>
    <col min="2063" max="2063" width="0" style="1174" hidden="1" customWidth="1"/>
    <col min="2064" max="2064" width="1.28515625" style="1174" customWidth="1"/>
    <col min="2065" max="2065" width="8" style="1174" customWidth="1"/>
    <col min="2066" max="2066" width="1.28515625" style="1174" customWidth="1"/>
    <col min="2067" max="2067" width="0" style="1174" hidden="1" customWidth="1"/>
    <col min="2068" max="2070" width="12" style="1174" customWidth="1"/>
    <col min="2071" max="2078" width="0" style="1174" hidden="1" customWidth="1"/>
    <col min="2079" max="2220" width="12" style="1174" customWidth="1"/>
    <col min="2221" max="2304" width="0" style="1174" hidden="1"/>
    <col min="2305" max="2305" width="9.28515625" style="1174" customWidth="1"/>
    <col min="2306" max="2307" width="8" style="1174" customWidth="1"/>
    <col min="2308" max="2308" width="18.140625" style="1174" customWidth="1"/>
    <col min="2309" max="2309" width="0" style="1174" hidden="1" customWidth="1"/>
    <col min="2310" max="2310" width="15.42578125" style="1174" bestFit="1" customWidth="1"/>
    <col min="2311" max="2315" width="15.7109375" style="1174" customWidth="1"/>
    <col min="2316" max="2316" width="13.85546875" style="1174" customWidth="1"/>
    <col min="2317" max="2317" width="14.140625" style="1174" customWidth="1"/>
    <col min="2318" max="2318" width="15.42578125" style="1174" customWidth="1"/>
    <col min="2319" max="2319" width="0" style="1174" hidden="1" customWidth="1"/>
    <col min="2320" max="2320" width="1.28515625" style="1174" customWidth="1"/>
    <col min="2321" max="2321" width="8" style="1174" customWidth="1"/>
    <col min="2322" max="2322" width="1.28515625" style="1174" customWidth="1"/>
    <col min="2323" max="2323" width="0" style="1174" hidden="1" customWidth="1"/>
    <col min="2324" max="2326" width="12" style="1174" customWidth="1"/>
    <col min="2327" max="2334" width="0" style="1174" hidden="1" customWidth="1"/>
    <col min="2335" max="2476" width="12" style="1174" customWidth="1"/>
    <col min="2477" max="2560" width="0" style="1174" hidden="1"/>
    <col min="2561" max="2561" width="9.28515625" style="1174" customWidth="1"/>
    <col min="2562" max="2563" width="8" style="1174" customWidth="1"/>
    <col min="2564" max="2564" width="18.140625" style="1174" customWidth="1"/>
    <col min="2565" max="2565" width="0" style="1174" hidden="1" customWidth="1"/>
    <col min="2566" max="2566" width="15.42578125" style="1174" bestFit="1" customWidth="1"/>
    <col min="2567" max="2571" width="15.7109375" style="1174" customWidth="1"/>
    <col min="2572" max="2572" width="13.85546875" style="1174" customWidth="1"/>
    <col min="2573" max="2573" width="14.140625" style="1174" customWidth="1"/>
    <col min="2574" max="2574" width="15.42578125" style="1174" customWidth="1"/>
    <col min="2575" max="2575" width="0" style="1174" hidden="1" customWidth="1"/>
    <col min="2576" max="2576" width="1.28515625" style="1174" customWidth="1"/>
    <col min="2577" max="2577" width="8" style="1174" customWidth="1"/>
    <col min="2578" max="2578" width="1.28515625" style="1174" customWidth="1"/>
    <col min="2579" max="2579" width="0" style="1174" hidden="1" customWidth="1"/>
    <col min="2580" max="2582" width="12" style="1174" customWidth="1"/>
    <col min="2583" max="2590" width="0" style="1174" hidden="1" customWidth="1"/>
    <col min="2591" max="2732" width="12" style="1174" customWidth="1"/>
    <col min="2733" max="2816" width="0" style="1174" hidden="1"/>
    <col min="2817" max="2817" width="9.28515625" style="1174" customWidth="1"/>
    <col min="2818" max="2819" width="8" style="1174" customWidth="1"/>
    <col min="2820" max="2820" width="18.140625" style="1174" customWidth="1"/>
    <col min="2821" max="2821" width="0" style="1174" hidden="1" customWidth="1"/>
    <col min="2822" max="2822" width="15.42578125" style="1174" bestFit="1" customWidth="1"/>
    <col min="2823" max="2827" width="15.7109375" style="1174" customWidth="1"/>
    <col min="2828" max="2828" width="13.85546875" style="1174" customWidth="1"/>
    <col min="2829" max="2829" width="14.140625" style="1174" customWidth="1"/>
    <col min="2830" max="2830" width="15.42578125" style="1174" customWidth="1"/>
    <col min="2831" max="2831" width="0" style="1174" hidden="1" customWidth="1"/>
    <col min="2832" max="2832" width="1.28515625" style="1174" customWidth="1"/>
    <col min="2833" max="2833" width="8" style="1174" customWidth="1"/>
    <col min="2834" max="2834" width="1.28515625" style="1174" customWidth="1"/>
    <col min="2835" max="2835" width="0" style="1174" hidden="1" customWidth="1"/>
    <col min="2836" max="2838" width="12" style="1174" customWidth="1"/>
    <col min="2839" max="2846" width="0" style="1174" hidden="1" customWidth="1"/>
    <col min="2847" max="2988" width="12" style="1174" customWidth="1"/>
    <col min="2989" max="3072" width="0" style="1174" hidden="1"/>
    <col min="3073" max="3073" width="9.28515625" style="1174" customWidth="1"/>
    <col min="3074" max="3075" width="8" style="1174" customWidth="1"/>
    <col min="3076" max="3076" width="18.140625" style="1174" customWidth="1"/>
    <col min="3077" max="3077" width="0" style="1174" hidden="1" customWidth="1"/>
    <col min="3078" max="3078" width="15.42578125" style="1174" bestFit="1" customWidth="1"/>
    <col min="3079" max="3083" width="15.7109375" style="1174" customWidth="1"/>
    <col min="3084" max="3084" width="13.85546875" style="1174" customWidth="1"/>
    <col min="3085" max="3085" width="14.140625" style="1174" customWidth="1"/>
    <col min="3086" max="3086" width="15.42578125" style="1174" customWidth="1"/>
    <col min="3087" max="3087" width="0" style="1174" hidden="1" customWidth="1"/>
    <col min="3088" max="3088" width="1.28515625" style="1174" customWidth="1"/>
    <col min="3089" max="3089" width="8" style="1174" customWidth="1"/>
    <col min="3090" max="3090" width="1.28515625" style="1174" customWidth="1"/>
    <col min="3091" max="3091" width="0" style="1174" hidden="1" customWidth="1"/>
    <col min="3092" max="3094" width="12" style="1174" customWidth="1"/>
    <col min="3095" max="3102" width="0" style="1174" hidden="1" customWidth="1"/>
    <col min="3103" max="3244" width="12" style="1174" customWidth="1"/>
    <col min="3245" max="3328" width="0" style="1174" hidden="1"/>
    <col min="3329" max="3329" width="9.28515625" style="1174" customWidth="1"/>
    <col min="3330" max="3331" width="8" style="1174" customWidth="1"/>
    <col min="3332" max="3332" width="18.140625" style="1174" customWidth="1"/>
    <col min="3333" max="3333" width="0" style="1174" hidden="1" customWidth="1"/>
    <col min="3334" max="3334" width="15.42578125" style="1174" bestFit="1" customWidth="1"/>
    <col min="3335" max="3339" width="15.7109375" style="1174" customWidth="1"/>
    <col min="3340" max="3340" width="13.85546875" style="1174" customWidth="1"/>
    <col min="3341" max="3341" width="14.140625" style="1174" customWidth="1"/>
    <col min="3342" max="3342" width="15.42578125" style="1174" customWidth="1"/>
    <col min="3343" max="3343" width="0" style="1174" hidden="1" customWidth="1"/>
    <col min="3344" max="3344" width="1.28515625" style="1174" customWidth="1"/>
    <col min="3345" max="3345" width="8" style="1174" customWidth="1"/>
    <col min="3346" max="3346" width="1.28515625" style="1174" customWidth="1"/>
    <col min="3347" max="3347" width="0" style="1174" hidden="1" customWidth="1"/>
    <col min="3348" max="3350" width="12" style="1174" customWidth="1"/>
    <col min="3351" max="3358" width="0" style="1174" hidden="1" customWidth="1"/>
    <col min="3359" max="3500" width="12" style="1174" customWidth="1"/>
    <col min="3501" max="3584" width="0" style="1174" hidden="1"/>
    <col min="3585" max="3585" width="9.28515625" style="1174" customWidth="1"/>
    <col min="3586" max="3587" width="8" style="1174" customWidth="1"/>
    <col min="3588" max="3588" width="18.140625" style="1174" customWidth="1"/>
    <col min="3589" max="3589" width="0" style="1174" hidden="1" customWidth="1"/>
    <col min="3590" max="3590" width="15.42578125" style="1174" bestFit="1" customWidth="1"/>
    <col min="3591" max="3595" width="15.7109375" style="1174" customWidth="1"/>
    <col min="3596" max="3596" width="13.85546875" style="1174" customWidth="1"/>
    <col min="3597" max="3597" width="14.140625" style="1174" customWidth="1"/>
    <col min="3598" max="3598" width="15.42578125" style="1174" customWidth="1"/>
    <col min="3599" max="3599" width="0" style="1174" hidden="1" customWidth="1"/>
    <col min="3600" max="3600" width="1.28515625" style="1174" customWidth="1"/>
    <col min="3601" max="3601" width="8" style="1174" customWidth="1"/>
    <col min="3602" max="3602" width="1.28515625" style="1174" customWidth="1"/>
    <col min="3603" max="3603" width="0" style="1174" hidden="1" customWidth="1"/>
    <col min="3604" max="3606" width="12" style="1174" customWidth="1"/>
    <col min="3607" max="3614" width="0" style="1174" hidden="1" customWidth="1"/>
    <col min="3615" max="3756" width="12" style="1174" customWidth="1"/>
    <col min="3757" max="3840" width="0" style="1174" hidden="1"/>
    <col min="3841" max="3841" width="9.28515625" style="1174" customWidth="1"/>
    <col min="3842" max="3843" width="8" style="1174" customWidth="1"/>
    <col min="3844" max="3844" width="18.140625" style="1174" customWidth="1"/>
    <col min="3845" max="3845" width="0" style="1174" hidden="1" customWidth="1"/>
    <col min="3846" max="3846" width="15.42578125" style="1174" bestFit="1" customWidth="1"/>
    <col min="3847" max="3851" width="15.7109375" style="1174" customWidth="1"/>
    <col min="3852" max="3852" width="13.85546875" style="1174" customWidth="1"/>
    <col min="3853" max="3853" width="14.140625" style="1174" customWidth="1"/>
    <col min="3854" max="3854" width="15.42578125" style="1174" customWidth="1"/>
    <col min="3855" max="3855" width="0" style="1174" hidden="1" customWidth="1"/>
    <col min="3856" max="3856" width="1.28515625" style="1174" customWidth="1"/>
    <col min="3857" max="3857" width="8" style="1174" customWidth="1"/>
    <col min="3858" max="3858" width="1.28515625" style="1174" customWidth="1"/>
    <col min="3859" max="3859" width="0" style="1174" hidden="1" customWidth="1"/>
    <col min="3860" max="3862" width="12" style="1174" customWidth="1"/>
    <col min="3863" max="3870" width="0" style="1174" hidden="1" customWidth="1"/>
    <col min="3871" max="4012" width="12" style="1174" customWidth="1"/>
    <col min="4013" max="4096" width="0" style="1174" hidden="1"/>
    <col min="4097" max="4097" width="9.28515625" style="1174" customWidth="1"/>
    <col min="4098" max="4099" width="8" style="1174" customWidth="1"/>
    <col min="4100" max="4100" width="18.140625" style="1174" customWidth="1"/>
    <col min="4101" max="4101" width="0" style="1174" hidden="1" customWidth="1"/>
    <col min="4102" max="4102" width="15.42578125" style="1174" bestFit="1" customWidth="1"/>
    <col min="4103" max="4107" width="15.7109375" style="1174" customWidth="1"/>
    <col min="4108" max="4108" width="13.85546875" style="1174" customWidth="1"/>
    <col min="4109" max="4109" width="14.140625" style="1174" customWidth="1"/>
    <col min="4110" max="4110" width="15.42578125" style="1174" customWidth="1"/>
    <col min="4111" max="4111" width="0" style="1174" hidden="1" customWidth="1"/>
    <col min="4112" max="4112" width="1.28515625" style="1174" customWidth="1"/>
    <col min="4113" max="4113" width="8" style="1174" customWidth="1"/>
    <col min="4114" max="4114" width="1.28515625" style="1174" customWidth="1"/>
    <col min="4115" max="4115" width="0" style="1174" hidden="1" customWidth="1"/>
    <col min="4116" max="4118" width="12" style="1174" customWidth="1"/>
    <col min="4119" max="4126" width="0" style="1174" hidden="1" customWidth="1"/>
    <col min="4127" max="4268" width="12" style="1174" customWidth="1"/>
    <col min="4269" max="4352" width="0" style="1174" hidden="1"/>
    <col min="4353" max="4353" width="9.28515625" style="1174" customWidth="1"/>
    <col min="4354" max="4355" width="8" style="1174" customWidth="1"/>
    <col min="4356" max="4356" width="18.140625" style="1174" customWidth="1"/>
    <col min="4357" max="4357" width="0" style="1174" hidden="1" customWidth="1"/>
    <col min="4358" max="4358" width="15.42578125" style="1174" bestFit="1" customWidth="1"/>
    <col min="4359" max="4363" width="15.7109375" style="1174" customWidth="1"/>
    <col min="4364" max="4364" width="13.85546875" style="1174" customWidth="1"/>
    <col min="4365" max="4365" width="14.140625" style="1174" customWidth="1"/>
    <col min="4366" max="4366" width="15.42578125" style="1174" customWidth="1"/>
    <col min="4367" max="4367" width="0" style="1174" hidden="1" customWidth="1"/>
    <col min="4368" max="4368" width="1.28515625" style="1174" customWidth="1"/>
    <col min="4369" max="4369" width="8" style="1174" customWidth="1"/>
    <col min="4370" max="4370" width="1.28515625" style="1174" customWidth="1"/>
    <col min="4371" max="4371" width="0" style="1174" hidden="1" customWidth="1"/>
    <col min="4372" max="4374" width="12" style="1174" customWidth="1"/>
    <col min="4375" max="4382" width="0" style="1174" hidden="1" customWidth="1"/>
    <col min="4383" max="4524" width="12" style="1174" customWidth="1"/>
    <col min="4525" max="4608" width="0" style="1174" hidden="1"/>
    <col min="4609" max="4609" width="9.28515625" style="1174" customWidth="1"/>
    <col min="4610" max="4611" width="8" style="1174" customWidth="1"/>
    <col min="4612" max="4612" width="18.140625" style="1174" customWidth="1"/>
    <col min="4613" max="4613" width="0" style="1174" hidden="1" customWidth="1"/>
    <col min="4614" max="4614" width="15.42578125" style="1174" bestFit="1" customWidth="1"/>
    <col min="4615" max="4619" width="15.7109375" style="1174" customWidth="1"/>
    <col min="4620" max="4620" width="13.85546875" style="1174" customWidth="1"/>
    <col min="4621" max="4621" width="14.140625" style="1174" customWidth="1"/>
    <col min="4622" max="4622" width="15.42578125" style="1174" customWidth="1"/>
    <col min="4623" max="4623" width="0" style="1174" hidden="1" customWidth="1"/>
    <col min="4624" max="4624" width="1.28515625" style="1174" customWidth="1"/>
    <col min="4625" max="4625" width="8" style="1174" customWidth="1"/>
    <col min="4626" max="4626" width="1.28515625" style="1174" customWidth="1"/>
    <col min="4627" max="4627" width="0" style="1174" hidden="1" customWidth="1"/>
    <col min="4628" max="4630" width="12" style="1174" customWidth="1"/>
    <col min="4631" max="4638" width="0" style="1174" hidden="1" customWidth="1"/>
    <col min="4639" max="4780" width="12" style="1174" customWidth="1"/>
    <col min="4781" max="4864" width="0" style="1174" hidden="1"/>
    <col min="4865" max="4865" width="9.28515625" style="1174" customWidth="1"/>
    <col min="4866" max="4867" width="8" style="1174" customWidth="1"/>
    <col min="4868" max="4868" width="18.140625" style="1174" customWidth="1"/>
    <col min="4869" max="4869" width="0" style="1174" hidden="1" customWidth="1"/>
    <col min="4870" max="4870" width="15.42578125" style="1174" bestFit="1" customWidth="1"/>
    <col min="4871" max="4875" width="15.7109375" style="1174" customWidth="1"/>
    <col min="4876" max="4876" width="13.85546875" style="1174" customWidth="1"/>
    <col min="4877" max="4877" width="14.140625" style="1174" customWidth="1"/>
    <col min="4878" max="4878" width="15.42578125" style="1174" customWidth="1"/>
    <col min="4879" max="4879" width="0" style="1174" hidden="1" customWidth="1"/>
    <col min="4880" max="4880" width="1.28515625" style="1174" customWidth="1"/>
    <col min="4881" max="4881" width="8" style="1174" customWidth="1"/>
    <col min="4882" max="4882" width="1.28515625" style="1174" customWidth="1"/>
    <col min="4883" max="4883" width="0" style="1174" hidden="1" customWidth="1"/>
    <col min="4884" max="4886" width="12" style="1174" customWidth="1"/>
    <col min="4887" max="4894" width="0" style="1174" hidden="1" customWidth="1"/>
    <col min="4895" max="5036" width="12" style="1174" customWidth="1"/>
    <col min="5037" max="5120" width="0" style="1174" hidden="1"/>
    <col min="5121" max="5121" width="9.28515625" style="1174" customWidth="1"/>
    <col min="5122" max="5123" width="8" style="1174" customWidth="1"/>
    <col min="5124" max="5124" width="18.140625" style="1174" customWidth="1"/>
    <col min="5125" max="5125" width="0" style="1174" hidden="1" customWidth="1"/>
    <col min="5126" max="5126" width="15.42578125" style="1174" bestFit="1" customWidth="1"/>
    <col min="5127" max="5131" width="15.7109375" style="1174" customWidth="1"/>
    <col min="5132" max="5132" width="13.85546875" style="1174" customWidth="1"/>
    <col min="5133" max="5133" width="14.140625" style="1174" customWidth="1"/>
    <col min="5134" max="5134" width="15.42578125" style="1174" customWidth="1"/>
    <col min="5135" max="5135" width="0" style="1174" hidden="1" customWidth="1"/>
    <col min="5136" max="5136" width="1.28515625" style="1174" customWidth="1"/>
    <col min="5137" max="5137" width="8" style="1174" customWidth="1"/>
    <col min="5138" max="5138" width="1.28515625" style="1174" customWidth="1"/>
    <col min="5139" max="5139" width="0" style="1174" hidden="1" customWidth="1"/>
    <col min="5140" max="5142" width="12" style="1174" customWidth="1"/>
    <col min="5143" max="5150" width="0" style="1174" hidden="1" customWidth="1"/>
    <col min="5151" max="5292" width="12" style="1174" customWidth="1"/>
    <col min="5293" max="5376" width="0" style="1174" hidden="1"/>
    <col min="5377" max="5377" width="9.28515625" style="1174" customWidth="1"/>
    <col min="5378" max="5379" width="8" style="1174" customWidth="1"/>
    <col min="5380" max="5380" width="18.140625" style="1174" customWidth="1"/>
    <col min="5381" max="5381" width="0" style="1174" hidden="1" customWidth="1"/>
    <col min="5382" max="5382" width="15.42578125" style="1174" bestFit="1" customWidth="1"/>
    <col min="5383" max="5387" width="15.7109375" style="1174" customWidth="1"/>
    <col min="5388" max="5388" width="13.85546875" style="1174" customWidth="1"/>
    <col min="5389" max="5389" width="14.140625" style="1174" customWidth="1"/>
    <col min="5390" max="5390" width="15.42578125" style="1174" customWidth="1"/>
    <col min="5391" max="5391" width="0" style="1174" hidden="1" customWidth="1"/>
    <col min="5392" max="5392" width="1.28515625" style="1174" customWidth="1"/>
    <col min="5393" max="5393" width="8" style="1174" customWidth="1"/>
    <col min="5394" max="5394" width="1.28515625" style="1174" customWidth="1"/>
    <col min="5395" max="5395" width="0" style="1174" hidden="1" customWidth="1"/>
    <col min="5396" max="5398" width="12" style="1174" customWidth="1"/>
    <col min="5399" max="5406" width="0" style="1174" hidden="1" customWidth="1"/>
    <col min="5407" max="5548" width="12" style="1174" customWidth="1"/>
    <col min="5549" max="5632" width="0" style="1174" hidden="1"/>
    <col min="5633" max="5633" width="9.28515625" style="1174" customWidth="1"/>
    <col min="5634" max="5635" width="8" style="1174" customWidth="1"/>
    <col min="5636" max="5636" width="18.140625" style="1174" customWidth="1"/>
    <col min="5637" max="5637" width="0" style="1174" hidden="1" customWidth="1"/>
    <col min="5638" max="5638" width="15.42578125" style="1174" bestFit="1" customWidth="1"/>
    <col min="5639" max="5643" width="15.7109375" style="1174" customWidth="1"/>
    <col min="5644" max="5644" width="13.85546875" style="1174" customWidth="1"/>
    <col min="5645" max="5645" width="14.140625" style="1174" customWidth="1"/>
    <col min="5646" max="5646" width="15.42578125" style="1174" customWidth="1"/>
    <col min="5647" max="5647" width="0" style="1174" hidden="1" customWidth="1"/>
    <col min="5648" max="5648" width="1.28515625" style="1174" customWidth="1"/>
    <col min="5649" max="5649" width="8" style="1174" customWidth="1"/>
    <col min="5650" max="5650" width="1.28515625" style="1174" customWidth="1"/>
    <col min="5651" max="5651" width="0" style="1174" hidden="1" customWidth="1"/>
    <col min="5652" max="5654" width="12" style="1174" customWidth="1"/>
    <col min="5655" max="5662" width="0" style="1174" hidden="1" customWidth="1"/>
    <col min="5663" max="5804" width="12" style="1174" customWidth="1"/>
    <col min="5805" max="5888" width="0" style="1174" hidden="1"/>
    <col min="5889" max="5889" width="9.28515625" style="1174" customWidth="1"/>
    <col min="5890" max="5891" width="8" style="1174" customWidth="1"/>
    <col min="5892" max="5892" width="18.140625" style="1174" customWidth="1"/>
    <col min="5893" max="5893" width="0" style="1174" hidden="1" customWidth="1"/>
    <col min="5894" max="5894" width="15.42578125" style="1174" bestFit="1" customWidth="1"/>
    <col min="5895" max="5899" width="15.7109375" style="1174" customWidth="1"/>
    <col min="5900" max="5900" width="13.85546875" style="1174" customWidth="1"/>
    <col min="5901" max="5901" width="14.140625" style="1174" customWidth="1"/>
    <col min="5902" max="5902" width="15.42578125" style="1174" customWidth="1"/>
    <col min="5903" max="5903" width="0" style="1174" hidden="1" customWidth="1"/>
    <col min="5904" max="5904" width="1.28515625" style="1174" customWidth="1"/>
    <col min="5905" max="5905" width="8" style="1174" customWidth="1"/>
    <col min="5906" max="5906" width="1.28515625" style="1174" customWidth="1"/>
    <col min="5907" max="5907" width="0" style="1174" hidden="1" customWidth="1"/>
    <col min="5908" max="5910" width="12" style="1174" customWidth="1"/>
    <col min="5911" max="5918" width="0" style="1174" hidden="1" customWidth="1"/>
    <col min="5919" max="6060" width="12" style="1174" customWidth="1"/>
    <col min="6061" max="6144" width="0" style="1174" hidden="1"/>
    <col min="6145" max="6145" width="9.28515625" style="1174" customWidth="1"/>
    <col min="6146" max="6147" width="8" style="1174" customWidth="1"/>
    <col min="6148" max="6148" width="18.140625" style="1174" customWidth="1"/>
    <col min="6149" max="6149" width="0" style="1174" hidden="1" customWidth="1"/>
    <col min="6150" max="6150" width="15.42578125" style="1174" bestFit="1" customWidth="1"/>
    <col min="6151" max="6155" width="15.7109375" style="1174" customWidth="1"/>
    <col min="6156" max="6156" width="13.85546875" style="1174" customWidth="1"/>
    <col min="6157" max="6157" width="14.140625" style="1174" customWidth="1"/>
    <col min="6158" max="6158" width="15.42578125" style="1174" customWidth="1"/>
    <col min="6159" max="6159" width="0" style="1174" hidden="1" customWidth="1"/>
    <col min="6160" max="6160" width="1.28515625" style="1174" customWidth="1"/>
    <col min="6161" max="6161" width="8" style="1174" customWidth="1"/>
    <col min="6162" max="6162" width="1.28515625" style="1174" customWidth="1"/>
    <col min="6163" max="6163" width="0" style="1174" hidden="1" customWidth="1"/>
    <col min="6164" max="6166" width="12" style="1174" customWidth="1"/>
    <col min="6167" max="6174" width="0" style="1174" hidden="1" customWidth="1"/>
    <col min="6175" max="6316" width="12" style="1174" customWidth="1"/>
    <col min="6317" max="6400" width="0" style="1174" hidden="1"/>
    <col min="6401" max="6401" width="9.28515625" style="1174" customWidth="1"/>
    <col min="6402" max="6403" width="8" style="1174" customWidth="1"/>
    <col min="6404" max="6404" width="18.140625" style="1174" customWidth="1"/>
    <col min="6405" max="6405" width="0" style="1174" hidden="1" customWidth="1"/>
    <col min="6406" max="6406" width="15.42578125" style="1174" bestFit="1" customWidth="1"/>
    <col min="6407" max="6411" width="15.7109375" style="1174" customWidth="1"/>
    <col min="6412" max="6412" width="13.85546875" style="1174" customWidth="1"/>
    <col min="6413" max="6413" width="14.140625" style="1174" customWidth="1"/>
    <col min="6414" max="6414" width="15.42578125" style="1174" customWidth="1"/>
    <col min="6415" max="6415" width="0" style="1174" hidden="1" customWidth="1"/>
    <col min="6416" max="6416" width="1.28515625" style="1174" customWidth="1"/>
    <col min="6417" max="6417" width="8" style="1174" customWidth="1"/>
    <col min="6418" max="6418" width="1.28515625" style="1174" customWidth="1"/>
    <col min="6419" max="6419" width="0" style="1174" hidden="1" customWidth="1"/>
    <col min="6420" max="6422" width="12" style="1174" customWidth="1"/>
    <col min="6423" max="6430" width="0" style="1174" hidden="1" customWidth="1"/>
    <col min="6431" max="6572" width="12" style="1174" customWidth="1"/>
    <col min="6573" max="6656" width="0" style="1174" hidden="1"/>
    <col min="6657" max="6657" width="9.28515625" style="1174" customWidth="1"/>
    <col min="6658" max="6659" width="8" style="1174" customWidth="1"/>
    <col min="6660" max="6660" width="18.140625" style="1174" customWidth="1"/>
    <col min="6661" max="6661" width="0" style="1174" hidden="1" customWidth="1"/>
    <col min="6662" max="6662" width="15.42578125" style="1174" bestFit="1" customWidth="1"/>
    <col min="6663" max="6667" width="15.7109375" style="1174" customWidth="1"/>
    <col min="6668" max="6668" width="13.85546875" style="1174" customWidth="1"/>
    <col min="6669" max="6669" width="14.140625" style="1174" customWidth="1"/>
    <col min="6670" max="6670" width="15.42578125" style="1174" customWidth="1"/>
    <col min="6671" max="6671" width="0" style="1174" hidden="1" customWidth="1"/>
    <col min="6672" max="6672" width="1.28515625" style="1174" customWidth="1"/>
    <col min="6673" max="6673" width="8" style="1174" customWidth="1"/>
    <col min="6674" max="6674" width="1.28515625" style="1174" customWidth="1"/>
    <col min="6675" max="6675" width="0" style="1174" hidden="1" customWidth="1"/>
    <col min="6676" max="6678" width="12" style="1174" customWidth="1"/>
    <col min="6679" max="6686" width="0" style="1174" hidden="1" customWidth="1"/>
    <col min="6687" max="6828" width="12" style="1174" customWidth="1"/>
    <col min="6829" max="6912" width="0" style="1174" hidden="1"/>
    <col min="6913" max="6913" width="9.28515625" style="1174" customWidth="1"/>
    <col min="6914" max="6915" width="8" style="1174" customWidth="1"/>
    <col min="6916" max="6916" width="18.140625" style="1174" customWidth="1"/>
    <col min="6917" max="6917" width="0" style="1174" hidden="1" customWidth="1"/>
    <col min="6918" max="6918" width="15.42578125" style="1174" bestFit="1" customWidth="1"/>
    <col min="6919" max="6923" width="15.7109375" style="1174" customWidth="1"/>
    <col min="6924" max="6924" width="13.85546875" style="1174" customWidth="1"/>
    <col min="6925" max="6925" width="14.140625" style="1174" customWidth="1"/>
    <col min="6926" max="6926" width="15.42578125" style="1174" customWidth="1"/>
    <col min="6927" max="6927" width="0" style="1174" hidden="1" customWidth="1"/>
    <col min="6928" max="6928" width="1.28515625" style="1174" customWidth="1"/>
    <col min="6929" max="6929" width="8" style="1174" customWidth="1"/>
    <col min="6930" max="6930" width="1.28515625" style="1174" customWidth="1"/>
    <col min="6931" max="6931" width="0" style="1174" hidden="1" customWidth="1"/>
    <col min="6932" max="6934" width="12" style="1174" customWidth="1"/>
    <col min="6935" max="6942" width="0" style="1174" hidden="1" customWidth="1"/>
    <col min="6943" max="7084" width="12" style="1174" customWidth="1"/>
    <col min="7085" max="7168" width="0" style="1174" hidden="1"/>
    <col min="7169" max="7169" width="9.28515625" style="1174" customWidth="1"/>
    <col min="7170" max="7171" width="8" style="1174" customWidth="1"/>
    <col min="7172" max="7172" width="18.140625" style="1174" customWidth="1"/>
    <col min="7173" max="7173" width="0" style="1174" hidden="1" customWidth="1"/>
    <col min="7174" max="7174" width="15.42578125" style="1174" bestFit="1" customWidth="1"/>
    <col min="7175" max="7179" width="15.7109375" style="1174" customWidth="1"/>
    <col min="7180" max="7180" width="13.85546875" style="1174" customWidth="1"/>
    <col min="7181" max="7181" width="14.140625" style="1174" customWidth="1"/>
    <col min="7182" max="7182" width="15.42578125" style="1174" customWidth="1"/>
    <col min="7183" max="7183" width="0" style="1174" hidden="1" customWidth="1"/>
    <col min="7184" max="7184" width="1.28515625" style="1174" customWidth="1"/>
    <col min="7185" max="7185" width="8" style="1174" customWidth="1"/>
    <col min="7186" max="7186" width="1.28515625" style="1174" customWidth="1"/>
    <col min="7187" max="7187" width="0" style="1174" hidden="1" customWidth="1"/>
    <col min="7188" max="7190" width="12" style="1174" customWidth="1"/>
    <col min="7191" max="7198" width="0" style="1174" hidden="1" customWidth="1"/>
    <col min="7199" max="7340" width="12" style="1174" customWidth="1"/>
    <col min="7341" max="7424" width="0" style="1174" hidden="1"/>
    <col min="7425" max="7425" width="9.28515625" style="1174" customWidth="1"/>
    <col min="7426" max="7427" width="8" style="1174" customWidth="1"/>
    <col min="7428" max="7428" width="18.140625" style="1174" customWidth="1"/>
    <col min="7429" max="7429" width="0" style="1174" hidden="1" customWidth="1"/>
    <col min="7430" max="7430" width="15.42578125" style="1174" bestFit="1" customWidth="1"/>
    <col min="7431" max="7435" width="15.7109375" style="1174" customWidth="1"/>
    <col min="7436" max="7436" width="13.85546875" style="1174" customWidth="1"/>
    <col min="7437" max="7437" width="14.140625" style="1174" customWidth="1"/>
    <col min="7438" max="7438" width="15.42578125" style="1174" customWidth="1"/>
    <col min="7439" max="7439" width="0" style="1174" hidden="1" customWidth="1"/>
    <col min="7440" max="7440" width="1.28515625" style="1174" customWidth="1"/>
    <col min="7441" max="7441" width="8" style="1174" customWidth="1"/>
    <col min="7442" max="7442" width="1.28515625" style="1174" customWidth="1"/>
    <col min="7443" max="7443" width="0" style="1174" hidden="1" customWidth="1"/>
    <col min="7444" max="7446" width="12" style="1174" customWidth="1"/>
    <col min="7447" max="7454" width="0" style="1174" hidden="1" customWidth="1"/>
    <col min="7455" max="7596" width="12" style="1174" customWidth="1"/>
    <col min="7597" max="7680" width="0" style="1174" hidden="1"/>
    <col min="7681" max="7681" width="9.28515625" style="1174" customWidth="1"/>
    <col min="7682" max="7683" width="8" style="1174" customWidth="1"/>
    <col min="7684" max="7684" width="18.140625" style="1174" customWidth="1"/>
    <col min="7685" max="7685" width="0" style="1174" hidden="1" customWidth="1"/>
    <col min="7686" max="7686" width="15.42578125" style="1174" bestFit="1" customWidth="1"/>
    <col min="7687" max="7691" width="15.7109375" style="1174" customWidth="1"/>
    <col min="7692" max="7692" width="13.85546875" style="1174" customWidth="1"/>
    <col min="7693" max="7693" width="14.140625" style="1174" customWidth="1"/>
    <col min="7694" max="7694" width="15.42578125" style="1174" customWidth="1"/>
    <col min="7695" max="7695" width="0" style="1174" hidden="1" customWidth="1"/>
    <col min="7696" max="7696" width="1.28515625" style="1174" customWidth="1"/>
    <col min="7697" max="7697" width="8" style="1174" customWidth="1"/>
    <col min="7698" max="7698" width="1.28515625" style="1174" customWidth="1"/>
    <col min="7699" max="7699" width="0" style="1174" hidden="1" customWidth="1"/>
    <col min="7700" max="7702" width="12" style="1174" customWidth="1"/>
    <col min="7703" max="7710" width="0" style="1174" hidden="1" customWidth="1"/>
    <col min="7711" max="7852" width="12" style="1174" customWidth="1"/>
    <col min="7853" max="7936" width="0" style="1174" hidden="1"/>
    <col min="7937" max="7937" width="9.28515625" style="1174" customWidth="1"/>
    <col min="7938" max="7939" width="8" style="1174" customWidth="1"/>
    <col min="7940" max="7940" width="18.140625" style="1174" customWidth="1"/>
    <col min="7941" max="7941" width="0" style="1174" hidden="1" customWidth="1"/>
    <col min="7942" max="7942" width="15.42578125" style="1174" bestFit="1" customWidth="1"/>
    <col min="7943" max="7947" width="15.7109375" style="1174" customWidth="1"/>
    <col min="7948" max="7948" width="13.85546875" style="1174" customWidth="1"/>
    <col min="7949" max="7949" width="14.140625" style="1174" customWidth="1"/>
    <col min="7950" max="7950" width="15.42578125" style="1174" customWidth="1"/>
    <col min="7951" max="7951" width="0" style="1174" hidden="1" customWidth="1"/>
    <col min="7952" max="7952" width="1.28515625" style="1174" customWidth="1"/>
    <col min="7953" max="7953" width="8" style="1174" customWidth="1"/>
    <col min="7954" max="7954" width="1.28515625" style="1174" customWidth="1"/>
    <col min="7955" max="7955" width="0" style="1174" hidden="1" customWidth="1"/>
    <col min="7956" max="7958" width="12" style="1174" customWidth="1"/>
    <col min="7959" max="7966" width="0" style="1174" hidden="1" customWidth="1"/>
    <col min="7967" max="8108" width="12" style="1174" customWidth="1"/>
    <col min="8109" max="8192" width="0" style="1174" hidden="1"/>
    <col min="8193" max="8193" width="9.28515625" style="1174" customWidth="1"/>
    <col min="8194" max="8195" width="8" style="1174" customWidth="1"/>
    <col min="8196" max="8196" width="18.140625" style="1174" customWidth="1"/>
    <col min="8197" max="8197" width="0" style="1174" hidden="1" customWidth="1"/>
    <col min="8198" max="8198" width="15.42578125" style="1174" bestFit="1" customWidth="1"/>
    <col min="8199" max="8203" width="15.7109375" style="1174" customWidth="1"/>
    <col min="8204" max="8204" width="13.85546875" style="1174" customWidth="1"/>
    <col min="8205" max="8205" width="14.140625" style="1174" customWidth="1"/>
    <col min="8206" max="8206" width="15.42578125" style="1174" customWidth="1"/>
    <col min="8207" max="8207" width="0" style="1174" hidden="1" customWidth="1"/>
    <col min="8208" max="8208" width="1.28515625" style="1174" customWidth="1"/>
    <col min="8209" max="8209" width="8" style="1174" customWidth="1"/>
    <col min="8210" max="8210" width="1.28515625" style="1174" customWidth="1"/>
    <col min="8211" max="8211" width="0" style="1174" hidden="1" customWidth="1"/>
    <col min="8212" max="8214" width="12" style="1174" customWidth="1"/>
    <col min="8215" max="8222" width="0" style="1174" hidden="1" customWidth="1"/>
    <col min="8223" max="8364" width="12" style="1174" customWidth="1"/>
    <col min="8365" max="8448" width="0" style="1174" hidden="1"/>
    <col min="8449" max="8449" width="9.28515625" style="1174" customWidth="1"/>
    <col min="8450" max="8451" width="8" style="1174" customWidth="1"/>
    <col min="8452" max="8452" width="18.140625" style="1174" customWidth="1"/>
    <col min="8453" max="8453" width="0" style="1174" hidden="1" customWidth="1"/>
    <col min="8454" max="8454" width="15.42578125" style="1174" bestFit="1" customWidth="1"/>
    <col min="8455" max="8459" width="15.7109375" style="1174" customWidth="1"/>
    <col min="8460" max="8460" width="13.85546875" style="1174" customWidth="1"/>
    <col min="8461" max="8461" width="14.140625" style="1174" customWidth="1"/>
    <col min="8462" max="8462" width="15.42578125" style="1174" customWidth="1"/>
    <col min="8463" max="8463" width="0" style="1174" hidden="1" customWidth="1"/>
    <col min="8464" max="8464" width="1.28515625" style="1174" customWidth="1"/>
    <col min="8465" max="8465" width="8" style="1174" customWidth="1"/>
    <col min="8466" max="8466" width="1.28515625" style="1174" customWidth="1"/>
    <col min="8467" max="8467" width="0" style="1174" hidden="1" customWidth="1"/>
    <col min="8468" max="8470" width="12" style="1174" customWidth="1"/>
    <col min="8471" max="8478" width="0" style="1174" hidden="1" customWidth="1"/>
    <col min="8479" max="8620" width="12" style="1174" customWidth="1"/>
    <col min="8621" max="8704" width="0" style="1174" hidden="1"/>
    <col min="8705" max="8705" width="9.28515625" style="1174" customWidth="1"/>
    <col min="8706" max="8707" width="8" style="1174" customWidth="1"/>
    <col min="8708" max="8708" width="18.140625" style="1174" customWidth="1"/>
    <col min="8709" max="8709" width="0" style="1174" hidden="1" customWidth="1"/>
    <col min="8710" max="8710" width="15.42578125" style="1174" bestFit="1" customWidth="1"/>
    <col min="8711" max="8715" width="15.7109375" style="1174" customWidth="1"/>
    <col min="8716" max="8716" width="13.85546875" style="1174" customWidth="1"/>
    <col min="8717" max="8717" width="14.140625" style="1174" customWidth="1"/>
    <col min="8718" max="8718" width="15.42578125" style="1174" customWidth="1"/>
    <col min="8719" max="8719" width="0" style="1174" hidden="1" customWidth="1"/>
    <col min="8720" max="8720" width="1.28515625" style="1174" customWidth="1"/>
    <col min="8721" max="8721" width="8" style="1174" customWidth="1"/>
    <col min="8722" max="8722" width="1.28515625" style="1174" customWidth="1"/>
    <col min="8723" max="8723" width="0" style="1174" hidden="1" customWidth="1"/>
    <col min="8724" max="8726" width="12" style="1174" customWidth="1"/>
    <col min="8727" max="8734" width="0" style="1174" hidden="1" customWidth="1"/>
    <col min="8735" max="8876" width="12" style="1174" customWidth="1"/>
    <col min="8877" max="8960" width="0" style="1174" hidden="1"/>
    <col min="8961" max="8961" width="9.28515625" style="1174" customWidth="1"/>
    <col min="8962" max="8963" width="8" style="1174" customWidth="1"/>
    <col min="8964" max="8964" width="18.140625" style="1174" customWidth="1"/>
    <col min="8965" max="8965" width="0" style="1174" hidden="1" customWidth="1"/>
    <col min="8966" max="8966" width="15.42578125" style="1174" bestFit="1" customWidth="1"/>
    <col min="8967" max="8971" width="15.7109375" style="1174" customWidth="1"/>
    <col min="8972" max="8972" width="13.85546875" style="1174" customWidth="1"/>
    <col min="8973" max="8973" width="14.140625" style="1174" customWidth="1"/>
    <col min="8974" max="8974" width="15.42578125" style="1174" customWidth="1"/>
    <col min="8975" max="8975" width="0" style="1174" hidden="1" customWidth="1"/>
    <col min="8976" max="8976" width="1.28515625" style="1174" customWidth="1"/>
    <col min="8977" max="8977" width="8" style="1174" customWidth="1"/>
    <col min="8978" max="8978" width="1.28515625" style="1174" customWidth="1"/>
    <col min="8979" max="8979" width="0" style="1174" hidden="1" customWidth="1"/>
    <col min="8980" max="8982" width="12" style="1174" customWidth="1"/>
    <col min="8983" max="8990" width="0" style="1174" hidden="1" customWidth="1"/>
    <col min="8991" max="9132" width="12" style="1174" customWidth="1"/>
    <col min="9133" max="9216" width="0" style="1174" hidden="1"/>
    <col min="9217" max="9217" width="9.28515625" style="1174" customWidth="1"/>
    <col min="9218" max="9219" width="8" style="1174" customWidth="1"/>
    <col min="9220" max="9220" width="18.140625" style="1174" customWidth="1"/>
    <col min="9221" max="9221" width="0" style="1174" hidden="1" customWidth="1"/>
    <col min="9222" max="9222" width="15.42578125" style="1174" bestFit="1" customWidth="1"/>
    <col min="9223" max="9227" width="15.7109375" style="1174" customWidth="1"/>
    <col min="9228" max="9228" width="13.85546875" style="1174" customWidth="1"/>
    <col min="9229" max="9229" width="14.140625" style="1174" customWidth="1"/>
    <col min="9230" max="9230" width="15.42578125" style="1174" customWidth="1"/>
    <col min="9231" max="9231" width="0" style="1174" hidden="1" customWidth="1"/>
    <col min="9232" max="9232" width="1.28515625" style="1174" customWidth="1"/>
    <col min="9233" max="9233" width="8" style="1174" customWidth="1"/>
    <col min="9234" max="9234" width="1.28515625" style="1174" customWidth="1"/>
    <col min="9235" max="9235" width="0" style="1174" hidden="1" customWidth="1"/>
    <col min="9236" max="9238" width="12" style="1174" customWidth="1"/>
    <col min="9239" max="9246" width="0" style="1174" hidden="1" customWidth="1"/>
    <col min="9247" max="9388" width="12" style="1174" customWidth="1"/>
    <col min="9389" max="9472" width="0" style="1174" hidden="1"/>
    <col min="9473" max="9473" width="9.28515625" style="1174" customWidth="1"/>
    <col min="9474" max="9475" width="8" style="1174" customWidth="1"/>
    <col min="9476" max="9476" width="18.140625" style="1174" customWidth="1"/>
    <col min="9477" max="9477" width="0" style="1174" hidden="1" customWidth="1"/>
    <col min="9478" max="9478" width="15.42578125" style="1174" bestFit="1" customWidth="1"/>
    <col min="9479" max="9483" width="15.7109375" style="1174" customWidth="1"/>
    <col min="9484" max="9484" width="13.85546875" style="1174" customWidth="1"/>
    <col min="9485" max="9485" width="14.140625" style="1174" customWidth="1"/>
    <col min="9486" max="9486" width="15.42578125" style="1174" customWidth="1"/>
    <col min="9487" max="9487" width="0" style="1174" hidden="1" customWidth="1"/>
    <col min="9488" max="9488" width="1.28515625" style="1174" customWidth="1"/>
    <col min="9489" max="9489" width="8" style="1174" customWidth="1"/>
    <col min="9490" max="9490" width="1.28515625" style="1174" customWidth="1"/>
    <col min="9491" max="9491" width="0" style="1174" hidden="1" customWidth="1"/>
    <col min="9492" max="9494" width="12" style="1174" customWidth="1"/>
    <col min="9495" max="9502" width="0" style="1174" hidden="1" customWidth="1"/>
    <col min="9503" max="9644" width="12" style="1174" customWidth="1"/>
    <col min="9645" max="9728" width="0" style="1174" hidden="1"/>
    <col min="9729" max="9729" width="9.28515625" style="1174" customWidth="1"/>
    <col min="9730" max="9731" width="8" style="1174" customWidth="1"/>
    <col min="9732" max="9732" width="18.140625" style="1174" customWidth="1"/>
    <col min="9733" max="9733" width="0" style="1174" hidden="1" customWidth="1"/>
    <col min="9734" max="9734" width="15.42578125" style="1174" bestFit="1" customWidth="1"/>
    <col min="9735" max="9739" width="15.7109375" style="1174" customWidth="1"/>
    <col min="9740" max="9740" width="13.85546875" style="1174" customWidth="1"/>
    <col min="9741" max="9741" width="14.140625" style="1174" customWidth="1"/>
    <col min="9742" max="9742" width="15.42578125" style="1174" customWidth="1"/>
    <col min="9743" max="9743" width="0" style="1174" hidden="1" customWidth="1"/>
    <col min="9744" max="9744" width="1.28515625" style="1174" customWidth="1"/>
    <col min="9745" max="9745" width="8" style="1174" customWidth="1"/>
    <col min="9746" max="9746" width="1.28515625" style="1174" customWidth="1"/>
    <col min="9747" max="9747" width="0" style="1174" hidden="1" customWidth="1"/>
    <col min="9748" max="9750" width="12" style="1174" customWidth="1"/>
    <col min="9751" max="9758" width="0" style="1174" hidden="1" customWidth="1"/>
    <col min="9759" max="9900" width="12" style="1174" customWidth="1"/>
    <col min="9901" max="9984" width="0" style="1174" hidden="1"/>
    <col min="9985" max="9985" width="9.28515625" style="1174" customWidth="1"/>
    <col min="9986" max="9987" width="8" style="1174" customWidth="1"/>
    <col min="9988" max="9988" width="18.140625" style="1174" customWidth="1"/>
    <col min="9989" max="9989" width="0" style="1174" hidden="1" customWidth="1"/>
    <col min="9990" max="9990" width="15.42578125" style="1174" bestFit="1" customWidth="1"/>
    <col min="9991" max="9995" width="15.7109375" style="1174" customWidth="1"/>
    <col min="9996" max="9996" width="13.85546875" style="1174" customWidth="1"/>
    <col min="9997" max="9997" width="14.140625" style="1174" customWidth="1"/>
    <col min="9998" max="9998" width="15.42578125" style="1174" customWidth="1"/>
    <col min="9999" max="9999" width="0" style="1174" hidden="1" customWidth="1"/>
    <col min="10000" max="10000" width="1.28515625" style="1174" customWidth="1"/>
    <col min="10001" max="10001" width="8" style="1174" customWidth="1"/>
    <col min="10002" max="10002" width="1.28515625" style="1174" customWidth="1"/>
    <col min="10003" max="10003" width="0" style="1174" hidden="1" customWidth="1"/>
    <col min="10004" max="10006" width="12" style="1174" customWidth="1"/>
    <col min="10007" max="10014" width="0" style="1174" hidden="1" customWidth="1"/>
    <col min="10015" max="10156" width="12" style="1174" customWidth="1"/>
    <col min="10157" max="10240" width="0" style="1174" hidden="1"/>
    <col min="10241" max="10241" width="9.28515625" style="1174" customWidth="1"/>
    <col min="10242" max="10243" width="8" style="1174" customWidth="1"/>
    <col min="10244" max="10244" width="18.140625" style="1174" customWidth="1"/>
    <col min="10245" max="10245" width="0" style="1174" hidden="1" customWidth="1"/>
    <col min="10246" max="10246" width="15.42578125" style="1174" bestFit="1" customWidth="1"/>
    <col min="10247" max="10251" width="15.7109375" style="1174" customWidth="1"/>
    <col min="10252" max="10252" width="13.85546875" style="1174" customWidth="1"/>
    <col min="10253" max="10253" width="14.140625" style="1174" customWidth="1"/>
    <col min="10254" max="10254" width="15.42578125" style="1174" customWidth="1"/>
    <col min="10255" max="10255" width="0" style="1174" hidden="1" customWidth="1"/>
    <col min="10256" max="10256" width="1.28515625" style="1174" customWidth="1"/>
    <col min="10257" max="10257" width="8" style="1174" customWidth="1"/>
    <col min="10258" max="10258" width="1.28515625" style="1174" customWidth="1"/>
    <col min="10259" max="10259" width="0" style="1174" hidden="1" customWidth="1"/>
    <col min="10260" max="10262" width="12" style="1174" customWidth="1"/>
    <col min="10263" max="10270" width="0" style="1174" hidden="1" customWidth="1"/>
    <col min="10271" max="10412" width="12" style="1174" customWidth="1"/>
    <col min="10413" max="10496" width="0" style="1174" hidden="1"/>
    <col min="10497" max="10497" width="9.28515625" style="1174" customWidth="1"/>
    <col min="10498" max="10499" width="8" style="1174" customWidth="1"/>
    <col min="10500" max="10500" width="18.140625" style="1174" customWidth="1"/>
    <col min="10501" max="10501" width="0" style="1174" hidden="1" customWidth="1"/>
    <col min="10502" max="10502" width="15.42578125" style="1174" bestFit="1" customWidth="1"/>
    <col min="10503" max="10507" width="15.7109375" style="1174" customWidth="1"/>
    <col min="10508" max="10508" width="13.85546875" style="1174" customWidth="1"/>
    <col min="10509" max="10509" width="14.140625" style="1174" customWidth="1"/>
    <col min="10510" max="10510" width="15.42578125" style="1174" customWidth="1"/>
    <col min="10511" max="10511" width="0" style="1174" hidden="1" customWidth="1"/>
    <col min="10512" max="10512" width="1.28515625" style="1174" customWidth="1"/>
    <col min="10513" max="10513" width="8" style="1174" customWidth="1"/>
    <col min="10514" max="10514" width="1.28515625" style="1174" customWidth="1"/>
    <col min="10515" max="10515" width="0" style="1174" hidden="1" customWidth="1"/>
    <col min="10516" max="10518" width="12" style="1174" customWidth="1"/>
    <col min="10519" max="10526" width="0" style="1174" hidden="1" customWidth="1"/>
    <col min="10527" max="10668" width="12" style="1174" customWidth="1"/>
    <col min="10669" max="10752" width="0" style="1174" hidden="1"/>
    <col min="10753" max="10753" width="9.28515625" style="1174" customWidth="1"/>
    <col min="10754" max="10755" width="8" style="1174" customWidth="1"/>
    <col min="10756" max="10756" width="18.140625" style="1174" customWidth="1"/>
    <col min="10757" max="10757" width="0" style="1174" hidden="1" customWidth="1"/>
    <col min="10758" max="10758" width="15.42578125" style="1174" bestFit="1" customWidth="1"/>
    <col min="10759" max="10763" width="15.7109375" style="1174" customWidth="1"/>
    <col min="10764" max="10764" width="13.85546875" style="1174" customWidth="1"/>
    <col min="10765" max="10765" width="14.140625" style="1174" customWidth="1"/>
    <col min="10766" max="10766" width="15.42578125" style="1174" customWidth="1"/>
    <col min="10767" max="10767" width="0" style="1174" hidden="1" customWidth="1"/>
    <col min="10768" max="10768" width="1.28515625" style="1174" customWidth="1"/>
    <col min="10769" max="10769" width="8" style="1174" customWidth="1"/>
    <col min="10770" max="10770" width="1.28515625" style="1174" customWidth="1"/>
    <col min="10771" max="10771" width="0" style="1174" hidden="1" customWidth="1"/>
    <col min="10772" max="10774" width="12" style="1174" customWidth="1"/>
    <col min="10775" max="10782" width="0" style="1174" hidden="1" customWidth="1"/>
    <col min="10783" max="10924" width="12" style="1174" customWidth="1"/>
    <col min="10925" max="11008" width="0" style="1174" hidden="1"/>
    <col min="11009" max="11009" width="9.28515625" style="1174" customWidth="1"/>
    <col min="11010" max="11011" width="8" style="1174" customWidth="1"/>
    <col min="11012" max="11012" width="18.140625" style="1174" customWidth="1"/>
    <col min="11013" max="11013" width="0" style="1174" hidden="1" customWidth="1"/>
    <col min="11014" max="11014" width="15.42578125" style="1174" bestFit="1" customWidth="1"/>
    <col min="11015" max="11019" width="15.7109375" style="1174" customWidth="1"/>
    <col min="11020" max="11020" width="13.85546875" style="1174" customWidth="1"/>
    <col min="11021" max="11021" width="14.140625" style="1174" customWidth="1"/>
    <col min="11022" max="11022" width="15.42578125" style="1174" customWidth="1"/>
    <col min="11023" max="11023" width="0" style="1174" hidden="1" customWidth="1"/>
    <col min="11024" max="11024" width="1.28515625" style="1174" customWidth="1"/>
    <col min="11025" max="11025" width="8" style="1174" customWidth="1"/>
    <col min="11026" max="11026" width="1.28515625" style="1174" customWidth="1"/>
    <col min="11027" max="11027" width="0" style="1174" hidden="1" customWidth="1"/>
    <col min="11028" max="11030" width="12" style="1174" customWidth="1"/>
    <col min="11031" max="11038" width="0" style="1174" hidden="1" customWidth="1"/>
    <col min="11039" max="11180" width="12" style="1174" customWidth="1"/>
    <col min="11181" max="11264" width="0" style="1174" hidden="1"/>
    <col min="11265" max="11265" width="9.28515625" style="1174" customWidth="1"/>
    <col min="11266" max="11267" width="8" style="1174" customWidth="1"/>
    <col min="11268" max="11268" width="18.140625" style="1174" customWidth="1"/>
    <col min="11269" max="11269" width="0" style="1174" hidden="1" customWidth="1"/>
    <col min="11270" max="11270" width="15.42578125" style="1174" bestFit="1" customWidth="1"/>
    <col min="11271" max="11275" width="15.7109375" style="1174" customWidth="1"/>
    <col min="11276" max="11276" width="13.85546875" style="1174" customWidth="1"/>
    <col min="11277" max="11277" width="14.140625" style="1174" customWidth="1"/>
    <col min="11278" max="11278" width="15.42578125" style="1174" customWidth="1"/>
    <col min="11279" max="11279" width="0" style="1174" hidden="1" customWidth="1"/>
    <col min="11280" max="11280" width="1.28515625" style="1174" customWidth="1"/>
    <col min="11281" max="11281" width="8" style="1174" customWidth="1"/>
    <col min="11282" max="11282" width="1.28515625" style="1174" customWidth="1"/>
    <col min="11283" max="11283" width="0" style="1174" hidden="1" customWidth="1"/>
    <col min="11284" max="11286" width="12" style="1174" customWidth="1"/>
    <col min="11287" max="11294" width="0" style="1174" hidden="1" customWidth="1"/>
    <col min="11295" max="11436" width="12" style="1174" customWidth="1"/>
    <col min="11437" max="11520" width="0" style="1174" hidden="1"/>
    <col min="11521" max="11521" width="9.28515625" style="1174" customWidth="1"/>
    <col min="11522" max="11523" width="8" style="1174" customWidth="1"/>
    <col min="11524" max="11524" width="18.140625" style="1174" customWidth="1"/>
    <col min="11525" max="11525" width="0" style="1174" hidden="1" customWidth="1"/>
    <col min="11526" max="11526" width="15.42578125" style="1174" bestFit="1" customWidth="1"/>
    <col min="11527" max="11531" width="15.7109375" style="1174" customWidth="1"/>
    <col min="11532" max="11532" width="13.85546875" style="1174" customWidth="1"/>
    <col min="11533" max="11533" width="14.140625" style="1174" customWidth="1"/>
    <col min="11534" max="11534" width="15.42578125" style="1174" customWidth="1"/>
    <col min="11535" max="11535" width="0" style="1174" hidden="1" customWidth="1"/>
    <col min="11536" max="11536" width="1.28515625" style="1174" customWidth="1"/>
    <col min="11537" max="11537" width="8" style="1174" customWidth="1"/>
    <col min="11538" max="11538" width="1.28515625" style="1174" customWidth="1"/>
    <col min="11539" max="11539" width="0" style="1174" hidden="1" customWidth="1"/>
    <col min="11540" max="11542" width="12" style="1174" customWidth="1"/>
    <col min="11543" max="11550" width="0" style="1174" hidden="1" customWidth="1"/>
    <col min="11551" max="11692" width="12" style="1174" customWidth="1"/>
    <col min="11693" max="11776" width="0" style="1174" hidden="1"/>
    <col min="11777" max="11777" width="9.28515625" style="1174" customWidth="1"/>
    <col min="11778" max="11779" width="8" style="1174" customWidth="1"/>
    <col min="11780" max="11780" width="18.140625" style="1174" customWidth="1"/>
    <col min="11781" max="11781" width="0" style="1174" hidden="1" customWidth="1"/>
    <col min="11782" max="11782" width="15.42578125" style="1174" bestFit="1" customWidth="1"/>
    <col min="11783" max="11787" width="15.7109375" style="1174" customWidth="1"/>
    <col min="11788" max="11788" width="13.85546875" style="1174" customWidth="1"/>
    <col min="11789" max="11789" width="14.140625" style="1174" customWidth="1"/>
    <col min="11790" max="11790" width="15.42578125" style="1174" customWidth="1"/>
    <col min="11791" max="11791" width="0" style="1174" hidden="1" customWidth="1"/>
    <col min="11792" max="11792" width="1.28515625" style="1174" customWidth="1"/>
    <col min="11793" max="11793" width="8" style="1174" customWidth="1"/>
    <col min="11794" max="11794" width="1.28515625" style="1174" customWidth="1"/>
    <col min="11795" max="11795" width="0" style="1174" hidden="1" customWidth="1"/>
    <col min="11796" max="11798" width="12" style="1174" customWidth="1"/>
    <col min="11799" max="11806" width="0" style="1174" hidden="1" customWidth="1"/>
    <col min="11807" max="11948" width="12" style="1174" customWidth="1"/>
    <col min="11949" max="12032" width="0" style="1174" hidden="1"/>
    <col min="12033" max="12033" width="9.28515625" style="1174" customWidth="1"/>
    <col min="12034" max="12035" width="8" style="1174" customWidth="1"/>
    <col min="12036" max="12036" width="18.140625" style="1174" customWidth="1"/>
    <col min="12037" max="12037" width="0" style="1174" hidden="1" customWidth="1"/>
    <col min="12038" max="12038" width="15.42578125" style="1174" bestFit="1" customWidth="1"/>
    <col min="12039" max="12043" width="15.7109375" style="1174" customWidth="1"/>
    <col min="12044" max="12044" width="13.85546875" style="1174" customWidth="1"/>
    <col min="12045" max="12045" width="14.140625" style="1174" customWidth="1"/>
    <col min="12046" max="12046" width="15.42578125" style="1174" customWidth="1"/>
    <col min="12047" max="12047" width="0" style="1174" hidden="1" customWidth="1"/>
    <col min="12048" max="12048" width="1.28515625" style="1174" customWidth="1"/>
    <col min="12049" max="12049" width="8" style="1174" customWidth="1"/>
    <col min="12050" max="12050" width="1.28515625" style="1174" customWidth="1"/>
    <col min="12051" max="12051" width="0" style="1174" hidden="1" customWidth="1"/>
    <col min="12052" max="12054" width="12" style="1174" customWidth="1"/>
    <col min="12055" max="12062" width="0" style="1174" hidden="1" customWidth="1"/>
    <col min="12063" max="12204" width="12" style="1174" customWidth="1"/>
    <col min="12205" max="12288" width="0" style="1174" hidden="1"/>
    <col min="12289" max="12289" width="9.28515625" style="1174" customWidth="1"/>
    <col min="12290" max="12291" width="8" style="1174" customWidth="1"/>
    <col min="12292" max="12292" width="18.140625" style="1174" customWidth="1"/>
    <col min="12293" max="12293" width="0" style="1174" hidden="1" customWidth="1"/>
    <col min="12294" max="12294" width="15.42578125" style="1174" bestFit="1" customWidth="1"/>
    <col min="12295" max="12299" width="15.7109375" style="1174" customWidth="1"/>
    <col min="12300" max="12300" width="13.85546875" style="1174" customWidth="1"/>
    <col min="12301" max="12301" width="14.140625" style="1174" customWidth="1"/>
    <col min="12302" max="12302" width="15.42578125" style="1174" customWidth="1"/>
    <col min="12303" max="12303" width="0" style="1174" hidden="1" customWidth="1"/>
    <col min="12304" max="12304" width="1.28515625" style="1174" customWidth="1"/>
    <col min="12305" max="12305" width="8" style="1174" customWidth="1"/>
    <col min="12306" max="12306" width="1.28515625" style="1174" customWidth="1"/>
    <col min="12307" max="12307" width="0" style="1174" hidden="1" customWidth="1"/>
    <col min="12308" max="12310" width="12" style="1174" customWidth="1"/>
    <col min="12311" max="12318" width="0" style="1174" hidden="1" customWidth="1"/>
    <col min="12319" max="12460" width="12" style="1174" customWidth="1"/>
    <col min="12461" max="12544" width="0" style="1174" hidden="1"/>
    <col min="12545" max="12545" width="9.28515625" style="1174" customWidth="1"/>
    <col min="12546" max="12547" width="8" style="1174" customWidth="1"/>
    <col min="12548" max="12548" width="18.140625" style="1174" customWidth="1"/>
    <col min="12549" max="12549" width="0" style="1174" hidden="1" customWidth="1"/>
    <col min="12550" max="12550" width="15.42578125" style="1174" bestFit="1" customWidth="1"/>
    <col min="12551" max="12555" width="15.7109375" style="1174" customWidth="1"/>
    <col min="12556" max="12556" width="13.85546875" style="1174" customWidth="1"/>
    <col min="12557" max="12557" width="14.140625" style="1174" customWidth="1"/>
    <col min="12558" max="12558" width="15.42578125" style="1174" customWidth="1"/>
    <col min="12559" max="12559" width="0" style="1174" hidden="1" customWidth="1"/>
    <col min="12560" max="12560" width="1.28515625" style="1174" customWidth="1"/>
    <col min="12561" max="12561" width="8" style="1174" customWidth="1"/>
    <col min="12562" max="12562" width="1.28515625" style="1174" customWidth="1"/>
    <col min="12563" max="12563" width="0" style="1174" hidden="1" customWidth="1"/>
    <col min="12564" max="12566" width="12" style="1174" customWidth="1"/>
    <col min="12567" max="12574" width="0" style="1174" hidden="1" customWidth="1"/>
    <col min="12575" max="12716" width="12" style="1174" customWidth="1"/>
    <col min="12717" max="12800" width="0" style="1174" hidden="1"/>
    <col min="12801" max="12801" width="9.28515625" style="1174" customWidth="1"/>
    <col min="12802" max="12803" width="8" style="1174" customWidth="1"/>
    <col min="12804" max="12804" width="18.140625" style="1174" customWidth="1"/>
    <col min="12805" max="12805" width="0" style="1174" hidden="1" customWidth="1"/>
    <col min="12806" max="12806" width="15.42578125" style="1174" bestFit="1" customWidth="1"/>
    <col min="12807" max="12811" width="15.7109375" style="1174" customWidth="1"/>
    <col min="12812" max="12812" width="13.85546875" style="1174" customWidth="1"/>
    <col min="12813" max="12813" width="14.140625" style="1174" customWidth="1"/>
    <col min="12814" max="12814" width="15.42578125" style="1174" customWidth="1"/>
    <col min="12815" max="12815" width="0" style="1174" hidden="1" customWidth="1"/>
    <col min="12816" max="12816" width="1.28515625" style="1174" customWidth="1"/>
    <col min="12817" max="12817" width="8" style="1174" customWidth="1"/>
    <col min="12818" max="12818" width="1.28515625" style="1174" customWidth="1"/>
    <col min="12819" max="12819" width="0" style="1174" hidden="1" customWidth="1"/>
    <col min="12820" max="12822" width="12" style="1174" customWidth="1"/>
    <col min="12823" max="12830" width="0" style="1174" hidden="1" customWidth="1"/>
    <col min="12831" max="12972" width="12" style="1174" customWidth="1"/>
    <col min="12973" max="13056" width="0" style="1174" hidden="1"/>
    <col min="13057" max="13057" width="9.28515625" style="1174" customWidth="1"/>
    <col min="13058" max="13059" width="8" style="1174" customWidth="1"/>
    <col min="13060" max="13060" width="18.140625" style="1174" customWidth="1"/>
    <col min="13061" max="13061" width="0" style="1174" hidden="1" customWidth="1"/>
    <col min="13062" max="13062" width="15.42578125" style="1174" bestFit="1" customWidth="1"/>
    <col min="13063" max="13067" width="15.7109375" style="1174" customWidth="1"/>
    <col min="13068" max="13068" width="13.85546875" style="1174" customWidth="1"/>
    <col min="13069" max="13069" width="14.140625" style="1174" customWidth="1"/>
    <col min="13070" max="13070" width="15.42578125" style="1174" customWidth="1"/>
    <col min="13071" max="13071" width="0" style="1174" hidden="1" customWidth="1"/>
    <col min="13072" max="13072" width="1.28515625" style="1174" customWidth="1"/>
    <col min="13073" max="13073" width="8" style="1174" customWidth="1"/>
    <col min="13074" max="13074" width="1.28515625" style="1174" customWidth="1"/>
    <col min="13075" max="13075" width="0" style="1174" hidden="1" customWidth="1"/>
    <col min="13076" max="13078" width="12" style="1174" customWidth="1"/>
    <col min="13079" max="13086" width="0" style="1174" hidden="1" customWidth="1"/>
    <col min="13087" max="13228" width="12" style="1174" customWidth="1"/>
    <col min="13229" max="13312" width="0" style="1174" hidden="1"/>
    <col min="13313" max="13313" width="9.28515625" style="1174" customWidth="1"/>
    <col min="13314" max="13315" width="8" style="1174" customWidth="1"/>
    <col min="13316" max="13316" width="18.140625" style="1174" customWidth="1"/>
    <col min="13317" max="13317" width="0" style="1174" hidden="1" customWidth="1"/>
    <col min="13318" max="13318" width="15.42578125" style="1174" bestFit="1" customWidth="1"/>
    <col min="13319" max="13323" width="15.7109375" style="1174" customWidth="1"/>
    <col min="13324" max="13324" width="13.85546875" style="1174" customWidth="1"/>
    <col min="13325" max="13325" width="14.140625" style="1174" customWidth="1"/>
    <col min="13326" max="13326" width="15.42578125" style="1174" customWidth="1"/>
    <col min="13327" max="13327" width="0" style="1174" hidden="1" customWidth="1"/>
    <col min="13328" max="13328" width="1.28515625" style="1174" customWidth="1"/>
    <col min="13329" max="13329" width="8" style="1174" customWidth="1"/>
    <col min="13330" max="13330" width="1.28515625" style="1174" customWidth="1"/>
    <col min="13331" max="13331" width="0" style="1174" hidden="1" customWidth="1"/>
    <col min="13332" max="13334" width="12" style="1174" customWidth="1"/>
    <col min="13335" max="13342" width="0" style="1174" hidden="1" customWidth="1"/>
    <col min="13343" max="13484" width="12" style="1174" customWidth="1"/>
    <col min="13485" max="13568" width="0" style="1174" hidden="1"/>
    <col min="13569" max="13569" width="9.28515625" style="1174" customWidth="1"/>
    <col min="13570" max="13571" width="8" style="1174" customWidth="1"/>
    <col min="13572" max="13572" width="18.140625" style="1174" customWidth="1"/>
    <col min="13573" max="13573" width="0" style="1174" hidden="1" customWidth="1"/>
    <col min="13574" max="13574" width="15.42578125" style="1174" bestFit="1" customWidth="1"/>
    <col min="13575" max="13579" width="15.7109375" style="1174" customWidth="1"/>
    <col min="13580" max="13580" width="13.85546875" style="1174" customWidth="1"/>
    <col min="13581" max="13581" width="14.140625" style="1174" customWidth="1"/>
    <col min="13582" max="13582" width="15.42578125" style="1174" customWidth="1"/>
    <col min="13583" max="13583" width="0" style="1174" hidden="1" customWidth="1"/>
    <col min="13584" max="13584" width="1.28515625" style="1174" customWidth="1"/>
    <col min="13585" max="13585" width="8" style="1174" customWidth="1"/>
    <col min="13586" max="13586" width="1.28515625" style="1174" customWidth="1"/>
    <col min="13587" max="13587" width="0" style="1174" hidden="1" customWidth="1"/>
    <col min="13588" max="13590" width="12" style="1174" customWidth="1"/>
    <col min="13591" max="13598" width="0" style="1174" hidden="1" customWidth="1"/>
    <col min="13599" max="13740" width="12" style="1174" customWidth="1"/>
    <col min="13741" max="13824" width="0" style="1174" hidden="1"/>
    <col min="13825" max="13825" width="9.28515625" style="1174" customWidth="1"/>
    <col min="13826" max="13827" width="8" style="1174" customWidth="1"/>
    <col min="13828" max="13828" width="18.140625" style="1174" customWidth="1"/>
    <col min="13829" max="13829" width="0" style="1174" hidden="1" customWidth="1"/>
    <col min="13830" max="13830" width="15.42578125" style="1174" bestFit="1" customWidth="1"/>
    <col min="13831" max="13835" width="15.7109375" style="1174" customWidth="1"/>
    <col min="13836" max="13836" width="13.85546875" style="1174" customWidth="1"/>
    <col min="13837" max="13837" width="14.140625" style="1174" customWidth="1"/>
    <col min="13838" max="13838" width="15.42578125" style="1174" customWidth="1"/>
    <col min="13839" max="13839" width="0" style="1174" hidden="1" customWidth="1"/>
    <col min="13840" max="13840" width="1.28515625" style="1174" customWidth="1"/>
    <col min="13841" max="13841" width="8" style="1174" customWidth="1"/>
    <col min="13842" max="13842" width="1.28515625" style="1174" customWidth="1"/>
    <col min="13843" max="13843" width="0" style="1174" hidden="1" customWidth="1"/>
    <col min="13844" max="13846" width="12" style="1174" customWidth="1"/>
    <col min="13847" max="13854" width="0" style="1174" hidden="1" customWidth="1"/>
    <col min="13855" max="13996" width="12" style="1174" customWidth="1"/>
    <col min="13997" max="14080" width="0" style="1174" hidden="1"/>
    <col min="14081" max="14081" width="9.28515625" style="1174" customWidth="1"/>
    <col min="14082" max="14083" width="8" style="1174" customWidth="1"/>
    <col min="14084" max="14084" width="18.140625" style="1174" customWidth="1"/>
    <col min="14085" max="14085" width="0" style="1174" hidden="1" customWidth="1"/>
    <col min="14086" max="14086" width="15.42578125" style="1174" bestFit="1" customWidth="1"/>
    <col min="14087" max="14091" width="15.7109375" style="1174" customWidth="1"/>
    <col min="14092" max="14092" width="13.85546875" style="1174" customWidth="1"/>
    <col min="14093" max="14093" width="14.140625" style="1174" customWidth="1"/>
    <col min="14094" max="14094" width="15.42578125" style="1174" customWidth="1"/>
    <col min="14095" max="14095" width="0" style="1174" hidden="1" customWidth="1"/>
    <col min="14096" max="14096" width="1.28515625" style="1174" customWidth="1"/>
    <col min="14097" max="14097" width="8" style="1174" customWidth="1"/>
    <col min="14098" max="14098" width="1.28515625" style="1174" customWidth="1"/>
    <col min="14099" max="14099" width="0" style="1174" hidden="1" customWidth="1"/>
    <col min="14100" max="14102" width="12" style="1174" customWidth="1"/>
    <col min="14103" max="14110" width="0" style="1174" hidden="1" customWidth="1"/>
    <col min="14111" max="14252" width="12" style="1174" customWidth="1"/>
    <col min="14253" max="14336" width="0" style="1174" hidden="1"/>
    <col min="14337" max="14337" width="9.28515625" style="1174" customWidth="1"/>
    <col min="14338" max="14339" width="8" style="1174" customWidth="1"/>
    <col min="14340" max="14340" width="18.140625" style="1174" customWidth="1"/>
    <col min="14341" max="14341" width="0" style="1174" hidden="1" customWidth="1"/>
    <col min="14342" max="14342" width="15.42578125" style="1174" bestFit="1" customWidth="1"/>
    <col min="14343" max="14347" width="15.7109375" style="1174" customWidth="1"/>
    <col min="14348" max="14348" width="13.85546875" style="1174" customWidth="1"/>
    <col min="14349" max="14349" width="14.140625" style="1174" customWidth="1"/>
    <col min="14350" max="14350" width="15.42578125" style="1174" customWidth="1"/>
    <col min="14351" max="14351" width="0" style="1174" hidden="1" customWidth="1"/>
    <col min="14352" max="14352" width="1.28515625" style="1174" customWidth="1"/>
    <col min="14353" max="14353" width="8" style="1174" customWidth="1"/>
    <col min="14354" max="14354" width="1.28515625" style="1174" customWidth="1"/>
    <col min="14355" max="14355" width="0" style="1174" hidden="1" customWidth="1"/>
    <col min="14356" max="14358" width="12" style="1174" customWidth="1"/>
    <col min="14359" max="14366" width="0" style="1174" hidden="1" customWidth="1"/>
    <col min="14367" max="14508" width="12" style="1174" customWidth="1"/>
    <col min="14509" max="14592" width="0" style="1174" hidden="1"/>
    <col min="14593" max="14593" width="9.28515625" style="1174" customWidth="1"/>
    <col min="14594" max="14595" width="8" style="1174" customWidth="1"/>
    <col min="14596" max="14596" width="18.140625" style="1174" customWidth="1"/>
    <col min="14597" max="14597" width="0" style="1174" hidden="1" customWidth="1"/>
    <col min="14598" max="14598" width="15.42578125" style="1174" bestFit="1" customWidth="1"/>
    <col min="14599" max="14603" width="15.7109375" style="1174" customWidth="1"/>
    <col min="14604" max="14604" width="13.85546875" style="1174" customWidth="1"/>
    <col min="14605" max="14605" width="14.140625" style="1174" customWidth="1"/>
    <col min="14606" max="14606" width="15.42578125" style="1174" customWidth="1"/>
    <col min="14607" max="14607" width="0" style="1174" hidden="1" customWidth="1"/>
    <col min="14608" max="14608" width="1.28515625" style="1174" customWidth="1"/>
    <col min="14609" max="14609" width="8" style="1174" customWidth="1"/>
    <col min="14610" max="14610" width="1.28515625" style="1174" customWidth="1"/>
    <col min="14611" max="14611" width="0" style="1174" hidden="1" customWidth="1"/>
    <col min="14612" max="14614" width="12" style="1174" customWidth="1"/>
    <col min="14615" max="14622" width="0" style="1174" hidden="1" customWidth="1"/>
    <col min="14623" max="14764" width="12" style="1174" customWidth="1"/>
    <col min="14765" max="14848" width="0" style="1174" hidden="1"/>
    <col min="14849" max="14849" width="9.28515625" style="1174" customWidth="1"/>
    <col min="14850" max="14851" width="8" style="1174" customWidth="1"/>
    <col min="14852" max="14852" width="18.140625" style="1174" customWidth="1"/>
    <col min="14853" max="14853" width="0" style="1174" hidden="1" customWidth="1"/>
    <col min="14854" max="14854" width="15.42578125" style="1174" bestFit="1" customWidth="1"/>
    <col min="14855" max="14859" width="15.7109375" style="1174" customWidth="1"/>
    <col min="14860" max="14860" width="13.85546875" style="1174" customWidth="1"/>
    <col min="14861" max="14861" width="14.140625" style="1174" customWidth="1"/>
    <col min="14862" max="14862" width="15.42578125" style="1174" customWidth="1"/>
    <col min="14863" max="14863" width="0" style="1174" hidden="1" customWidth="1"/>
    <col min="14864" max="14864" width="1.28515625" style="1174" customWidth="1"/>
    <col min="14865" max="14865" width="8" style="1174" customWidth="1"/>
    <col min="14866" max="14866" width="1.28515625" style="1174" customWidth="1"/>
    <col min="14867" max="14867" width="0" style="1174" hidden="1" customWidth="1"/>
    <col min="14868" max="14870" width="12" style="1174" customWidth="1"/>
    <col min="14871" max="14878" width="0" style="1174" hidden="1" customWidth="1"/>
    <col min="14879" max="15020" width="12" style="1174" customWidth="1"/>
    <col min="15021" max="15104" width="0" style="1174" hidden="1"/>
    <col min="15105" max="15105" width="9.28515625" style="1174" customWidth="1"/>
    <col min="15106" max="15107" width="8" style="1174" customWidth="1"/>
    <col min="15108" max="15108" width="18.140625" style="1174" customWidth="1"/>
    <col min="15109" max="15109" width="0" style="1174" hidden="1" customWidth="1"/>
    <col min="15110" max="15110" width="15.42578125" style="1174" bestFit="1" customWidth="1"/>
    <col min="15111" max="15115" width="15.7109375" style="1174" customWidth="1"/>
    <col min="15116" max="15116" width="13.85546875" style="1174" customWidth="1"/>
    <col min="15117" max="15117" width="14.140625" style="1174" customWidth="1"/>
    <col min="15118" max="15118" width="15.42578125" style="1174" customWidth="1"/>
    <col min="15119" max="15119" width="0" style="1174" hidden="1" customWidth="1"/>
    <col min="15120" max="15120" width="1.28515625" style="1174" customWidth="1"/>
    <col min="15121" max="15121" width="8" style="1174" customWidth="1"/>
    <col min="15122" max="15122" width="1.28515625" style="1174" customWidth="1"/>
    <col min="15123" max="15123" width="0" style="1174" hidden="1" customWidth="1"/>
    <col min="15124" max="15126" width="12" style="1174" customWidth="1"/>
    <col min="15127" max="15134" width="0" style="1174" hidden="1" customWidth="1"/>
    <col min="15135" max="15276" width="12" style="1174" customWidth="1"/>
    <col min="15277" max="15360" width="0" style="1174" hidden="1"/>
    <col min="15361" max="15361" width="9.28515625" style="1174" customWidth="1"/>
    <col min="15362" max="15363" width="8" style="1174" customWidth="1"/>
    <col min="15364" max="15364" width="18.140625" style="1174" customWidth="1"/>
    <col min="15365" max="15365" width="0" style="1174" hidden="1" customWidth="1"/>
    <col min="15366" max="15366" width="15.42578125" style="1174" bestFit="1" customWidth="1"/>
    <col min="15367" max="15371" width="15.7109375" style="1174" customWidth="1"/>
    <col min="15372" max="15372" width="13.85546875" style="1174" customWidth="1"/>
    <col min="15373" max="15373" width="14.140625" style="1174" customWidth="1"/>
    <col min="15374" max="15374" width="15.42578125" style="1174" customWidth="1"/>
    <col min="15375" max="15375" width="0" style="1174" hidden="1" customWidth="1"/>
    <col min="15376" max="15376" width="1.28515625" style="1174" customWidth="1"/>
    <col min="15377" max="15377" width="8" style="1174" customWidth="1"/>
    <col min="15378" max="15378" width="1.28515625" style="1174" customWidth="1"/>
    <col min="15379" max="15379" width="0" style="1174" hidden="1" customWidth="1"/>
    <col min="15380" max="15382" width="12" style="1174" customWidth="1"/>
    <col min="15383" max="15390" width="0" style="1174" hidden="1" customWidth="1"/>
    <col min="15391" max="15532" width="12" style="1174" customWidth="1"/>
    <col min="15533" max="15616" width="0" style="1174" hidden="1"/>
    <col min="15617" max="15617" width="9.28515625" style="1174" customWidth="1"/>
    <col min="15618" max="15619" width="8" style="1174" customWidth="1"/>
    <col min="15620" max="15620" width="18.140625" style="1174" customWidth="1"/>
    <col min="15621" max="15621" width="0" style="1174" hidden="1" customWidth="1"/>
    <col min="15622" max="15622" width="15.42578125" style="1174" bestFit="1" customWidth="1"/>
    <col min="15623" max="15627" width="15.7109375" style="1174" customWidth="1"/>
    <col min="15628" max="15628" width="13.85546875" style="1174" customWidth="1"/>
    <col min="15629" max="15629" width="14.140625" style="1174" customWidth="1"/>
    <col min="15630" max="15630" width="15.42578125" style="1174" customWidth="1"/>
    <col min="15631" max="15631" width="0" style="1174" hidden="1" customWidth="1"/>
    <col min="15632" max="15632" width="1.28515625" style="1174" customWidth="1"/>
    <col min="15633" max="15633" width="8" style="1174" customWidth="1"/>
    <col min="15634" max="15634" width="1.28515625" style="1174" customWidth="1"/>
    <col min="15635" max="15635" width="0" style="1174" hidden="1" customWidth="1"/>
    <col min="15636" max="15638" width="12" style="1174" customWidth="1"/>
    <col min="15639" max="15646" width="0" style="1174" hidden="1" customWidth="1"/>
    <col min="15647" max="15788" width="12" style="1174" customWidth="1"/>
    <col min="15789" max="15872" width="0" style="1174" hidden="1"/>
    <col min="15873" max="15873" width="9.28515625" style="1174" customWidth="1"/>
    <col min="15874" max="15875" width="8" style="1174" customWidth="1"/>
    <col min="15876" max="15876" width="18.140625" style="1174" customWidth="1"/>
    <col min="15877" max="15877" width="0" style="1174" hidden="1" customWidth="1"/>
    <col min="15878" max="15878" width="15.42578125" style="1174" bestFit="1" customWidth="1"/>
    <col min="15879" max="15883" width="15.7109375" style="1174" customWidth="1"/>
    <col min="15884" max="15884" width="13.85546875" style="1174" customWidth="1"/>
    <col min="15885" max="15885" width="14.140625" style="1174" customWidth="1"/>
    <col min="15886" max="15886" width="15.42578125" style="1174" customWidth="1"/>
    <col min="15887" max="15887" width="0" style="1174" hidden="1" customWidth="1"/>
    <col min="15888" max="15888" width="1.28515625" style="1174" customWidth="1"/>
    <col min="15889" max="15889" width="8" style="1174" customWidth="1"/>
    <col min="15890" max="15890" width="1.28515625" style="1174" customWidth="1"/>
    <col min="15891" max="15891" width="0" style="1174" hidden="1" customWidth="1"/>
    <col min="15892" max="15894" width="12" style="1174" customWidth="1"/>
    <col min="15895" max="15902" width="0" style="1174" hidden="1" customWidth="1"/>
    <col min="15903" max="16044" width="12" style="1174" customWidth="1"/>
    <col min="16045" max="16128" width="0" style="1174" hidden="1"/>
    <col min="16129" max="16129" width="9.28515625" style="1174" customWidth="1"/>
    <col min="16130" max="16131" width="8" style="1174" customWidth="1"/>
    <col min="16132" max="16132" width="18.140625" style="1174" customWidth="1"/>
    <col min="16133" max="16133" width="0" style="1174" hidden="1" customWidth="1"/>
    <col min="16134" max="16134" width="15.42578125" style="1174" bestFit="1" customWidth="1"/>
    <col min="16135" max="16139" width="15.7109375" style="1174" customWidth="1"/>
    <col min="16140" max="16140" width="13.85546875" style="1174" customWidth="1"/>
    <col min="16141" max="16141" width="14.140625" style="1174" customWidth="1"/>
    <col min="16142" max="16142" width="15.42578125" style="1174" customWidth="1"/>
    <col min="16143" max="16143" width="0" style="1174" hidden="1" customWidth="1"/>
    <col min="16144" max="16144" width="1.28515625" style="1174" customWidth="1"/>
    <col min="16145" max="16145" width="8" style="1174" customWidth="1"/>
    <col min="16146" max="16146" width="1.28515625" style="1174" customWidth="1"/>
    <col min="16147" max="16147" width="0" style="1174" hidden="1" customWidth="1"/>
    <col min="16148" max="16150" width="12" style="1174" customWidth="1"/>
    <col min="16151" max="16158" width="0" style="1174" hidden="1" customWidth="1"/>
    <col min="16159" max="16300" width="12" style="1174" customWidth="1"/>
    <col min="16301" max="16384" width="0" style="1174" hidden="1"/>
  </cols>
  <sheetData>
    <row r="1" spans="1:23" ht="28.35" customHeight="1"/>
    <row r="2" spans="1:23" ht="28.35" customHeight="1">
      <c r="D2" s="1760"/>
      <c r="E2" s="1760"/>
      <c r="F2" s="1760"/>
      <c r="G2" s="1760"/>
      <c r="H2" s="1760"/>
      <c r="I2" s="1760"/>
      <c r="J2" s="2260"/>
      <c r="K2" s="2260"/>
      <c r="L2" s="2260"/>
      <c r="M2" s="3408"/>
      <c r="N2" s="1760"/>
      <c r="O2" s="1844"/>
      <c r="P2" s="1844"/>
      <c r="Q2" s="3239"/>
      <c r="V2" s="2867"/>
      <c r="W2" s="3208"/>
    </row>
    <row r="3" spans="1:23" s="1845" customFormat="1" ht="28.35" customHeight="1">
      <c r="B3" s="3409"/>
      <c r="C3" s="3409"/>
      <c r="D3" s="4970" t="s">
        <v>1513</v>
      </c>
      <c r="E3" s="4970"/>
      <c r="F3" s="4970"/>
      <c r="G3" s="4970"/>
      <c r="H3" s="4970"/>
      <c r="I3" s="4970"/>
      <c r="J3" s="4970"/>
      <c r="K3" s="4970"/>
      <c r="L3" s="4970"/>
      <c r="M3" s="4970"/>
      <c r="N3" s="4970"/>
      <c r="O3" s="4970"/>
      <c r="P3" s="4970"/>
      <c r="Q3" s="4970"/>
      <c r="R3" s="4970"/>
      <c r="S3" s="3410"/>
      <c r="V3" s="3373"/>
      <c r="W3" s="3372"/>
    </row>
    <row r="4" spans="1:23" s="2498" customFormat="1" ht="28.35" customHeight="1">
      <c r="B4" s="3411"/>
      <c r="C4" s="3411"/>
      <c r="D4" s="4971" t="s">
        <v>1514</v>
      </c>
      <c r="E4" s="4971"/>
      <c r="F4" s="4971"/>
      <c r="G4" s="4971"/>
      <c r="H4" s="4971"/>
      <c r="I4" s="4971"/>
      <c r="J4" s="4971"/>
      <c r="K4" s="4971"/>
      <c r="L4" s="4971"/>
      <c r="M4" s="4971"/>
      <c r="N4" s="4971"/>
      <c r="O4" s="4971"/>
      <c r="P4" s="4971"/>
      <c r="Q4" s="4971"/>
      <c r="R4" s="4971"/>
      <c r="S4" s="3412"/>
    </row>
    <row r="5" spans="1:23" s="1849" customFormat="1" ht="17.100000000000001" customHeight="1">
      <c r="B5" s="3413"/>
      <c r="C5" s="3413"/>
      <c r="D5" s="3414" t="s">
        <v>1482</v>
      </c>
      <c r="E5" s="3413"/>
      <c r="F5" s="3413"/>
      <c r="G5" s="3413"/>
      <c r="H5" s="3413"/>
      <c r="I5" s="3415"/>
      <c r="J5" s="3413"/>
      <c r="K5" s="3416"/>
      <c r="L5" s="3416"/>
      <c r="M5" s="3416"/>
      <c r="N5" s="3413"/>
      <c r="O5" s="3416"/>
      <c r="P5" s="3416"/>
      <c r="Q5" s="2957"/>
      <c r="R5" s="2957"/>
      <c r="S5" s="3415"/>
    </row>
    <row r="6" spans="1:23" ht="4.3499999999999996" customHeight="1">
      <c r="B6" s="3417"/>
      <c r="C6" s="3417"/>
      <c r="D6" s="2724"/>
      <c r="E6" s="2724"/>
      <c r="F6" s="2724"/>
      <c r="G6" s="2724"/>
      <c r="H6" s="2724"/>
      <c r="J6" s="1760"/>
      <c r="K6" s="1844"/>
      <c r="L6" s="3418"/>
      <c r="M6" s="1844"/>
      <c r="N6" s="1760"/>
      <c r="O6" s="3419"/>
      <c r="P6" s="3419"/>
      <c r="Q6" s="3239"/>
    </row>
    <row r="7" spans="1:23" s="1801" customFormat="1" ht="6" customHeight="1">
      <c r="A7" s="3413"/>
      <c r="B7" s="3413"/>
      <c r="C7" s="3413"/>
      <c r="D7" s="3420"/>
      <c r="E7" s="3421"/>
      <c r="F7" s="3422"/>
      <c r="G7" s="3421"/>
      <c r="H7" s="3421"/>
      <c r="I7" s="3421"/>
      <c r="J7" s="3423"/>
      <c r="K7" s="3424"/>
      <c r="L7" s="3425"/>
      <c r="M7" s="3424"/>
      <c r="N7" s="3426"/>
      <c r="O7" s="3427"/>
      <c r="P7" s="3428"/>
      <c r="Q7" s="3429"/>
      <c r="R7" s="3430"/>
      <c r="S7" s="3431"/>
      <c r="T7" s="3200"/>
    </row>
    <row r="8" spans="1:23" ht="39.75" customHeight="1">
      <c r="A8" s="3413"/>
      <c r="B8" s="3413"/>
      <c r="C8" s="3413"/>
      <c r="D8" s="3432" t="s">
        <v>1515</v>
      </c>
      <c r="E8" s="3433"/>
      <c r="F8" s="3434"/>
      <c r="G8" s="3433"/>
      <c r="H8" s="3433"/>
      <c r="I8" s="3433"/>
      <c r="J8" s="3435"/>
      <c r="K8" s="3425"/>
      <c r="L8" s="3436"/>
      <c r="M8" s="3425"/>
      <c r="N8" s="3437" t="s">
        <v>1516</v>
      </c>
      <c r="O8" s="3438"/>
      <c r="P8" s="3439"/>
      <c r="Q8" s="3440"/>
      <c r="R8" s="3441"/>
      <c r="S8" s="3442"/>
      <c r="T8" s="3200"/>
    </row>
    <row r="9" spans="1:23" ht="21.2" customHeight="1">
      <c r="A9" s="3413"/>
      <c r="B9" s="3413"/>
      <c r="C9" s="3413"/>
      <c r="D9" s="3443"/>
      <c r="E9" s="3444"/>
      <c r="F9" s="3445"/>
      <c r="G9" s="3445"/>
      <c r="H9" s="3445"/>
      <c r="I9" s="3445"/>
      <c r="J9" s="3446" t="s">
        <v>1517</v>
      </c>
      <c r="K9" s="3446"/>
      <c r="L9" s="3447"/>
      <c r="M9" s="3448" t="s">
        <v>1317</v>
      </c>
      <c r="N9" s="3447"/>
      <c r="O9" s="3438"/>
      <c r="P9" s="3439"/>
      <c r="Q9" s="3440"/>
      <c r="R9" s="3441"/>
      <c r="S9" s="3442"/>
      <c r="T9" s="3200"/>
    </row>
    <row r="10" spans="1:23" ht="21.2" customHeight="1">
      <c r="A10" s="3413"/>
      <c r="B10" s="3413"/>
      <c r="C10" s="3413"/>
      <c r="D10" s="3449"/>
      <c r="E10" s="3450"/>
      <c r="F10" s="3451" t="s">
        <v>1518</v>
      </c>
      <c r="G10" s="3452"/>
      <c r="H10" s="3451"/>
      <c r="I10" s="3452"/>
      <c r="J10" s="3451" t="s">
        <v>1519</v>
      </c>
      <c r="K10" s="3451" t="s">
        <v>1317</v>
      </c>
      <c r="L10" s="3452"/>
      <c r="M10" s="3453" t="s">
        <v>1381</v>
      </c>
      <c r="N10" s="3451"/>
      <c r="O10" s="3438"/>
      <c r="P10" s="3439"/>
      <c r="Q10" s="3440"/>
      <c r="R10" s="3441"/>
      <c r="S10" s="3442"/>
      <c r="T10" s="3200"/>
    </row>
    <row r="11" spans="1:23" ht="21.2" customHeight="1">
      <c r="A11" s="3413"/>
      <c r="B11" s="3413"/>
      <c r="C11" s="3413"/>
      <c r="D11" s="4972" t="s">
        <v>1382</v>
      </c>
      <c r="E11" s="4973"/>
      <c r="F11" s="3451" t="s">
        <v>1520</v>
      </c>
      <c r="G11" s="3451" t="s">
        <v>1371</v>
      </c>
      <c r="H11" s="3451" t="s">
        <v>1317</v>
      </c>
      <c r="I11" s="3451" t="s">
        <v>1521</v>
      </c>
      <c r="J11" s="3451" t="s">
        <v>1522</v>
      </c>
      <c r="K11" s="3451" t="s">
        <v>1523</v>
      </c>
      <c r="L11" s="3451" t="s">
        <v>1386</v>
      </c>
      <c r="M11" s="3453" t="s">
        <v>1387</v>
      </c>
      <c r="N11" s="3454" t="s">
        <v>1487</v>
      </c>
      <c r="O11" s="3438"/>
      <c r="P11" s="3439"/>
      <c r="Q11" s="3440"/>
      <c r="R11" s="3441"/>
      <c r="S11" s="3442"/>
      <c r="T11" s="3200"/>
      <c r="U11" s="1190"/>
    </row>
    <row r="12" spans="1:23" ht="21.2" customHeight="1">
      <c r="A12" s="3413"/>
      <c r="B12" s="3413"/>
      <c r="C12" s="3413"/>
      <c r="D12" s="4972" t="s">
        <v>1388</v>
      </c>
      <c r="E12" s="4973"/>
      <c r="F12" s="3451" t="s">
        <v>1524</v>
      </c>
      <c r="G12" s="3451" t="s">
        <v>1373</v>
      </c>
      <c r="H12" s="3451" t="s">
        <v>1390</v>
      </c>
      <c r="I12" s="3451" t="s">
        <v>1525</v>
      </c>
      <c r="J12" s="3451" t="s">
        <v>1526</v>
      </c>
      <c r="K12" s="3451" t="s">
        <v>1351</v>
      </c>
      <c r="L12" s="3453" t="s">
        <v>1393</v>
      </c>
      <c r="M12" s="3451" t="s">
        <v>1394</v>
      </c>
      <c r="N12" s="3454" t="s">
        <v>395</v>
      </c>
      <c r="O12" s="3455" t="s">
        <v>1527</v>
      </c>
      <c r="P12" s="4965"/>
      <c r="Q12" s="4966"/>
      <c r="R12" s="4967"/>
      <c r="S12" s="3456"/>
      <c r="T12" s="3200"/>
    </row>
    <row r="13" spans="1:23" ht="21.2" customHeight="1">
      <c r="A13" s="3413"/>
      <c r="B13" s="3413"/>
      <c r="C13" s="3413"/>
      <c r="D13" s="4961" t="s">
        <v>1431</v>
      </c>
      <c r="E13" s="4962"/>
      <c r="F13" s="3453" t="s">
        <v>1528</v>
      </c>
      <c r="G13" s="3453"/>
      <c r="H13" s="3453"/>
      <c r="I13" s="3453"/>
      <c r="J13" s="3453" t="s">
        <v>1397</v>
      </c>
      <c r="K13" s="3453" t="s">
        <v>1398</v>
      </c>
      <c r="L13" s="3453"/>
      <c r="M13" s="3453"/>
      <c r="N13" s="3454"/>
      <c r="O13" s="3438"/>
      <c r="P13" s="3439"/>
      <c r="Q13" s="3440"/>
      <c r="R13" s="3441"/>
      <c r="S13" s="3442"/>
      <c r="T13" s="3200"/>
    </row>
    <row r="14" spans="1:23" ht="21.2" customHeight="1">
      <c r="A14" s="3413"/>
      <c r="B14" s="3413"/>
      <c r="C14" s="3413"/>
      <c r="D14" s="4961" t="s">
        <v>1396</v>
      </c>
      <c r="E14" s="4962"/>
      <c r="F14" s="3453" t="s">
        <v>127</v>
      </c>
      <c r="G14" s="3453" t="s">
        <v>1432</v>
      </c>
      <c r="H14" s="3453"/>
      <c r="I14" s="3453" t="s">
        <v>1529</v>
      </c>
      <c r="J14" s="3453" t="s">
        <v>1530</v>
      </c>
      <c r="K14" s="3453" t="s">
        <v>1330</v>
      </c>
      <c r="L14" s="3453" t="s">
        <v>1531</v>
      </c>
      <c r="M14" s="3453" t="s">
        <v>1404</v>
      </c>
      <c r="N14" s="3454"/>
      <c r="O14" s="3455" t="s">
        <v>1532</v>
      </c>
      <c r="P14" s="4965"/>
      <c r="Q14" s="4966"/>
      <c r="R14" s="4967"/>
      <c r="S14" s="3457"/>
      <c r="T14" s="3200"/>
    </row>
    <row r="15" spans="1:23" ht="21.2" customHeight="1">
      <c r="A15" s="3413"/>
      <c r="B15" s="3413"/>
      <c r="C15" s="3413"/>
      <c r="D15" s="4961" t="s">
        <v>1400</v>
      </c>
      <c r="E15" s="4962"/>
      <c r="F15" s="3453" t="s">
        <v>1411</v>
      </c>
      <c r="G15" s="3453" t="s">
        <v>1433</v>
      </c>
      <c r="H15" s="3453" t="s">
        <v>1533</v>
      </c>
      <c r="I15" s="3453" t="s">
        <v>127</v>
      </c>
      <c r="J15" s="3453" t="s">
        <v>1534</v>
      </c>
      <c r="K15" s="3453" t="s">
        <v>1415</v>
      </c>
      <c r="L15" s="3453" t="s">
        <v>1535</v>
      </c>
      <c r="M15" s="3453" t="s">
        <v>1493</v>
      </c>
      <c r="N15" s="3454" t="s">
        <v>401</v>
      </c>
      <c r="O15" s="3438"/>
      <c r="P15" s="3439"/>
      <c r="Q15" s="3440"/>
      <c r="R15" s="3441"/>
      <c r="S15" s="3442"/>
      <c r="T15" s="3200"/>
    </row>
    <row r="16" spans="1:23" s="1801" customFormat="1" ht="21.2" customHeight="1">
      <c r="A16" s="3413"/>
      <c r="B16" s="3413"/>
      <c r="C16" s="3413"/>
      <c r="D16" s="3458" t="s">
        <v>1417</v>
      </c>
      <c r="E16" s="3459"/>
      <c r="F16" s="3460" t="s">
        <v>1359</v>
      </c>
      <c r="G16" s="3460" t="s">
        <v>1329</v>
      </c>
      <c r="H16" s="3460" t="s">
        <v>1536</v>
      </c>
      <c r="I16" s="3460" t="s">
        <v>1420</v>
      </c>
      <c r="J16" s="3460" t="s">
        <v>689</v>
      </c>
      <c r="K16" s="3460" t="s">
        <v>1537</v>
      </c>
      <c r="L16" s="3460" t="s">
        <v>1421</v>
      </c>
      <c r="M16" s="3460" t="s">
        <v>1422</v>
      </c>
      <c r="N16" s="3461" t="s">
        <v>1495</v>
      </c>
      <c r="O16" s="3462"/>
      <c r="P16" s="3463"/>
      <c r="Q16" s="3464"/>
      <c r="R16" s="3465"/>
      <c r="S16" s="3466"/>
      <c r="T16" s="3200"/>
    </row>
    <row r="17" spans="1:19" s="1801" customFormat="1" ht="24.95" customHeight="1">
      <c r="A17" s="3413"/>
      <c r="B17" s="3413"/>
      <c r="C17" s="3413"/>
      <c r="D17" s="4968">
        <v>33.299999999999997</v>
      </c>
      <c r="E17" s="4969"/>
      <c r="F17" s="462">
        <v>36.5</v>
      </c>
      <c r="G17" s="462">
        <v>40.200000000000003</v>
      </c>
      <c r="H17" s="462">
        <v>41</v>
      </c>
      <c r="I17" s="3467">
        <v>33.799999999999997</v>
      </c>
      <c r="J17" s="3467">
        <v>6.9</v>
      </c>
      <c r="K17" s="3467">
        <v>39.700000000000003</v>
      </c>
      <c r="L17" s="3467">
        <v>45.1</v>
      </c>
      <c r="M17" s="3467">
        <v>33.5</v>
      </c>
      <c r="N17" s="3468">
        <v>29.3</v>
      </c>
      <c r="O17" s="3469"/>
      <c r="P17" s="3470"/>
      <c r="Q17" s="3471">
        <v>1969</v>
      </c>
      <c r="R17" s="3472"/>
      <c r="S17" s="3473"/>
    </row>
    <row r="18" spans="1:19" s="1801" customFormat="1" ht="24.95" customHeight="1">
      <c r="A18" s="3413"/>
      <c r="B18" s="3413"/>
      <c r="C18" s="3413"/>
      <c r="D18" s="4957">
        <v>35.799999999999997</v>
      </c>
      <c r="E18" s="4958"/>
      <c r="F18" s="1743">
        <v>39.1</v>
      </c>
      <c r="G18" s="1743">
        <v>40.6</v>
      </c>
      <c r="H18" s="1743">
        <v>38</v>
      </c>
      <c r="I18" s="1743">
        <v>34.4</v>
      </c>
      <c r="J18" s="1743">
        <v>6.9</v>
      </c>
      <c r="K18" s="1743">
        <v>41.4</v>
      </c>
      <c r="L18" s="1743">
        <v>47</v>
      </c>
      <c r="M18" s="1743">
        <v>41.2</v>
      </c>
      <c r="N18" s="1607">
        <v>31.8</v>
      </c>
      <c r="O18" s="3474"/>
      <c r="P18" s="3475"/>
      <c r="Q18" s="1610">
        <v>1970</v>
      </c>
      <c r="R18" s="1611"/>
      <c r="S18" s="3476"/>
    </row>
    <row r="19" spans="1:19" s="1801" customFormat="1" ht="24.95" customHeight="1">
      <c r="A19" s="3413"/>
      <c r="B19" s="3413"/>
      <c r="C19" s="3413"/>
      <c r="D19" s="4963">
        <v>44.1</v>
      </c>
      <c r="E19" s="4964"/>
      <c r="F19" s="462">
        <v>48.8</v>
      </c>
      <c r="G19" s="462">
        <v>45</v>
      </c>
      <c r="H19" s="462">
        <v>44.6</v>
      </c>
      <c r="I19" s="3467">
        <v>33.4</v>
      </c>
      <c r="J19" s="3467">
        <v>8.9</v>
      </c>
      <c r="K19" s="3467">
        <v>41</v>
      </c>
      <c r="L19" s="3467">
        <v>53.4</v>
      </c>
      <c r="M19" s="3467">
        <v>41.5</v>
      </c>
      <c r="N19" s="3468">
        <v>37.1</v>
      </c>
      <c r="O19" s="3469"/>
      <c r="P19" s="3470"/>
      <c r="Q19" s="3471">
        <v>1971</v>
      </c>
      <c r="R19" s="3472"/>
      <c r="S19" s="3473"/>
    </row>
    <row r="20" spans="1:19" s="1801" customFormat="1" ht="24.95" customHeight="1">
      <c r="A20" s="3413"/>
      <c r="B20" s="3413"/>
      <c r="C20" s="3413"/>
      <c r="D20" s="4957">
        <v>47.5</v>
      </c>
      <c r="E20" s="4958"/>
      <c r="F20" s="1743">
        <v>51.9</v>
      </c>
      <c r="G20" s="1743">
        <v>42.4</v>
      </c>
      <c r="H20" s="1743">
        <v>44.4</v>
      </c>
      <c r="I20" s="1743">
        <v>38.299999999999997</v>
      </c>
      <c r="J20" s="1743">
        <v>7.9</v>
      </c>
      <c r="K20" s="1743">
        <v>46.5</v>
      </c>
      <c r="L20" s="1743">
        <v>51.2</v>
      </c>
      <c r="M20" s="1743">
        <v>47.2</v>
      </c>
      <c r="N20" s="1607">
        <v>40.4</v>
      </c>
      <c r="O20" s="3474"/>
      <c r="P20" s="3475"/>
      <c r="Q20" s="1610">
        <v>1972</v>
      </c>
      <c r="R20" s="1611"/>
      <c r="S20" s="3476"/>
    </row>
    <row r="21" spans="1:19" s="1801" customFormat="1" ht="24.95" customHeight="1">
      <c r="A21" s="3413"/>
      <c r="B21" s="3413"/>
      <c r="C21" s="3413"/>
      <c r="D21" s="4963">
        <v>44.7</v>
      </c>
      <c r="E21" s="4964"/>
      <c r="F21" s="462">
        <v>57.6</v>
      </c>
      <c r="G21" s="462">
        <v>53.1</v>
      </c>
      <c r="H21" s="462">
        <v>48</v>
      </c>
      <c r="I21" s="3467">
        <v>43.3</v>
      </c>
      <c r="J21" s="3467">
        <v>7.6</v>
      </c>
      <c r="K21" s="3467">
        <v>43.5</v>
      </c>
      <c r="L21" s="3467">
        <v>49.8</v>
      </c>
      <c r="M21" s="3467">
        <v>56.4</v>
      </c>
      <c r="N21" s="3468">
        <v>42.3</v>
      </c>
      <c r="O21" s="3469"/>
      <c r="P21" s="3470"/>
      <c r="Q21" s="3471">
        <v>1973</v>
      </c>
      <c r="R21" s="3472"/>
      <c r="S21" s="3473"/>
    </row>
    <row r="22" spans="1:19" s="1801" customFormat="1" ht="24.95" customHeight="1">
      <c r="A22" s="3413"/>
      <c r="B22" s="3413"/>
      <c r="C22" s="3413"/>
      <c r="D22" s="4957">
        <v>55.8</v>
      </c>
      <c r="E22" s="4958"/>
      <c r="F22" s="1743">
        <v>60.3</v>
      </c>
      <c r="G22" s="1743">
        <v>71.099999999999994</v>
      </c>
      <c r="H22" s="1743">
        <v>63.1</v>
      </c>
      <c r="I22" s="1743">
        <v>65</v>
      </c>
      <c r="J22" s="1743">
        <v>11.6</v>
      </c>
      <c r="K22" s="1743">
        <v>65.3</v>
      </c>
      <c r="L22" s="1743">
        <v>48.1</v>
      </c>
      <c r="M22" s="1743">
        <v>75</v>
      </c>
      <c r="N22" s="1607">
        <v>53.8</v>
      </c>
      <c r="O22" s="3474"/>
      <c r="P22" s="3475"/>
      <c r="Q22" s="1610">
        <v>1974</v>
      </c>
      <c r="R22" s="1611"/>
      <c r="S22" s="3476"/>
    </row>
    <row r="23" spans="1:19" s="1801" customFormat="1" ht="24.95" customHeight="1">
      <c r="A23" s="3413"/>
      <c r="B23" s="3413"/>
      <c r="C23" s="3413"/>
      <c r="D23" s="4963">
        <v>101.1</v>
      </c>
      <c r="E23" s="4964"/>
      <c r="F23" s="462">
        <v>75.7</v>
      </c>
      <c r="G23" s="462">
        <v>77.3</v>
      </c>
      <c r="H23" s="462">
        <v>74.599999999999994</v>
      </c>
      <c r="I23" s="3467">
        <v>120.2</v>
      </c>
      <c r="J23" s="3467">
        <v>33.700000000000003</v>
      </c>
      <c r="K23" s="3467">
        <v>85</v>
      </c>
      <c r="L23" s="3467">
        <v>54.2</v>
      </c>
      <c r="M23" s="3467">
        <v>95.6</v>
      </c>
      <c r="N23" s="3468">
        <v>73.8</v>
      </c>
      <c r="O23" s="3469"/>
      <c r="P23" s="3470"/>
      <c r="Q23" s="3471">
        <v>1975</v>
      </c>
      <c r="R23" s="3472"/>
      <c r="S23" s="3473"/>
    </row>
    <row r="24" spans="1:19" s="1801" customFormat="1" ht="24.95" customHeight="1">
      <c r="A24" s="3413"/>
      <c r="B24" s="3413"/>
      <c r="C24" s="3413"/>
      <c r="D24" s="4957">
        <v>74.900000000000006</v>
      </c>
      <c r="E24" s="4958"/>
      <c r="F24" s="1743">
        <v>71.900000000000006</v>
      </c>
      <c r="G24" s="1743">
        <v>71.5</v>
      </c>
      <c r="H24" s="1743">
        <v>79.099999999999994</v>
      </c>
      <c r="I24" s="1743">
        <v>81.7</v>
      </c>
      <c r="J24" s="1743">
        <v>35.700000000000003</v>
      </c>
      <c r="K24" s="1743">
        <v>65.5</v>
      </c>
      <c r="L24" s="1743">
        <v>63.5</v>
      </c>
      <c r="M24" s="1743">
        <v>82.9</v>
      </c>
      <c r="N24" s="1607">
        <v>65.599999999999994</v>
      </c>
      <c r="O24" s="3474"/>
      <c r="P24" s="3475"/>
      <c r="Q24" s="1610">
        <v>1976</v>
      </c>
      <c r="R24" s="1611"/>
      <c r="S24" s="3476"/>
    </row>
    <row r="25" spans="1:19" s="1801" customFormat="1" ht="24.95" customHeight="1">
      <c r="A25" s="3413"/>
      <c r="B25" s="3413"/>
      <c r="C25" s="3413"/>
      <c r="D25" s="4963">
        <v>87.9</v>
      </c>
      <c r="E25" s="4964"/>
      <c r="F25" s="462">
        <v>72</v>
      </c>
      <c r="G25" s="462">
        <v>71.2</v>
      </c>
      <c r="H25" s="462">
        <v>70.2</v>
      </c>
      <c r="I25" s="3467">
        <v>82.2</v>
      </c>
      <c r="J25" s="3467">
        <v>37.9</v>
      </c>
      <c r="K25" s="3467">
        <v>72.900000000000006</v>
      </c>
      <c r="L25" s="3467">
        <v>73.900000000000006</v>
      </c>
      <c r="M25" s="3467">
        <v>82.8</v>
      </c>
      <c r="N25" s="3468">
        <v>67</v>
      </c>
      <c r="O25" s="3469"/>
      <c r="P25" s="3470"/>
      <c r="Q25" s="3471">
        <v>1977</v>
      </c>
      <c r="R25" s="3472"/>
      <c r="S25" s="3473"/>
    </row>
    <row r="26" spans="1:19" s="1801" customFormat="1" ht="24.95" customHeight="1">
      <c r="A26" s="3413"/>
      <c r="B26" s="3413"/>
      <c r="C26" s="3413"/>
      <c r="D26" s="4957">
        <v>75.8</v>
      </c>
      <c r="E26" s="4958"/>
      <c r="F26" s="1743">
        <v>71</v>
      </c>
      <c r="G26" s="1743">
        <v>68.7</v>
      </c>
      <c r="H26" s="1743">
        <v>73.400000000000006</v>
      </c>
      <c r="I26" s="1743">
        <v>76.5</v>
      </c>
      <c r="J26" s="1743">
        <v>39.5</v>
      </c>
      <c r="K26" s="1743">
        <v>76.5</v>
      </c>
      <c r="L26" s="1743">
        <v>68.2</v>
      </c>
      <c r="M26" s="1743">
        <v>78.599999999999994</v>
      </c>
      <c r="N26" s="1607">
        <v>65.099999999999994</v>
      </c>
      <c r="O26" s="3474"/>
      <c r="P26" s="3475"/>
      <c r="Q26" s="1610">
        <v>1978</v>
      </c>
      <c r="R26" s="1611"/>
      <c r="S26" s="3476"/>
    </row>
    <row r="27" spans="1:19" s="1801" customFormat="1" ht="24.95" customHeight="1">
      <c r="A27" s="3413"/>
      <c r="B27" s="3413"/>
      <c r="C27" s="3413"/>
      <c r="D27" s="4963">
        <v>77.400000000000006</v>
      </c>
      <c r="E27" s="4964"/>
      <c r="F27" s="462">
        <v>72.8</v>
      </c>
      <c r="G27" s="462">
        <v>76.5</v>
      </c>
      <c r="H27" s="462">
        <v>76.400000000000006</v>
      </c>
      <c r="I27" s="3467">
        <v>75.400000000000006</v>
      </c>
      <c r="J27" s="3467">
        <v>47</v>
      </c>
      <c r="K27" s="3467">
        <v>79.099999999999994</v>
      </c>
      <c r="L27" s="3467">
        <v>60.3</v>
      </c>
      <c r="M27" s="3467">
        <v>82</v>
      </c>
      <c r="N27" s="3468">
        <v>69.7</v>
      </c>
      <c r="O27" s="3469"/>
      <c r="P27" s="3470"/>
      <c r="Q27" s="3471">
        <v>1979</v>
      </c>
      <c r="R27" s="3472"/>
      <c r="S27" s="3473"/>
    </row>
    <row r="28" spans="1:19" s="1801" customFormat="1" ht="24.95" customHeight="1">
      <c r="A28" s="3413"/>
      <c r="B28" s="3413"/>
      <c r="C28" s="3413"/>
      <c r="D28" s="4957">
        <v>93.5</v>
      </c>
      <c r="E28" s="4958"/>
      <c r="F28" s="1743">
        <v>88</v>
      </c>
      <c r="G28" s="1743">
        <v>93.5</v>
      </c>
      <c r="H28" s="1743">
        <v>97.7</v>
      </c>
      <c r="I28" s="1743">
        <v>105.9</v>
      </c>
      <c r="J28" s="1743">
        <v>76.2</v>
      </c>
      <c r="K28" s="1743">
        <v>93.7</v>
      </c>
      <c r="L28" s="1743">
        <v>60</v>
      </c>
      <c r="M28" s="1743">
        <v>92.7</v>
      </c>
      <c r="N28" s="1607">
        <v>86.5</v>
      </c>
      <c r="O28" s="3474"/>
      <c r="P28" s="3475"/>
      <c r="Q28" s="1610">
        <v>1980</v>
      </c>
      <c r="R28" s="1611"/>
      <c r="S28" s="3476"/>
    </row>
    <row r="29" spans="1:19" s="1801" customFormat="1" ht="24.95" customHeight="1">
      <c r="A29" s="3413"/>
      <c r="B29" s="3413"/>
      <c r="C29" s="3413"/>
      <c r="D29" s="4963">
        <v>104.6</v>
      </c>
      <c r="E29" s="4964"/>
      <c r="F29" s="462">
        <v>117.9</v>
      </c>
      <c r="G29" s="462">
        <v>97.3</v>
      </c>
      <c r="H29" s="462">
        <v>79.3</v>
      </c>
      <c r="I29" s="3467">
        <v>87.6</v>
      </c>
      <c r="J29" s="3467">
        <v>95.5</v>
      </c>
      <c r="K29" s="3467">
        <v>99</v>
      </c>
      <c r="L29" s="3467">
        <v>73.2</v>
      </c>
      <c r="M29" s="3467">
        <v>116.6</v>
      </c>
      <c r="N29" s="3468">
        <v>105.3</v>
      </c>
      <c r="O29" s="3469"/>
      <c r="P29" s="3470"/>
      <c r="Q29" s="3471">
        <v>1981</v>
      </c>
      <c r="R29" s="3472"/>
      <c r="S29" s="3473"/>
    </row>
    <row r="30" spans="1:19" s="1801" customFormat="1" ht="24.95" customHeight="1">
      <c r="A30" s="3413"/>
      <c r="B30" s="3413"/>
      <c r="C30" s="3413"/>
      <c r="D30" s="4957">
        <v>109.5</v>
      </c>
      <c r="E30" s="4958"/>
      <c r="F30" s="1743">
        <v>111.3</v>
      </c>
      <c r="G30" s="1743">
        <v>94.3</v>
      </c>
      <c r="H30" s="1743">
        <v>114.6</v>
      </c>
      <c r="I30" s="1743">
        <v>93.9</v>
      </c>
      <c r="J30" s="1743">
        <v>106.9</v>
      </c>
      <c r="K30" s="1743">
        <v>94.7</v>
      </c>
      <c r="L30" s="1743">
        <v>83.8</v>
      </c>
      <c r="M30" s="1743">
        <v>120.7</v>
      </c>
      <c r="N30" s="1607">
        <v>107</v>
      </c>
      <c r="O30" s="3474"/>
      <c r="P30" s="3475"/>
      <c r="Q30" s="1610">
        <v>1982</v>
      </c>
      <c r="R30" s="1611"/>
      <c r="S30" s="3476"/>
    </row>
    <row r="31" spans="1:19" s="1801" customFormat="1" ht="24.95" customHeight="1">
      <c r="A31" s="3413"/>
      <c r="B31" s="3413"/>
      <c r="C31" s="3413"/>
      <c r="D31" s="4963">
        <v>98.9</v>
      </c>
      <c r="E31" s="4964"/>
      <c r="F31" s="462">
        <v>91.6</v>
      </c>
      <c r="G31" s="462">
        <v>95.9</v>
      </c>
      <c r="H31" s="462">
        <v>127.7</v>
      </c>
      <c r="I31" s="3467">
        <v>62.1</v>
      </c>
      <c r="J31" s="3467">
        <v>94.4</v>
      </c>
      <c r="K31" s="3467">
        <v>105.5</v>
      </c>
      <c r="L31" s="3467">
        <v>111</v>
      </c>
      <c r="M31" s="3467">
        <v>104.8</v>
      </c>
      <c r="N31" s="3468">
        <v>97.8</v>
      </c>
      <c r="O31" s="3469"/>
      <c r="P31" s="3470"/>
      <c r="Q31" s="3471">
        <v>1983</v>
      </c>
      <c r="R31" s="3472"/>
      <c r="S31" s="3473"/>
    </row>
    <row r="32" spans="1:19" s="1801" customFormat="1" ht="24.95" customHeight="1">
      <c r="A32" s="3413"/>
      <c r="B32" s="3413"/>
      <c r="C32" s="3413"/>
      <c r="D32" s="4957">
        <v>98.7</v>
      </c>
      <c r="E32" s="4958"/>
      <c r="F32" s="1743">
        <v>98.7</v>
      </c>
      <c r="G32" s="1743">
        <v>100.8</v>
      </c>
      <c r="H32" s="1743">
        <v>105.3</v>
      </c>
      <c r="I32" s="1743">
        <v>99.2</v>
      </c>
      <c r="J32" s="1743">
        <v>98.8</v>
      </c>
      <c r="K32" s="1743">
        <v>102.3</v>
      </c>
      <c r="L32" s="1743">
        <v>98.4</v>
      </c>
      <c r="M32" s="1743">
        <v>111.1</v>
      </c>
      <c r="N32" s="1607">
        <v>102.7</v>
      </c>
      <c r="O32" s="3474"/>
      <c r="P32" s="3475"/>
      <c r="Q32" s="1610">
        <v>1984</v>
      </c>
      <c r="R32" s="1611"/>
      <c r="S32" s="3476"/>
    </row>
    <row r="33" spans="1:23" s="1801" customFormat="1" ht="24.95" customHeight="1">
      <c r="A33" s="3413"/>
      <c r="B33" s="3413"/>
      <c r="C33" s="3413"/>
      <c r="D33" s="4963">
        <v>100</v>
      </c>
      <c r="E33" s="4964"/>
      <c r="F33" s="462">
        <v>100</v>
      </c>
      <c r="G33" s="462">
        <v>100</v>
      </c>
      <c r="H33" s="462">
        <v>100</v>
      </c>
      <c r="I33" s="3467">
        <v>100</v>
      </c>
      <c r="J33" s="3467">
        <v>100</v>
      </c>
      <c r="K33" s="3467">
        <v>100</v>
      </c>
      <c r="L33" s="3467">
        <v>100</v>
      </c>
      <c r="M33" s="3467">
        <v>100</v>
      </c>
      <c r="N33" s="3468">
        <v>100</v>
      </c>
      <c r="O33" s="3469"/>
      <c r="P33" s="3470"/>
      <c r="Q33" s="3471">
        <v>1985</v>
      </c>
      <c r="R33" s="3472"/>
      <c r="S33" s="3473"/>
    </row>
    <row r="34" spans="1:23" s="1801" customFormat="1" ht="24.95" customHeight="1">
      <c r="A34" s="3413"/>
      <c r="B34" s="3413"/>
      <c r="C34" s="3413"/>
      <c r="D34" s="4957">
        <v>79.3</v>
      </c>
      <c r="E34" s="4958"/>
      <c r="F34" s="1743">
        <v>84.7</v>
      </c>
      <c r="G34" s="1743">
        <v>93.6</v>
      </c>
      <c r="H34" s="1743">
        <v>74.400000000000006</v>
      </c>
      <c r="I34" s="1743">
        <v>89</v>
      </c>
      <c r="J34" s="1743">
        <v>48.4</v>
      </c>
      <c r="K34" s="1743">
        <v>86.7</v>
      </c>
      <c r="L34" s="1743">
        <v>84.8</v>
      </c>
      <c r="M34" s="1743">
        <v>91.8</v>
      </c>
      <c r="N34" s="1607">
        <v>75.3</v>
      </c>
      <c r="O34" s="3474"/>
      <c r="P34" s="3475"/>
      <c r="Q34" s="1610">
        <v>1986</v>
      </c>
      <c r="R34" s="1611"/>
      <c r="S34" s="3476"/>
    </row>
    <row r="35" spans="1:23" s="1801" customFormat="1" ht="24.95" customHeight="1">
      <c r="A35" s="3413"/>
      <c r="B35" s="3413"/>
      <c r="C35" s="3413"/>
      <c r="D35" s="4963">
        <v>93.9</v>
      </c>
      <c r="E35" s="4964"/>
      <c r="F35" s="462">
        <v>87.2</v>
      </c>
      <c r="G35" s="462">
        <v>96.2</v>
      </c>
      <c r="H35" s="462">
        <v>91.5</v>
      </c>
      <c r="I35" s="3467">
        <v>61.8</v>
      </c>
      <c r="J35" s="3467">
        <v>56</v>
      </c>
      <c r="K35" s="3467">
        <v>84.5</v>
      </c>
      <c r="L35" s="3467">
        <v>80.5</v>
      </c>
      <c r="M35" s="3467">
        <v>83</v>
      </c>
      <c r="N35" s="3468">
        <v>78.2</v>
      </c>
      <c r="O35" s="3469"/>
      <c r="P35" s="3470"/>
      <c r="Q35" s="3471">
        <v>1987</v>
      </c>
      <c r="R35" s="3472"/>
      <c r="S35" s="3473"/>
    </row>
    <row r="36" spans="1:23" s="1801" customFormat="1" ht="24.95" customHeight="1">
      <c r="A36" s="3413"/>
      <c r="B36" s="3413"/>
      <c r="C36" s="3413"/>
      <c r="D36" s="4957">
        <v>89</v>
      </c>
      <c r="E36" s="4958"/>
      <c r="F36" s="1743">
        <v>104.8</v>
      </c>
      <c r="G36" s="1743">
        <v>112.1</v>
      </c>
      <c r="H36" s="1743">
        <v>68.400000000000006</v>
      </c>
      <c r="I36" s="1743">
        <v>58</v>
      </c>
      <c r="J36" s="1743">
        <v>58.3</v>
      </c>
      <c r="K36" s="1743">
        <v>97.9</v>
      </c>
      <c r="L36" s="1743">
        <v>87.8</v>
      </c>
      <c r="M36" s="1743">
        <v>94.2</v>
      </c>
      <c r="N36" s="1607">
        <v>82.7</v>
      </c>
      <c r="O36" s="3474"/>
      <c r="P36" s="3475"/>
      <c r="Q36" s="1610">
        <v>1988</v>
      </c>
      <c r="R36" s="1611"/>
      <c r="S36" s="3476"/>
    </row>
    <row r="37" spans="1:23" ht="24.95" customHeight="1">
      <c r="A37" s="3413"/>
      <c r="B37" s="3413"/>
      <c r="C37" s="3413"/>
      <c r="D37" s="4963">
        <v>130.80000000000001</v>
      </c>
      <c r="E37" s="4964"/>
      <c r="F37" s="462">
        <v>136.19999999999999</v>
      </c>
      <c r="G37" s="462">
        <v>167.2</v>
      </c>
      <c r="H37" s="462">
        <v>101.4</v>
      </c>
      <c r="I37" s="3467">
        <v>102.8</v>
      </c>
      <c r="J37" s="3467">
        <v>91.6</v>
      </c>
      <c r="K37" s="3467">
        <v>156.30000000000001</v>
      </c>
      <c r="L37" s="3467">
        <v>142.80000000000001</v>
      </c>
      <c r="M37" s="3467">
        <v>141.69999999999999</v>
      </c>
      <c r="N37" s="3468">
        <v>120</v>
      </c>
      <c r="O37" s="3469"/>
      <c r="P37" s="3470"/>
      <c r="Q37" s="3471">
        <v>1989</v>
      </c>
      <c r="R37" s="3472"/>
      <c r="S37" s="3473"/>
      <c r="T37" s="1963"/>
      <c r="U37" s="1963"/>
      <c r="V37" s="1963"/>
      <c r="W37" s="1963"/>
    </row>
    <row r="38" spans="1:23" ht="24.95" customHeight="1">
      <c r="A38" s="3413"/>
      <c r="B38" s="3413"/>
      <c r="C38" s="3413"/>
      <c r="D38" s="4957">
        <v>155.6</v>
      </c>
      <c r="E38" s="4958"/>
      <c r="F38" s="1743">
        <v>231.8</v>
      </c>
      <c r="G38" s="1743">
        <v>198.5</v>
      </c>
      <c r="H38" s="1743">
        <v>190.1</v>
      </c>
      <c r="I38" s="1743">
        <v>90.7</v>
      </c>
      <c r="J38" s="1743">
        <v>105.5</v>
      </c>
      <c r="K38" s="1743">
        <v>231.8</v>
      </c>
      <c r="L38" s="1743">
        <v>200.7</v>
      </c>
      <c r="M38" s="1743">
        <v>195</v>
      </c>
      <c r="N38" s="1607">
        <v>161.5</v>
      </c>
      <c r="O38" s="3474"/>
      <c r="P38" s="3475"/>
      <c r="Q38" s="1610">
        <v>1990</v>
      </c>
      <c r="R38" s="1611"/>
      <c r="S38" s="3477"/>
      <c r="T38" s="1963"/>
      <c r="U38" s="1963"/>
      <c r="V38" s="1963"/>
      <c r="W38" s="1963"/>
    </row>
    <row r="39" spans="1:23" ht="24.95" customHeight="1">
      <c r="A39" s="3413"/>
      <c r="B39" s="3413"/>
      <c r="C39" s="3413"/>
      <c r="D39" s="4963">
        <v>188.6</v>
      </c>
      <c r="E39" s="4964"/>
      <c r="F39" s="462">
        <v>254.1</v>
      </c>
      <c r="G39" s="462">
        <v>214.8</v>
      </c>
      <c r="H39" s="462">
        <v>221.3</v>
      </c>
      <c r="I39" s="3467">
        <v>112</v>
      </c>
      <c r="J39" s="3467">
        <v>96.6</v>
      </c>
      <c r="K39" s="3467">
        <v>195.2</v>
      </c>
      <c r="L39" s="3467">
        <v>274.7</v>
      </c>
      <c r="M39" s="3467">
        <v>205.6</v>
      </c>
      <c r="N39" s="3468">
        <v>161.9</v>
      </c>
      <c r="O39" s="3469"/>
      <c r="P39" s="3470"/>
      <c r="Q39" s="3471">
        <v>1991</v>
      </c>
      <c r="R39" s="3472"/>
      <c r="S39" s="3473"/>
      <c r="T39" s="1963"/>
      <c r="U39" s="1963"/>
      <c r="V39" s="1963"/>
      <c r="W39" s="1963"/>
    </row>
    <row r="40" spans="1:23" ht="24.95" customHeight="1">
      <c r="A40" s="3413"/>
      <c r="B40" s="3413"/>
      <c r="C40" s="3413"/>
      <c r="D40" s="4957">
        <v>142.30000000000001</v>
      </c>
      <c r="E40" s="4958"/>
      <c r="F40" s="1743">
        <v>201.2</v>
      </c>
      <c r="G40" s="1743">
        <v>195.1</v>
      </c>
      <c r="H40" s="1743">
        <v>268.89999999999998</v>
      </c>
      <c r="I40" s="1743">
        <v>105.7</v>
      </c>
      <c r="J40" s="1743">
        <v>91.6</v>
      </c>
      <c r="K40" s="1743">
        <v>192.1</v>
      </c>
      <c r="L40" s="1743">
        <v>224.7</v>
      </c>
      <c r="M40" s="1743">
        <v>199</v>
      </c>
      <c r="N40" s="1607">
        <v>152.9</v>
      </c>
      <c r="O40" s="3474"/>
      <c r="P40" s="3475"/>
      <c r="Q40" s="1610">
        <v>1992</v>
      </c>
      <c r="R40" s="1611"/>
      <c r="S40" s="3477"/>
      <c r="T40" s="1963"/>
      <c r="U40" s="1963"/>
      <c r="V40" s="1963"/>
      <c r="W40" s="1963"/>
    </row>
    <row r="41" spans="1:23" ht="24.95" customHeight="1">
      <c r="A41" s="3413"/>
      <c r="B41" s="3413"/>
      <c r="C41" s="3413"/>
      <c r="D41" s="4963">
        <v>133.1</v>
      </c>
      <c r="E41" s="4964"/>
      <c r="F41" s="462">
        <v>189.1</v>
      </c>
      <c r="G41" s="462">
        <v>188.7</v>
      </c>
      <c r="H41" s="462">
        <v>207.7</v>
      </c>
      <c r="I41" s="3467">
        <v>111.3</v>
      </c>
      <c r="J41" s="3467">
        <v>98.3</v>
      </c>
      <c r="K41" s="3467">
        <v>179.6</v>
      </c>
      <c r="L41" s="3467">
        <v>227</v>
      </c>
      <c r="M41" s="3467">
        <v>184.6</v>
      </c>
      <c r="N41" s="3468">
        <v>155.4</v>
      </c>
      <c r="O41" s="3469"/>
      <c r="P41" s="3470"/>
      <c r="Q41" s="3471">
        <v>1993</v>
      </c>
      <c r="R41" s="3472"/>
      <c r="S41" s="3473"/>
      <c r="T41" s="1963"/>
      <c r="U41" s="1963"/>
      <c r="V41" s="1963"/>
      <c r="W41" s="1963"/>
    </row>
    <row r="42" spans="1:23" ht="24.95" customHeight="1">
      <c r="A42" s="3413"/>
      <c r="B42" s="3413"/>
      <c r="C42" s="3413"/>
      <c r="D42" s="4974">
        <v>153.9</v>
      </c>
      <c r="E42" s="4975"/>
      <c r="F42" s="464">
        <v>192.8</v>
      </c>
      <c r="G42" s="464">
        <v>198.5</v>
      </c>
      <c r="H42" s="464">
        <v>217.4</v>
      </c>
      <c r="I42" s="1741">
        <v>125.1</v>
      </c>
      <c r="J42" s="1741">
        <v>91</v>
      </c>
      <c r="K42" s="1741">
        <v>167</v>
      </c>
      <c r="L42" s="1741">
        <v>209.2</v>
      </c>
      <c r="M42" s="1741">
        <v>177.1</v>
      </c>
      <c r="N42" s="1663">
        <v>151.1</v>
      </c>
      <c r="O42" s="3478"/>
      <c r="P42" s="3479"/>
      <c r="Q42" s="3480">
        <v>1994</v>
      </c>
      <c r="R42" s="1664"/>
      <c r="S42" s="3477"/>
      <c r="T42" s="1963"/>
      <c r="U42" s="1963"/>
      <c r="V42" s="1963"/>
      <c r="W42" s="1963"/>
    </row>
    <row r="43" spans="1:23" ht="18.95" hidden="1" customHeight="1">
      <c r="A43" s="3413"/>
      <c r="B43" s="3413"/>
      <c r="C43" s="3413"/>
      <c r="D43" s="3481"/>
      <c r="E43" s="3482"/>
      <c r="F43" s="3482"/>
      <c r="G43" s="3482"/>
      <c r="H43" s="3482"/>
      <c r="I43" s="3483"/>
      <c r="J43" s="3483"/>
      <c r="K43" s="3483"/>
      <c r="L43" s="3483"/>
      <c r="M43" s="3483"/>
      <c r="N43" s="3483"/>
      <c r="O43" s="3484"/>
      <c r="P43" s="3485"/>
      <c r="Q43" s="3486"/>
      <c r="R43" s="3487"/>
      <c r="S43" s="3488"/>
      <c r="T43" s="1963"/>
      <c r="U43" s="1963"/>
      <c r="V43" s="1963"/>
      <c r="W43" s="1963"/>
    </row>
    <row r="44" spans="1:23" ht="4.3499999999999996" customHeight="1">
      <c r="A44" s="3413"/>
      <c r="B44" s="3413"/>
      <c r="C44" s="3413"/>
      <c r="D44" s="1843"/>
      <c r="E44" s="1843"/>
      <c r="F44" s="1451"/>
      <c r="G44" s="1451"/>
      <c r="H44" s="1451"/>
      <c r="I44" s="1843"/>
      <c r="J44" s="1843"/>
      <c r="K44" s="1843"/>
      <c r="L44" s="1843"/>
      <c r="M44" s="1843"/>
      <c r="N44" s="1843"/>
      <c r="O44" s="2160"/>
      <c r="P44" s="3489"/>
      <c r="Q44" s="3490"/>
      <c r="R44" s="3490"/>
      <c r="S44" s="1843"/>
      <c r="T44" s="1963"/>
      <c r="U44" s="1963"/>
      <c r="V44" s="1963"/>
      <c r="W44" s="1963"/>
    </row>
    <row r="45" spans="1:23" s="1849" customFormat="1" ht="17.100000000000001" customHeight="1">
      <c r="A45" s="3413"/>
      <c r="B45" s="3413"/>
      <c r="C45" s="3413"/>
      <c r="D45" s="3414" t="s">
        <v>1496</v>
      </c>
      <c r="E45" s="3491"/>
      <c r="F45" s="3491"/>
      <c r="G45" s="3491"/>
      <c r="H45" s="3491"/>
      <c r="I45" s="3492"/>
      <c r="J45" s="3491"/>
      <c r="K45" s="3493"/>
      <c r="L45" s="3493"/>
      <c r="M45" s="3493"/>
      <c r="N45" s="3491"/>
      <c r="O45" s="3416"/>
      <c r="P45" s="3489"/>
      <c r="Q45" s="3490"/>
      <c r="R45" s="3490"/>
      <c r="S45" s="3415"/>
    </row>
    <row r="46" spans="1:23" ht="4.3499999999999996" customHeight="1">
      <c r="A46" s="3413"/>
      <c r="B46" s="3413"/>
      <c r="C46" s="3413"/>
      <c r="D46" s="2724"/>
      <c r="E46" s="2724"/>
      <c r="F46" s="2724"/>
      <c r="G46" s="2724"/>
      <c r="H46" s="2724"/>
      <c r="J46" s="1760"/>
      <c r="K46" s="1844"/>
      <c r="L46" s="3418"/>
      <c r="M46" s="1844"/>
      <c r="N46" s="1760"/>
      <c r="O46" s="3419"/>
      <c r="P46" s="3489"/>
      <c r="Q46" s="3490"/>
      <c r="R46" s="3490"/>
    </row>
    <row r="47" spans="1:23" ht="39.75" customHeight="1">
      <c r="A47" s="3413"/>
      <c r="B47" s="3413"/>
      <c r="C47" s="3413"/>
      <c r="D47" s="3494" t="s">
        <v>1515</v>
      </c>
      <c r="E47" s="3421"/>
      <c r="F47" s="3422"/>
      <c r="G47" s="3421"/>
      <c r="H47" s="3421"/>
      <c r="I47" s="3421"/>
      <c r="J47" s="3423"/>
      <c r="K47" s="3424"/>
      <c r="L47" s="3436"/>
      <c r="M47" s="3424"/>
      <c r="N47" s="3495" t="s">
        <v>1516</v>
      </c>
      <c r="O47" s="3496" t="s">
        <v>1527</v>
      </c>
      <c r="P47" s="3428"/>
      <c r="Q47" s="3429"/>
      <c r="R47" s="3430"/>
      <c r="S47" s="3497"/>
    </row>
    <row r="48" spans="1:23" s="1801" customFormat="1" ht="9.75" customHeight="1">
      <c r="A48" s="3413"/>
      <c r="B48" s="3413"/>
      <c r="C48" s="3413"/>
      <c r="D48" s="3443"/>
      <c r="E48" s="3444"/>
      <c r="F48" s="3445"/>
      <c r="G48" s="3445"/>
      <c r="H48" s="3445"/>
      <c r="I48" s="3445"/>
      <c r="J48" s="3446"/>
      <c r="K48" s="3446"/>
      <c r="L48" s="3447"/>
      <c r="M48" s="3446"/>
      <c r="N48" s="3447"/>
      <c r="O48" s="3455"/>
      <c r="P48" s="3439"/>
      <c r="Q48" s="3440"/>
      <c r="R48" s="3441"/>
      <c r="S48" s="3442"/>
      <c r="T48" s="3200"/>
    </row>
    <row r="49" spans="1:211" ht="21.2" customHeight="1">
      <c r="A49" s="3413"/>
      <c r="B49" s="3413"/>
      <c r="C49" s="3413"/>
      <c r="D49" s="3449"/>
      <c r="E49" s="3450"/>
      <c r="F49" s="3452"/>
      <c r="G49" s="3452"/>
      <c r="H49" s="3452"/>
      <c r="I49" s="3452"/>
      <c r="J49" s="3451" t="s">
        <v>1517</v>
      </c>
      <c r="K49" s="3451"/>
      <c r="L49" s="3498"/>
      <c r="M49" s="3451" t="s">
        <v>1538</v>
      </c>
      <c r="N49" s="3498"/>
      <c r="O49" s="3455"/>
      <c r="P49" s="3439"/>
      <c r="Q49" s="3440"/>
      <c r="R49" s="3441"/>
      <c r="S49" s="3442"/>
      <c r="T49" s="3200"/>
    </row>
    <row r="50" spans="1:211" ht="21.2" customHeight="1">
      <c r="A50" s="3413"/>
      <c r="B50" s="3413"/>
      <c r="C50" s="3413"/>
      <c r="D50" s="3449"/>
      <c r="E50" s="3450"/>
      <c r="F50" s="3451" t="s">
        <v>1518</v>
      </c>
      <c r="G50" s="3452"/>
      <c r="H50" s="3451"/>
      <c r="I50" s="3452"/>
      <c r="J50" s="3451" t="s">
        <v>1519</v>
      </c>
      <c r="K50" s="3451" t="s">
        <v>1317</v>
      </c>
      <c r="L50" s="3452"/>
      <c r="M50" s="3451" t="s">
        <v>1381</v>
      </c>
      <c r="N50" s="3451"/>
      <c r="O50" s="3455"/>
      <c r="P50" s="3439"/>
      <c r="Q50" s="3440"/>
      <c r="R50" s="3441"/>
      <c r="S50" s="3442"/>
      <c r="T50" s="3200"/>
    </row>
    <row r="51" spans="1:211" ht="21.2" customHeight="1">
      <c r="A51" s="3413"/>
      <c r="B51" s="3413"/>
      <c r="C51" s="3413"/>
      <c r="D51" s="3499" t="s">
        <v>1382</v>
      </c>
      <c r="E51" s="3500"/>
      <c r="F51" s="3451" t="s">
        <v>1349</v>
      </c>
      <c r="G51" s="3451" t="s">
        <v>1371</v>
      </c>
      <c r="H51" s="3451" t="s">
        <v>1317</v>
      </c>
      <c r="I51" s="3451" t="s">
        <v>1521</v>
      </c>
      <c r="J51" s="3451" t="s">
        <v>1522</v>
      </c>
      <c r="K51" s="3451" t="s">
        <v>1523</v>
      </c>
      <c r="L51" s="3451" t="s">
        <v>1386</v>
      </c>
      <c r="M51" s="3451" t="s">
        <v>1387</v>
      </c>
      <c r="N51" s="3454" t="s">
        <v>1487</v>
      </c>
      <c r="O51" s="3455"/>
      <c r="P51" s="3439"/>
      <c r="Q51" s="3440"/>
      <c r="R51" s="3441"/>
      <c r="S51" s="3442"/>
      <c r="T51" s="3200"/>
      <c r="U51" s="1190"/>
    </row>
    <row r="52" spans="1:211" ht="21.2" customHeight="1">
      <c r="A52" s="3413"/>
      <c r="B52" s="3413"/>
      <c r="C52" s="3413"/>
      <c r="D52" s="3499" t="s">
        <v>1388</v>
      </c>
      <c r="E52" s="3500"/>
      <c r="F52" s="3451" t="s">
        <v>1524</v>
      </c>
      <c r="G52" s="3451" t="s">
        <v>1373</v>
      </c>
      <c r="H52" s="3451" t="s">
        <v>1390</v>
      </c>
      <c r="I52" s="3451" t="s">
        <v>1525</v>
      </c>
      <c r="J52" s="3451" t="s">
        <v>1526</v>
      </c>
      <c r="K52" s="3451" t="s">
        <v>1351</v>
      </c>
      <c r="L52" s="3451" t="s">
        <v>1393</v>
      </c>
      <c r="M52" s="3451" t="s">
        <v>1394</v>
      </c>
      <c r="N52" s="3454" t="s">
        <v>395</v>
      </c>
      <c r="O52" s="3455"/>
      <c r="P52" s="4965"/>
      <c r="Q52" s="4966"/>
      <c r="R52" s="4967"/>
      <c r="S52" s="3456"/>
      <c r="T52" s="3200"/>
    </row>
    <row r="53" spans="1:211" ht="21.2" customHeight="1">
      <c r="A53" s="3413"/>
      <c r="B53" s="3413"/>
      <c r="C53" s="3413"/>
      <c r="D53" s="3501" t="s">
        <v>1431</v>
      </c>
      <c r="E53" s="3502"/>
      <c r="F53" s="3453" t="s">
        <v>1528</v>
      </c>
      <c r="G53" s="3453"/>
      <c r="H53" s="3453"/>
      <c r="I53" s="3453"/>
      <c r="J53" s="3453" t="s">
        <v>1397</v>
      </c>
      <c r="K53" s="3453" t="s">
        <v>1398</v>
      </c>
      <c r="L53" s="3453"/>
      <c r="M53" s="3453"/>
      <c r="N53" s="3454"/>
      <c r="O53" s="3438"/>
      <c r="P53" s="3439"/>
      <c r="Q53" s="3440"/>
      <c r="R53" s="3441"/>
      <c r="S53" s="3442"/>
      <c r="T53" s="3200"/>
    </row>
    <row r="54" spans="1:211" ht="21.2" customHeight="1">
      <c r="A54" s="3413"/>
      <c r="B54" s="3413"/>
      <c r="C54" s="3413"/>
      <c r="D54" s="3501" t="s">
        <v>1396</v>
      </c>
      <c r="E54" s="3502"/>
      <c r="F54" s="3453" t="s">
        <v>127</v>
      </c>
      <c r="G54" s="3453" t="s">
        <v>1432</v>
      </c>
      <c r="H54" s="3453"/>
      <c r="I54" s="3453" t="s">
        <v>1529</v>
      </c>
      <c r="J54" s="3453" t="s">
        <v>1530</v>
      </c>
      <c r="K54" s="3453" t="s">
        <v>1330</v>
      </c>
      <c r="L54" s="3453" t="s">
        <v>1531</v>
      </c>
      <c r="M54" s="3453" t="s">
        <v>1404</v>
      </c>
      <c r="N54" s="3454"/>
      <c r="O54" s="3503"/>
      <c r="P54" s="4965"/>
      <c r="Q54" s="4966"/>
      <c r="R54" s="4967"/>
      <c r="S54" s="3457"/>
      <c r="T54" s="3200"/>
    </row>
    <row r="55" spans="1:211" ht="21.2" customHeight="1">
      <c r="A55" s="3413"/>
      <c r="B55" s="3413"/>
      <c r="C55" s="3413"/>
      <c r="D55" s="3501" t="s">
        <v>1400</v>
      </c>
      <c r="E55" s="3502"/>
      <c r="F55" s="3453" t="s">
        <v>1411</v>
      </c>
      <c r="G55" s="3453" t="s">
        <v>1433</v>
      </c>
      <c r="H55" s="3453" t="s">
        <v>1533</v>
      </c>
      <c r="I55" s="3453" t="s">
        <v>127</v>
      </c>
      <c r="J55" s="3453" t="s">
        <v>1534</v>
      </c>
      <c r="K55" s="3453" t="s">
        <v>1415</v>
      </c>
      <c r="L55" s="3453" t="s">
        <v>1535</v>
      </c>
      <c r="M55" s="3453" t="s">
        <v>1493</v>
      </c>
      <c r="N55" s="3454" t="s">
        <v>401</v>
      </c>
      <c r="O55" s="3438"/>
      <c r="P55" s="3439"/>
      <c r="Q55" s="3440"/>
      <c r="R55" s="3441"/>
      <c r="S55" s="3442"/>
      <c r="T55" s="3200"/>
    </row>
    <row r="56" spans="1:211" s="1801" customFormat="1" ht="21.2" customHeight="1">
      <c r="A56" s="3413"/>
      <c r="B56" s="3413"/>
      <c r="C56" s="3413"/>
      <c r="D56" s="3458" t="s">
        <v>1417</v>
      </c>
      <c r="E56" s="3459"/>
      <c r="F56" s="3460" t="s">
        <v>1359</v>
      </c>
      <c r="G56" s="3460" t="s">
        <v>1329</v>
      </c>
      <c r="H56" s="3460" t="s">
        <v>1536</v>
      </c>
      <c r="I56" s="3460" t="s">
        <v>1420</v>
      </c>
      <c r="J56" s="3460" t="s">
        <v>689</v>
      </c>
      <c r="K56" s="3460" t="s">
        <v>1537</v>
      </c>
      <c r="L56" s="3460" t="s">
        <v>1421</v>
      </c>
      <c r="M56" s="3460" t="s">
        <v>1422</v>
      </c>
      <c r="N56" s="3461" t="s">
        <v>1495</v>
      </c>
      <c r="O56" s="3462"/>
      <c r="P56" s="3463"/>
      <c r="Q56" s="3464"/>
      <c r="R56" s="3465"/>
      <c r="S56" s="3466"/>
      <c r="T56" s="3200"/>
    </row>
    <row r="57" spans="1:211" s="3360" customFormat="1" ht="24.95" customHeight="1">
      <c r="A57" s="3413"/>
      <c r="B57" s="3413"/>
      <c r="C57" s="3413"/>
      <c r="D57" s="4976">
        <v>101.7</v>
      </c>
      <c r="E57" s="4977"/>
      <c r="F57" s="1743">
        <v>112</v>
      </c>
      <c r="G57" s="1743">
        <v>122.8</v>
      </c>
      <c r="H57" s="1743">
        <v>113.1</v>
      </c>
      <c r="I57" s="1743">
        <v>132.6</v>
      </c>
      <c r="J57" s="1743">
        <v>103.7</v>
      </c>
      <c r="K57" s="1743">
        <v>125.9</v>
      </c>
      <c r="L57" s="1743">
        <v>116.6</v>
      </c>
      <c r="M57" s="1743">
        <v>110.5</v>
      </c>
      <c r="N57" s="3504">
        <v>113.2</v>
      </c>
      <c r="O57" s="3505"/>
      <c r="P57" s="3475"/>
      <c r="Q57" s="1610">
        <v>1995</v>
      </c>
      <c r="R57" s="1611"/>
      <c r="S57" s="3506"/>
      <c r="T57" s="1801"/>
      <c r="U57" s="1801"/>
      <c r="V57" s="1801"/>
      <c r="W57" s="1801"/>
      <c r="AE57" s="1174"/>
      <c r="AF57" s="1174"/>
      <c r="AG57" s="1174"/>
      <c r="AH57" s="1174"/>
      <c r="AI57" s="1174"/>
      <c r="AJ57" s="1174"/>
      <c r="AK57" s="1174"/>
      <c r="AL57" s="1174"/>
      <c r="AM57" s="1174"/>
      <c r="AN57" s="1174"/>
      <c r="AO57" s="1174"/>
      <c r="AP57" s="1174"/>
      <c r="AQ57" s="1174"/>
      <c r="AR57" s="1174"/>
      <c r="AS57" s="1174"/>
      <c r="AT57" s="1174"/>
      <c r="AU57" s="1174"/>
      <c r="AV57" s="1174"/>
      <c r="AW57" s="1174"/>
      <c r="AX57" s="1174"/>
      <c r="AY57" s="1174"/>
      <c r="AZ57" s="1174"/>
      <c r="BA57" s="1174"/>
      <c r="BB57" s="1174"/>
      <c r="BC57" s="1174"/>
      <c r="BD57" s="1174"/>
      <c r="BE57" s="1174"/>
      <c r="BF57" s="1174"/>
      <c r="BG57" s="1174"/>
      <c r="BH57" s="1174"/>
      <c r="BI57" s="1174"/>
      <c r="BJ57" s="1174"/>
      <c r="BK57" s="1174"/>
      <c r="BL57" s="1174"/>
      <c r="BM57" s="1174"/>
      <c r="BN57" s="1174"/>
      <c r="BO57" s="1174"/>
      <c r="BP57" s="1174"/>
      <c r="BQ57" s="1174"/>
      <c r="BR57" s="1174"/>
      <c r="BS57" s="1174"/>
      <c r="BT57" s="1174"/>
      <c r="BU57" s="1174"/>
      <c r="BV57" s="1174"/>
      <c r="BW57" s="1174"/>
      <c r="BX57" s="1174"/>
      <c r="BY57" s="1174"/>
      <c r="BZ57" s="1174"/>
      <c r="CA57" s="1174"/>
      <c r="CB57" s="1174"/>
      <c r="CC57" s="1174"/>
      <c r="CD57" s="1174"/>
      <c r="CE57" s="1174"/>
      <c r="CF57" s="1174"/>
      <c r="CG57" s="1174"/>
      <c r="CH57" s="1174"/>
      <c r="CI57" s="1174"/>
      <c r="CJ57" s="1174"/>
      <c r="CK57" s="1174"/>
      <c r="CL57" s="1174"/>
      <c r="CM57" s="1174"/>
      <c r="CN57" s="1174"/>
      <c r="CO57" s="1174"/>
      <c r="CP57" s="1174"/>
      <c r="CQ57" s="1174"/>
      <c r="CR57" s="1174"/>
      <c r="CS57" s="1174"/>
      <c r="CT57" s="1174"/>
      <c r="CU57" s="1174"/>
      <c r="CV57" s="1174"/>
      <c r="CW57" s="1174"/>
      <c r="CX57" s="1174"/>
      <c r="CY57" s="1174"/>
      <c r="CZ57" s="1174"/>
      <c r="DA57" s="1174"/>
      <c r="DB57" s="1174"/>
      <c r="DC57" s="1174"/>
      <c r="DD57" s="1174"/>
      <c r="DE57" s="1174"/>
      <c r="DF57" s="1174"/>
      <c r="DG57" s="1174"/>
      <c r="DH57" s="1174"/>
      <c r="DI57" s="1174"/>
      <c r="DJ57" s="1174"/>
      <c r="DK57" s="1174"/>
      <c r="DL57" s="1174"/>
      <c r="DM57" s="1174"/>
      <c r="DN57" s="1174"/>
      <c r="DO57" s="1174"/>
      <c r="DP57" s="1174"/>
      <c r="DQ57" s="1174"/>
      <c r="DR57" s="1174"/>
      <c r="DS57" s="1174"/>
      <c r="DT57" s="1174"/>
      <c r="DU57" s="1174"/>
      <c r="DV57" s="1174"/>
      <c r="DW57" s="1174"/>
      <c r="DX57" s="1174"/>
      <c r="DY57" s="1174"/>
      <c r="DZ57" s="1174"/>
      <c r="EA57" s="1174"/>
      <c r="EB57" s="1174"/>
      <c r="EC57" s="1174"/>
      <c r="ED57" s="1174"/>
      <c r="EE57" s="1174"/>
      <c r="EF57" s="1174"/>
      <c r="EG57" s="1174"/>
      <c r="EH57" s="1174"/>
      <c r="EI57" s="1174"/>
      <c r="EJ57" s="1174"/>
      <c r="EK57" s="1174"/>
      <c r="EL57" s="1174"/>
      <c r="EM57" s="1174"/>
      <c r="EN57" s="1174"/>
      <c r="EO57" s="1174"/>
      <c r="EP57" s="1174"/>
      <c r="EQ57" s="1174"/>
      <c r="ER57" s="1174"/>
      <c r="ES57" s="1174"/>
      <c r="ET57" s="1174"/>
      <c r="EU57" s="1174"/>
      <c r="EV57" s="1174"/>
      <c r="EW57" s="1174"/>
      <c r="EX57" s="1174"/>
      <c r="EY57" s="1174"/>
      <c r="EZ57" s="1174"/>
      <c r="FA57" s="1174"/>
      <c r="FB57" s="1174"/>
      <c r="FC57" s="1174"/>
      <c r="FD57" s="1174"/>
      <c r="FE57" s="1174"/>
      <c r="FF57" s="1174"/>
      <c r="FG57" s="1174"/>
      <c r="FH57" s="1174"/>
      <c r="FI57" s="1174"/>
      <c r="FJ57" s="1174"/>
      <c r="FK57" s="1174"/>
      <c r="FL57" s="1174"/>
      <c r="FM57" s="1174"/>
      <c r="FN57" s="1174"/>
      <c r="FO57" s="1174"/>
      <c r="FP57" s="1174"/>
      <c r="FQ57" s="1174"/>
      <c r="FR57" s="1174"/>
      <c r="FS57" s="1174"/>
      <c r="FT57" s="1174"/>
      <c r="FU57" s="1174"/>
      <c r="FV57" s="1174"/>
      <c r="FW57" s="1174"/>
      <c r="FX57" s="1174"/>
      <c r="FY57" s="1174"/>
      <c r="FZ57" s="1174"/>
      <c r="GA57" s="1174"/>
      <c r="GB57" s="1174"/>
      <c r="GC57" s="1174"/>
      <c r="GD57" s="1174"/>
      <c r="GE57" s="1174"/>
      <c r="GF57" s="1174"/>
      <c r="GG57" s="1174"/>
      <c r="GH57" s="1174"/>
      <c r="GI57" s="1174"/>
      <c r="GJ57" s="1174"/>
      <c r="GK57" s="1174"/>
      <c r="GL57" s="1174"/>
      <c r="GM57" s="1174"/>
      <c r="GN57" s="1174"/>
      <c r="GO57" s="1174"/>
      <c r="GP57" s="1174"/>
      <c r="GQ57" s="1174"/>
      <c r="GR57" s="1174"/>
      <c r="GS57" s="1174"/>
      <c r="GT57" s="1174"/>
      <c r="GU57" s="1174"/>
      <c r="GV57" s="1174"/>
      <c r="GW57" s="1174"/>
      <c r="GX57" s="1174"/>
      <c r="GY57" s="1174"/>
      <c r="GZ57" s="1174"/>
      <c r="HA57" s="1174"/>
      <c r="HB57" s="1174"/>
      <c r="HC57" s="1174"/>
    </row>
    <row r="58" spans="1:211" s="1801" customFormat="1" ht="24.95" customHeight="1">
      <c r="A58" s="3413"/>
      <c r="B58" s="3413"/>
      <c r="C58" s="3413"/>
      <c r="D58" s="4959">
        <v>111.3</v>
      </c>
      <c r="E58" s="4960"/>
      <c r="F58" s="1745">
        <v>135.1</v>
      </c>
      <c r="G58" s="1745">
        <v>117.4</v>
      </c>
      <c r="H58" s="1745">
        <v>116</v>
      </c>
      <c r="I58" s="1745">
        <v>115.7</v>
      </c>
      <c r="J58" s="1745">
        <v>110.2</v>
      </c>
      <c r="K58" s="1745">
        <v>102.5</v>
      </c>
      <c r="L58" s="1745">
        <v>79.099999999999994</v>
      </c>
      <c r="M58" s="1745">
        <v>139.9</v>
      </c>
      <c r="N58" s="2600">
        <v>123.5</v>
      </c>
      <c r="O58" s="3507"/>
      <c r="P58" s="3508"/>
      <c r="Q58" s="1478">
        <v>1996</v>
      </c>
      <c r="R58" s="1530"/>
      <c r="S58" s="3509"/>
      <c r="AE58" s="1174"/>
      <c r="AF58" s="1174"/>
      <c r="AG58" s="1174"/>
      <c r="AH58" s="1174"/>
      <c r="AI58" s="1174"/>
      <c r="AJ58" s="1174"/>
      <c r="AK58" s="1174"/>
      <c r="AL58" s="1174"/>
      <c r="AM58" s="1174"/>
      <c r="AN58" s="1174"/>
      <c r="AO58" s="1174"/>
      <c r="AP58" s="1174"/>
      <c r="AQ58" s="1174"/>
      <c r="AR58" s="1174"/>
      <c r="AS58" s="1174"/>
      <c r="AT58" s="1174"/>
      <c r="AU58" s="1174"/>
      <c r="AV58" s="1174"/>
      <c r="AW58" s="1174"/>
      <c r="AX58" s="1174"/>
      <c r="AY58" s="1174"/>
      <c r="AZ58" s="1174"/>
      <c r="BA58" s="1174"/>
      <c r="BB58" s="1174"/>
      <c r="BC58" s="1174"/>
      <c r="BD58" s="1174"/>
      <c r="BE58" s="1174"/>
      <c r="BF58" s="1174"/>
      <c r="BG58" s="1174"/>
      <c r="BH58" s="1174"/>
      <c r="BI58" s="1174"/>
      <c r="BJ58" s="1174"/>
      <c r="BK58" s="1174"/>
      <c r="BL58" s="1174"/>
      <c r="BM58" s="1174"/>
      <c r="BN58" s="1174"/>
      <c r="BO58" s="1174"/>
      <c r="BP58" s="1174"/>
      <c r="BQ58" s="1174"/>
      <c r="BR58" s="1174"/>
      <c r="BS58" s="1174"/>
      <c r="BT58" s="1174"/>
      <c r="BU58" s="1174"/>
      <c r="BV58" s="1174"/>
      <c r="BW58" s="1174"/>
      <c r="BX58" s="1174"/>
      <c r="BY58" s="1174"/>
      <c r="BZ58" s="1174"/>
      <c r="CA58" s="1174"/>
      <c r="CB58" s="1174"/>
      <c r="CC58" s="1174"/>
      <c r="CD58" s="1174"/>
      <c r="CE58" s="1174"/>
      <c r="CF58" s="1174"/>
      <c r="CG58" s="1174"/>
      <c r="CH58" s="1174"/>
      <c r="CI58" s="1174"/>
      <c r="CJ58" s="1174"/>
      <c r="CK58" s="1174"/>
      <c r="CL58" s="1174"/>
      <c r="CM58" s="1174"/>
      <c r="CN58" s="1174"/>
      <c r="CO58" s="1174"/>
      <c r="CP58" s="1174"/>
      <c r="CQ58" s="1174"/>
      <c r="CR58" s="1174"/>
      <c r="CS58" s="1174"/>
      <c r="CT58" s="1174"/>
      <c r="CU58" s="1174"/>
      <c r="CV58" s="1174"/>
      <c r="CW58" s="1174"/>
      <c r="CX58" s="1174"/>
      <c r="CY58" s="1174"/>
      <c r="CZ58" s="1174"/>
      <c r="DA58" s="1174"/>
      <c r="DB58" s="1174"/>
      <c r="DC58" s="1174"/>
      <c r="DD58" s="1174"/>
      <c r="DE58" s="1174"/>
      <c r="DF58" s="1174"/>
      <c r="DG58" s="1174"/>
      <c r="DH58" s="1174"/>
      <c r="DI58" s="1174"/>
      <c r="DJ58" s="1174"/>
      <c r="DK58" s="1174"/>
      <c r="DL58" s="1174"/>
      <c r="DM58" s="1174"/>
      <c r="DN58" s="1174"/>
      <c r="DO58" s="1174"/>
      <c r="DP58" s="1174"/>
      <c r="DQ58" s="1174"/>
      <c r="DR58" s="1174"/>
      <c r="DS58" s="1174"/>
      <c r="DT58" s="1174"/>
      <c r="DU58" s="1174"/>
      <c r="DV58" s="1174"/>
      <c r="DW58" s="1174"/>
      <c r="DX58" s="1174"/>
      <c r="DY58" s="1174"/>
      <c r="DZ58" s="1174"/>
      <c r="EA58" s="1174"/>
      <c r="EB58" s="1174"/>
      <c r="EC58" s="1174"/>
      <c r="ED58" s="1174"/>
      <c r="EE58" s="1174"/>
      <c r="EF58" s="1174"/>
      <c r="EG58" s="1174"/>
      <c r="EH58" s="1174"/>
      <c r="EI58" s="1174"/>
      <c r="EJ58" s="1174"/>
      <c r="EK58" s="1174"/>
      <c r="EL58" s="1174"/>
      <c r="EM58" s="1174"/>
      <c r="EN58" s="1174"/>
      <c r="EO58" s="1174"/>
      <c r="EP58" s="1174"/>
      <c r="EQ58" s="1174"/>
      <c r="ER58" s="1174"/>
      <c r="ES58" s="1174"/>
      <c r="ET58" s="1174"/>
      <c r="EU58" s="1174"/>
      <c r="EV58" s="1174"/>
      <c r="EW58" s="1174"/>
      <c r="EX58" s="1174"/>
      <c r="EY58" s="1174"/>
      <c r="EZ58" s="1174"/>
      <c r="FA58" s="1174"/>
      <c r="FB58" s="1174"/>
      <c r="FC58" s="1174"/>
      <c r="FD58" s="1174"/>
      <c r="FE58" s="1174"/>
      <c r="FF58" s="1174"/>
      <c r="FG58" s="1174"/>
      <c r="FH58" s="1174"/>
      <c r="FI58" s="1174"/>
      <c r="FJ58" s="1174"/>
      <c r="FK58" s="1174"/>
      <c r="FL58" s="1174"/>
      <c r="FM58" s="1174"/>
      <c r="FN58" s="1174"/>
      <c r="FO58" s="1174"/>
      <c r="FP58" s="1174"/>
      <c r="FQ58" s="1174"/>
      <c r="FR58" s="1174"/>
      <c r="FS58" s="1174"/>
      <c r="FT58" s="1174"/>
      <c r="FU58" s="1174"/>
      <c r="FV58" s="1174"/>
      <c r="FW58" s="1174"/>
      <c r="FX58" s="1174"/>
      <c r="FY58" s="1174"/>
      <c r="FZ58" s="1174"/>
      <c r="GA58" s="1174"/>
      <c r="GB58" s="1174"/>
      <c r="GC58" s="1174"/>
      <c r="GD58" s="1174"/>
      <c r="GE58" s="1174"/>
      <c r="GF58" s="1174"/>
      <c r="GG58" s="1174"/>
      <c r="GH58" s="1174"/>
      <c r="GI58" s="1174"/>
      <c r="GJ58" s="1174"/>
      <c r="GK58" s="1174"/>
      <c r="GL58" s="1174"/>
      <c r="GM58" s="1174"/>
      <c r="GN58" s="1174"/>
      <c r="GO58" s="1174"/>
      <c r="GP58" s="1174"/>
      <c r="GQ58" s="1174"/>
      <c r="GR58" s="1174"/>
      <c r="GS58" s="1174"/>
      <c r="GT58" s="1174"/>
      <c r="GU58" s="1174"/>
      <c r="GV58" s="1174"/>
      <c r="GW58" s="1174"/>
      <c r="GX58" s="1174"/>
      <c r="GY58" s="1174"/>
      <c r="GZ58" s="1174"/>
      <c r="HA58" s="1174"/>
      <c r="HB58" s="1174"/>
      <c r="HC58" s="1174"/>
    </row>
    <row r="59" spans="1:211" s="3360" customFormat="1" ht="24.95" customHeight="1">
      <c r="A59" s="3413"/>
      <c r="B59" s="3413"/>
      <c r="C59" s="3413"/>
      <c r="D59" s="4957">
        <v>119.4</v>
      </c>
      <c r="E59" s="4958"/>
      <c r="F59" s="1743">
        <v>126</v>
      </c>
      <c r="G59" s="1743">
        <v>115.9</v>
      </c>
      <c r="H59" s="1743">
        <v>128.5</v>
      </c>
      <c r="I59" s="1743">
        <v>111</v>
      </c>
      <c r="J59" s="1743">
        <v>121</v>
      </c>
      <c r="K59" s="1743">
        <v>91.2</v>
      </c>
      <c r="L59" s="1743">
        <v>80.5</v>
      </c>
      <c r="M59" s="1743">
        <v>123.5</v>
      </c>
      <c r="N59" s="3504">
        <v>120.8</v>
      </c>
      <c r="O59" s="3505"/>
      <c r="P59" s="3475"/>
      <c r="Q59" s="1610">
        <v>1997</v>
      </c>
      <c r="R59" s="1611"/>
      <c r="S59" s="3506"/>
      <c r="T59" s="1801"/>
      <c r="U59" s="1801"/>
      <c r="V59" s="1801"/>
      <c r="W59" s="1801"/>
      <c r="AE59" s="1174"/>
      <c r="AF59" s="1174"/>
      <c r="AG59" s="1174"/>
      <c r="AH59" s="1174"/>
      <c r="AI59" s="1174"/>
      <c r="AJ59" s="1174"/>
      <c r="AK59" s="1174"/>
      <c r="AL59" s="1174"/>
      <c r="AM59" s="1174"/>
      <c r="AN59" s="1174"/>
      <c r="AO59" s="1174"/>
      <c r="AP59" s="1174"/>
      <c r="AQ59" s="1174"/>
      <c r="AR59" s="1174"/>
      <c r="AS59" s="1174"/>
      <c r="AT59" s="1174"/>
      <c r="AU59" s="1174"/>
      <c r="AV59" s="1174"/>
      <c r="AW59" s="1174"/>
      <c r="AX59" s="1174"/>
      <c r="AY59" s="1174"/>
      <c r="AZ59" s="1174"/>
      <c r="BA59" s="1174"/>
      <c r="BB59" s="1174"/>
      <c r="BC59" s="1174"/>
      <c r="BD59" s="1174"/>
      <c r="BE59" s="1174"/>
      <c r="BF59" s="1174"/>
      <c r="BG59" s="1174"/>
      <c r="BH59" s="1174"/>
      <c r="BI59" s="1174"/>
      <c r="BJ59" s="1174"/>
      <c r="BK59" s="1174"/>
      <c r="BL59" s="1174"/>
      <c r="BM59" s="1174"/>
      <c r="BN59" s="1174"/>
      <c r="BO59" s="1174"/>
      <c r="BP59" s="1174"/>
      <c r="BQ59" s="1174"/>
      <c r="BR59" s="1174"/>
      <c r="BS59" s="1174"/>
      <c r="BT59" s="1174"/>
      <c r="BU59" s="1174"/>
      <c r="BV59" s="1174"/>
      <c r="BW59" s="1174"/>
      <c r="BX59" s="1174"/>
      <c r="BY59" s="1174"/>
      <c r="BZ59" s="1174"/>
      <c r="CA59" s="1174"/>
      <c r="CB59" s="1174"/>
      <c r="CC59" s="1174"/>
      <c r="CD59" s="1174"/>
      <c r="CE59" s="1174"/>
      <c r="CF59" s="1174"/>
      <c r="CG59" s="1174"/>
      <c r="CH59" s="1174"/>
      <c r="CI59" s="1174"/>
      <c r="CJ59" s="1174"/>
      <c r="CK59" s="1174"/>
      <c r="CL59" s="1174"/>
      <c r="CM59" s="1174"/>
      <c r="CN59" s="1174"/>
      <c r="CO59" s="1174"/>
      <c r="CP59" s="1174"/>
      <c r="CQ59" s="1174"/>
      <c r="CR59" s="1174"/>
      <c r="CS59" s="1174"/>
      <c r="CT59" s="1174"/>
      <c r="CU59" s="1174"/>
      <c r="CV59" s="1174"/>
      <c r="CW59" s="1174"/>
      <c r="CX59" s="1174"/>
      <c r="CY59" s="1174"/>
      <c r="CZ59" s="1174"/>
      <c r="DA59" s="1174"/>
      <c r="DB59" s="1174"/>
      <c r="DC59" s="1174"/>
      <c r="DD59" s="1174"/>
      <c r="DE59" s="1174"/>
      <c r="DF59" s="1174"/>
      <c r="DG59" s="1174"/>
      <c r="DH59" s="1174"/>
      <c r="DI59" s="1174"/>
      <c r="DJ59" s="1174"/>
      <c r="DK59" s="1174"/>
      <c r="DL59" s="1174"/>
      <c r="DM59" s="1174"/>
      <c r="DN59" s="1174"/>
      <c r="DO59" s="1174"/>
      <c r="DP59" s="1174"/>
      <c r="DQ59" s="1174"/>
      <c r="DR59" s="1174"/>
      <c r="DS59" s="1174"/>
      <c r="DT59" s="1174"/>
      <c r="DU59" s="1174"/>
      <c r="DV59" s="1174"/>
      <c r="DW59" s="1174"/>
      <c r="DX59" s="1174"/>
      <c r="DY59" s="1174"/>
      <c r="DZ59" s="1174"/>
      <c r="EA59" s="1174"/>
      <c r="EB59" s="1174"/>
      <c r="EC59" s="1174"/>
      <c r="ED59" s="1174"/>
      <c r="EE59" s="1174"/>
      <c r="EF59" s="1174"/>
      <c r="EG59" s="1174"/>
      <c r="EH59" s="1174"/>
      <c r="EI59" s="1174"/>
      <c r="EJ59" s="1174"/>
      <c r="EK59" s="1174"/>
      <c r="EL59" s="1174"/>
      <c r="EM59" s="1174"/>
      <c r="EN59" s="1174"/>
      <c r="EO59" s="1174"/>
      <c r="EP59" s="1174"/>
      <c r="EQ59" s="1174"/>
      <c r="ER59" s="1174"/>
      <c r="ES59" s="1174"/>
      <c r="ET59" s="1174"/>
      <c r="EU59" s="1174"/>
      <c r="EV59" s="1174"/>
      <c r="EW59" s="1174"/>
      <c r="EX59" s="1174"/>
      <c r="EY59" s="1174"/>
      <c r="EZ59" s="1174"/>
      <c r="FA59" s="1174"/>
      <c r="FB59" s="1174"/>
      <c r="FC59" s="1174"/>
      <c r="FD59" s="1174"/>
      <c r="FE59" s="1174"/>
      <c r="FF59" s="1174"/>
      <c r="FG59" s="1174"/>
      <c r="FH59" s="1174"/>
      <c r="FI59" s="1174"/>
      <c r="FJ59" s="1174"/>
      <c r="FK59" s="1174"/>
      <c r="FL59" s="1174"/>
      <c r="FM59" s="1174"/>
      <c r="FN59" s="1174"/>
      <c r="FO59" s="1174"/>
      <c r="FP59" s="1174"/>
      <c r="FQ59" s="1174"/>
      <c r="FR59" s="1174"/>
      <c r="FS59" s="1174"/>
      <c r="FT59" s="1174"/>
      <c r="FU59" s="1174"/>
      <c r="FV59" s="1174"/>
      <c r="FW59" s="1174"/>
      <c r="FX59" s="1174"/>
      <c r="FY59" s="1174"/>
      <c r="FZ59" s="1174"/>
      <c r="GA59" s="1174"/>
      <c r="GB59" s="1174"/>
      <c r="GC59" s="1174"/>
      <c r="GD59" s="1174"/>
      <c r="GE59" s="1174"/>
      <c r="GF59" s="1174"/>
      <c r="GG59" s="1174"/>
      <c r="GH59" s="1174"/>
      <c r="GI59" s="1174"/>
      <c r="GJ59" s="1174"/>
      <c r="GK59" s="1174"/>
      <c r="GL59" s="1174"/>
      <c r="GM59" s="1174"/>
      <c r="GN59" s="1174"/>
      <c r="GO59" s="1174"/>
      <c r="GP59" s="1174"/>
      <c r="GQ59" s="1174"/>
      <c r="GR59" s="1174"/>
      <c r="GS59" s="1174"/>
      <c r="GT59" s="1174"/>
      <c r="GU59" s="1174"/>
      <c r="GV59" s="1174"/>
      <c r="GW59" s="1174"/>
      <c r="GX59" s="1174"/>
      <c r="GY59" s="1174"/>
      <c r="GZ59" s="1174"/>
      <c r="HA59" s="1174"/>
      <c r="HB59" s="1174"/>
      <c r="HC59" s="1174"/>
    </row>
    <row r="60" spans="1:211" s="1801" customFormat="1" ht="24.95" customHeight="1">
      <c r="A60" s="3413"/>
      <c r="B60" s="3413"/>
      <c r="C60" s="3413"/>
      <c r="D60" s="4959">
        <v>81.599999999999994</v>
      </c>
      <c r="E60" s="4960"/>
      <c r="F60" s="1745">
        <v>162.1</v>
      </c>
      <c r="G60" s="1745">
        <v>125.7</v>
      </c>
      <c r="H60" s="1745">
        <v>124.2</v>
      </c>
      <c r="I60" s="1745">
        <v>125.9</v>
      </c>
      <c r="J60" s="1745">
        <v>70.599999999999994</v>
      </c>
      <c r="K60" s="1745">
        <v>83.2</v>
      </c>
      <c r="L60" s="1745">
        <v>83.8</v>
      </c>
      <c r="M60" s="1745">
        <v>107</v>
      </c>
      <c r="N60" s="2600">
        <v>119.8</v>
      </c>
      <c r="O60" s="3507"/>
      <c r="P60" s="3508"/>
      <c r="Q60" s="1478">
        <v>1998</v>
      </c>
      <c r="R60" s="1530"/>
      <c r="S60" s="3509"/>
      <c r="AE60" s="1174"/>
      <c r="AF60" s="1174"/>
      <c r="AG60" s="1174"/>
      <c r="AH60" s="1174"/>
      <c r="AI60" s="1174"/>
      <c r="AJ60" s="1174"/>
      <c r="AK60" s="1174"/>
      <c r="AL60" s="1174"/>
      <c r="AM60" s="1174"/>
      <c r="AN60" s="1174"/>
      <c r="AO60" s="1174"/>
      <c r="AP60" s="1174"/>
      <c r="AQ60" s="1174"/>
      <c r="AR60" s="1174"/>
      <c r="AS60" s="1174"/>
      <c r="AT60" s="1174"/>
      <c r="AU60" s="1174"/>
      <c r="AV60" s="1174"/>
      <c r="AW60" s="1174"/>
      <c r="AX60" s="1174"/>
      <c r="AY60" s="1174"/>
      <c r="AZ60" s="1174"/>
      <c r="BA60" s="1174"/>
      <c r="BB60" s="1174"/>
      <c r="BC60" s="1174"/>
      <c r="BD60" s="1174"/>
      <c r="BE60" s="1174"/>
      <c r="BF60" s="1174"/>
      <c r="BG60" s="1174"/>
      <c r="BH60" s="1174"/>
      <c r="BI60" s="1174"/>
      <c r="BJ60" s="1174"/>
      <c r="BK60" s="1174"/>
      <c r="BL60" s="1174"/>
      <c r="BM60" s="1174"/>
      <c r="BN60" s="1174"/>
      <c r="BO60" s="1174"/>
      <c r="BP60" s="1174"/>
      <c r="BQ60" s="1174"/>
      <c r="BR60" s="1174"/>
      <c r="BS60" s="1174"/>
      <c r="BT60" s="1174"/>
      <c r="BU60" s="1174"/>
      <c r="BV60" s="1174"/>
      <c r="BW60" s="1174"/>
      <c r="BX60" s="1174"/>
      <c r="BY60" s="1174"/>
      <c r="BZ60" s="1174"/>
      <c r="CA60" s="1174"/>
      <c r="CB60" s="1174"/>
      <c r="CC60" s="1174"/>
      <c r="CD60" s="1174"/>
      <c r="CE60" s="1174"/>
      <c r="CF60" s="1174"/>
      <c r="CG60" s="1174"/>
      <c r="CH60" s="1174"/>
      <c r="CI60" s="1174"/>
      <c r="CJ60" s="1174"/>
      <c r="CK60" s="1174"/>
      <c r="CL60" s="1174"/>
      <c r="CM60" s="1174"/>
      <c r="CN60" s="1174"/>
      <c r="CO60" s="1174"/>
      <c r="CP60" s="1174"/>
      <c r="CQ60" s="1174"/>
      <c r="CR60" s="1174"/>
      <c r="CS60" s="1174"/>
      <c r="CT60" s="1174"/>
      <c r="CU60" s="1174"/>
      <c r="CV60" s="1174"/>
      <c r="CW60" s="1174"/>
      <c r="CX60" s="1174"/>
      <c r="CY60" s="1174"/>
      <c r="CZ60" s="1174"/>
      <c r="DA60" s="1174"/>
      <c r="DB60" s="1174"/>
      <c r="DC60" s="1174"/>
      <c r="DD60" s="1174"/>
      <c r="DE60" s="1174"/>
      <c r="DF60" s="1174"/>
      <c r="DG60" s="1174"/>
      <c r="DH60" s="1174"/>
      <c r="DI60" s="1174"/>
      <c r="DJ60" s="1174"/>
      <c r="DK60" s="1174"/>
      <c r="DL60" s="1174"/>
      <c r="DM60" s="1174"/>
      <c r="DN60" s="1174"/>
      <c r="DO60" s="1174"/>
      <c r="DP60" s="1174"/>
      <c r="DQ60" s="1174"/>
      <c r="DR60" s="1174"/>
      <c r="DS60" s="1174"/>
      <c r="DT60" s="1174"/>
      <c r="DU60" s="1174"/>
      <c r="DV60" s="1174"/>
      <c r="DW60" s="1174"/>
      <c r="DX60" s="1174"/>
      <c r="DY60" s="1174"/>
      <c r="DZ60" s="1174"/>
      <c r="EA60" s="1174"/>
      <c r="EB60" s="1174"/>
      <c r="EC60" s="1174"/>
      <c r="ED60" s="1174"/>
      <c r="EE60" s="1174"/>
      <c r="EF60" s="1174"/>
      <c r="EG60" s="1174"/>
      <c r="EH60" s="1174"/>
      <c r="EI60" s="1174"/>
      <c r="EJ60" s="1174"/>
      <c r="EK60" s="1174"/>
      <c r="EL60" s="1174"/>
      <c r="EM60" s="1174"/>
      <c r="EN60" s="1174"/>
      <c r="EO60" s="1174"/>
      <c r="EP60" s="1174"/>
      <c r="EQ60" s="1174"/>
      <c r="ER60" s="1174"/>
      <c r="ES60" s="1174"/>
      <c r="ET60" s="1174"/>
      <c r="EU60" s="1174"/>
      <c r="EV60" s="1174"/>
      <c r="EW60" s="1174"/>
      <c r="EX60" s="1174"/>
      <c r="EY60" s="1174"/>
      <c r="EZ60" s="1174"/>
      <c r="FA60" s="1174"/>
      <c r="FB60" s="1174"/>
      <c r="FC60" s="1174"/>
      <c r="FD60" s="1174"/>
      <c r="FE60" s="1174"/>
      <c r="FF60" s="1174"/>
      <c r="FG60" s="1174"/>
      <c r="FH60" s="1174"/>
      <c r="FI60" s="1174"/>
      <c r="FJ60" s="1174"/>
      <c r="FK60" s="1174"/>
      <c r="FL60" s="1174"/>
      <c r="FM60" s="1174"/>
      <c r="FN60" s="1174"/>
      <c r="FO60" s="1174"/>
      <c r="FP60" s="1174"/>
      <c r="FQ60" s="1174"/>
      <c r="FR60" s="1174"/>
      <c r="FS60" s="1174"/>
      <c r="FT60" s="1174"/>
      <c r="FU60" s="1174"/>
      <c r="FV60" s="1174"/>
      <c r="FW60" s="1174"/>
      <c r="FX60" s="1174"/>
      <c r="FY60" s="1174"/>
      <c r="FZ60" s="1174"/>
      <c r="GA60" s="1174"/>
      <c r="GB60" s="1174"/>
      <c r="GC60" s="1174"/>
      <c r="GD60" s="1174"/>
      <c r="GE60" s="1174"/>
      <c r="GF60" s="1174"/>
      <c r="GG60" s="1174"/>
      <c r="GH60" s="1174"/>
      <c r="GI60" s="1174"/>
      <c r="GJ60" s="1174"/>
      <c r="GK60" s="1174"/>
      <c r="GL60" s="1174"/>
      <c r="GM60" s="1174"/>
      <c r="GN60" s="1174"/>
      <c r="GO60" s="1174"/>
      <c r="GP60" s="1174"/>
      <c r="GQ60" s="1174"/>
      <c r="GR60" s="1174"/>
      <c r="GS60" s="1174"/>
      <c r="GT60" s="1174"/>
      <c r="GU60" s="1174"/>
      <c r="GV60" s="1174"/>
      <c r="GW60" s="1174"/>
      <c r="GX60" s="1174"/>
      <c r="GY60" s="1174"/>
      <c r="GZ60" s="1174"/>
      <c r="HA60" s="1174"/>
      <c r="HB60" s="1174"/>
      <c r="HC60" s="1174"/>
    </row>
    <row r="61" spans="1:211" s="3360" customFormat="1" ht="24.95" customHeight="1">
      <c r="A61" s="3413"/>
      <c r="B61" s="3413"/>
      <c r="C61" s="3413"/>
      <c r="D61" s="4957">
        <v>83.9</v>
      </c>
      <c r="E61" s="4958"/>
      <c r="F61" s="1743">
        <v>145</v>
      </c>
      <c r="G61" s="1743">
        <v>121.8</v>
      </c>
      <c r="H61" s="1743">
        <v>133.1</v>
      </c>
      <c r="I61" s="1743">
        <v>125.9</v>
      </c>
      <c r="J61" s="1743">
        <v>89.8</v>
      </c>
      <c r="K61" s="1743">
        <v>78</v>
      </c>
      <c r="L61" s="1743">
        <v>79.099999999999994</v>
      </c>
      <c r="M61" s="1743">
        <v>99.8</v>
      </c>
      <c r="N61" s="3504">
        <v>116.9</v>
      </c>
      <c r="O61" s="3505"/>
      <c r="P61" s="3475"/>
      <c r="Q61" s="1610">
        <v>1999</v>
      </c>
      <c r="R61" s="1611"/>
      <c r="S61" s="3506"/>
      <c r="T61" s="1801"/>
      <c r="U61" s="1801"/>
      <c r="V61" s="1801"/>
      <c r="W61" s="1801"/>
      <c r="AE61" s="1174"/>
      <c r="AF61" s="1174"/>
      <c r="AG61" s="1174"/>
      <c r="AH61" s="1174"/>
      <c r="AI61" s="1174"/>
      <c r="AJ61" s="1174"/>
      <c r="AK61" s="1174"/>
      <c r="AL61" s="1174"/>
      <c r="AM61" s="1174"/>
      <c r="AN61" s="1174"/>
      <c r="AO61" s="1174"/>
      <c r="AP61" s="1174"/>
      <c r="AQ61" s="1174"/>
      <c r="AR61" s="1174"/>
      <c r="AS61" s="1174"/>
      <c r="AT61" s="1174"/>
      <c r="AU61" s="1174"/>
      <c r="AV61" s="1174"/>
      <c r="AW61" s="1174"/>
      <c r="AX61" s="1174"/>
      <c r="AY61" s="1174"/>
      <c r="AZ61" s="1174"/>
      <c r="BA61" s="1174"/>
      <c r="BB61" s="1174"/>
      <c r="BC61" s="1174"/>
      <c r="BD61" s="1174"/>
      <c r="BE61" s="1174"/>
      <c r="BF61" s="1174"/>
      <c r="BG61" s="1174"/>
      <c r="BH61" s="1174"/>
      <c r="BI61" s="1174"/>
      <c r="BJ61" s="1174"/>
      <c r="BK61" s="1174"/>
      <c r="BL61" s="1174"/>
      <c r="BM61" s="1174"/>
      <c r="BN61" s="1174"/>
      <c r="BO61" s="1174"/>
      <c r="BP61" s="1174"/>
      <c r="BQ61" s="1174"/>
      <c r="BR61" s="1174"/>
      <c r="BS61" s="1174"/>
      <c r="BT61" s="1174"/>
      <c r="BU61" s="1174"/>
      <c r="BV61" s="1174"/>
      <c r="BW61" s="1174"/>
      <c r="BX61" s="1174"/>
      <c r="BY61" s="1174"/>
      <c r="BZ61" s="1174"/>
      <c r="CA61" s="1174"/>
      <c r="CB61" s="1174"/>
      <c r="CC61" s="1174"/>
      <c r="CD61" s="1174"/>
      <c r="CE61" s="1174"/>
      <c r="CF61" s="1174"/>
      <c r="CG61" s="1174"/>
      <c r="CH61" s="1174"/>
      <c r="CI61" s="1174"/>
      <c r="CJ61" s="1174"/>
      <c r="CK61" s="1174"/>
      <c r="CL61" s="1174"/>
      <c r="CM61" s="1174"/>
      <c r="CN61" s="1174"/>
      <c r="CO61" s="1174"/>
      <c r="CP61" s="1174"/>
      <c r="CQ61" s="1174"/>
      <c r="CR61" s="1174"/>
      <c r="CS61" s="1174"/>
      <c r="CT61" s="1174"/>
      <c r="CU61" s="1174"/>
      <c r="CV61" s="1174"/>
      <c r="CW61" s="1174"/>
      <c r="CX61" s="1174"/>
      <c r="CY61" s="1174"/>
      <c r="CZ61" s="1174"/>
      <c r="DA61" s="1174"/>
      <c r="DB61" s="1174"/>
      <c r="DC61" s="1174"/>
      <c r="DD61" s="1174"/>
      <c r="DE61" s="1174"/>
      <c r="DF61" s="1174"/>
      <c r="DG61" s="1174"/>
      <c r="DH61" s="1174"/>
      <c r="DI61" s="1174"/>
      <c r="DJ61" s="1174"/>
      <c r="DK61" s="1174"/>
      <c r="DL61" s="1174"/>
      <c r="DM61" s="1174"/>
      <c r="DN61" s="1174"/>
      <c r="DO61" s="1174"/>
      <c r="DP61" s="1174"/>
      <c r="DQ61" s="1174"/>
      <c r="DR61" s="1174"/>
      <c r="DS61" s="1174"/>
      <c r="DT61" s="1174"/>
      <c r="DU61" s="1174"/>
      <c r="DV61" s="1174"/>
      <c r="DW61" s="1174"/>
      <c r="DX61" s="1174"/>
      <c r="DY61" s="1174"/>
      <c r="DZ61" s="1174"/>
      <c r="EA61" s="1174"/>
      <c r="EB61" s="1174"/>
      <c r="EC61" s="1174"/>
      <c r="ED61" s="1174"/>
      <c r="EE61" s="1174"/>
      <c r="EF61" s="1174"/>
      <c r="EG61" s="1174"/>
      <c r="EH61" s="1174"/>
      <c r="EI61" s="1174"/>
      <c r="EJ61" s="1174"/>
      <c r="EK61" s="1174"/>
      <c r="EL61" s="1174"/>
      <c r="EM61" s="1174"/>
      <c r="EN61" s="1174"/>
      <c r="EO61" s="1174"/>
      <c r="EP61" s="1174"/>
      <c r="EQ61" s="1174"/>
      <c r="ER61" s="1174"/>
      <c r="ES61" s="1174"/>
      <c r="ET61" s="1174"/>
      <c r="EU61" s="1174"/>
      <c r="EV61" s="1174"/>
      <c r="EW61" s="1174"/>
      <c r="EX61" s="1174"/>
      <c r="EY61" s="1174"/>
      <c r="EZ61" s="1174"/>
      <c r="FA61" s="1174"/>
      <c r="FB61" s="1174"/>
      <c r="FC61" s="1174"/>
      <c r="FD61" s="1174"/>
      <c r="FE61" s="1174"/>
      <c r="FF61" s="1174"/>
      <c r="FG61" s="1174"/>
      <c r="FH61" s="1174"/>
      <c r="FI61" s="1174"/>
      <c r="FJ61" s="1174"/>
      <c r="FK61" s="1174"/>
      <c r="FL61" s="1174"/>
      <c r="FM61" s="1174"/>
      <c r="FN61" s="1174"/>
      <c r="FO61" s="1174"/>
      <c r="FP61" s="1174"/>
      <c r="FQ61" s="1174"/>
      <c r="FR61" s="1174"/>
      <c r="FS61" s="1174"/>
      <c r="FT61" s="1174"/>
      <c r="FU61" s="1174"/>
      <c r="FV61" s="1174"/>
      <c r="FW61" s="1174"/>
      <c r="FX61" s="1174"/>
      <c r="FY61" s="1174"/>
      <c r="FZ61" s="1174"/>
      <c r="GA61" s="1174"/>
      <c r="GB61" s="1174"/>
      <c r="GC61" s="1174"/>
      <c r="GD61" s="1174"/>
      <c r="GE61" s="1174"/>
      <c r="GF61" s="1174"/>
      <c r="GG61" s="1174"/>
      <c r="GH61" s="1174"/>
      <c r="GI61" s="1174"/>
      <c r="GJ61" s="1174"/>
      <c r="GK61" s="1174"/>
      <c r="GL61" s="1174"/>
      <c r="GM61" s="1174"/>
      <c r="GN61" s="1174"/>
      <c r="GO61" s="1174"/>
      <c r="GP61" s="1174"/>
      <c r="GQ61" s="1174"/>
      <c r="GR61" s="1174"/>
      <c r="GS61" s="1174"/>
      <c r="GT61" s="1174"/>
      <c r="GU61" s="1174"/>
      <c r="GV61" s="1174"/>
      <c r="GW61" s="1174"/>
      <c r="GX61" s="1174"/>
      <c r="GY61" s="1174"/>
      <c r="GZ61" s="1174"/>
      <c r="HA61" s="1174"/>
      <c r="HB61" s="1174"/>
      <c r="HC61" s="1174"/>
    </row>
    <row r="62" spans="1:211" s="1801" customFormat="1" ht="24.95" customHeight="1">
      <c r="A62" s="3413"/>
      <c r="B62" s="3413"/>
      <c r="C62" s="3413"/>
      <c r="D62" s="4959">
        <v>76.900000000000006</v>
      </c>
      <c r="E62" s="4960"/>
      <c r="F62" s="1745">
        <v>143.1</v>
      </c>
      <c r="G62" s="1745">
        <v>122.2</v>
      </c>
      <c r="H62" s="1745">
        <v>124</v>
      </c>
      <c r="I62" s="1745">
        <v>87</v>
      </c>
      <c r="J62" s="1745">
        <v>136.4</v>
      </c>
      <c r="K62" s="1745">
        <v>81.599999999999994</v>
      </c>
      <c r="L62" s="1745">
        <v>84.6</v>
      </c>
      <c r="M62" s="1745">
        <v>100.2</v>
      </c>
      <c r="N62" s="2600">
        <v>119.7</v>
      </c>
      <c r="O62" s="3507"/>
      <c r="P62" s="3508"/>
      <c r="Q62" s="1478">
        <v>2000</v>
      </c>
      <c r="R62" s="1530"/>
      <c r="S62" s="3509"/>
      <c r="AE62" s="1174"/>
      <c r="AF62" s="1174"/>
      <c r="AG62" s="1174"/>
      <c r="AH62" s="1174"/>
      <c r="AI62" s="1174"/>
      <c r="AJ62" s="1174"/>
      <c r="AK62" s="1174"/>
      <c r="AL62" s="1174"/>
      <c r="AM62" s="1174"/>
      <c r="AN62" s="1174"/>
      <c r="AO62" s="1174"/>
      <c r="AP62" s="1174"/>
      <c r="AQ62" s="1174"/>
      <c r="AR62" s="1174"/>
      <c r="AS62" s="1174"/>
      <c r="AT62" s="1174"/>
      <c r="AU62" s="1174"/>
      <c r="AV62" s="1174"/>
      <c r="AW62" s="1174"/>
      <c r="AX62" s="1174"/>
      <c r="AY62" s="1174"/>
      <c r="AZ62" s="1174"/>
      <c r="BA62" s="1174"/>
      <c r="BB62" s="1174"/>
      <c r="BC62" s="1174"/>
      <c r="BD62" s="1174"/>
      <c r="BE62" s="1174"/>
      <c r="BF62" s="1174"/>
      <c r="BG62" s="1174"/>
      <c r="BH62" s="1174"/>
      <c r="BI62" s="1174"/>
      <c r="BJ62" s="1174"/>
      <c r="BK62" s="1174"/>
      <c r="BL62" s="1174"/>
      <c r="BM62" s="1174"/>
      <c r="BN62" s="1174"/>
      <c r="BO62" s="1174"/>
      <c r="BP62" s="1174"/>
      <c r="BQ62" s="1174"/>
      <c r="BR62" s="1174"/>
      <c r="BS62" s="1174"/>
      <c r="BT62" s="1174"/>
      <c r="BU62" s="1174"/>
      <c r="BV62" s="1174"/>
      <c r="BW62" s="1174"/>
      <c r="BX62" s="1174"/>
      <c r="BY62" s="1174"/>
      <c r="BZ62" s="1174"/>
      <c r="CA62" s="1174"/>
      <c r="CB62" s="1174"/>
      <c r="CC62" s="1174"/>
      <c r="CD62" s="1174"/>
      <c r="CE62" s="1174"/>
      <c r="CF62" s="1174"/>
      <c r="CG62" s="1174"/>
      <c r="CH62" s="1174"/>
      <c r="CI62" s="1174"/>
      <c r="CJ62" s="1174"/>
      <c r="CK62" s="1174"/>
      <c r="CL62" s="1174"/>
      <c r="CM62" s="1174"/>
      <c r="CN62" s="1174"/>
      <c r="CO62" s="1174"/>
      <c r="CP62" s="1174"/>
      <c r="CQ62" s="1174"/>
      <c r="CR62" s="1174"/>
      <c r="CS62" s="1174"/>
      <c r="CT62" s="1174"/>
      <c r="CU62" s="1174"/>
      <c r="CV62" s="1174"/>
      <c r="CW62" s="1174"/>
      <c r="CX62" s="1174"/>
      <c r="CY62" s="1174"/>
      <c r="CZ62" s="1174"/>
      <c r="DA62" s="1174"/>
      <c r="DB62" s="1174"/>
      <c r="DC62" s="1174"/>
      <c r="DD62" s="1174"/>
      <c r="DE62" s="1174"/>
      <c r="DF62" s="1174"/>
      <c r="DG62" s="1174"/>
      <c r="DH62" s="1174"/>
      <c r="DI62" s="1174"/>
      <c r="DJ62" s="1174"/>
      <c r="DK62" s="1174"/>
      <c r="DL62" s="1174"/>
      <c r="DM62" s="1174"/>
      <c r="DN62" s="1174"/>
      <c r="DO62" s="1174"/>
      <c r="DP62" s="1174"/>
      <c r="DQ62" s="1174"/>
      <c r="DR62" s="1174"/>
      <c r="DS62" s="1174"/>
      <c r="DT62" s="1174"/>
      <c r="DU62" s="1174"/>
      <c r="DV62" s="1174"/>
      <c r="DW62" s="1174"/>
      <c r="DX62" s="1174"/>
      <c r="DY62" s="1174"/>
      <c r="DZ62" s="1174"/>
      <c r="EA62" s="1174"/>
      <c r="EB62" s="1174"/>
      <c r="EC62" s="1174"/>
      <c r="ED62" s="1174"/>
      <c r="EE62" s="1174"/>
      <c r="EF62" s="1174"/>
      <c r="EG62" s="1174"/>
      <c r="EH62" s="1174"/>
      <c r="EI62" s="1174"/>
      <c r="EJ62" s="1174"/>
      <c r="EK62" s="1174"/>
      <c r="EL62" s="1174"/>
      <c r="EM62" s="1174"/>
      <c r="EN62" s="1174"/>
      <c r="EO62" s="1174"/>
      <c r="EP62" s="1174"/>
      <c r="EQ62" s="1174"/>
      <c r="ER62" s="1174"/>
      <c r="ES62" s="1174"/>
      <c r="ET62" s="1174"/>
      <c r="EU62" s="1174"/>
      <c r="EV62" s="1174"/>
      <c r="EW62" s="1174"/>
      <c r="EX62" s="1174"/>
      <c r="EY62" s="1174"/>
      <c r="EZ62" s="1174"/>
      <c r="FA62" s="1174"/>
      <c r="FB62" s="1174"/>
      <c r="FC62" s="1174"/>
      <c r="FD62" s="1174"/>
      <c r="FE62" s="1174"/>
      <c r="FF62" s="1174"/>
      <c r="FG62" s="1174"/>
      <c r="FH62" s="1174"/>
      <c r="FI62" s="1174"/>
      <c r="FJ62" s="1174"/>
      <c r="FK62" s="1174"/>
      <c r="FL62" s="1174"/>
      <c r="FM62" s="1174"/>
      <c r="FN62" s="1174"/>
      <c r="FO62" s="1174"/>
      <c r="FP62" s="1174"/>
      <c r="FQ62" s="1174"/>
      <c r="FR62" s="1174"/>
      <c r="FS62" s="1174"/>
      <c r="FT62" s="1174"/>
      <c r="FU62" s="1174"/>
      <c r="FV62" s="1174"/>
      <c r="FW62" s="1174"/>
      <c r="FX62" s="1174"/>
      <c r="FY62" s="1174"/>
      <c r="FZ62" s="1174"/>
      <c r="GA62" s="1174"/>
      <c r="GB62" s="1174"/>
      <c r="GC62" s="1174"/>
      <c r="GD62" s="1174"/>
      <c r="GE62" s="1174"/>
      <c r="GF62" s="1174"/>
      <c r="GG62" s="1174"/>
      <c r="GH62" s="1174"/>
      <c r="GI62" s="1174"/>
      <c r="GJ62" s="1174"/>
      <c r="GK62" s="1174"/>
      <c r="GL62" s="1174"/>
      <c r="GM62" s="1174"/>
      <c r="GN62" s="1174"/>
      <c r="GO62" s="1174"/>
      <c r="GP62" s="1174"/>
      <c r="GQ62" s="1174"/>
      <c r="GR62" s="1174"/>
      <c r="GS62" s="1174"/>
      <c r="GT62" s="1174"/>
      <c r="GU62" s="1174"/>
      <c r="GV62" s="1174"/>
      <c r="GW62" s="1174"/>
      <c r="GX62" s="1174"/>
      <c r="GY62" s="1174"/>
      <c r="GZ62" s="1174"/>
      <c r="HA62" s="1174"/>
      <c r="HB62" s="1174"/>
      <c r="HC62" s="1174"/>
    </row>
    <row r="63" spans="1:211" s="3360" customFormat="1" ht="24.95" customHeight="1">
      <c r="A63" s="3413"/>
      <c r="B63" s="3413"/>
      <c r="C63" s="3413"/>
      <c r="D63" s="4957">
        <v>87.1</v>
      </c>
      <c r="E63" s="4958"/>
      <c r="F63" s="1743">
        <v>152.1</v>
      </c>
      <c r="G63" s="1743">
        <v>123.6</v>
      </c>
      <c r="H63" s="1743">
        <v>122.8</v>
      </c>
      <c r="I63" s="1743">
        <v>66.8</v>
      </c>
      <c r="J63" s="1743">
        <v>131.80000000000001</v>
      </c>
      <c r="K63" s="1743">
        <v>87.7</v>
      </c>
      <c r="L63" s="1743">
        <v>98.1</v>
      </c>
      <c r="M63" s="1743">
        <v>104.5</v>
      </c>
      <c r="N63" s="3504">
        <v>122.5</v>
      </c>
      <c r="O63" s="3505"/>
      <c r="P63" s="3475"/>
      <c r="Q63" s="1610">
        <v>2001</v>
      </c>
      <c r="R63" s="1611"/>
      <c r="S63" s="3506"/>
      <c r="T63" s="1801"/>
      <c r="U63" s="1801"/>
      <c r="V63" s="1801"/>
      <c r="W63" s="1801"/>
      <c r="AE63" s="1174"/>
      <c r="AF63" s="1174"/>
      <c r="AG63" s="1174"/>
      <c r="AH63" s="1174"/>
      <c r="AI63" s="1174"/>
      <c r="AJ63" s="1174"/>
      <c r="AK63" s="1174"/>
      <c r="AL63" s="1174"/>
      <c r="AM63" s="1174"/>
      <c r="AN63" s="1174"/>
      <c r="AO63" s="1174"/>
      <c r="AP63" s="1174"/>
      <c r="AQ63" s="1174"/>
      <c r="AR63" s="1174"/>
      <c r="AS63" s="1174"/>
      <c r="AT63" s="1174"/>
      <c r="AU63" s="1174"/>
      <c r="AV63" s="1174"/>
      <c r="AW63" s="1174"/>
      <c r="AX63" s="1174"/>
      <c r="AY63" s="1174"/>
      <c r="AZ63" s="1174"/>
      <c r="BA63" s="1174"/>
      <c r="BB63" s="1174"/>
      <c r="BC63" s="1174"/>
      <c r="BD63" s="1174"/>
      <c r="BE63" s="1174"/>
      <c r="BF63" s="1174"/>
      <c r="BG63" s="1174"/>
      <c r="BH63" s="1174"/>
      <c r="BI63" s="1174"/>
      <c r="BJ63" s="1174"/>
      <c r="BK63" s="1174"/>
      <c r="BL63" s="1174"/>
      <c r="BM63" s="1174"/>
      <c r="BN63" s="1174"/>
      <c r="BO63" s="1174"/>
      <c r="BP63" s="1174"/>
      <c r="BQ63" s="1174"/>
      <c r="BR63" s="1174"/>
      <c r="BS63" s="1174"/>
      <c r="BT63" s="1174"/>
      <c r="BU63" s="1174"/>
      <c r="BV63" s="1174"/>
      <c r="BW63" s="1174"/>
      <c r="BX63" s="1174"/>
      <c r="BY63" s="1174"/>
      <c r="BZ63" s="1174"/>
      <c r="CA63" s="1174"/>
      <c r="CB63" s="1174"/>
      <c r="CC63" s="1174"/>
      <c r="CD63" s="1174"/>
      <c r="CE63" s="1174"/>
      <c r="CF63" s="1174"/>
      <c r="CG63" s="1174"/>
      <c r="CH63" s="1174"/>
      <c r="CI63" s="1174"/>
      <c r="CJ63" s="1174"/>
      <c r="CK63" s="1174"/>
      <c r="CL63" s="1174"/>
      <c r="CM63" s="1174"/>
      <c r="CN63" s="1174"/>
      <c r="CO63" s="1174"/>
      <c r="CP63" s="1174"/>
      <c r="CQ63" s="1174"/>
      <c r="CR63" s="1174"/>
      <c r="CS63" s="1174"/>
      <c r="CT63" s="1174"/>
      <c r="CU63" s="1174"/>
      <c r="CV63" s="1174"/>
      <c r="CW63" s="1174"/>
      <c r="CX63" s="1174"/>
      <c r="CY63" s="1174"/>
      <c r="CZ63" s="1174"/>
      <c r="DA63" s="1174"/>
      <c r="DB63" s="1174"/>
      <c r="DC63" s="1174"/>
      <c r="DD63" s="1174"/>
      <c r="DE63" s="1174"/>
      <c r="DF63" s="1174"/>
      <c r="DG63" s="1174"/>
      <c r="DH63" s="1174"/>
      <c r="DI63" s="1174"/>
      <c r="DJ63" s="1174"/>
      <c r="DK63" s="1174"/>
      <c r="DL63" s="1174"/>
      <c r="DM63" s="1174"/>
      <c r="DN63" s="1174"/>
      <c r="DO63" s="1174"/>
      <c r="DP63" s="1174"/>
      <c r="DQ63" s="1174"/>
      <c r="DR63" s="1174"/>
      <c r="DS63" s="1174"/>
      <c r="DT63" s="1174"/>
      <c r="DU63" s="1174"/>
      <c r="DV63" s="1174"/>
      <c r="DW63" s="1174"/>
      <c r="DX63" s="1174"/>
      <c r="DY63" s="1174"/>
      <c r="DZ63" s="1174"/>
      <c r="EA63" s="1174"/>
      <c r="EB63" s="1174"/>
      <c r="EC63" s="1174"/>
      <c r="ED63" s="1174"/>
      <c r="EE63" s="1174"/>
      <c r="EF63" s="1174"/>
      <c r="EG63" s="1174"/>
      <c r="EH63" s="1174"/>
      <c r="EI63" s="1174"/>
      <c r="EJ63" s="1174"/>
      <c r="EK63" s="1174"/>
      <c r="EL63" s="1174"/>
      <c r="EM63" s="1174"/>
      <c r="EN63" s="1174"/>
      <c r="EO63" s="1174"/>
      <c r="EP63" s="1174"/>
      <c r="EQ63" s="1174"/>
      <c r="ER63" s="1174"/>
      <c r="ES63" s="1174"/>
      <c r="ET63" s="1174"/>
      <c r="EU63" s="1174"/>
      <c r="EV63" s="1174"/>
      <c r="EW63" s="1174"/>
      <c r="EX63" s="1174"/>
      <c r="EY63" s="1174"/>
      <c r="EZ63" s="1174"/>
      <c r="FA63" s="1174"/>
      <c r="FB63" s="1174"/>
      <c r="FC63" s="1174"/>
      <c r="FD63" s="1174"/>
      <c r="FE63" s="1174"/>
      <c r="FF63" s="1174"/>
      <c r="FG63" s="1174"/>
      <c r="FH63" s="1174"/>
      <c r="FI63" s="1174"/>
      <c r="FJ63" s="1174"/>
      <c r="FK63" s="1174"/>
      <c r="FL63" s="1174"/>
      <c r="FM63" s="1174"/>
      <c r="FN63" s="1174"/>
      <c r="FO63" s="1174"/>
      <c r="FP63" s="1174"/>
      <c r="FQ63" s="1174"/>
      <c r="FR63" s="1174"/>
      <c r="FS63" s="1174"/>
      <c r="FT63" s="1174"/>
      <c r="FU63" s="1174"/>
      <c r="FV63" s="1174"/>
      <c r="FW63" s="1174"/>
      <c r="FX63" s="1174"/>
      <c r="FY63" s="1174"/>
      <c r="FZ63" s="1174"/>
      <c r="GA63" s="1174"/>
      <c r="GB63" s="1174"/>
      <c r="GC63" s="1174"/>
      <c r="GD63" s="1174"/>
      <c r="GE63" s="1174"/>
      <c r="GF63" s="1174"/>
      <c r="GG63" s="1174"/>
      <c r="GH63" s="1174"/>
      <c r="GI63" s="1174"/>
      <c r="GJ63" s="1174"/>
      <c r="GK63" s="1174"/>
      <c r="GL63" s="1174"/>
      <c r="GM63" s="1174"/>
      <c r="GN63" s="1174"/>
      <c r="GO63" s="1174"/>
      <c r="GP63" s="1174"/>
      <c r="GQ63" s="1174"/>
      <c r="GR63" s="1174"/>
      <c r="GS63" s="1174"/>
      <c r="GT63" s="1174"/>
      <c r="GU63" s="1174"/>
      <c r="GV63" s="1174"/>
      <c r="GW63" s="1174"/>
      <c r="GX63" s="1174"/>
      <c r="GY63" s="1174"/>
      <c r="GZ63" s="1174"/>
      <c r="HA63" s="1174"/>
      <c r="HB63" s="1174"/>
      <c r="HC63" s="1174"/>
    </row>
    <row r="64" spans="1:211" s="1801" customFormat="1" ht="24.95" customHeight="1">
      <c r="A64" s="3413"/>
      <c r="B64" s="3413"/>
      <c r="C64" s="3413"/>
      <c r="D64" s="4959">
        <v>81.599999999999994</v>
      </c>
      <c r="E64" s="4960"/>
      <c r="F64" s="1745">
        <v>156.1</v>
      </c>
      <c r="G64" s="1745">
        <v>122.9</v>
      </c>
      <c r="H64" s="1745">
        <v>136.4</v>
      </c>
      <c r="I64" s="1745">
        <v>52.8</v>
      </c>
      <c r="J64" s="1745">
        <v>138.30000000000001</v>
      </c>
      <c r="K64" s="1745">
        <v>89.3</v>
      </c>
      <c r="L64" s="1745">
        <v>96.1</v>
      </c>
      <c r="M64" s="1745">
        <v>104</v>
      </c>
      <c r="N64" s="2600">
        <v>124.8</v>
      </c>
      <c r="O64" s="3507"/>
      <c r="P64" s="3508"/>
      <c r="Q64" s="1478">
        <v>2002</v>
      </c>
      <c r="R64" s="1530"/>
      <c r="S64" s="3509"/>
      <c r="AE64" s="1174"/>
      <c r="AF64" s="1174"/>
      <c r="AG64" s="1174"/>
      <c r="AH64" s="1174"/>
      <c r="AI64" s="1174"/>
      <c r="AJ64" s="1174"/>
      <c r="AK64" s="1174"/>
      <c r="AL64" s="1174"/>
      <c r="AM64" s="1174"/>
      <c r="AN64" s="1174"/>
      <c r="AO64" s="1174"/>
      <c r="AP64" s="1174"/>
      <c r="AQ64" s="1174"/>
      <c r="AR64" s="1174"/>
      <c r="AS64" s="1174"/>
      <c r="AT64" s="1174"/>
      <c r="AU64" s="1174"/>
      <c r="AV64" s="1174"/>
      <c r="AW64" s="1174"/>
      <c r="AX64" s="1174"/>
      <c r="AY64" s="1174"/>
      <c r="AZ64" s="1174"/>
      <c r="BA64" s="1174"/>
      <c r="BB64" s="1174"/>
      <c r="BC64" s="1174"/>
      <c r="BD64" s="1174"/>
      <c r="BE64" s="1174"/>
      <c r="BF64" s="1174"/>
      <c r="BG64" s="1174"/>
      <c r="BH64" s="1174"/>
      <c r="BI64" s="1174"/>
      <c r="BJ64" s="1174"/>
      <c r="BK64" s="1174"/>
      <c r="BL64" s="1174"/>
      <c r="BM64" s="1174"/>
      <c r="BN64" s="1174"/>
      <c r="BO64" s="1174"/>
      <c r="BP64" s="1174"/>
      <c r="BQ64" s="1174"/>
      <c r="BR64" s="1174"/>
      <c r="BS64" s="1174"/>
      <c r="BT64" s="1174"/>
      <c r="BU64" s="1174"/>
      <c r="BV64" s="1174"/>
      <c r="BW64" s="1174"/>
      <c r="BX64" s="1174"/>
      <c r="BY64" s="1174"/>
      <c r="BZ64" s="1174"/>
      <c r="CA64" s="1174"/>
      <c r="CB64" s="1174"/>
      <c r="CC64" s="1174"/>
      <c r="CD64" s="1174"/>
      <c r="CE64" s="1174"/>
      <c r="CF64" s="1174"/>
      <c r="CG64" s="1174"/>
      <c r="CH64" s="1174"/>
      <c r="CI64" s="1174"/>
      <c r="CJ64" s="1174"/>
      <c r="CK64" s="1174"/>
      <c r="CL64" s="1174"/>
      <c r="CM64" s="1174"/>
      <c r="CN64" s="1174"/>
      <c r="CO64" s="1174"/>
      <c r="CP64" s="1174"/>
      <c r="CQ64" s="1174"/>
      <c r="CR64" s="1174"/>
      <c r="CS64" s="1174"/>
      <c r="CT64" s="1174"/>
      <c r="CU64" s="1174"/>
      <c r="CV64" s="1174"/>
      <c r="CW64" s="1174"/>
      <c r="CX64" s="1174"/>
      <c r="CY64" s="1174"/>
      <c r="CZ64" s="1174"/>
      <c r="DA64" s="1174"/>
      <c r="DB64" s="1174"/>
      <c r="DC64" s="1174"/>
      <c r="DD64" s="1174"/>
      <c r="DE64" s="1174"/>
      <c r="DF64" s="1174"/>
      <c r="DG64" s="1174"/>
      <c r="DH64" s="1174"/>
      <c r="DI64" s="1174"/>
      <c r="DJ64" s="1174"/>
      <c r="DK64" s="1174"/>
      <c r="DL64" s="1174"/>
      <c r="DM64" s="1174"/>
      <c r="DN64" s="1174"/>
      <c r="DO64" s="1174"/>
      <c r="DP64" s="1174"/>
      <c r="DQ64" s="1174"/>
      <c r="DR64" s="1174"/>
      <c r="DS64" s="1174"/>
      <c r="DT64" s="1174"/>
      <c r="DU64" s="1174"/>
      <c r="DV64" s="1174"/>
      <c r="DW64" s="1174"/>
      <c r="DX64" s="1174"/>
      <c r="DY64" s="1174"/>
      <c r="DZ64" s="1174"/>
      <c r="EA64" s="1174"/>
      <c r="EB64" s="1174"/>
      <c r="EC64" s="1174"/>
      <c r="ED64" s="1174"/>
      <c r="EE64" s="1174"/>
      <c r="EF64" s="1174"/>
      <c r="EG64" s="1174"/>
      <c r="EH64" s="1174"/>
      <c r="EI64" s="1174"/>
      <c r="EJ64" s="1174"/>
      <c r="EK64" s="1174"/>
      <c r="EL64" s="1174"/>
      <c r="EM64" s="1174"/>
      <c r="EN64" s="1174"/>
      <c r="EO64" s="1174"/>
      <c r="EP64" s="1174"/>
      <c r="EQ64" s="1174"/>
      <c r="ER64" s="1174"/>
      <c r="ES64" s="1174"/>
      <c r="ET64" s="1174"/>
      <c r="EU64" s="1174"/>
      <c r="EV64" s="1174"/>
      <c r="EW64" s="1174"/>
      <c r="EX64" s="1174"/>
      <c r="EY64" s="1174"/>
      <c r="EZ64" s="1174"/>
      <c r="FA64" s="1174"/>
      <c r="FB64" s="1174"/>
      <c r="FC64" s="1174"/>
      <c r="FD64" s="1174"/>
      <c r="FE64" s="1174"/>
      <c r="FF64" s="1174"/>
      <c r="FG64" s="1174"/>
      <c r="FH64" s="1174"/>
      <c r="FI64" s="1174"/>
      <c r="FJ64" s="1174"/>
      <c r="FK64" s="1174"/>
      <c r="FL64" s="1174"/>
      <c r="FM64" s="1174"/>
      <c r="FN64" s="1174"/>
      <c r="FO64" s="1174"/>
      <c r="FP64" s="1174"/>
      <c r="FQ64" s="1174"/>
      <c r="FR64" s="1174"/>
      <c r="FS64" s="1174"/>
      <c r="FT64" s="1174"/>
      <c r="FU64" s="1174"/>
      <c r="FV64" s="1174"/>
      <c r="FW64" s="1174"/>
      <c r="FX64" s="1174"/>
      <c r="FY64" s="1174"/>
      <c r="FZ64" s="1174"/>
      <c r="GA64" s="1174"/>
      <c r="GB64" s="1174"/>
      <c r="GC64" s="1174"/>
      <c r="GD64" s="1174"/>
      <c r="GE64" s="1174"/>
      <c r="GF64" s="1174"/>
      <c r="GG64" s="1174"/>
      <c r="GH64" s="1174"/>
      <c r="GI64" s="1174"/>
      <c r="GJ64" s="1174"/>
      <c r="GK64" s="1174"/>
      <c r="GL64" s="1174"/>
      <c r="GM64" s="1174"/>
      <c r="GN64" s="1174"/>
      <c r="GO64" s="1174"/>
      <c r="GP64" s="1174"/>
      <c r="GQ64" s="1174"/>
      <c r="GR64" s="1174"/>
      <c r="GS64" s="1174"/>
      <c r="GT64" s="1174"/>
      <c r="GU64" s="1174"/>
      <c r="GV64" s="1174"/>
      <c r="GW64" s="1174"/>
      <c r="GX64" s="1174"/>
      <c r="GY64" s="1174"/>
      <c r="GZ64" s="1174"/>
      <c r="HA64" s="1174"/>
      <c r="HB64" s="1174"/>
      <c r="HC64" s="1174"/>
    </row>
    <row r="65" spans="1:211" s="3360" customFormat="1" ht="24.95" customHeight="1">
      <c r="A65" s="3413"/>
      <c r="B65" s="3413"/>
      <c r="C65" s="3413"/>
      <c r="D65" s="4957">
        <v>193</v>
      </c>
      <c r="E65" s="4958"/>
      <c r="F65" s="1743">
        <v>157.30000000000001</v>
      </c>
      <c r="G65" s="1743">
        <v>128.80000000000001</v>
      </c>
      <c r="H65" s="1743">
        <v>122.5</v>
      </c>
      <c r="I65" s="1743">
        <v>85.8</v>
      </c>
      <c r="J65" s="1743">
        <v>165.3</v>
      </c>
      <c r="K65" s="1743">
        <v>110</v>
      </c>
      <c r="L65" s="1743">
        <v>93.6</v>
      </c>
      <c r="M65" s="1743">
        <v>101.7</v>
      </c>
      <c r="N65" s="3504">
        <v>138</v>
      </c>
      <c r="O65" s="3510"/>
      <c r="P65" s="1609"/>
      <c r="Q65" s="1610">
        <v>2003</v>
      </c>
      <c r="R65" s="1611"/>
      <c r="S65" s="3506"/>
      <c r="T65" s="1801"/>
      <c r="U65" s="1801"/>
      <c r="V65" s="1801"/>
      <c r="W65" s="1801"/>
      <c r="AE65" s="1174"/>
      <c r="AF65" s="1174"/>
      <c r="AG65" s="1174"/>
      <c r="AH65" s="1174"/>
      <c r="AI65" s="1174"/>
      <c r="AJ65" s="1174"/>
      <c r="AK65" s="1174"/>
      <c r="AL65" s="1174"/>
      <c r="AM65" s="1174"/>
      <c r="AN65" s="1174"/>
      <c r="AO65" s="1174"/>
      <c r="AP65" s="1174"/>
      <c r="AQ65" s="1174"/>
      <c r="AR65" s="1174"/>
      <c r="AS65" s="1174"/>
      <c r="AT65" s="1174"/>
      <c r="AU65" s="1174"/>
      <c r="AV65" s="1174"/>
      <c r="AW65" s="1174"/>
      <c r="AX65" s="1174"/>
      <c r="AY65" s="1174"/>
      <c r="AZ65" s="1174"/>
      <c r="BA65" s="1174"/>
      <c r="BB65" s="1174"/>
      <c r="BC65" s="1174"/>
      <c r="BD65" s="1174"/>
      <c r="BE65" s="1174"/>
      <c r="BF65" s="1174"/>
      <c r="BG65" s="1174"/>
      <c r="BH65" s="1174"/>
      <c r="BI65" s="1174"/>
      <c r="BJ65" s="1174"/>
      <c r="BK65" s="1174"/>
      <c r="BL65" s="1174"/>
      <c r="BM65" s="1174"/>
      <c r="BN65" s="1174"/>
      <c r="BO65" s="1174"/>
      <c r="BP65" s="1174"/>
      <c r="BQ65" s="1174"/>
      <c r="BR65" s="1174"/>
      <c r="BS65" s="1174"/>
      <c r="BT65" s="1174"/>
      <c r="BU65" s="1174"/>
      <c r="BV65" s="1174"/>
      <c r="BW65" s="1174"/>
      <c r="BX65" s="1174"/>
      <c r="BY65" s="1174"/>
      <c r="BZ65" s="1174"/>
      <c r="CA65" s="1174"/>
      <c r="CB65" s="1174"/>
      <c r="CC65" s="1174"/>
      <c r="CD65" s="1174"/>
      <c r="CE65" s="1174"/>
      <c r="CF65" s="1174"/>
      <c r="CG65" s="1174"/>
      <c r="CH65" s="1174"/>
      <c r="CI65" s="1174"/>
      <c r="CJ65" s="1174"/>
      <c r="CK65" s="1174"/>
      <c r="CL65" s="1174"/>
      <c r="CM65" s="1174"/>
      <c r="CN65" s="1174"/>
      <c r="CO65" s="1174"/>
      <c r="CP65" s="1174"/>
      <c r="CQ65" s="1174"/>
      <c r="CR65" s="1174"/>
      <c r="CS65" s="1174"/>
      <c r="CT65" s="1174"/>
      <c r="CU65" s="1174"/>
      <c r="CV65" s="1174"/>
      <c r="CW65" s="1174"/>
      <c r="CX65" s="1174"/>
      <c r="CY65" s="1174"/>
      <c r="CZ65" s="1174"/>
      <c r="DA65" s="1174"/>
      <c r="DB65" s="1174"/>
      <c r="DC65" s="1174"/>
      <c r="DD65" s="1174"/>
      <c r="DE65" s="1174"/>
      <c r="DF65" s="1174"/>
      <c r="DG65" s="1174"/>
      <c r="DH65" s="1174"/>
      <c r="DI65" s="1174"/>
      <c r="DJ65" s="1174"/>
      <c r="DK65" s="1174"/>
      <c r="DL65" s="1174"/>
      <c r="DM65" s="1174"/>
      <c r="DN65" s="1174"/>
      <c r="DO65" s="1174"/>
      <c r="DP65" s="1174"/>
      <c r="DQ65" s="1174"/>
      <c r="DR65" s="1174"/>
      <c r="DS65" s="1174"/>
      <c r="DT65" s="1174"/>
      <c r="DU65" s="1174"/>
      <c r="DV65" s="1174"/>
      <c r="DW65" s="1174"/>
      <c r="DX65" s="1174"/>
      <c r="DY65" s="1174"/>
      <c r="DZ65" s="1174"/>
      <c r="EA65" s="1174"/>
      <c r="EB65" s="1174"/>
      <c r="EC65" s="1174"/>
      <c r="ED65" s="1174"/>
      <c r="EE65" s="1174"/>
      <c r="EF65" s="1174"/>
      <c r="EG65" s="1174"/>
      <c r="EH65" s="1174"/>
      <c r="EI65" s="1174"/>
      <c r="EJ65" s="1174"/>
      <c r="EK65" s="1174"/>
      <c r="EL65" s="1174"/>
      <c r="EM65" s="1174"/>
      <c r="EN65" s="1174"/>
      <c r="EO65" s="1174"/>
      <c r="EP65" s="1174"/>
      <c r="EQ65" s="1174"/>
      <c r="ER65" s="1174"/>
      <c r="ES65" s="1174"/>
      <c r="ET65" s="1174"/>
      <c r="EU65" s="1174"/>
      <c r="EV65" s="1174"/>
      <c r="EW65" s="1174"/>
      <c r="EX65" s="1174"/>
      <c r="EY65" s="1174"/>
      <c r="EZ65" s="1174"/>
      <c r="FA65" s="1174"/>
      <c r="FB65" s="1174"/>
      <c r="FC65" s="1174"/>
      <c r="FD65" s="1174"/>
      <c r="FE65" s="1174"/>
      <c r="FF65" s="1174"/>
      <c r="FG65" s="1174"/>
      <c r="FH65" s="1174"/>
      <c r="FI65" s="1174"/>
      <c r="FJ65" s="1174"/>
      <c r="FK65" s="1174"/>
      <c r="FL65" s="1174"/>
      <c r="FM65" s="1174"/>
      <c r="FN65" s="1174"/>
      <c r="FO65" s="1174"/>
      <c r="FP65" s="1174"/>
      <c r="FQ65" s="1174"/>
      <c r="FR65" s="1174"/>
      <c r="FS65" s="1174"/>
      <c r="FT65" s="1174"/>
      <c r="FU65" s="1174"/>
      <c r="FV65" s="1174"/>
      <c r="FW65" s="1174"/>
      <c r="FX65" s="1174"/>
      <c r="FY65" s="1174"/>
      <c r="FZ65" s="1174"/>
      <c r="GA65" s="1174"/>
      <c r="GB65" s="1174"/>
      <c r="GC65" s="1174"/>
      <c r="GD65" s="1174"/>
      <c r="GE65" s="1174"/>
      <c r="GF65" s="1174"/>
      <c r="GG65" s="1174"/>
      <c r="GH65" s="1174"/>
      <c r="GI65" s="1174"/>
      <c r="GJ65" s="1174"/>
      <c r="GK65" s="1174"/>
      <c r="GL65" s="1174"/>
      <c r="GM65" s="1174"/>
      <c r="GN65" s="1174"/>
      <c r="GO65" s="1174"/>
      <c r="GP65" s="1174"/>
      <c r="GQ65" s="1174"/>
      <c r="GR65" s="1174"/>
      <c r="GS65" s="1174"/>
      <c r="GT65" s="1174"/>
      <c r="GU65" s="1174"/>
      <c r="GV65" s="1174"/>
      <c r="GW65" s="1174"/>
      <c r="GX65" s="1174"/>
      <c r="GY65" s="1174"/>
      <c r="GZ65" s="1174"/>
      <c r="HA65" s="1174"/>
      <c r="HB65" s="1174"/>
      <c r="HC65" s="1174"/>
    </row>
    <row r="66" spans="1:211" s="1801" customFormat="1" ht="24.95" customHeight="1">
      <c r="A66" s="3413"/>
      <c r="B66" s="3413"/>
      <c r="C66" s="3413"/>
      <c r="D66" s="4959">
        <v>197.4</v>
      </c>
      <c r="E66" s="4960"/>
      <c r="F66" s="1745">
        <v>159.4</v>
      </c>
      <c r="G66" s="1745">
        <v>181.6</v>
      </c>
      <c r="H66" s="1745">
        <v>127.6</v>
      </c>
      <c r="I66" s="1745">
        <v>114.3</v>
      </c>
      <c r="J66" s="1745">
        <v>227.6</v>
      </c>
      <c r="K66" s="1745">
        <v>126.5</v>
      </c>
      <c r="L66" s="1745">
        <v>94.4</v>
      </c>
      <c r="M66" s="1745">
        <v>115</v>
      </c>
      <c r="N66" s="2600">
        <v>160.1</v>
      </c>
      <c r="O66" s="3511"/>
      <c r="P66" s="1529"/>
      <c r="Q66" s="1478">
        <v>2004</v>
      </c>
      <c r="R66" s="1530"/>
      <c r="S66" s="3509"/>
      <c r="AE66" s="1174"/>
      <c r="AF66" s="1174"/>
      <c r="AG66" s="1174"/>
      <c r="AH66" s="1174"/>
      <c r="AI66" s="1174"/>
      <c r="AJ66" s="1174"/>
      <c r="AK66" s="1174"/>
      <c r="AL66" s="1174"/>
      <c r="AM66" s="1174"/>
      <c r="AN66" s="1174"/>
      <c r="AO66" s="1174"/>
      <c r="AP66" s="1174"/>
      <c r="AQ66" s="1174"/>
      <c r="AR66" s="1174"/>
      <c r="AS66" s="1174"/>
      <c r="AT66" s="1174"/>
      <c r="AU66" s="1174"/>
      <c r="AV66" s="1174"/>
      <c r="AW66" s="1174"/>
      <c r="AX66" s="1174"/>
      <c r="AY66" s="1174"/>
      <c r="AZ66" s="1174"/>
      <c r="BA66" s="1174"/>
      <c r="BB66" s="1174"/>
      <c r="BC66" s="1174"/>
      <c r="BD66" s="1174"/>
      <c r="BE66" s="1174"/>
      <c r="BF66" s="1174"/>
      <c r="BG66" s="1174"/>
      <c r="BH66" s="1174"/>
      <c r="BI66" s="1174"/>
      <c r="BJ66" s="1174"/>
      <c r="BK66" s="1174"/>
      <c r="BL66" s="1174"/>
      <c r="BM66" s="1174"/>
      <c r="BN66" s="1174"/>
      <c r="BO66" s="1174"/>
      <c r="BP66" s="1174"/>
      <c r="BQ66" s="1174"/>
      <c r="BR66" s="1174"/>
      <c r="BS66" s="1174"/>
      <c r="BT66" s="1174"/>
      <c r="BU66" s="1174"/>
      <c r="BV66" s="1174"/>
      <c r="BW66" s="1174"/>
      <c r="BX66" s="1174"/>
      <c r="BY66" s="1174"/>
      <c r="BZ66" s="1174"/>
      <c r="CA66" s="1174"/>
      <c r="CB66" s="1174"/>
      <c r="CC66" s="1174"/>
      <c r="CD66" s="1174"/>
      <c r="CE66" s="1174"/>
      <c r="CF66" s="1174"/>
      <c r="CG66" s="1174"/>
      <c r="CH66" s="1174"/>
      <c r="CI66" s="1174"/>
      <c r="CJ66" s="1174"/>
      <c r="CK66" s="1174"/>
      <c r="CL66" s="1174"/>
      <c r="CM66" s="1174"/>
      <c r="CN66" s="1174"/>
      <c r="CO66" s="1174"/>
      <c r="CP66" s="1174"/>
      <c r="CQ66" s="1174"/>
      <c r="CR66" s="1174"/>
      <c r="CS66" s="1174"/>
      <c r="CT66" s="1174"/>
      <c r="CU66" s="1174"/>
      <c r="CV66" s="1174"/>
      <c r="CW66" s="1174"/>
      <c r="CX66" s="1174"/>
      <c r="CY66" s="1174"/>
      <c r="CZ66" s="1174"/>
      <c r="DA66" s="1174"/>
      <c r="DB66" s="1174"/>
      <c r="DC66" s="1174"/>
      <c r="DD66" s="1174"/>
      <c r="DE66" s="1174"/>
      <c r="DF66" s="1174"/>
      <c r="DG66" s="1174"/>
      <c r="DH66" s="1174"/>
      <c r="DI66" s="1174"/>
      <c r="DJ66" s="1174"/>
      <c r="DK66" s="1174"/>
      <c r="DL66" s="1174"/>
      <c r="DM66" s="1174"/>
      <c r="DN66" s="1174"/>
      <c r="DO66" s="1174"/>
      <c r="DP66" s="1174"/>
      <c r="DQ66" s="1174"/>
      <c r="DR66" s="1174"/>
      <c r="DS66" s="1174"/>
      <c r="DT66" s="1174"/>
      <c r="DU66" s="1174"/>
      <c r="DV66" s="1174"/>
      <c r="DW66" s="1174"/>
      <c r="DX66" s="1174"/>
      <c r="DY66" s="1174"/>
      <c r="DZ66" s="1174"/>
      <c r="EA66" s="1174"/>
      <c r="EB66" s="1174"/>
      <c r="EC66" s="1174"/>
      <c r="ED66" s="1174"/>
      <c r="EE66" s="1174"/>
      <c r="EF66" s="1174"/>
      <c r="EG66" s="1174"/>
      <c r="EH66" s="1174"/>
      <c r="EI66" s="1174"/>
      <c r="EJ66" s="1174"/>
      <c r="EK66" s="1174"/>
      <c r="EL66" s="1174"/>
      <c r="EM66" s="1174"/>
      <c r="EN66" s="1174"/>
      <c r="EO66" s="1174"/>
      <c r="EP66" s="1174"/>
      <c r="EQ66" s="1174"/>
      <c r="ER66" s="1174"/>
      <c r="ES66" s="1174"/>
      <c r="ET66" s="1174"/>
      <c r="EU66" s="1174"/>
      <c r="EV66" s="1174"/>
      <c r="EW66" s="1174"/>
      <c r="EX66" s="1174"/>
      <c r="EY66" s="1174"/>
      <c r="EZ66" s="1174"/>
      <c r="FA66" s="1174"/>
      <c r="FB66" s="1174"/>
      <c r="FC66" s="1174"/>
      <c r="FD66" s="1174"/>
      <c r="FE66" s="1174"/>
      <c r="FF66" s="1174"/>
      <c r="FG66" s="1174"/>
      <c r="FH66" s="1174"/>
      <c r="FI66" s="1174"/>
      <c r="FJ66" s="1174"/>
      <c r="FK66" s="1174"/>
      <c r="FL66" s="1174"/>
      <c r="FM66" s="1174"/>
      <c r="FN66" s="1174"/>
      <c r="FO66" s="1174"/>
      <c r="FP66" s="1174"/>
      <c r="FQ66" s="1174"/>
      <c r="FR66" s="1174"/>
      <c r="FS66" s="1174"/>
      <c r="FT66" s="1174"/>
      <c r="FU66" s="1174"/>
      <c r="FV66" s="1174"/>
      <c r="FW66" s="1174"/>
      <c r="FX66" s="1174"/>
      <c r="FY66" s="1174"/>
      <c r="FZ66" s="1174"/>
      <c r="GA66" s="1174"/>
      <c r="GB66" s="1174"/>
      <c r="GC66" s="1174"/>
      <c r="GD66" s="1174"/>
      <c r="GE66" s="1174"/>
      <c r="GF66" s="1174"/>
      <c r="GG66" s="1174"/>
      <c r="GH66" s="1174"/>
      <c r="GI66" s="1174"/>
      <c r="GJ66" s="1174"/>
      <c r="GK66" s="1174"/>
      <c r="GL66" s="1174"/>
      <c r="GM66" s="1174"/>
      <c r="GN66" s="1174"/>
      <c r="GO66" s="1174"/>
      <c r="GP66" s="1174"/>
      <c r="GQ66" s="1174"/>
      <c r="GR66" s="1174"/>
      <c r="GS66" s="1174"/>
      <c r="GT66" s="1174"/>
      <c r="GU66" s="1174"/>
      <c r="GV66" s="1174"/>
      <c r="GW66" s="1174"/>
      <c r="GX66" s="1174"/>
      <c r="GY66" s="1174"/>
      <c r="GZ66" s="1174"/>
      <c r="HA66" s="1174"/>
      <c r="HB66" s="1174"/>
      <c r="HC66" s="1174"/>
    </row>
    <row r="67" spans="1:211" s="3360" customFormat="1" ht="24.95" customHeight="1">
      <c r="A67" s="3413"/>
      <c r="B67" s="3413"/>
      <c r="C67" s="3413"/>
      <c r="D67" s="4978">
        <v>214.3</v>
      </c>
      <c r="E67" s="4979"/>
      <c r="F67" s="1744">
        <v>182.1</v>
      </c>
      <c r="G67" s="1744">
        <v>143.69999999999999</v>
      </c>
      <c r="H67" s="1744">
        <v>168.1</v>
      </c>
      <c r="I67" s="1743">
        <v>100</v>
      </c>
      <c r="J67" s="1743">
        <v>324</v>
      </c>
      <c r="K67" s="1743">
        <v>107.4</v>
      </c>
      <c r="L67" s="1743">
        <v>92.2</v>
      </c>
      <c r="M67" s="1743">
        <v>123.1</v>
      </c>
      <c r="N67" s="3504">
        <v>177.1</v>
      </c>
      <c r="O67" s="3510"/>
      <c r="P67" s="1609"/>
      <c r="Q67" s="1610">
        <v>2005</v>
      </c>
      <c r="R67" s="1611"/>
      <c r="S67" s="3506"/>
      <c r="T67" s="1964"/>
      <c r="U67" s="1964"/>
      <c r="V67" s="1964"/>
      <c r="W67" s="1964"/>
      <c r="AE67" s="1174"/>
      <c r="AF67" s="1174"/>
      <c r="AG67" s="1174"/>
      <c r="AH67" s="1174"/>
      <c r="AI67" s="1174"/>
      <c r="AJ67" s="1174"/>
      <c r="AK67" s="1174"/>
      <c r="AL67" s="1174"/>
      <c r="AM67" s="1174"/>
      <c r="AN67" s="1174"/>
      <c r="AO67" s="1174"/>
      <c r="AP67" s="1174"/>
      <c r="AQ67" s="1174"/>
      <c r="AR67" s="1174"/>
      <c r="AS67" s="1174"/>
      <c r="AT67" s="1174"/>
      <c r="AU67" s="1174"/>
      <c r="AV67" s="1174"/>
      <c r="AW67" s="1174"/>
      <c r="AX67" s="1174"/>
      <c r="AY67" s="1174"/>
      <c r="AZ67" s="1174"/>
      <c r="BA67" s="1174"/>
      <c r="BB67" s="1174"/>
      <c r="BC67" s="1174"/>
      <c r="BD67" s="1174"/>
      <c r="BE67" s="1174"/>
      <c r="BF67" s="1174"/>
      <c r="BG67" s="1174"/>
      <c r="BH67" s="1174"/>
      <c r="BI67" s="1174"/>
      <c r="BJ67" s="1174"/>
      <c r="BK67" s="1174"/>
      <c r="BL67" s="1174"/>
      <c r="BM67" s="1174"/>
      <c r="BN67" s="1174"/>
      <c r="BO67" s="1174"/>
      <c r="BP67" s="1174"/>
      <c r="BQ67" s="1174"/>
      <c r="BR67" s="1174"/>
      <c r="BS67" s="1174"/>
      <c r="BT67" s="1174"/>
      <c r="BU67" s="1174"/>
      <c r="BV67" s="1174"/>
      <c r="BW67" s="1174"/>
      <c r="BX67" s="1174"/>
      <c r="BY67" s="1174"/>
      <c r="BZ67" s="1174"/>
      <c r="CA67" s="1174"/>
      <c r="CB67" s="1174"/>
      <c r="CC67" s="1174"/>
      <c r="CD67" s="1174"/>
      <c r="CE67" s="1174"/>
      <c r="CF67" s="1174"/>
      <c r="CG67" s="1174"/>
      <c r="CH67" s="1174"/>
      <c r="CI67" s="1174"/>
      <c r="CJ67" s="1174"/>
      <c r="CK67" s="1174"/>
      <c r="CL67" s="1174"/>
      <c r="CM67" s="1174"/>
      <c r="CN67" s="1174"/>
      <c r="CO67" s="1174"/>
      <c r="CP67" s="1174"/>
      <c r="CQ67" s="1174"/>
      <c r="CR67" s="1174"/>
      <c r="CS67" s="1174"/>
      <c r="CT67" s="1174"/>
      <c r="CU67" s="1174"/>
      <c r="CV67" s="1174"/>
      <c r="CW67" s="1174"/>
      <c r="CX67" s="1174"/>
      <c r="CY67" s="1174"/>
      <c r="CZ67" s="1174"/>
      <c r="DA67" s="1174"/>
      <c r="DB67" s="1174"/>
      <c r="DC67" s="1174"/>
      <c r="DD67" s="1174"/>
      <c r="DE67" s="1174"/>
      <c r="DF67" s="1174"/>
      <c r="DG67" s="1174"/>
      <c r="DH67" s="1174"/>
      <c r="DI67" s="1174"/>
      <c r="DJ67" s="1174"/>
      <c r="DK67" s="1174"/>
      <c r="DL67" s="1174"/>
      <c r="DM67" s="1174"/>
      <c r="DN67" s="1174"/>
      <c r="DO67" s="1174"/>
      <c r="DP67" s="1174"/>
      <c r="DQ67" s="1174"/>
      <c r="DR67" s="1174"/>
      <c r="DS67" s="1174"/>
      <c r="DT67" s="1174"/>
      <c r="DU67" s="1174"/>
      <c r="DV67" s="1174"/>
      <c r="DW67" s="1174"/>
      <c r="DX67" s="1174"/>
      <c r="DY67" s="1174"/>
      <c r="DZ67" s="1174"/>
      <c r="EA67" s="1174"/>
      <c r="EB67" s="1174"/>
      <c r="EC67" s="1174"/>
      <c r="ED67" s="1174"/>
      <c r="EE67" s="1174"/>
      <c r="EF67" s="1174"/>
      <c r="EG67" s="1174"/>
      <c r="EH67" s="1174"/>
      <c r="EI67" s="1174"/>
      <c r="EJ67" s="1174"/>
      <c r="EK67" s="1174"/>
      <c r="EL67" s="1174"/>
      <c r="EM67" s="1174"/>
      <c r="EN67" s="1174"/>
      <c r="EO67" s="1174"/>
      <c r="EP67" s="1174"/>
      <c r="EQ67" s="1174"/>
      <c r="ER67" s="1174"/>
      <c r="ES67" s="1174"/>
      <c r="ET67" s="1174"/>
      <c r="EU67" s="1174"/>
      <c r="EV67" s="1174"/>
      <c r="EW67" s="1174"/>
      <c r="EX67" s="1174"/>
      <c r="EY67" s="1174"/>
      <c r="EZ67" s="1174"/>
      <c r="FA67" s="1174"/>
      <c r="FB67" s="1174"/>
      <c r="FC67" s="1174"/>
      <c r="FD67" s="1174"/>
      <c r="FE67" s="1174"/>
      <c r="FF67" s="1174"/>
      <c r="FG67" s="1174"/>
      <c r="FH67" s="1174"/>
      <c r="FI67" s="1174"/>
      <c r="FJ67" s="1174"/>
      <c r="FK67" s="1174"/>
      <c r="FL67" s="1174"/>
      <c r="FM67" s="1174"/>
      <c r="FN67" s="1174"/>
      <c r="FO67" s="1174"/>
      <c r="FP67" s="1174"/>
      <c r="FQ67" s="1174"/>
      <c r="FR67" s="1174"/>
      <c r="FS67" s="1174"/>
      <c r="FT67" s="1174"/>
      <c r="FU67" s="1174"/>
      <c r="FV67" s="1174"/>
      <c r="FW67" s="1174"/>
      <c r="FX67" s="1174"/>
      <c r="FY67" s="1174"/>
      <c r="FZ67" s="1174"/>
      <c r="GA67" s="1174"/>
      <c r="GB67" s="1174"/>
      <c r="GC67" s="1174"/>
      <c r="GD67" s="1174"/>
      <c r="GE67" s="1174"/>
      <c r="GF67" s="1174"/>
      <c r="GG67" s="1174"/>
      <c r="GH67" s="1174"/>
      <c r="GI67" s="1174"/>
      <c r="GJ67" s="1174"/>
      <c r="GK67" s="1174"/>
      <c r="GL67" s="1174"/>
      <c r="GM67" s="1174"/>
      <c r="GN67" s="1174"/>
      <c r="GO67" s="1174"/>
      <c r="GP67" s="1174"/>
      <c r="GQ67" s="1174"/>
      <c r="GR67" s="1174"/>
      <c r="GS67" s="1174"/>
      <c r="GT67" s="1174"/>
      <c r="GU67" s="1174"/>
      <c r="GV67" s="1174"/>
      <c r="GW67" s="1174"/>
      <c r="GX67" s="1174"/>
      <c r="GY67" s="1174"/>
      <c r="GZ67" s="1174"/>
      <c r="HA67" s="1174"/>
      <c r="HB67" s="1174"/>
      <c r="HC67" s="1174"/>
    </row>
    <row r="68" spans="1:211" s="1801" customFormat="1" ht="24.95" customHeight="1">
      <c r="A68" s="3413"/>
      <c r="B68" s="3413"/>
      <c r="C68" s="3413"/>
      <c r="D68" s="4980">
        <v>231.7</v>
      </c>
      <c r="E68" s="4981"/>
      <c r="F68" s="1742">
        <v>177.8</v>
      </c>
      <c r="G68" s="1742">
        <v>143.80000000000001</v>
      </c>
      <c r="H68" s="1742">
        <v>199.1</v>
      </c>
      <c r="I68" s="1745">
        <v>105.1</v>
      </c>
      <c r="J68" s="1745">
        <v>417.1</v>
      </c>
      <c r="K68" s="1745">
        <v>111.3</v>
      </c>
      <c r="L68" s="1745">
        <v>92.6</v>
      </c>
      <c r="M68" s="1745">
        <v>126.3</v>
      </c>
      <c r="N68" s="2600">
        <v>193.8</v>
      </c>
      <c r="O68" s="3511"/>
      <c r="P68" s="1529"/>
      <c r="Q68" s="1478">
        <v>2006</v>
      </c>
      <c r="R68" s="1530"/>
      <c r="S68" s="3509"/>
      <c r="T68" s="1964"/>
    </row>
    <row r="69" spans="1:211" s="1801" customFormat="1" ht="24.95" customHeight="1">
      <c r="A69" s="3413"/>
      <c r="B69" s="3413"/>
      <c r="C69" s="3413"/>
      <c r="D69" s="4978">
        <v>250.8</v>
      </c>
      <c r="E69" s="4979"/>
      <c r="F69" s="1744">
        <v>184.2</v>
      </c>
      <c r="G69" s="1744">
        <v>148.1</v>
      </c>
      <c r="H69" s="1744">
        <v>275.2</v>
      </c>
      <c r="I69" s="1743">
        <v>122.8</v>
      </c>
      <c r="J69" s="1743">
        <v>456.7</v>
      </c>
      <c r="K69" s="1743">
        <v>166.2</v>
      </c>
      <c r="L69" s="1743">
        <v>94.1</v>
      </c>
      <c r="M69" s="1743">
        <v>161.6</v>
      </c>
      <c r="N69" s="1607">
        <v>220.1</v>
      </c>
      <c r="O69" s="1608"/>
      <c r="P69" s="1609"/>
      <c r="Q69" s="1610">
        <v>2007</v>
      </c>
      <c r="R69" s="1611"/>
      <c r="S69" s="3506"/>
      <c r="T69" s="1964"/>
    </row>
    <row r="70" spans="1:211" s="1191" customFormat="1" ht="24.95" customHeight="1">
      <c r="A70" s="3413"/>
      <c r="B70" s="3413"/>
      <c r="C70" s="3413"/>
      <c r="D70" s="4959">
        <v>251.9</v>
      </c>
      <c r="E70" s="4960"/>
      <c r="F70" s="1745">
        <v>178.1</v>
      </c>
      <c r="G70" s="1745">
        <v>164.2</v>
      </c>
      <c r="H70" s="1745">
        <v>354</v>
      </c>
      <c r="I70" s="1745">
        <v>223.7</v>
      </c>
      <c r="J70" s="1745">
        <v>601.5</v>
      </c>
      <c r="K70" s="1745">
        <v>266.10000000000002</v>
      </c>
      <c r="L70" s="1745">
        <v>104</v>
      </c>
      <c r="M70" s="1745">
        <v>211.8</v>
      </c>
      <c r="N70" s="1528">
        <v>265.2</v>
      </c>
      <c r="O70" s="1477"/>
      <c r="P70" s="1529"/>
      <c r="Q70" s="1478">
        <v>2008</v>
      </c>
      <c r="R70" s="1530"/>
      <c r="S70" s="3509"/>
      <c r="T70" s="1980"/>
      <c r="U70" s="1980"/>
      <c r="V70" s="1980"/>
      <c r="W70" s="1980"/>
    </row>
    <row r="71" spans="1:211" s="1191" customFormat="1" ht="24.95" customHeight="1">
      <c r="A71" s="3413"/>
      <c r="B71" s="3413"/>
      <c r="C71" s="3413"/>
      <c r="D71" s="4978">
        <v>273.10000000000002</v>
      </c>
      <c r="E71" s="4979"/>
      <c r="F71" s="1744">
        <v>211.7</v>
      </c>
      <c r="G71" s="1744">
        <v>150.30000000000001</v>
      </c>
      <c r="H71" s="1744">
        <v>309.89999999999998</v>
      </c>
      <c r="I71" s="1743">
        <v>174.3</v>
      </c>
      <c r="J71" s="1743">
        <v>405.6</v>
      </c>
      <c r="K71" s="1743">
        <v>180</v>
      </c>
      <c r="L71" s="1743">
        <v>122.4</v>
      </c>
      <c r="M71" s="1743">
        <v>188.1</v>
      </c>
      <c r="N71" s="1607">
        <v>233.4</v>
      </c>
      <c r="O71" s="1608"/>
      <c r="P71" s="1609"/>
      <c r="Q71" s="1610">
        <v>2009</v>
      </c>
      <c r="R71" s="1611"/>
      <c r="S71" s="3506"/>
      <c r="T71" s="1980"/>
      <c r="U71" s="1980"/>
      <c r="V71" s="1980"/>
      <c r="W71" s="1980"/>
    </row>
    <row r="72" spans="1:211" s="1191" customFormat="1" ht="24.95" customHeight="1">
      <c r="A72" s="3413"/>
      <c r="B72" s="3413"/>
      <c r="C72" s="3413"/>
      <c r="D72" s="4959">
        <v>286.3</v>
      </c>
      <c r="E72" s="4960"/>
      <c r="F72" s="4484">
        <v>195.9</v>
      </c>
      <c r="G72" s="4484">
        <v>177.2</v>
      </c>
      <c r="H72" s="4484">
        <v>614.4</v>
      </c>
      <c r="I72" s="4484">
        <v>215.3</v>
      </c>
      <c r="J72" s="4484">
        <v>499</v>
      </c>
      <c r="K72" s="4484">
        <v>180.1</v>
      </c>
      <c r="L72" s="4484">
        <v>128.4</v>
      </c>
      <c r="M72" s="4484">
        <v>209.1</v>
      </c>
      <c r="N72" s="1528">
        <v>289.7</v>
      </c>
      <c r="O72" s="1477"/>
      <c r="P72" s="1529"/>
      <c r="Q72" s="1478">
        <v>2010</v>
      </c>
      <c r="R72" s="1530"/>
      <c r="S72" s="3509"/>
      <c r="T72" s="1980"/>
      <c r="U72" s="1980"/>
      <c r="V72" s="1980"/>
      <c r="W72" s="1980"/>
    </row>
    <row r="73" spans="1:211" s="1191" customFormat="1" ht="24.95" customHeight="1">
      <c r="A73" s="3413"/>
      <c r="B73" s="3413"/>
      <c r="C73" s="3413"/>
      <c r="D73" s="4978">
        <v>362.2</v>
      </c>
      <c r="E73" s="4979"/>
      <c r="F73" s="4485">
        <v>145.4</v>
      </c>
      <c r="G73" s="4485">
        <v>186</v>
      </c>
      <c r="H73" s="4485">
        <v>943</v>
      </c>
      <c r="I73" s="4483">
        <v>249.3</v>
      </c>
      <c r="J73" s="4483">
        <v>644.79999999999995</v>
      </c>
      <c r="K73" s="4483">
        <v>172.7</v>
      </c>
      <c r="L73" s="4483">
        <v>125.2</v>
      </c>
      <c r="M73" s="4483">
        <v>251.3</v>
      </c>
      <c r="N73" s="1607">
        <v>355.1</v>
      </c>
      <c r="O73" s="1608"/>
      <c r="P73" s="1609"/>
      <c r="Q73" s="1610">
        <v>2011</v>
      </c>
      <c r="R73" s="1611"/>
      <c r="S73" s="3506"/>
      <c r="T73" s="1980"/>
      <c r="U73" s="1980"/>
      <c r="V73" s="1980"/>
      <c r="W73" s="1980"/>
    </row>
    <row r="74" spans="1:211" s="1191" customFormat="1" ht="24.95" customHeight="1">
      <c r="A74" s="3413"/>
      <c r="B74" s="3413"/>
      <c r="C74" s="3413"/>
      <c r="D74" s="4980">
        <v>274.89999999999998</v>
      </c>
      <c r="E74" s="4981"/>
      <c r="F74" s="4486">
        <v>185.3</v>
      </c>
      <c r="G74" s="4486">
        <v>210.8</v>
      </c>
      <c r="H74" s="4486">
        <v>857.3</v>
      </c>
      <c r="I74" s="4484">
        <v>271.2</v>
      </c>
      <c r="J74" s="4484">
        <v>724.2</v>
      </c>
      <c r="K74" s="4484">
        <v>205.3</v>
      </c>
      <c r="L74" s="4484">
        <v>175</v>
      </c>
      <c r="M74" s="4484">
        <v>229.4</v>
      </c>
      <c r="N74" s="1528">
        <v>360.2</v>
      </c>
      <c r="O74" s="1477"/>
      <c r="P74" s="1529"/>
      <c r="Q74" s="1478">
        <v>2012</v>
      </c>
      <c r="R74" s="1530"/>
      <c r="S74" s="3509"/>
      <c r="T74" s="1980"/>
      <c r="U74" s="1980"/>
      <c r="V74" s="1980"/>
      <c r="W74" s="1980"/>
    </row>
    <row r="75" spans="1:211" s="1191" customFormat="1" ht="24.95" customHeight="1">
      <c r="A75" s="3413"/>
      <c r="B75" s="3413"/>
      <c r="C75" s="3413"/>
      <c r="D75" s="4978">
        <v>285.3</v>
      </c>
      <c r="E75" s="4979"/>
      <c r="F75" s="4485">
        <v>182.3</v>
      </c>
      <c r="G75" s="4485">
        <v>206.6</v>
      </c>
      <c r="H75" s="4485">
        <v>956.7</v>
      </c>
      <c r="I75" s="4483">
        <v>245.4</v>
      </c>
      <c r="J75" s="4483">
        <v>716.9</v>
      </c>
      <c r="K75" s="4483">
        <v>234.2</v>
      </c>
      <c r="L75" s="4483">
        <v>113.2</v>
      </c>
      <c r="M75" s="4483">
        <v>226.6</v>
      </c>
      <c r="N75" s="1607">
        <v>357</v>
      </c>
      <c r="O75" s="1608"/>
      <c r="P75" s="1609"/>
      <c r="Q75" s="1610">
        <v>2013</v>
      </c>
      <c r="R75" s="1611"/>
      <c r="S75" s="3512"/>
      <c r="T75" s="1980"/>
      <c r="U75" s="1980"/>
      <c r="V75" s="1980"/>
      <c r="W75" s="1980"/>
    </row>
    <row r="76" spans="1:211" s="1191" customFormat="1" ht="24.95" customHeight="1">
      <c r="A76" s="3413"/>
      <c r="B76" s="3413"/>
      <c r="C76" s="3413"/>
      <c r="D76" s="4980">
        <v>295.3</v>
      </c>
      <c r="E76" s="4981"/>
      <c r="F76" s="4486">
        <v>179.7</v>
      </c>
      <c r="G76" s="4486">
        <v>200.6</v>
      </c>
      <c r="H76" s="4484">
        <v>1126</v>
      </c>
      <c r="I76" s="4484">
        <v>272.10000000000002</v>
      </c>
      <c r="J76" s="4484">
        <v>651.79999999999995</v>
      </c>
      <c r="K76" s="4484">
        <v>205.8</v>
      </c>
      <c r="L76" s="4484">
        <v>110.3</v>
      </c>
      <c r="M76" s="4484">
        <v>228.5</v>
      </c>
      <c r="N76" s="1528">
        <v>376.8</v>
      </c>
      <c r="O76" s="1477"/>
      <c r="P76" s="1529"/>
      <c r="Q76" s="1478">
        <v>2014</v>
      </c>
      <c r="R76" s="1530"/>
      <c r="S76" s="3509"/>
      <c r="T76" s="1980"/>
      <c r="U76" s="1980"/>
      <c r="V76" s="1980"/>
      <c r="W76" s="1980"/>
    </row>
    <row r="77" spans="1:211" s="1980" customFormat="1" ht="24.95" customHeight="1">
      <c r="A77" s="3413"/>
      <c r="B77" s="3413"/>
      <c r="C77" s="3413"/>
      <c r="D77" s="4957">
        <v>318.45833333333331</v>
      </c>
      <c r="E77" s="4958"/>
      <c r="F77" s="4483">
        <v>175.22499999999999</v>
      </c>
      <c r="G77" s="4483">
        <v>188.48333333333338</v>
      </c>
      <c r="H77" s="4483">
        <v>1139.7333333333333</v>
      </c>
      <c r="I77" s="4483">
        <v>230.60833333333332</v>
      </c>
      <c r="J77" s="4483">
        <v>378.27500000000003</v>
      </c>
      <c r="K77" s="4483">
        <v>175.91666666666666</v>
      </c>
      <c r="L77" s="4483">
        <v>114.73333333333331</v>
      </c>
      <c r="M77" s="4483">
        <v>228.95833333333329</v>
      </c>
      <c r="N77" s="1607">
        <v>339.89166666666665</v>
      </c>
      <c r="O77" s="1612"/>
      <c r="P77" s="1613"/>
      <c r="Q77" s="1610">
        <v>2015</v>
      </c>
      <c r="R77" s="1615"/>
      <c r="S77" s="3513"/>
    </row>
    <row r="78" spans="1:211" s="1191" customFormat="1" ht="24.95" customHeight="1">
      <c r="A78" s="3413"/>
      <c r="B78" s="3413"/>
      <c r="C78" s="3413"/>
      <c r="D78" s="4980">
        <v>283.2</v>
      </c>
      <c r="E78" s="4981"/>
      <c r="F78" s="4514">
        <v>160.19999999999999</v>
      </c>
      <c r="G78" s="4514">
        <v>172.1</v>
      </c>
      <c r="H78" s="4512">
        <v>1431.6</v>
      </c>
      <c r="I78" s="4512">
        <v>153</v>
      </c>
      <c r="J78" s="4512">
        <v>351.8</v>
      </c>
      <c r="K78" s="4512">
        <v>172.1</v>
      </c>
      <c r="L78" s="4512">
        <v>122.6</v>
      </c>
      <c r="M78" s="4512">
        <v>210.3</v>
      </c>
      <c r="N78" s="1528">
        <v>355.5</v>
      </c>
      <c r="O78" s="1477"/>
      <c r="P78" s="1529"/>
      <c r="Q78" s="1478" t="s">
        <v>2687</v>
      </c>
      <c r="R78" s="1530"/>
      <c r="S78" s="3509"/>
      <c r="T78" s="1980"/>
      <c r="U78" s="1980"/>
      <c r="V78" s="1980"/>
      <c r="W78" s="1980"/>
    </row>
    <row r="79" spans="1:211" s="1191" customFormat="1" ht="24.95" customHeight="1">
      <c r="A79" s="3413"/>
      <c r="B79" s="3413"/>
      <c r="C79" s="3413"/>
      <c r="D79" s="4957">
        <v>262.10000000000002</v>
      </c>
      <c r="E79" s="4958"/>
      <c r="F79" s="4513">
        <v>156.30000000000001</v>
      </c>
      <c r="G79" s="4513">
        <v>199.8</v>
      </c>
      <c r="H79" s="4513">
        <v>1207.5</v>
      </c>
      <c r="I79" s="4513">
        <v>185.9</v>
      </c>
      <c r="J79" s="4513">
        <v>415.2</v>
      </c>
      <c r="K79" s="4513">
        <v>200.1</v>
      </c>
      <c r="L79" s="4513">
        <v>139.69999999999999</v>
      </c>
      <c r="M79" s="4513">
        <v>213.2</v>
      </c>
      <c r="N79" s="1607">
        <v>342.4</v>
      </c>
      <c r="O79" s="1612"/>
      <c r="P79" s="1613"/>
      <c r="Q79" s="1614" t="s">
        <v>2751</v>
      </c>
      <c r="R79" s="1615"/>
      <c r="S79" s="3336"/>
      <c r="T79" s="1980"/>
      <c r="U79" s="1980"/>
      <c r="V79" s="1980"/>
      <c r="W79" s="1980"/>
    </row>
    <row r="80" spans="1:211" s="1191" customFormat="1" ht="24.95" customHeight="1">
      <c r="A80" s="3413"/>
      <c r="B80" s="3413"/>
      <c r="C80" s="3413"/>
      <c r="D80" s="4959">
        <v>268.17500000000001</v>
      </c>
      <c r="E80" s="4960"/>
      <c r="F80" s="4512">
        <v>174.39166666666665</v>
      </c>
      <c r="G80" s="4512">
        <v>218.625</v>
      </c>
      <c r="H80" s="4512">
        <v>1012.25</v>
      </c>
      <c r="I80" s="4512">
        <v>229.56666666666669</v>
      </c>
      <c r="J80" s="4512">
        <v>503.97499999999997</v>
      </c>
      <c r="K80" s="4512">
        <v>198.77500000000001</v>
      </c>
      <c r="L80" s="4512">
        <v>118.26666666666667</v>
      </c>
      <c r="M80" s="4512">
        <v>237.15833333333333</v>
      </c>
      <c r="N80" s="1528">
        <v>344.56666666666666</v>
      </c>
      <c r="O80" s="1477"/>
      <c r="P80" s="1529"/>
      <c r="Q80" s="1478" t="s">
        <v>2929</v>
      </c>
      <c r="R80" s="1530"/>
      <c r="S80" s="3509"/>
      <c r="T80" s="1980"/>
      <c r="U80" s="1980"/>
      <c r="V80" s="1980"/>
      <c r="W80" s="1980"/>
    </row>
    <row r="81" spans="1:23" s="1191" customFormat="1" ht="24.95" customHeight="1">
      <c r="A81" s="3413"/>
      <c r="B81" s="3413"/>
      <c r="C81" s="3413"/>
      <c r="D81" s="4957">
        <v>317.8</v>
      </c>
      <c r="E81" s="4958"/>
      <c r="F81" s="4513">
        <v>193.5</v>
      </c>
      <c r="G81" s="4513">
        <v>177.7</v>
      </c>
      <c r="H81" s="4513">
        <v>897.9</v>
      </c>
      <c r="I81" s="4513">
        <v>212.7</v>
      </c>
      <c r="J81" s="4513">
        <v>450.2</v>
      </c>
      <c r="K81" s="4513">
        <v>222.5</v>
      </c>
      <c r="L81" s="4513">
        <v>100.2</v>
      </c>
      <c r="M81" s="4513">
        <v>202.4</v>
      </c>
      <c r="N81" s="1607">
        <v>318.7</v>
      </c>
      <c r="O81" s="1612"/>
      <c r="P81" s="1613"/>
      <c r="Q81" s="1614" t="s">
        <v>3029</v>
      </c>
      <c r="R81" s="1615"/>
      <c r="S81" s="3336"/>
      <c r="T81" s="1980"/>
      <c r="U81" s="1980"/>
      <c r="V81" s="1980"/>
      <c r="W81" s="1980"/>
    </row>
    <row r="82" spans="1:23" s="1191" customFormat="1" ht="24.95" customHeight="1">
      <c r="A82" s="3413"/>
      <c r="B82" s="3413"/>
      <c r="C82" s="3413"/>
      <c r="D82" s="4959">
        <v>297.89999999999998</v>
      </c>
      <c r="E82" s="4960"/>
      <c r="F82" s="4512">
        <v>222.48333333333335</v>
      </c>
      <c r="G82" s="4512">
        <v>188.13333333333333</v>
      </c>
      <c r="H82" s="4512">
        <v>931.23333333333346</v>
      </c>
      <c r="I82" s="4512">
        <v>196.73333333333335</v>
      </c>
      <c r="J82" s="4512">
        <v>303.47499999999997</v>
      </c>
      <c r="K82" s="4512">
        <v>203.40833333333333</v>
      </c>
      <c r="L82" s="4512">
        <v>106.53333333333335</v>
      </c>
      <c r="M82" s="4512">
        <v>212.04166666666666</v>
      </c>
      <c r="N82" s="1528">
        <v>313.49166666666662</v>
      </c>
      <c r="O82" s="1477"/>
      <c r="P82" s="1529"/>
      <c r="Q82" s="1478" t="s">
        <v>3102</v>
      </c>
      <c r="R82" s="1530"/>
      <c r="S82" s="3336"/>
      <c r="T82" s="1980"/>
      <c r="U82" s="1980"/>
      <c r="V82" s="1980"/>
      <c r="W82" s="1980"/>
    </row>
    <row r="83" spans="1:23" ht="24">
      <c r="A83" s="3413"/>
      <c r="B83" s="3413"/>
      <c r="C83" s="3413"/>
      <c r="D83" s="4957">
        <v>342.1</v>
      </c>
      <c r="E83" s="4958"/>
      <c r="F83" s="4525">
        <v>192.7</v>
      </c>
      <c r="G83" s="4525">
        <v>217.4</v>
      </c>
      <c r="H83" s="4525">
        <v>719.8</v>
      </c>
      <c r="I83" s="4525">
        <v>588.79999999999995</v>
      </c>
      <c r="J83" s="4525">
        <v>485</v>
      </c>
      <c r="K83" s="4525">
        <v>328.1</v>
      </c>
      <c r="L83" s="4525">
        <v>158.69999999999999</v>
      </c>
      <c r="M83" s="4525">
        <v>234.7</v>
      </c>
      <c r="N83" s="1607">
        <v>334.1</v>
      </c>
      <c r="O83" s="1612"/>
      <c r="P83" s="1613"/>
      <c r="Q83" s="1614" t="s">
        <v>3112</v>
      </c>
      <c r="R83" s="1615"/>
      <c r="S83" s="2631"/>
      <c r="T83" s="1963"/>
      <c r="U83" s="1963"/>
      <c r="V83" s="1963"/>
      <c r="W83" s="1963"/>
    </row>
    <row r="84" spans="1:23" s="1191" customFormat="1" ht="24.95" customHeight="1">
      <c r="A84" s="3413"/>
      <c r="B84" s="3413"/>
      <c r="C84" s="3413"/>
      <c r="D84" s="4955">
        <v>300.3</v>
      </c>
      <c r="E84" s="4956"/>
      <c r="F84" s="4563">
        <v>179</v>
      </c>
      <c r="G84" s="4563">
        <v>213.9</v>
      </c>
      <c r="H84" s="4563">
        <v>715</v>
      </c>
      <c r="I84" s="4563">
        <v>621.6</v>
      </c>
      <c r="J84" s="4563">
        <v>645.70000000000005</v>
      </c>
      <c r="K84" s="4563">
        <v>472.5</v>
      </c>
      <c r="L84" s="4563">
        <v>199.9</v>
      </c>
      <c r="M84" s="4563">
        <v>256.2</v>
      </c>
      <c r="N84" s="4564">
        <v>356.7</v>
      </c>
      <c r="O84" s="4565"/>
      <c r="P84" s="4566"/>
      <c r="Q84" s="4567" t="s">
        <v>3117</v>
      </c>
      <c r="R84" s="4568"/>
      <c r="S84" s="3336"/>
      <c r="T84" s="1980"/>
      <c r="U84" s="1980"/>
      <c r="V84" s="1980"/>
      <c r="W84" s="1980"/>
    </row>
    <row r="85" spans="1:23">
      <c r="A85" s="3413"/>
      <c r="B85" s="3413"/>
      <c r="C85" s="3413"/>
      <c r="D85" s="468" t="s">
        <v>1539</v>
      </c>
      <c r="E85" s="469"/>
      <c r="F85" s="2264"/>
      <c r="G85" s="2264"/>
      <c r="H85" s="2264"/>
      <c r="I85" s="3514"/>
      <c r="J85" s="3514"/>
      <c r="K85" s="3514"/>
      <c r="L85" s="3514"/>
      <c r="M85" s="3514"/>
      <c r="N85" s="3514"/>
      <c r="O85" s="3515"/>
      <c r="P85" s="3515"/>
      <c r="Q85" s="2762"/>
      <c r="R85" s="3516" t="s">
        <v>1508</v>
      </c>
      <c r="S85" s="1843"/>
      <c r="T85" s="1963"/>
      <c r="U85" s="1963"/>
      <c r="V85" s="1963"/>
      <c r="W85" s="1963"/>
    </row>
    <row r="86" spans="1:23">
      <c r="A86" s="3413"/>
      <c r="B86" s="3413"/>
      <c r="C86" s="3413"/>
      <c r="I86" s="3514"/>
      <c r="J86" s="1843"/>
      <c r="K86" s="1843"/>
      <c r="L86" s="1843"/>
      <c r="M86" s="1843"/>
      <c r="N86" s="1843"/>
      <c r="O86" s="2618"/>
      <c r="P86" s="2618"/>
      <c r="Q86" s="3517"/>
      <c r="R86" s="1843"/>
      <c r="S86" s="1843"/>
      <c r="T86" s="1963"/>
      <c r="U86" s="1963"/>
      <c r="V86" s="1963"/>
      <c r="W86" s="1963"/>
    </row>
    <row r="87" spans="1:23">
      <c r="A87" s="3413"/>
      <c r="B87" s="3413"/>
      <c r="C87" s="3413"/>
      <c r="F87" s="1964"/>
      <c r="G87" s="1964"/>
      <c r="H87" s="1964"/>
      <c r="I87" s="1964"/>
      <c r="J87" s="1964"/>
      <c r="K87" s="1964"/>
      <c r="L87" s="1964"/>
      <c r="M87" s="1964"/>
      <c r="N87" s="1964"/>
      <c r="O87" s="1964"/>
      <c r="P87" s="1964"/>
      <c r="Q87" s="3517"/>
      <c r="R87" s="1843"/>
      <c r="S87" s="1843"/>
      <c r="T87" s="1963"/>
      <c r="U87" s="1963"/>
      <c r="V87" s="1963"/>
      <c r="W87" s="1963"/>
    </row>
    <row r="88" spans="1:23">
      <c r="A88" s="3413"/>
      <c r="B88" s="3413"/>
      <c r="C88" s="3413"/>
      <c r="F88" s="1964"/>
      <c r="G88" s="1964"/>
      <c r="H88" s="1964"/>
      <c r="I88" s="1964"/>
      <c r="J88" s="1964"/>
      <c r="K88" s="1964"/>
      <c r="L88" s="1964"/>
      <c r="M88" s="1964"/>
      <c r="N88" s="1964"/>
      <c r="O88" s="1964"/>
      <c r="P88" s="1964"/>
      <c r="Q88" s="3517"/>
      <c r="R88" s="1843"/>
      <c r="S88" s="1843"/>
      <c r="T88" s="1963"/>
      <c r="U88" s="1963"/>
      <c r="V88" s="1963"/>
      <c r="W88" s="1963"/>
    </row>
    <row r="89" spans="1:23">
      <c r="A89" s="3413"/>
      <c r="B89" s="3413"/>
      <c r="C89" s="3413"/>
      <c r="I89" s="1843"/>
      <c r="J89" s="1843"/>
      <c r="K89" s="1843"/>
      <c r="L89" s="1843"/>
      <c r="M89" s="1963"/>
      <c r="N89" s="1963"/>
      <c r="O89" s="2618"/>
      <c r="P89" s="2618"/>
      <c r="Q89" s="3517"/>
      <c r="R89" s="1843"/>
      <c r="S89" s="1843"/>
      <c r="T89" s="1963"/>
      <c r="U89" s="1963"/>
      <c r="V89" s="1963"/>
      <c r="W89" s="1963"/>
    </row>
    <row r="90" spans="1:23">
      <c r="A90" s="3413"/>
      <c r="B90" s="3413"/>
      <c r="C90" s="3413"/>
      <c r="I90" s="1843"/>
      <c r="J90" s="1843"/>
      <c r="K90" s="1843"/>
      <c r="L90" s="1843"/>
      <c r="M90" s="1963"/>
      <c r="N90" s="1963"/>
      <c r="O90" s="2618"/>
      <c r="P90" s="2618"/>
      <c r="Q90" s="3517"/>
      <c r="R90" s="1843"/>
      <c r="S90" s="1843"/>
      <c r="T90" s="1963"/>
      <c r="U90" s="1963"/>
      <c r="V90" s="1963"/>
      <c r="W90" s="1963"/>
    </row>
    <row r="91" spans="1:23">
      <c r="A91" s="3413"/>
      <c r="B91" s="3413"/>
      <c r="C91" s="3413"/>
      <c r="I91" s="1843"/>
      <c r="J91" s="1843"/>
      <c r="K91" s="1843"/>
      <c r="L91" s="1843"/>
      <c r="M91" s="1963"/>
      <c r="N91" s="1963"/>
      <c r="O91" s="2618"/>
      <c r="P91" s="2618"/>
      <c r="Q91" s="3517"/>
      <c r="R91" s="1843"/>
      <c r="S91" s="1843"/>
      <c r="T91" s="1963"/>
      <c r="U91" s="1963"/>
      <c r="V91" s="1963"/>
      <c r="W91" s="1963"/>
    </row>
    <row r="92" spans="1:23">
      <c r="A92" s="3413"/>
      <c r="B92" s="3413"/>
      <c r="C92" s="3413"/>
      <c r="I92" s="1843"/>
      <c r="J92" s="1843"/>
      <c r="K92" s="1843"/>
      <c r="L92" s="1843"/>
      <c r="M92" s="1843"/>
      <c r="N92" s="1843"/>
      <c r="O92" s="2618"/>
      <c r="P92" s="2618"/>
      <c r="Q92" s="3517"/>
      <c r="R92" s="1843"/>
      <c r="S92" s="1843"/>
      <c r="T92" s="1963"/>
      <c r="U92" s="1963"/>
      <c r="V92" s="1963"/>
      <c r="W92" s="1963"/>
    </row>
    <row r="93" spans="1:23">
      <c r="A93" s="3413"/>
      <c r="B93" s="3413"/>
      <c r="C93" s="3413"/>
      <c r="I93" s="1843"/>
      <c r="J93" s="1843"/>
      <c r="K93" s="1843"/>
      <c r="L93" s="1843"/>
      <c r="M93" s="1843"/>
      <c r="N93" s="1843"/>
      <c r="O93" s="2618"/>
      <c r="P93" s="2618"/>
      <c r="Q93" s="3517"/>
      <c r="R93" s="1843"/>
      <c r="S93" s="1843"/>
      <c r="T93" s="1963"/>
      <c r="U93" s="1963"/>
      <c r="V93" s="1963"/>
      <c r="W93" s="1963"/>
    </row>
    <row r="94" spans="1:23">
      <c r="A94" s="3413"/>
      <c r="B94" s="3413"/>
      <c r="C94" s="3413"/>
      <c r="I94" s="1843"/>
      <c r="J94" s="1843"/>
      <c r="K94" s="1843"/>
      <c r="L94" s="1843"/>
      <c r="M94" s="1843"/>
      <c r="N94" s="1843"/>
      <c r="O94" s="2618"/>
      <c r="P94" s="2618"/>
      <c r="Q94" s="3517"/>
      <c r="R94" s="1843"/>
      <c r="S94" s="1843"/>
      <c r="T94" s="1963"/>
      <c r="U94" s="1963"/>
      <c r="V94" s="1963"/>
      <c r="W94" s="1963"/>
    </row>
    <row r="95" spans="1:23">
      <c r="A95" s="3413"/>
      <c r="B95" s="3413"/>
      <c r="C95" s="3413"/>
      <c r="I95" s="1843"/>
      <c r="J95" s="1843"/>
      <c r="K95" s="1843"/>
      <c r="L95" s="1843"/>
      <c r="M95" s="1843"/>
      <c r="N95" s="1843"/>
      <c r="O95" s="2618"/>
      <c r="P95" s="2618"/>
      <c r="Q95" s="3517"/>
      <c r="R95" s="1843"/>
      <c r="S95" s="1843"/>
      <c r="T95" s="1963"/>
      <c r="U95" s="1963"/>
      <c r="V95" s="1963"/>
      <c r="W95" s="1963"/>
    </row>
    <row r="96" spans="1:23">
      <c r="A96" s="3413"/>
      <c r="B96" s="3413"/>
      <c r="C96" s="3413"/>
      <c r="I96" s="1843"/>
      <c r="J96" s="1843"/>
      <c r="K96" s="1843"/>
      <c r="L96" s="1843"/>
      <c r="M96" s="1843"/>
      <c r="N96" s="1843"/>
      <c r="O96" s="2618"/>
      <c r="P96" s="2618"/>
      <c r="Q96" s="3517"/>
      <c r="R96" s="1843"/>
      <c r="S96" s="1843"/>
      <c r="T96" s="1963"/>
      <c r="U96" s="1963"/>
      <c r="V96" s="1963"/>
      <c r="W96" s="1963"/>
    </row>
    <row r="97" spans="1:23">
      <c r="A97" s="3413"/>
      <c r="B97" s="3413"/>
      <c r="C97" s="3413"/>
      <c r="I97" s="1843"/>
      <c r="J97" s="1843"/>
      <c r="K97" s="1843"/>
      <c r="L97" s="1843"/>
      <c r="M97" s="1843"/>
      <c r="N97" s="1843"/>
      <c r="O97" s="2618"/>
      <c r="P97" s="2618"/>
      <c r="Q97" s="3517"/>
      <c r="R97" s="1843"/>
      <c r="S97" s="1843"/>
      <c r="T97" s="1963"/>
      <c r="U97" s="1963"/>
      <c r="V97" s="1963"/>
      <c r="W97" s="1963"/>
    </row>
    <row r="98" spans="1:23">
      <c r="A98" s="3413"/>
      <c r="B98" s="3413"/>
      <c r="C98" s="3413"/>
      <c r="I98" s="1843"/>
      <c r="J98" s="1843"/>
      <c r="K98" s="1843"/>
      <c r="L98" s="1843"/>
      <c r="M98" s="1843"/>
      <c r="N98" s="1843"/>
      <c r="O98" s="2618"/>
      <c r="P98" s="2618"/>
      <c r="Q98" s="3517"/>
      <c r="R98" s="1843"/>
      <c r="S98" s="1843"/>
      <c r="T98" s="1963"/>
      <c r="U98" s="1963"/>
      <c r="V98" s="1963"/>
      <c r="W98" s="1963"/>
    </row>
    <row r="99" spans="1:23">
      <c r="A99" s="3413"/>
      <c r="B99" s="3413"/>
      <c r="C99" s="3413"/>
      <c r="I99" s="1843"/>
      <c r="J99" s="1843"/>
      <c r="K99" s="1843"/>
      <c r="L99" s="1843"/>
      <c r="M99" s="1843"/>
      <c r="N99" s="1843"/>
      <c r="O99" s="2618"/>
      <c r="P99" s="2618"/>
      <c r="Q99" s="3517"/>
      <c r="R99" s="1843"/>
      <c r="S99" s="1843"/>
      <c r="T99" s="1963"/>
      <c r="U99" s="1963"/>
      <c r="V99" s="1963"/>
      <c r="W99" s="1963"/>
    </row>
    <row r="100" spans="1:23">
      <c r="A100" s="3413"/>
      <c r="B100" s="3413"/>
      <c r="C100" s="3413"/>
      <c r="I100" s="1843"/>
      <c r="J100" s="1843"/>
      <c r="K100" s="1843"/>
      <c r="L100" s="1843"/>
      <c r="M100" s="1843"/>
      <c r="N100" s="1843"/>
      <c r="O100" s="2618"/>
      <c r="P100" s="2618"/>
      <c r="Q100" s="3517"/>
      <c r="R100" s="1843"/>
      <c r="S100" s="1843"/>
      <c r="T100" s="1963"/>
      <c r="U100" s="1963"/>
      <c r="V100" s="1963"/>
      <c r="W100" s="1963"/>
    </row>
    <row r="101" spans="1:23">
      <c r="A101" s="3413"/>
      <c r="B101" s="3413"/>
      <c r="C101" s="3413"/>
      <c r="I101" s="1843"/>
      <c r="J101" s="1843"/>
      <c r="K101" s="1843"/>
      <c r="L101" s="1843"/>
      <c r="M101" s="1843"/>
      <c r="N101" s="1843"/>
      <c r="O101" s="2618"/>
      <c r="P101" s="2618"/>
      <c r="Q101" s="3517"/>
      <c r="R101" s="1843"/>
      <c r="S101" s="1843"/>
      <c r="T101" s="1963"/>
      <c r="U101" s="1963"/>
      <c r="V101" s="1963"/>
      <c r="W101" s="1963"/>
    </row>
    <row r="102" spans="1:23">
      <c r="A102" s="3413"/>
      <c r="B102" s="3413"/>
      <c r="C102" s="3413"/>
      <c r="I102" s="1843"/>
      <c r="J102" s="1843"/>
      <c r="K102" s="1843"/>
      <c r="L102" s="1843"/>
      <c r="M102" s="1843"/>
      <c r="N102" s="1843"/>
      <c r="O102" s="2618"/>
      <c r="P102" s="2618"/>
      <c r="Q102" s="3517"/>
      <c r="R102" s="1843"/>
      <c r="S102" s="1843"/>
      <c r="T102" s="1963"/>
      <c r="U102" s="1963"/>
      <c r="V102" s="1963"/>
      <c r="W102" s="1963"/>
    </row>
    <row r="103" spans="1:23">
      <c r="A103" s="3413"/>
      <c r="B103" s="3413"/>
      <c r="C103" s="3413"/>
      <c r="I103" s="1843"/>
      <c r="J103" s="1843"/>
      <c r="K103" s="1843"/>
      <c r="L103" s="1843"/>
      <c r="M103" s="1843"/>
      <c r="N103" s="1843"/>
      <c r="O103" s="2618"/>
      <c r="P103" s="2618"/>
      <c r="Q103" s="3517"/>
      <c r="R103" s="1843"/>
      <c r="S103" s="1843"/>
      <c r="T103" s="1963"/>
      <c r="U103" s="1963"/>
      <c r="V103" s="1963"/>
      <c r="W103" s="1963"/>
    </row>
    <row r="104" spans="1:23">
      <c r="A104" s="3413"/>
      <c r="B104" s="3413"/>
      <c r="C104" s="3413"/>
      <c r="I104" s="1843"/>
      <c r="J104" s="1843"/>
      <c r="K104" s="1843"/>
      <c r="L104" s="1843"/>
      <c r="M104" s="1843"/>
      <c r="N104" s="1843"/>
      <c r="O104" s="2618"/>
      <c r="P104" s="2618"/>
      <c r="Q104" s="3517"/>
      <c r="R104" s="1843"/>
      <c r="S104" s="1843"/>
      <c r="T104" s="1963"/>
      <c r="U104" s="1963"/>
      <c r="V104" s="1963"/>
      <c r="W104" s="1963"/>
    </row>
    <row r="105" spans="1:23">
      <c r="A105" s="3413"/>
      <c r="B105" s="3413"/>
      <c r="C105" s="3413"/>
      <c r="I105" s="1843"/>
      <c r="J105" s="1843"/>
      <c r="K105" s="1843"/>
      <c r="L105" s="1843"/>
      <c r="M105" s="1843"/>
      <c r="N105" s="1843"/>
      <c r="O105" s="2618"/>
      <c r="P105" s="2618"/>
      <c r="Q105" s="3517"/>
      <c r="R105" s="1843"/>
      <c r="S105" s="1843"/>
      <c r="T105" s="1963"/>
      <c r="U105" s="1963"/>
      <c r="V105" s="1963"/>
      <c r="W105" s="1963"/>
    </row>
    <row r="106" spans="1:23">
      <c r="A106" s="3413"/>
      <c r="B106" s="3413"/>
      <c r="C106" s="3413"/>
      <c r="I106" s="1843"/>
      <c r="J106" s="1843"/>
      <c r="K106" s="1843"/>
      <c r="L106" s="1843"/>
      <c r="M106" s="1843"/>
      <c r="N106" s="1843"/>
      <c r="O106" s="2618"/>
      <c r="P106" s="2618"/>
      <c r="Q106" s="3517"/>
      <c r="R106" s="1843"/>
      <c r="S106" s="1843"/>
      <c r="T106" s="1963"/>
      <c r="U106" s="1963"/>
      <c r="V106" s="1963"/>
      <c r="W106" s="1963"/>
    </row>
    <row r="107" spans="1:23">
      <c r="A107" s="3413"/>
      <c r="B107" s="3413"/>
      <c r="C107" s="3413"/>
      <c r="I107" s="1843"/>
      <c r="J107" s="1843"/>
      <c r="K107" s="1843"/>
      <c r="L107" s="1843"/>
      <c r="M107" s="1843"/>
      <c r="N107" s="1843"/>
      <c r="O107" s="2618"/>
      <c r="P107" s="2618"/>
      <c r="Q107" s="3517"/>
      <c r="R107" s="1843"/>
      <c r="S107" s="1843"/>
      <c r="T107" s="1963"/>
      <c r="U107" s="1963"/>
      <c r="V107" s="1963"/>
      <c r="W107" s="1963"/>
    </row>
    <row r="108" spans="1:23">
      <c r="A108" s="3413"/>
      <c r="B108" s="3413"/>
      <c r="C108" s="3413"/>
      <c r="I108" s="1843"/>
      <c r="J108" s="1843"/>
      <c r="K108" s="1843"/>
      <c r="L108" s="1843"/>
      <c r="M108" s="1843"/>
      <c r="N108" s="1843"/>
      <c r="O108" s="2618"/>
      <c r="P108" s="2618"/>
      <c r="Q108" s="3517"/>
      <c r="R108" s="1843"/>
      <c r="S108" s="1843"/>
      <c r="T108" s="1963"/>
      <c r="U108" s="1963"/>
      <c r="V108" s="1963"/>
      <c r="W108" s="1963"/>
    </row>
    <row r="109" spans="1:23">
      <c r="A109" s="3413"/>
      <c r="B109" s="3413"/>
      <c r="C109" s="3413"/>
      <c r="I109" s="1843"/>
      <c r="J109" s="1843"/>
      <c r="K109" s="1843"/>
      <c r="L109" s="1843"/>
      <c r="M109" s="1843"/>
      <c r="N109" s="1843"/>
      <c r="O109" s="2618"/>
      <c r="P109" s="2618"/>
      <c r="Q109" s="3517"/>
      <c r="R109" s="1843"/>
      <c r="S109" s="1843"/>
      <c r="T109" s="1963"/>
      <c r="U109" s="1963"/>
      <c r="V109" s="1963"/>
      <c r="W109" s="1963"/>
    </row>
    <row r="110" spans="1:23">
      <c r="A110" s="3413"/>
      <c r="B110" s="3413"/>
      <c r="C110" s="3413"/>
      <c r="I110" s="1843"/>
      <c r="J110" s="1843"/>
      <c r="K110" s="1843"/>
      <c r="L110" s="1843"/>
      <c r="M110" s="1843"/>
      <c r="N110" s="1843"/>
      <c r="O110" s="2618"/>
      <c r="P110" s="2618"/>
      <c r="Q110" s="3517"/>
      <c r="R110" s="1843"/>
      <c r="S110" s="1843"/>
      <c r="T110" s="1963"/>
      <c r="U110" s="1963"/>
      <c r="V110" s="1963"/>
      <c r="W110" s="1963"/>
    </row>
    <row r="111" spans="1:23">
      <c r="A111" s="3413"/>
      <c r="B111" s="3413"/>
      <c r="C111" s="3413"/>
      <c r="I111" s="1843"/>
      <c r="J111" s="1843"/>
      <c r="K111" s="1843"/>
      <c r="L111" s="1843"/>
      <c r="M111" s="1843"/>
      <c r="N111" s="1843"/>
      <c r="O111" s="2618"/>
      <c r="P111" s="2618"/>
      <c r="Q111" s="3517"/>
      <c r="R111" s="1843"/>
      <c r="S111" s="1843"/>
      <c r="T111" s="1963"/>
      <c r="U111" s="1963"/>
      <c r="V111" s="1963"/>
      <c r="W111" s="1963"/>
    </row>
    <row r="112" spans="1:23">
      <c r="A112" s="3413"/>
      <c r="B112" s="3413"/>
      <c r="C112" s="3413"/>
      <c r="I112" s="1843"/>
      <c r="J112" s="1843"/>
      <c r="K112" s="1843"/>
      <c r="L112" s="1843"/>
      <c r="M112" s="1843"/>
      <c r="N112" s="1843"/>
      <c r="O112" s="2618"/>
      <c r="P112" s="2618"/>
      <c r="Q112" s="3517"/>
      <c r="R112" s="1843"/>
      <c r="S112" s="1843"/>
      <c r="T112" s="1963"/>
      <c r="U112" s="1963"/>
      <c r="V112" s="1963"/>
      <c r="W112" s="1963"/>
    </row>
    <row r="113" spans="1:23">
      <c r="A113" s="3413"/>
      <c r="B113" s="3413"/>
      <c r="C113" s="3413"/>
      <c r="I113" s="1843"/>
      <c r="J113" s="1843"/>
      <c r="K113" s="1843"/>
      <c r="L113" s="1843"/>
      <c r="M113" s="1843"/>
      <c r="N113" s="1843"/>
      <c r="O113" s="2618"/>
      <c r="P113" s="2618"/>
      <c r="Q113" s="3517"/>
      <c r="R113" s="1843"/>
      <c r="S113" s="1843"/>
      <c r="T113" s="1963"/>
      <c r="U113" s="1963"/>
      <c r="V113" s="1963"/>
      <c r="W113" s="1963"/>
    </row>
    <row r="114" spans="1:23">
      <c r="A114" s="3413"/>
      <c r="B114" s="3413"/>
      <c r="C114" s="3413"/>
      <c r="I114" s="1843"/>
      <c r="J114" s="1843"/>
      <c r="K114" s="1843"/>
      <c r="L114" s="1843"/>
      <c r="M114" s="1843"/>
      <c r="N114" s="1843"/>
      <c r="O114" s="2618"/>
      <c r="P114" s="2618"/>
      <c r="Q114" s="3517"/>
      <c r="R114" s="1843"/>
      <c r="S114" s="1843"/>
      <c r="T114" s="1963"/>
      <c r="U114" s="1963"/>
      <c r="V114" s="1963"/>
      <c r="W114" s="1963"/>
    </row>
    <row r="115" spans="1:23">
      <c r="A115" s="3413"/>
      <c r="B115" s="3413"/>
      <c r="C115" s="3413"/>
      <c r="I115" s="1843"/>
      <c r="J115" s="1843"/>
      <c r="K115" s="1843"/>
      <c r="L115" s="1843"/>
      <c r="M115" s="1843"/>
      <c r="N115" s="1843"/>
      <c r="O115" s="2618"/>
      <c r="P115" s="2618"/>
      <c r="Q115" s="3517"/>
      <c r="R115" s="1843"/>
      <c r="S115" s="1843"/>
      <c r="T115" s="1963"/>
      <c r="U115" s="1963"/>
      <c r="V115" s="1963"/>
      <c r="W115" s="1963"/>
    </row>
    <row r="116" spans="1:23">
      <c r="A116" s="3413"/>
      <c r="B116" s="3413"/>
      <c r="C116" s="3413"/>
      <c r="I116" s="1843"/>
      <c r="J116" s="1843"/>
      <c r="K116" s="1843"/>
      <c r="L116" s="1843"/>
      <c r="M116" s="1843"/>
      <c r="N116" s="1843"/>
      <c r="O116" s="2618"/>
      <c r="P116" s="2618"/>
      <c r="Q116" s="3517"/>
      <c r="R116" s="1843"/>
      <c r="S116" s="1843"/>
      <c r="T116" s="1963"/>
      <c r="U116" s="1963"/>
      <c r="V116" s="1963"/>
      <c r="W116" s="1963"/>
    </row>
    <row r="117" spans="1:23">
      <c r="A117" s="3413"/>
      <c r="B117" s="3413"/>
      <c r="C117" s="3413"/>
      <c r="I117" s="1843"/>
      <c r="J117" s="1843"/>
      <c r="K117" s="1843"/>
      <c r="L117" s="1843"/>
      <c r="M117" s="1843"/>
      <c r="N117" s="1843"/>
      <c r="O117" s="2618"/>
      <c r="P117" s="2618"/>
      <c r="Q117" s="3517"/>
      <c r="R117" s="1843"/>
      <c r="S117" s="1843"/>
      <c r="T117" s="1963"/>
      <c r="U117" s="1963"/>
      <c r="V117" s="1963"/>
      <c r="W117" s="1963"/>
    </row>
    <row r="118" spans="1:23">
      <c r="A118" s="3413"/>
      <c r="B118" s="3413"/>
      <c r="C118" s="3413"/>
      <c r="I118" s="1843"/>
      <c r="J118" s="1843"/>
      <c r="K118" s="1843"/>
      <c r="L118" s="1843"/>
      <c r="M118" s="1843"/>
      <c r="N118" s="1843"/>
      <c r="O118" s="2618"/>
      <c r="P118" s="2618"/>
      <c r="Q118" s="3517"/>
      <c r="R118" s="1843"/>
      <c r="S118" s="1843"/>
      <c r="T118" s="1963"/>
      <c r="U118" s="1963"/>
      <c r="V118" s="1963"/>
      <c r="W118" s="1963"/>
    </row>
    <row r="119" spans="1:23">
      <c r="A119" s="3413"/>
      <c r="B119" s="3413"/>
      <c r="C119" s="3413"/>
      <c r="I119" s="1843"/>
      <c r="J119" s="1843"/>
      <c r="K119" s="1843"/>
      <c r="L119" s="1843"/>
      <c r="M119" s="1843"/>
      <c r="N119" s="1843"/>
      <c r="O119" s="2618"/>
      <c r="P119" s="2618"/>
      <c r="Q119" s="3517"/>
      <c r="R119" s="1843"/>
      <c r="S119" s="1843"/>
      <c r="T119" s="1963"/>
      <c r="U119" s="1963"/>
      <c r="V119" s="1963"/>
      <c r="W119" s="1963"/>
    </row>
    <row r="120" spans="1:23">
      <c r="A120" s="3413"/>
      <c r="B120" s="3413"/>
      <c r="C120" s="3413"/>
      <c r="I120" s="1843"/>
      <c r="J120" s="1843"/>
      <c r="K120" s="1843"/>
      <c r="L120" s="1843"/>
      <c r="M120" s="1843"/>
      <c r="N120" s="1843"/>
      <c r="O120" s="2618"/>
      <c r="P120" s="2618"/>
      <c r="Q120" s="3517"/>
      <c r="R120" s="1843"/>
      <c r="S120" s="1843"/>
      <c r="T120" s="1963"/>
      <c r="U120" s="1963"/>
      <c r="V120" s="1963"/>
      <c r="W120" s="1963"/>
    </row>
    <row r="121" spans="1:23">
      <c r="A121" s="3413"/>
      <c r="B121" s="3413"/>
      <c r="C121" s="3413"/>
      <c r="I121" s="1843"/>
      <c r="J121" s="1843"/>
      <c r="K121" s="1843"/>
      <c r="L121" s="1843"/>
      <c r="M121" s="1843"/>
      <c r="N121" s="1843"/>
      <c r="O121" s="2618"/>
      <c r="P121" s="2618"/>
      <c r="Q121" s="3517"/>
      <c r="R121" s="1843"/>
      <c r="S121" s="1843"/>
      <c r="T121" s="1963"/>
      <c r="U121" s="1963"/>
      <c r="V121" s="1963"/>
      <c r="W121" s="1963"/>
    </row>
    <row r="122" spans="1:23">
      <c r="A122" s="3413"/>
      <c r="B122" s="3413"/>
      <c r="C122" s="3413"/>
      <c r="I122" s="1843"/>
      <c r="J122" s="1843"/>
      <c r="K122" s="1843"/>
      <c r="L122" s="1843"/>
      <c r="M122" s="1843"/>
      <c r="N122" s="1843"/>
      <c r="O122" s="2618"/>
      <c r="P122" s="2618"/>
      <c r="Q122" s="3517"/>
      <c r="R122" s="1843"/>
      <c r="S122" s="1843"/>
      <c r="T122" s="1963"/>
      <c r="U122" s="1963"/>
      <c r="V122" s="1963"/>
      <c r="W122" s="1963"/>
    </row>
    <row r="123" spans="1:23">
      <c r="I123" s="1843"/>
      <c r="J123" s="1843"/>
      <c r="K123" s="1843"/>
      <c r="L123" s="1843"/>
      <c r="M123" s="1843"/>
      <c r="N123" s="1843"/>
      <c r="O123" s="2618"/>
      <c r="P123" s="2618"/>
      <c r="Q123" s="3517"/>
      <c r="R123" s="1843"/>
      <c r="S123" s="1843"/>
      <c r="T123" s="1963"/>
      <c r="U123" s="1963"/>
      <c r="V123" s="1963"/>
      <c r="W123" s="1963"/>
    </row>
    <row r="124" spans="1:23">
      <c r="I124" s="1843"/>
      <c r="J124" s="1843"/>
      <c r="K124" s="1843"/>
      <c r="L124" s="1843"/>
      <c r="M124" s="1843"/>
      <c r="N124" s="1843"/>
      <c r="O124" s="2618"/>
      <c r="P124" s="2618"/>
      <c r="Q124" s="3517"/>
      <c r="R124" s="1843"/>
      <c r="S124" s="1843"/>
      <c r="T124" s="1963"/>
      <c r="U124" s="1963"/>
      <c r="V124" s="1963"/>
      <c r="W124" s="1963"/>
    </row>
    <row r="125" spans="1:23">
      <c r="I125" s="1843"/>
      <c r="J125" s="1843"/>
      <c r="K125" s="1843"/>
      <c r="L125" s="1843"/>
      <c r="M125" s="1843"/>
      <c r="N125" s="1843"/>
      <c r="R125" s="1843"/>
      <c r="S125" s="1843"/>
      <c r="T125" s="1963"/>
      <c r="U125" s="1963"/>
      <c r="V125" s="1963"/>
      <c r="W125" s="1963"/>
    </row>
    <row r="126" spans="1:23">
      <c r="I126" s="1843"/>
      <c r="J126" s="1843"/>
      <c r="K126" s="1843"/>
      <c r="L126" s="1843"/>
      <c r="M126" s="1843"/>
      <c r="N126" s="1843"/>
      <c r="R126" s="1843"/>
      <c r="S126" s="1843"/>
      <c r="T126" s="1963"/>
      <c r="U126" s="1963"/>
      <c r="V126" s="1963"/>
      <c r="W126" s="1963"/>
    </row>
    <row r="127" spans="1:23">
      <c r="I127" s="1843"/>
      <c r="J127" s="1843"/>
      <c r="K127" s="1843"/>
      <c r="L127" s="1843"/>
      <c r="M127" s="1843"/>
      <c r="N127" s="1843"/>
      <c r="R127" s="1843"/>
      <c r="S127" s="1843"/>
      <c r="T127" s="1963"/>
      <c r="U127" s="1963"/>
      <c r="V127" s="1963"/>
      <c r="W127" s="1963"/>
    </row>
    <row r="128" spans="1:23">
      <c r="I128" s="1843"/>
    </row>
  </sheetData>
  <mergeCells count="65">
    <mergeCell ref="D72:E72"/>
    <mergeCell ref="D73:E73"/>
    <mergeCell ref="D74:E74"/>
    <mergeCell ref="D80:E80"/>
    <mergeCell ref="D75:E75"/>
    <mergeCell ref="D76:E76"/>
    <mergeCell ref="D77:E77"/>
    <mergeCell ref="D78:E78"/>
    <mergeCell ref="D79:E79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40:E40"/>
    <mergeCell ref="D41:E41"/>
    <mergeCell ref="D42:E42"/>
    <mergeCell ref="P52:R52"/>
    <mergeCell ref="P54:R54"/>
    <mergeCell ref="D35:E35"/>
    <mergeCell ref="D36:E36"/>
    <mergeCell ref="D37:E37"/>
    <mergeCell ref="D38:E38"/>
    <mergeCell ref="D39:E39"/>
    <mergeCell ref="D13:E13"/>
    <mergeCell ref="D18:E18"/>
    <mergeCell ref="D19:E19"/>
    <mergeCell ref="D20:E20"/>
    <mergeCell ref="D21:E21"/>
    <mergeCell ref="D3:R3"/>
    <mergeCell ref="D4:R4"/>
    <mergeCell ref="D11:E11"/>
    <mergeCell ref="D12:E12"/>
    <mergeCell ref="P12:R12"/>
    <mergeCell ref="P14:R14"/>
    <mergeCell ref="D15:E15"/>
    <mergeCell ref="D17:E17"/>
    <mergeCell ref="D22:E22"/>
    <mergeCell ref="D23:E23"/>
    <mergeCell ref="D84:E84"/>
    <mergeCell ref="D83:E83"/>
    <mergeCell ref="D82:E82"/>
    <mergeCell ref="D81:E81"/>
    <mergeCell ref="D14:E14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3" orientation="portrait" r:id="rId1"/>
  <headerFooter alignWithMargins="0">
    <oddFooter>&amp;C&amp;"+,Regular"&amp;22-57-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31"/>
  <sheetViews>
    <sheetView topLeftCell="A76" zoomScale="75" zoomScaleNormal="75" workbookViewId="0">
      <selection activeCell="I91" sqref="I91"/>
    </sheetView>
  </sheetViews>
  <sheetFormatPr defaultColWidth="9.42578125" defaultRowHeight="20.25"/>
  <cols>
    <col min="1" max="3" width="10.140625" style="1174" customWidth="1"/>
    <col min="4" max="4" width="4.140625" style="1192" customWidth="1"/>
    <col min="5" max="5" width="2.42578125" style="1192" customWidth="1"/>
    <col min="6" max="6" width="6.5703125" style="1192" customWidth="1"/>
    <col min="7" max="7" width="17.42578125" style="1192" bestFit="1" customWidth="1"/>
    <col min="8" max="9" width="13.28515625" style="1192" customWidth="1"/>
    <col min="10" max="10" width="13" style="1192" customWidth="1"/>
    <col min="11" max="11" width="14.42578125" style="1192" bestFit="1" customWidth="1"/>
    <col min="12" max="12" width="13.85546875" style="1192" bestFit="1" customWidth="1"/>
    <col min="13" max="13" width="12.140625" style="1192" customWidth="1"/>
    <col min="14" max="14" width="14.42578125" style="1192" customWidth="1"/>
    <col min="15" max="15" width="15" style="1192" customWidth="1"/>
    <col min="16" max="16" width="7.42578125" style="1192" hidden="1" customWidth="1"/>
    <col min="17" max="17" width="12.85546875" style="1793" customWidth="1"/>
    <col min="18" max="18" width="1.42578125" style="1192" hidden="1" customWidth="1"/>
    <col min="19" max="246" width="12" style="1174" customWidth="1"/>
    <col min="247" max="258" width="9.42578125" style="1174"/>
    <col min="259" max="259" width="10.140625" style="1174" customWidth="1"/>
    <col min="260" max="260" width="4.140625" style="1174" customWidth="1"/>
    <col min="261" max="261" width="2.42578125" style="1174" customWidth="1"/>
    <col min="262" max="262" width="6.5703125" style="1174" customWidth="1"/>
    <col min="263" max="263" width="15.42578125" style="1174" customWidth="1"/>
    <col min="264" max="265" width="13.28515625" style="1174" customWidth="1"/>
    <col min="266" max="266" width="13" style="1174" customWidth="1"/>
    <col min="267" max="267" width="12.140625" style="1174" bestFit="1" customWidth="1"/>
    <col min="268" max="268" width="12.42578125" style="1174" bestFit="1" customWidth="1"/>
    <col min="269" max="269" width="12.140625" style="1174" customWidth="1"/>
    <col min="270" max="270" width="14.42578125" style="1174" customWidth="1"/>
    <col min="271" max="271" width="13.42578125" style="1174" customWidth="1"/>
    <col min="272" max="272" width="0" style="1174" hidden="1" customWidth="1"/>
    <col min="273" max="273" width="12.85546875" style="1174" customWidth="1"/>
    <col min="274" max="274" width="0" style="1174" hidden="1" customWidth="1"/>
    <col min="275" max="502" width="12" style="1174" customWidth="1"/>
    <col min="503" max="514" width="9.42578125" style="1174"/>
    <col min="515" max="515" width="10.140625" style="1174" customWidth="1"/>
    <col min="516" max="516" width="4.140625" style="1174" customWidth="1"/>
    <col min="517" max="517" width="2.42578125" style="1174" customWidth="1"/>
    <col min="518" max="518" width="6.5703125" style="1174" customWidth="1"/>
    <col min="519" max="519" width="15.42578125" style="1174" customWidth="1"/>
    <col min="520" max="521" width="13.28515625" style="1174" customWidth="1"/>
    <col min="522" max="522" width="13" style="1174" customWidth="1"/>
    <col min="523" max="523" width="12.140625" style="1174" bestFit="1" customWidth="1"/>
    <col min="524" max="524" width="12.42578125" style="1174" bestFit="1" customWidth="1"/>
    <col min="525" max="525" width="12.140625" style="1174" customWidth="1"/>
    <col min="526" max="526" width="14.42578125" style="1174" customWidth="1"/>
    <col min="527" max="527" width="13.42578125" style="1174" customWidth="1"/>
    <col min="528" max="528" width="0" style="1174" hidden="1" customWidth="1"/>
    <col min="529" max="529" width="12.85546875" style="1174" customWidth="1"/>
    <col min="530" max="530" width="0" style="1174" hidden="1" customWidth="1"/>
    <col min="531" max="758" width="12" style="1174" customWidth="1"/>
    <col min="759" max="770" width="9.42578125" style="1174"/>
    <col min="771" max="771" width="10.140625" style="1174" customWidth="1"/>
    <col min="772" max="772" width="4.140625" style="1174" customWidth="1"/>
    <col min="773" max="773" width="2.42578125" style="1174" customWidth="1"/>
    <col min="774" max="774" width="6.5703125" style="1174" customWidth="1"/>
    <col min="775" max="775" width="15.42578125" style="1174" customWidth="1"/>
    <col min="776" max="777" width="13.28515625" style="1174" customWidth="1"/>
    <col min="778" max="778" width="13" style="1174" customWidth="1"/>
    <col min="779" max="779" width="12.140625" style="1174" bestFit="1" customWidth="1"/>
    <col min="780" max="780" width="12.42578125" style="1174" bestFit="1" customWidth="1"/>
    <col min="781" max="781" width="12.140625" style="1174" customWidth="1"/>
    <col min="782" max="782" width="14.42578125" style="1174" customWidth="1"/>
    <col min="783" max="783" width="13.42578125" style="1174" customWidth="1"/>
    <col min="784" max="784" width="0" style="1174" hidden="1" customWidth="1"/>
    <col min="785" max="785" width="12.85546875" style="1174" customWidth="1"/>
    <col min="786" max="786" width="0" style="1174" hidden="1" customWidth="1"/>
    <col min="787" max="1014" width="12" style="1174" customWidth="1"/>
    <col min="1015" max="1026" width="9.42578125" style="1174"/>
    <col min="1027" max="1027" width="10.140625" style="1174" customWidth="1"/>
    <col min="1028" max="1028" width="4.140625" style="1174" customWidth="1"/>
    <col min="1029" max="1029" width="2.42578125" style="1174" customWidth="1"/>
    <col min="1030" max="1030" width="6.5703125" style="1174" customWidth="1"/>
    <col min="1031" max="1031" width="15.42578125" style="1174" customWidth="1"/>
    <col min="1032" max="1033" width="13.28515625" style="1174" customWidth="1"/>
    <col min="1034" max="1034" width="13" style="1174" customWidth="1"/>
    <col min="1035" max="1035" width="12.140625" style="1174" bestFit="1" customWidth="1"/>
    <col min="1036" max="1036" width="12.42578125" style="1174" bestFit="1" customWidth="1"/>
    <col min="1037" max="1037" width="12.140625" style="1174" customWidth="1"/>
    <col min="1038" max="1038" width="14.42578125" style="1174" customWidth="1"/>
    <col min="1039" max="1039" width="13.42578125" style="1174" customWidth="1"/>
    <col min="1040" max="1040" width="0" style="1174" hidden="1" customWidth="1"/>
    <col min="1041" max="1041" width="12.85546875" style="1174" customWidth="1"/>
    <col min="1042" max="1042" width="0" style="1174" hidden="1" customWidth="1"/>
    <col min="1043" max="1270" width="12" style="1174" customWidth="1"/>
    <col min="1271" max="1282" width="9.42578125" style="1174"/>
    <col min="1283" max="1283" width="10.140625" style="1174" customWidth="1"/>
    <col min="1284" max="1284" width="4.140625" style="1174" customWidth="1"/>
    <col min="1285" max="1285" width="2.42578125" style="1174" customWidth="1"/>
    <col min="1286" max="1286" width="6.5703125" style="1174" customWidth="1"/>
    <col min="1287" max="1287" width="15.42578125" style="1174" customWidth="1"/>
    <col min="1288" max="1289" width="13.28515625" style="1174" customWidth="1"/>
    <col min="1290" max="1290" width="13" style="1174" customWidth="1"/>
    <col min="1291" max="1291" width="12.140625" style="1174" bestFit="1" customWidth="1"/>
    <col min="1292" max="1292" width="12.42578125" style="1174" bestFit="1" customWidth="1"/>
    <col min="1293" max="1293" width="12.140625" style="1174" customWidth="1"/>
    <col min="1294" max="1294" width="14.42578125" style="1174" customWidth="1"/>
    <col min="1295" max="1295" width="13.42578125" style="1174" customWidth="1"/>
    <col min="1296" max="1296" width="0" style="1174" hidden="1" customWidth="1"/>
    <col min="1297" max="1297" width="12.85546875" style="1174" customWidth="1"/>
    <col min="1298" max="1298" width="0" style="1174" hidden="1" customWidth="1"/>
    <col min="1299" max="1526" width="12" style="1174" customWidth="1"/>
    <col min="1527" max="1538" width="9.42578125" style="1174"/>
    <col min="1539" max="1539" width="10.140625" style="1174" customWidth="1"/>
    <col min="1540" max="1540" width="4.140625" style="1174" customWidth="1"/>
    <col min="1541" max="1541" width="2.42578125" style="1174" customWidth="1"/>
    <col min="1542" max="1542" width="6.5703125" style="1174" customWidth="1"/>
    <col min="1543" max="1543" width="15.42578125" style="1174" customWidth="1"/>
    <col min="1544" max="1545" width="13.28515625" style="1174" customWidth="1"/>
    <col min="1546" max="1546" width="13" style="1174" customWidth="1"/>
    <col min="1547" max="1547" width="12.140625" style="1174" bestFit="1" customWidth="1"/>
    <col min="1548" max="1548" width="12.42578125" style="1174" bestFit="1" customWidth="1"/>
    <col min="1549" max="1549" width="12.140625" style="1174" customWidth="1"/>
    <col min="1550" max="1550" width="14.42578125" style="1174" customWidth="1"/>
    <col min="1551" max="1551" width="13.42578125" style="1174" customWidth="1"/>
    <col min="1552" max="1552" width="0" style="1174" hidden="1" customWidth="1"/>
    <col min="1553" max="1553" width="12.85546875" style="1174" customWidth="1"/>
    <col min="1554" max="1554" width="0" style="1174" hidden="1" customWidth="1"/>
    <col min="1555" max="1782" width="12" style="1174" customWidth="1"/>
    <col min="1783" max="1794" width="9.42578125" style="1174"/>
    <col min="1795" max="1795" width="10.140625" style="1174" customWidth="1"/>
    <col min="1796" max="1796" width="4.140625" style="1174" customWidth="1"/>
    <col min="1797" max="1797" width="2.42578125" style="1174" customWidth="1"/>
    <col min="1798" max="1798" width="6.5703125" style="1174" customWidth="1"/>
    <col min="1799" max="1799" width="15.42578125" style="1174" customWidth="1"/>
    <col min="1800" max="1801" width="13.28515625" style="1174" customWidth="1"/>
    <col min="1802" max="1802" width="13" style="1174" customWidth="1"/>
    <col min="1803" max="1803" width="12.140625" style="1174" bestFit="1" customWidth="1"/>
    <col min="1804" max="1804" width="12.42578125" style="1174" bestFit="1" customWidth="1"/>
    <col min="1805" max="1805" width="12.140625" style="1174" customWidth="1"/>
    <col min="1806" max="1806" width="14.42578125" style="1174" customWidth="1"/>
    <col min="1807" max="1807" width="13.42578125" style="1174" customWidth="1"/>
    <col min="1808" max="1808" width="0" style="1174" hidden="1" customWidth="1"/>
    <col min="1809" max="1809" width="12.85546875" style="1174" customWidth="1"/>
    <col min="1810" max="1810" width="0" style="1174" hidden="1" customWidth="1"/>
    <col min="1811" max="2038" width="12" style="1174" customWidth="1"/>
    <col min="2039" max="2050" width="9.42578125" style="1174"/>
    <col min="2051" max="2051" width="10.140625" style="1174" customWidth="1"/>
    <col min="2052" max="2052" width="4.140625" style="1174" customWidth="1"/>
    <col min="2053" max="2053" width="2.42578125" style="1174" customWidth="1"/>
    <col min="2054" max="2054" width="6.5703125" style="1174" customWidth="1"/>
    <col min="2055" max="2055" width="15.42578125" style="1174" customWidth="1"/>
    <col min="2056" max="2057" width="13.28515625" style="1174" customWidth="1"/>
    <col min="2058" max="2058" width="13" style="1174" customWidth="1"/>
    <col min="2059" max="2059" width="12.140625" style="1174" bestFit="1" customWidth="1"/>
    <col min="2060" max="2060" width="12.42578125" style="1174" bestFit="1" customWidth="1"/>
    <col min="2061" max="2061" width="12.140625" style="1174" customWidth="1"/>
    <col min="2062" max="2062" width="14.42578125" style="1174" customWidth="1"/>
    <col min="2063" max="2063" width="13.42578125" style="1174" customWidth="1"/>
    <col min="2064" max="2064" width="0" style="1174" hidden="1" customWidth="1"/>
    <col min="2065" max="2065" width="12.85546875" style="1174" customWidth="1"/>
    <col min="2066" max="2066" width="0" style="1174" hidden="1" customWidth="1"/>
    <col min="2067" max="2294" width="12" style="1174" customWidth="1"/>
    <col min="2295" max="2306" width="9.42578125" style="1174"/>
    <col min="2307" max="2307" width="10.140625" style="1174" customWidth="1"/>
    <col min="2308" max="2308" width="4.140625" style="1174" customWidth="1"/>
    <col min="2309" max="2309" width="2.42578125" style="1174" customWidth="1"/>
    <col min="2310" max="2310" width="6.5703125" style="1174" customWidth="1"/>
    <col min="2311" max="2311" width="15.42578125" style="1174" customWidth="1"/>
    <col min="2312" max="2313" width="13.28515625" style="1174" customWidth="1"/>
    <col min="2314" max="2314" width="13" style="1174" customWidth="1"/>
    <col min="2315" max="2315" width="12.140625" style="1174" bestFit="1" customWidth="1"/>
    <col min="2316" max="2316" width="12.42578125" style="1174" bestFit="1" customWidth="1"/>
    <col min="2317" max="2317" width="12.140625" style="1174" customWidth="1"/>
    <col min="2318" max="2318" width="14.42578125" style="1174" customWidth="1"/>
    <col min="2319" max="2319" width="13.42578125" style="1174" customWidth="1"/>
    <col min="2320" max="2320" width="0" style="1174" hidden="1" customWidth="1"/>
    <col min="2321" max="2321" width="12.85546875" style="1174" customWidth="1"/>
    <col min="2322" max="2322" width="0" style="1174" hidden="1" customWidth="1"/>
    <col min="2323" max="2550" width="12" style="1174" customWidth="1"/>
    <col min="2551" max="2562" width="9.42578125" style="1174"/>
    <col min="2563" max="2563" width="10.140625" style="1174" customWidth="1"/>
    <col min="2564" max="2564" width="4.140625" style="1174" customWidth="1"/>
    <col min="2565" max="2565" width="2.42578125" style="1174" customWidth="1"/>
    <col min="2566" max="2566" width="6.5703125" style="1174" customWidth="1"/>
    <col min="2567" max="2567" width="15.42578125" style="1174" customWidth="1"/>
    <col min="2568" max="2569" width="13.28515625" style="1174" customWidth="1"/>
    <col min="2570" max="2570" width="13" style="1174" customWidth="1"/>
    <col min="2571" max="2571" width="12.140625" style="1174" bestFit="1" customWidth="1"/>
    <col min="2572" max="2572" width="12.42578125" style="1174" bestFit="1" customWidth="1"/>
    <col min="2573" max="2573" width="12.140625" style="1174" customWidth="1"/>
    <col min="2574" max="2574" width="14.42578125" style="1174" customWidth="1"/>
    <col min="2575" max="2575" width="13.42578125" style="1174" customWidth="1"/>
    <col min="2576" max="2576" width="0" style="1174" hidden="1" customWidth="1"/>
    <col min="2577" max="2577" width="12.85546875" style="1174" customWidth="1"/>
    <col min="2578" max="2578" width="0" style="1174" hidden="1" customWidth="1"/>
    <col min="2579" max="2806" width="12" style="1174" customWidth="1"/>
    <col min="2807" max="2818" width="9.42578125" style="1174"/>
    <col min="2819" max="2819" width="10.140625" style="1174" customWidth="1"/>
    <col min="2820" max="2820" width="4.140625" style="1174" customWidth="1"/>
    <col min="2821" max="2821" width="2.42578125" style="1174" customWidth="1"/>
    <col min="2822" max="2822" width="6.5703125" style="1174" customWidth="1"/>
    <col min="2823" max="2823" width="15.42578125" style="1174" customWidth="1"/>
    <col min="2824" max="2825" width="13.28515625" style="1174" customWidth="1"/>
    <col min="2826" max="2826" width="13" style="1174" customWidth="1"/>
    <col min="2827" max="2827" width="12.140625" style="1174" bestFit="1" customWidth="1"/>
    <col min="2828" max="2828" width="12.42578125" style="1174" bestFit="1" customWidth="1"/>
    <col min="2829" max="2829" width="12.140625" style="1174" customWidth="1"/>
    <col min="2830" max="2830" width="14.42578125" style="1174" customWidth="1"/>
    <col min="2831" max="2831" width="13.42578125" style="1174" customWidth="1"/>
    <col min="2832" max="2832" width="0" style="1174" hidden="1" customWidth="1"/>
    <col min="2833" max="2833" width="12.85546875" style="1174" customWidth="1"/>
    <col min="2834" max="2834" width="0" style="1174" hidden="1" customWidth="1"/>
    <col min="2835" max="3062" width="12" style="1174" customWidth="1"/>
    <col min="3063" max="3074" width="9.42578125" style="1174"/>
    <col min="3075" max="3075" width="10.140625" style="1174" customWidth="1"/>
    <col min="3076" max="3076" width="4.140625" style="1174" customWidth="1"/>
    <col min="3077" max="3077" width="2.42578125" style="1174" customWidth="1"/>
    <col min="3078" max="3078" width="6.5703125" style="1174" customWidth="1"/>
    <col min="3079" max="3079" width="15.42578125" style="1174" customWidth="1"/>
    <col min="3080" max="3081" width="13.28515625" style="1174" customWidth="1"/>
    <col min="3082" max="3082" width="13" style="1174" customWidth="1"/>
    <col min="3083" max="3083" width="12.140625" style="1174" bestFit="1" customWidth="1"/>
    <col min="3084" max="3084" width="12.42578125" style="1174" bestFit="1" customWidth="1"/>
    <col min="3085" max="3085" width="12.140625" style="1174" customWidth="1"/>
    <col min="3086" max="3086" width="14.42578125" style="1174" customWidth="1"/>
    <col min="3087" max="3087" width="13.42578125" style="1174" customWidth="1"/>
    <col min="3088" max="3088" width="0" style="1174" hidden="1" customWidth="1"/>
    <col min="3089" max="3089" width="12.85546875" style="1174" customWidth="1"/>
    <col min="3090" max="3090" width="0" style="1174" hidden="1" customWidth="1"/>
    <col min="3091" max="3318" width="12" style="1174" customWidth="1"/>
    <col min="3319" max="3330" width="9.42578125" style="1174"/>
    <col min="3331" max="3331" width="10.140625" style="1174" customWidth="1"/>
    <col min="3332" max="3332" width="4.140625" style="1174" customWidth="1"/>
    <col min="3333" max="3333" width="2.42578125" style="1174" customWidth="1"/>
    <col min="3334" max="3334" width="6.5703125" style="1174" customWidth="1"/>
    <col min="3335" max="3335" width="15.42578125" style="1174" customWidth="1"/>
    <col min="3336" max="3337" width="13.28515625" style="1174" customWidth="1"/>
    <col min="3338" max="3338" width="13" style="1174" customWidth="1"/>
    <col min="3339" max="3339" width="12.140625" style="1174" bestFit="1" customWidth="1"/>
    <col min="3340" max="3340" width="12.42578125" style="1174" bestFit="1" customWidth="1"/>
    <col min="3341" max="3341" width="12.140625" style="1174" customWidth="1"/>
    <col min="3342" max="3342" width="14.42578125" style="1174" customWidth="1"/>
    <col min="3343" max="3343" width="13.42578125" style="1174" customWidth="1"/>
    <col min="3344" max="3344" width="0" style="1174" hidden="1" customWidth="1"/>
    <col min="3345" max="3345" width="12.85546875" style="1174" customWidth="1"/>
    <col min="3346" max="3346" width="0" style="1174" hidden="1" customWidth="1"/>
    <col min="3347" max="3574" width="12" style="1174" customWidth="1"/>
    <col min="3575" max="3586" width="9.42578125" style="1174"/>
    <col min="3587" max="3587" width="10.140625" style="1174" customWidth="1"/>
    <col min="3588" max="3588" width="4.140625" style="1174" customWidth="1"/>
    <col min="3589" max="3589" width="2.42578125" style="1174" customWidth="1"/>
    <col min="3590" max="3590" width="6.5703125" style="1174" customWidth="1"/>
    <col min="3591" max="3591" width="15.42578125" style="1174" customWidth="1"/>
    <col min="3592" max="3593" width="13.28515625" style="1174" customWidth="1"/>
    <col min="3594" max="3594" width="13" style="1174" customWidth="1"/>
    <col min="3595" max="3595" width="12.140625" style="1174" bestFit="1" customWidth="1"/>
    <col min="3596" max="3596" width="12.42578125" style="1174" bestFit="1" customWidth="1"/>
    <col min="3597" max="3597" width="12.140625" style="1174" customWidth="1"/>
    <col min="3598" max="3598" width="14.42578125" style="1174" customWidth="1"/>
    <col min="3599" max="3599" width="13.42578125" style="1174" customWidth="1"/>
    <col min="3600" max="3600" width="0" style="1174" hidden="1" customWidth="1"/>
    <col min="3601" max="3601" width="12.85546875" style="1174" customWidth="1"/>
    <col min="3602" max="3602" width="0" style="1174" hidden="1" customWidth="1"/>
    <col min="3603" max="3830" width="12" style="1174" customWidth="1"/>
    <col min="3831" max="3842" width="9.42578125" style="1174"/>
    <col min="3843" max="3843" width="10.140625" style="1174" customWidth="1"/>
    <col min="3844" max="3844" width="4.140625" style="1174" customWidth="1"/>
    <col min="3845" max="3845" width="2.42578125" style="1174" customWidth="1"/>
    <col min="3846" max="3846" width="6.5703125" style="1174" customWidth="1"/>
    <col min="3847" max="3847" width="15.42578125" style="1174" customWidth="1"/>
    <col min="3848" max="3849" width="13.28515625" style="1174" customWidth="1"/>
    <col min="3850" max="3850" width="13" style="1174" customWidth="1"/>
    <col min="3851" max="3851" width="12.140625" style="1174" bestFit="1" customWidth="1"/>
    <col min="3852" max="3852" width="12.42578125" style="1174" bestFit="1" customWidth="1"/>
    <col min="3853" max="3853" width="12.140625" style="1174" customWidth="1"/>
    <col min="3854" max="3854" width="14.42578125" style="1174" customWidth="1"/>
    <col min="3855" max="3855" width="13.42578125" style="1174" customWidth="1"/>
    <col min="3856" max="3856" width="0" style="1174" hidden="1" customWidth="1"/>
    <col min="3857" max="3857" width="12.85546875" style="1174" customWidth="1"/>
    <col min="3858" max="3858" width="0" style="1174" hidden="1" customWidth="1"/>
    <col min="3859" max="4086" width="12" style="1174" customWidth="1"/>
    <col min="4087" max="4098" width="9.42578125" style="1174"/>
    <col min="4099" max="4099" width="10.140625" style="1174" customWidth="1"/>
    <col min="4100" max="4100" width="4.140625" style="1174" customWidth="1"/>
    <col min="4101" max="4101" width="2.42578125" style="1174" customWidth="1"/>
    <col min="4102" max="4102" width="6.5703125" style="1174" customWidth="1"/>
    <col min="4103" max="4103" width="15.42578125" style="1174" customWidth="1"/>
    <col min="4104" max="4105" width="13.28515625" style="1174" customWidth="1"/>
    <col min="4106" max="4106" width="13" style="1174" customWidth="1"/>
    <col min="4107" max="4107" width="12.140625" style="1174" bestFit="1" customWidth="1"/>
    <col min="4108" max="4108" width="12.42578125" style="1174" bestFit="1" customWidth="1"/>
    <col min="4109" max="4109" width="12.140625" style="1174" customWidth="1"/>
    <col min="4110" max="4110" width="14.42578125" style="1174" customWidth="1"/>
    <col min="4111" max="4111" width="13.42578125" style="1174" customWidth="1"/>
    <col min="4112" max="4112" width="0" style="1174" hidden="1" customWidth="1"/>
    <col min="4113" max="4113" width="12.85546875" style="1174" customWidth="1"/>
    <col min="4114" max="4114" width="0" style="1174" hidden="1" customWidth="1"/>
    <col min="4115" max="4342" width="12" style="1174" customWidth="1"/>
    <col min="4343" max="4354" width="9.42578125" style="1174"/>
    <col min="4355" max="4355" width="10.140625" style="1174" customWidth="1"/>
    <col min="4356" max="4356" width="4.140625" style="1174" customWidth="1"/>
    <col min="4357" max="4357" width="2.42578125" style="1174" customWidth="1"/>
    <col min="4358" max="4358" width="6.5703125" style="1174" customWidth="1"/>
    <col min="4359" max="4359" width="15.42578125" style="1174" customWidth="1"/>
    <col min="4360" max="4361" width="13.28515625" style="1174" customWidth="1"/>
    <col min="4362" max="4362" width="13" style="1174" customWidth="1"/>
    <col min="4363" max="4363" width="12.140625" style="1174" bestFit="1" customWidth="1"/>
    <col min="4364" max="4364" width="12.42578125" style="1174" bestFit="1" customWidth="1"/>
    <col min="4365" max="4365" width="12.140625" style="1174" customWidth="1"/>
    <col min="4366" max="4366" width="14.42578125" style="1174" customWidth="1"/>
    <col min="4367" max="4367" width="13.42578125" style="1174" customWidth="1"/>
    <col min="4368" max="4368" width="0" style="1174" hidden="1" customWidth="1"/>
    <col min="4369" max="4369" width="12.85546875" style="1174" customWidth="1"/>
    <col min="4370" max="4370" width="0" style="1174" hidden="1" customWidth="1"/>
    <col min="4371" max="4598" width="12" style="1174" customWidth="1"/>
    <col min="4599" max="4610" width="9.42578125" style="1174"/>
    <col min="4611" max="4611" width="10.140625" style="1174" customWidth="1"/>
    <col min="4612" max="4612" width="4.140625" style="1174" customWidth="1"/>
    <col min="4613" max="4613" width="2.42578125" style="1174" customWidth="1"/>
    <col min="4614" max="4614" width="6.5703125" style="1174" customWidth="1"/>
    <col min="4615" max="4615" width="15.42578125" style="1174" customWidth="1"/>
    <col min="4616" max="4617" width="13.28515625" style="1174" customWidth="1"/>
    <col min="4618" max="4618" width="13" style="1174" customWidth="1"/>
    <col min="4619" max="4619" width="12.140625" style="1174" bestFit="1" customWidth="1"/>
    <col min="4620" max="4620" width="12.42578125" style="1174" bestFit="1" customWidth="1"/>
    <col min="4621" max="4621" width="12.140625" style="1174" customWidth="1"/>
    <col min="4622" max="4622" width="14.42578125" style="1174" customWidth="1"/>
    <col min="4623" max="4623" width="13.42578125" style="1174" customWidth="1"/>
    <col min="4624" max="4624" width="0" style="1174" hidden="1" customWidth="1"/>
    <col min="4625" max="4625" width="12.85546875" style="1174" customWidth="1"/>
    <col min="4626" max="4626" width="0" style="1174" hidden="1" customWidth="1"/>
    <col min="4627" max="4854" width="12" style="1174" customWidth="1"/>
    <col min="4855" max="4866" width="9.42578125" style="1174"/>
    <col min="4867" max="4867" width="10.140625" style="1174" customWidth="1"/>
    <col min="4868" max="4868" width="4.140625" style="1174" customWidth="1"/>
    <col min="4869" max="4869" width="2.42578125" style="1174" customWidth="1"/>
    <col min="4870" max="4870" width="6.5703125" style="1174" customWidth="1"/>
    <col min="4871" max="4871" width="15.42578125" style="1174" customWidth="1"/>
    <col min="4872" max="4873" width="13.28515625" style="1174" customWidth="1"/>
    <col min="4874" max="4874" width="13" style="1174" customWidth="1"/>
    <col min="4875" max="4875" width="12.140625" style="1174" bestFit="1" customWidth="1"/>
    <col min="4876" max="4876" width="12.42578125" style="1174" bestFit="1" customWidth="1"/>
    <col min="4877" max="4877" width="12.140625" style="1174" customWidth="1"/>
    <col min="4878" max="4878" width="14.42578125" style="1174" customWidth="1"/>
    <col min="4879" max="4879" width="13.42578125" style="1174" customWidth="1"/>
    <col min="4880" max="4880" width="0" style="1174" hidden="1" customWidth="1"/>
    <col min="4881" max="4881" width="12.85546875" style="1174" customWidth="1"/>
    <col min="4882" max="4882" width="0" style="1174" hidden="1" customWidth="1"/>
    <col min="4883" max="5110" width="12" style="1174" customWidth="1"/>
    <col min="5111" max="5122" width="9.42578125" style="1174"/>
    <col min="5123" max="5123" width="10.140625" style="1174" customWidth="1"/>
    <col min="5124" max="5124" width="4.140625" style="1174" customWidth="1"/>
    <col min="5125" max="5125" width="2.42578125" style="1174" customWidth="1"/>
    <col min="5126" max="5126" width="6.5703125" style="1174" customWidth="1"/>
    <col min="5127" max="5127" width="15.42578125" style="1174" customWidth="1"/>
    <col min="5128" max="5129" width="13.28515625" style="1174" customWidth="1"/>
    <col min="5130" max="5130" width="13" style="1174" customWidth="1"/>
    <col min="5131" max="5131" width="12.140625" style="1174" bestFit="1" customWidth="1"/>
    <col min="5132" max="5132" width="12.42578125" style="1174" bestFit="1" customWidth="1"/>
    <col min="5133" max="5133" width="12.140625" style="1174" customWidth="1"/>
    <col min="5134" max="5134" width="14.42578125" style="1174" customWidth="1"/>
    <col min="5135" max="5135" width="13.42578125" style="1174" customWidth="1"/>
    <col min="5136" max="5136" width="0" style="1174" hidden="1" customWidth="1"/>
    <col min="5137" max="5137" width="12.85546875" style="1174" customWidth="1"/>
    <col min="5138" max="5138" width="0" style="1174" hidden="1" customWidth="1"/>
    <col min="5139" max="5366" width="12" style="1174" customWidth="1"/>
    <col min="5367" max="5378" width="9.42578125" style="1174"/>
    <col min="5379" max="5379" width="10.140625" style="1174" customWidth="1"/>
    <col min="5380" max="5380" width="4.140625" style="1174" customWidth="1"/>
    <col min="5381" max="5381" width="2.42578125" style="1174" customWidth="1"/>
    <col min="5382" max="5382" width="6.5703125" style="1174" customWidth="1"/>
    <col min="5383" max="5383" width="15.42578125" style="1174" customWidth="1"/>
    <col min="5384" max="5385" width="13.28515625" style="1174" customWidth="1"/>
    <col min="5386" max="5386" width="13" style="1174" customWidth="1"/>
    <col min="5387" max="5387" width="12.140625" style="1174" bestFit="1" customWidth="1"/>
    <col min="5388" max="5388" width="12.42578125" style="1174" bestFit="1" customWidth="1"/>
    <col min="5389" max="5389" width="12.140625" style="1174" customWidth="1"/>
    <col min="5390" max="5390" width="14.42578125" style="1174" customWidth="1"/>
    <col min="5391" max="5391" width="13.42578125" style="1174" customWidth="1"/>
    <col min="5392" max="5392" width="0" style="1174" hidden="1" customWidth="1"/>
    <col min="5393" max="5393" width="12.85546875" style="1174" customWidth="1"/>
    <col min="5394" max="5394" width="0" style="1174" hidden="1" customWidth="1"/>
    <col min="5395" max="5622" width="12" style="1174" customWidth="1"/>
    <col min="5623" max="5634" width="9.42578125" style="1174"/>
    <col min="5635" max="5635" width="10.140625" style="1174" customWidth="1"/>
    <col min="5636" max="5636" width="4.140625" style="1174" customWidth="1"/>
    <col min="5637" max="5637" width="2.42578125" style="1174" customWidth="1"/>
    <col min="5638" max="5638" width="6.5703125" style="1174" customWidth="1"/>
    <col min="5639" max="5639" width="15.42578125" style="1174" customWidth="1"/>
    <col min="5640" max="5641" width="13.28515625" style="1174" customWidth="1"/>
    <col min="5642" max="5642" width="13" style="1174" customWidth="1"/>
    <col min="5643" max="5643" width="12.140625" style="1174" bestFit="1" customWidth="1"/>
    <col min="5644" max="5644" width="12.42578125" style="1174" bestFit="1" customWidth="1"/>
    <col min="5645" max="5645" width="12.140625" style="1174" customWidth="1"/>
    <col min="5646" max="5646" width="14.42578125" style="1174" customWidth="1"/>
    <col min="5647" max="5647" width="13.42578125" style="1174" customWidth="1"/>
    <col min="5648" max="5648" width="0" style="1174" hidden="1" customWidth="1"/>
    <col min="5649" max="5649" width="12.85546875" style="1174" customWidth="1"/>
    <col min="5650" max="5650" width="0" style="1174" hidden="1" customWidth="1"/>
    <col min="5651" max="5878" width="12" style="1174" customWidth="1"/>
    <col min="5879" max="5890" width="9.42578125" style="1174"/>
    <col min="5891" max="5891" width="10.140625" style="1174" customWidth="1"/>
    <col min="5892" max="5892" width="4.140625" style="1174" customWidth="1"/>
    <col min="5893" max="5893" width="2.42578125" style="1174" customWidth="1"/>
    <col min="5894" max="5894" width="6.5703125" style="1174" customWidth="1"/>
    <col min="5895" max="5895" width="15.42578125" style="1174" customWidth="1"/>
    <col min="5896" max="5897" width="13.28515625" style="1174" customWidth="1"/>
    <col min="5898" max="5898" width="13" style="1174" customWidth="1"/>
    <col min="5899" max="5899" width="12.140625" style="1174" bestFit="1" customWidth="1"/>
    <col min="5900" max="5900" width="12.42578125" style="1174" bestFit="1" customWidth="1"/>
    <col min="5901" max="5901" width="12.140625" style="1174" customWidth="1"/>
    <col min="5902" max="5902" width="14.42578125" style="1174" customWidth="1"/>
    <col min="5903" max="5903" width="13.42578125" style="1174" customWidth="1"/>
    <col min="5904" max="5904" width="0" style="1174" hidden="1" customWidth="1"/>
    <col min="5905" max="5905" width="12.85546875" style="1174" customWidth="1"/>
    <col min="5906" max="5906" width="0" style="1174" hidden="1" customWidth="1"/>
    <col min="5907" max="6134" width="12" style="1174" customWidth="1"/>
    <col min="6135" max="6146" width="9.42578125" style="1174"/>
    <col min="6147" max="6147" width="10.140625" style="1174" customWidth="1"/>
    <col min="6148" max="6148" width="4.140625" style="1174" customWidth="1"/>
    <col min="6149" max="6149" width="2.42578125" style="1174" customWidth="1"/>
    <col min="6150" max="6150" width="6.5703125" style="1174" customWidth="1"/>
    <col min="6151" max="6151" width="15.42578125" style="1174" customWidth="1"/>
    <col min="6152" max="6153" width="13.28515625" style="1174" customWidth="1"/>
    <col min="6154" max="6154" width="13" style="1174" customWidth="1"/>
    <col min="6155" max="6155" width="12.140625" style="1174" bestFit="1" customWidth="1"/>
    <col min="6156" max="6156" width="12.42578125" style="1174" bestFit="1" customWidth="1"/>
    <col min="6157" max="6157" width="12.140625" style="1174" customWidth="1"/>
    <col min="6158" max="6158" width="14.42578125" style="1174" customWidth="1"/>
    <col min="6159" max="6159" width="13.42578125" style="1174" customWidth="1"/>
    <col min="6160" max="6160" width="0" style="1174" hidden="1" customWidth="1"/>
    <col min="6161" max="6161" width="12.85546875" style="1174" customWidth="1"/>
    <col min="6162" max="6162" width="0" style="1174" hidden="1" customWidth="1"/>
    <col min="6163" max="6390" width="12" style="1174" customWidth="1"/>
    <col min="6391" max="6402" width="9.42578125" style="1174"/>
    <col min="6403" max="6403" width="10.140625" style="1174" customWidth="1"/>
    <col min="6404" max="6404" width="4.140625" style="1174" customWidth="1"/>
    <col min="6405" max="6405" width="2.42578125" style="1174" customWidth="1"/>
    <col min="6406" max="6406" width="6.5703125" style="1174" customWidth="1"/>
    <col min="6407" max="6407" width="15.42578125" style="1174" customWidth="1"/>
    <col min="6408" max="6409" width="13.28515625" style="1174" customWidth="1"/>
    <col min="6410" max="6410" width="13" style="1174" customWidth="1"/>
    <col min="6411" max="6411" width="12.140625" style="1174" bestFit="1" customWidth="1"/>
    <col min="6412" max="6412" width="12.42578125" style="1174" bestFit="1" customWidth="1"/>
    <col min="6413" max="6413" width="12.140625" style="1174" customWidth="1"/>
    <col min="6414" max="6414" width="14.42578125" style="1174" customWidth="1"/>
    <col min="6415" max="6415" width="13.42578125" style="1174" customWidth="1"/>
    <col min="6416" max="6416" width="0" style="1174" hidden="1" customWidth="1"/>
    <col min="6417" max="6417" width="12.85546875" style="1174" customWidth="1"/>
    <col min="6418" max="6418" width="0" style="1174" hidden="1" customWidth="1"/>
    <col min="6419" max="6646" width="12" style="1174" customWidth="1"/>
    <col min="6647" max="6658" width="9.42578125" style="1174"/>
    <col min="6659" max="6659" width="10.140625" style="1174" customWidth="1"/>
    <col min="6660" max="6660" width="4.140625" style="1174" customWidth="1"/>
    <col min="6661" max="6661" width="2.42578125" style="1174" customWidth="1"/>
    <col min="6662" max="6662" width="6.5703125" style="1174" customWidth="1"/>
    <col min="6663" max="6663" width="15.42578125" style="1174" customWidth="1"/>
    <col min="6664" max="6665" width="13.28515625" style="1174" customWidth="1"/>
    <col min="6666" max="6666" width="13" style="1174" customWidth="1"/>
    <col min="6667" max="6667" width="12.140625" style="1174" bestFit="1" customWidth="1"/>
    <col min="6668" max="6668" width="12.42578125" style="1174" bestFit="1" customWidth="1"/>
    <col min="6669" max="6669" width="12.140625" style="1174" customWidth="1"/>
    <col min="6670" max="6670" width="14.42578125" style="1174" customWidth="1"/>
    <col min="6671" max="6671" width="13.42578125" style="1174" customWidth="1"/>
    <col min="6672" max="6672" width="0" style="1174" hidden="1" customWidth="1"/>
    <col min="6673" max="6673" width="12.85546875" style="1174" customWidth="1"/>
    <col min="6674" max="6674" width="0" style="1174" hidden="1" customWidth="1"/>
    <col min="6675" max="6902" width="12" style="1174" customWidth="1"/>
    <col min="6903" max="6914" width="9.42578125" style="1174"/>
    <col min="6915" max="6915" width="10.140625" style="1174" customWidth="1"/>
    <col min="6916" max="6916" width="4.140625" style="1174" customWidth="1"/>
    <col min="6917" max="6917" width="2.42578125" style="1174" customWidth="1"/>
    <col min="6918" max="6918" width="6.5703125" style="1174" customWidth="1"/>
    <col min="6919" max="6919" width="15.42578125" style="1174" customWidth="1"/>
    <col min="6920" max="6921" width="13.28515625" style="1174" customWidth="1"/>
    <col min="6922" max="6922" width="13" style="1174" customWidth="1"/>
    <col min="6923" max="6923" width="12.140625" style="1174" bestFit="1" customWidth="1"/>
    <col min="6924" max="6924" width="12.42578125" style="1174" bestFit="1" customWidth="1"/>
    <col min="6925" max="6925" width="12.140625" style="1174" customWidth="1"/>
    <col min="6926" max="6926" width="14.42578125" style="1174" customWidth="1"/>
    <col min="6927" max="6927" width="13.42578125" style="1174" customWidth="1"/>
    <col min="6928" max="6928" width="0" style="1174" hidden="1" customWidth="1"/>
    <col min="6929" max="6929" width="12.85546875" style="1174" customWidth="1"/>
    <col min="6930" max="6930" width="0" style="1174" hidden="1" customWidth="1"/>
    <col min="6931" max="7158" width="12" style="1174" customWidth="1"/>
    <col min="7159" max="7170" width="9.42578125" style="1174"/>
    <col min="7171" max="7171" width="10.140625" style="1174" customWidth="1"/>
    <col min="7172" max="7172" width="4.140625" style="1174" customWidth="1"/>
    <col min="7173" max="7173" width="2.42578125" style="1174" customWidth="1"/>
    <col min="7174" max="7174" width="6.5703125" style="1174" customWidth="1"/>
    <col min="7175" max="7175" width="15.42578125" style="1174" customWidth="1"/>
    <col min="7176" max="7177" width="13.28515625" style="1174" customWidth="1"/>
    <col min="7178" max="7178" width="13" style="1174" customWidth="1"/>
    <col min="7179" max="7179" width="12.140625" style="1174" bestFit="1" customWidth="1"/>
    <col min="7180" max="7180" width="12.42578125" style="1174" bestFit="1" customWidth="1"/>
    <col min="7181" max="7181" width="12.140625" style="1174" customWidth="1"/>
    <col min="7182" max="7182" width="14.42578125" style="1174" customWidth="1"/>
    <col min="7183" max="7183" width="13.42578125" style="1174" customWidth="1"/>
    <col min="7184" max="7184" width="0" style="1174" hidden="1" customWidth="1"/>
    <col min="7185" max="7185" width="12.85546875" style="1174" customWidth="1"/>
    <col min="7186" max="7186" width="0" style="1174" hidden="1" customWidth="1"/>
    <col min="7187" max="7414" width="12" style="1174" customWidth="1"/>
    <col min="7415" max="7426" width="9.42578125" style="1174"/>
    <col min="7427" max="7427" width="10.140625" style="1174" customWidth="1"/>
    <col min="7428" max="7428" width="4.140625" style="1174" customWidth="1"/>
    <col min="7429" max="7429" width="2.42578125" style="1174" customWidth="1"/>
    <col min="7430" max="7430" width="6.5703125" style="1174" customWidth="1"/>
    <col min="7431" max="7431" width="15.42578125" style="1174" customWidth="1"/>
    <col min="7432" max="7433" width="13.28515625" style="1174" customWidth="1"/>
    <col min="7434" max="7434" width="13" style="1174" customWidth="1"/>
    <col min="7435" max="7435" width="12.140625" style="1174" bestFit="1" customWidth="1"/>
    <col min="7436" max="7436" width="12.42578125" style="1174" bestFit="1" customWidth="1"/>
    <col min="7437" max="7437" width="12.140625" style="1174" customWidth="1"/>
    <col min="7438" max="7438" width="14.42578125" style="1174" customWidth="1"/>
    <col min="7439" max="7439" width="13.42578125" style="1174" customWidth="1"/>
    <col min="7440" max="7440" width="0" style="1174" hidden="1" customWidth="1"/>
    <col min="7441" max="7441" width="12.85546875" style="1174" customWidth="1"/>
    <col min="7442" max="7442" width="0" style="1174" hidden="1" customWidth="1"/>
    <col min="7443" max="7670" width="12" style="1174" customWidth="1"/>
    <col min="7671" max="7682" width="9.42578125" style="1174"/>
    <col min="7683" max="7683" width="10.140625" style="1174" customWidth="1"/>
    <col min="7684" max="7684" width="4.140625" style="1174" customWidth="1"/>
    <col min="7685" max="7685" width="2.42578125" style="1174" customWidth="1"/>
    <col min="7686" max="7686" width="6.5703125" style="1174" customWidth="1"/>
    <col min="7687" max="7687" width="15.42578125" style="1174" customWidth="1"/>
    <col min="7688" max="7689" width="13.28515625" style="1174" customWidth="1"/>
    <col min="7690" max="7690" width="13" style="1174" customWidth="1"/>
    <col min="7691" max="7691" width="12.140625" style="1174" bestFit="1" customWidth="1"/>
    <col min="7692" max="7692" width="12.42578125" style="1174" bestFit="1" customWidth="1"/>
    <col min="7693" max="7693" width="12.140625" style="1174" customWidth="1"/>
    <col min="7694" max="7694" width="14.42578125" style="1174" customWidth="1"/>
    <col min="7695" max="7695" width="13.42578125" style="1174" customWidth="1"/>
    <col min="7696" max="7696" width="0" style="1174" hidden="1" customWidth="1"/>
    <col min="7697" max="7697" width="12.85546875" style="1174" customWidth="1"/>
    <col min="7698" max="7698" width="0" style="1174" hidden="1" customWidth="1"/>
    <col min="7699" max="7926" width="12" style="1174" customWidth="1"/>
    <col min="7927" max="7938" width="9.42578125" style="1174"/>
    <col min="7939" max="7939" width="10.140625" style="1174" customWidth="1"/>
    <col min="7940" max="7940" width="4.140625" style="1174" customWidth="1"/>
    <col min="7941" max="7941" width="2.42578125" style="1174" customWidth="1"/>
    <col min="7942" max="7942" width="6.5703125" style="1174" customWidth="1"/>
    <col min="7943" max="7943" width="15.42578125" style="1174" customWidth="1"/>
    <col min="7944" max="7945" width="13.28515625" style="1174" customWidth="1"/>
    <col min="7946" max="7946" width="13" style="1174" customWidth="1"/>
    <col min="7947" max="7947" width="12.140625" style="1174" bestFit="1" customWidth="1"/>
    <col min="7948" max="7948" width="12.42578125" style="1174" bestFit="1" customWidth="1"/>
    <col min="7949" max="7949" width="12.140625" style="1174" customWidth="1"/>
    <col min="7950" max="7950" width="14.42578125" style="1174" customWidth="1"/>
    <col min="7951" max="7951" width="13.42578125" style="1174" customWidth="1"/>
    <col min="7952" max="7952" width="0" style="1174" hidden="1" customWidth="1"/>
    <col min="7953" max="7953" width="12.85546875" style="1174" customWidth="1"/>
    <col min="7954" max="7954" width="0" style="1174" hidden="1" customWidth="1"/>
    <col min="7955" max="8182" width="12" style="1174" customWidth="1"/>
    <col min="8183" max="8194" width="9.42578125" style="1174"/>
    <col min="8195" max="8195" width="10.140625" style="1174" customWidth="1"/>
    <col min="8196" max="8196" width="4.140625" style="1174" customWidth="1"/>
    <col min="8197" max="8197" width="2.42578125" style="1174" customWidth="1"/>
    <col min="8198" max="8198" width="6.5703125" style="1174" customWidth="1"/>
    <col min="8199" max="8199" width="15.42578125" style="1174" customWidth="1"/>
    <col min="8200" max="8201" width="13.28515625" style="1174" customWidth="1"/>
    <col min="8202" max="8202" width="13" style="1174" customWidth="1"/>
    <col min="8203" max="8203" width="12.140625" style="1174" bestFit="1" customWidth="1"/>
    <col min="8204" max="8204" width="12.42578125" style="1174" bestFit="1" customWidth="1"/>
    <col min="8205" max="8205" width="12.140625" style="1174" customWidth="1"/>
    <col min="8206" max="8206" width="14.42578125" style="1174" customWidth="1"/>
    <col min="8207" max="8207" width="13.42578125" style="1174" customWidth="1"/>
    <col min="8208" max="8208" width="0" style="1174" hidden="1" customWidth="1"/>
    <col min="8209" max="8209" width="12.85546875" style="1174" customWidth="1"/>
    <col min="8210" max="8210" width="0" style="1174" hidden="1" customWidth="1"/>
    <col min="8211" max="8438" width="12" style="1174" customWidth="1"/>
    <col min="8439" max="8450" width="9.42578125" style="1174"/>
    <col min="8451" max="8451" width="10.140625" style="1174" customWidth="1"/>
    <col min="8452" max="8452" width="4.140625" style="1174" customWidth="1"/>
    <col min="8453" max="8453" width="2.42578125" style="1174" customWidth="1"/>
    <col min="8454" max="8454" width="6.5703125" style="1174" customWidth="1"/>
    <col min="8455" max="8455" width="15.42578125" style="1174" customWidth="1"/>
    <col min="8456" max="8457" width="13.28515625" style="1174" customWidth="1"/>
    <col min="8458" max="8458" width="13" style="1174" customWidth="1"/>
    <col min="8459" max="8459" width="12.140625" style="1174" bestFit="1" customWidth="1"/>
    <col min="8460" max="8460" width="12.42578125" style="1174" bestFit="1" customWidth="1"/>
    <col min="8461" max="8461" width="12.140625" style="1174" customWidth="1"/>
    <col min="8462" max="8462" width="14.42578125" style="1174" customWidth="1"/>
    <col min="8463" max="8463" width="13.42578125" style="1174" customWidth="1"/>
    <col min="8464" max="8464" width="0" style="1174" hidden="1" customWidth="1"/>
    <col min="8465" max="8465" width="12.85546875" style="1174" customWidth="1"/>
    <col min="8466" max="8466" width="0" style="1174" hidden="1" customWidth="1"/>
    <col min="8467" max="8694" width="12" style="1174" customWidth="1"/>
    <col min="8695" max="8706" width="9.42578125" style="1174"/>
    <col min="8707" max="8707" width="10.140625" style="1174" customWidth="1"/>
    <col min="8708" max="8708" width="4.140625" style="1174" customWidth="1"/>
    <col min="8709" max="8709" width="2.42578125" style="1174" customWidth="1"/>
    <col min="8710" max="8710" width="6.5703125" style="1174" customWidth="1"/>
    <col min="8711" max="8711" width="15.42578125" style="1174" customWidth="1"/>
    <col min="8712" max="8713" width="13.28515625" style="1174" customWidth="1"/>
    <col min="8714" max="8714" width="13" style="1174" customWidth="1"/>
    <col min="8715" max="8715" width="12.140625" style="1174" bestFit="1" customWidth="1"/>
    <col min="8716" max="8716" width="12.42578125" style="1174" bestFit="1" customWidth="1"/>
    <col min="8717" max="8717" width="12.140625" style="1174" customWidth="1"/>
    <col min="8718" max="8718" width="14.42578125" style="1174" customWidth="1"/>
    <col min="8719" max="8719" width="13.42578125" style="1174" customWidth="1"/>
    <col min="8720" max="8720" width="0" style="1174" hidden="1" customWidth="1"/>
    <col min="8721" max="8721" width="12.85546875" style="1174" customWidth="1"/>
    <col min="8722" max="8722" width="0" style="1174" hidden="1" customWidth="1"/>
    <col min="8723" max="8950" width="12" style="1174" customWidth="1"/>
    <col min="8951" max="8962" width="9.42578125" style="1174"/>
    <col min="8963" max="8963" width="10.140625" style="1174" customWidth="1"/>
    <col min="8964" max="8964" width="4.140625" style="1174" customWidth="1"/>
    <col min="8965" max="8965" width="2.42578125" style="1174" customWidth="1"/>
    <col min="8966" max="8966" width="6.5703125" style="1174" customWidth="1"/>
    <col min="8967" max="8967" width="15.42578125" style="1174" customWidth="1"/>
    <col min="8968" max="8969" width="13.28515625" style="1174" customWidth="1"/>
    <col min="8970" max="8970" width="13" style="1174" customWidth="1"/>
    <col min="8971" max="8971" width="12.140625" style="1174" bestFit="1" customWidth="1"/>
    <col min="8972" max="8972" width="12.42578125" style="1174" bestFit="1" customWidth="1"/>
    <col min="8973" max="8973" width="12.140625" style="1174" customWidth="1"/>
    <col min="8974" max="8974" width="14.42578125" style="1174" customWidth="1"/>
    <col min="8975" max="8975" width="13.42578125" style="1174" customWidth="1"/>
    <col min="8976" max="8976" width="0" style="1174" hidden="1" customWidth="1"/>
    <col min="8977" max="8977" width="12.85546875" style="1174" customWidth="1"/>
    <col min="8978" max="8978" width="0" style="1174" hidden="1" customWidth="1"/>
    <col min="8979" max="9206" width="12" style="1174" customWidth="1"/>
    <col min="9207" max="9218" width="9.42578125" style="1174"/>
    <col min="9219" max="9219" width="10.140625" style="1174" customWidth="1"/>
    <col min="9220" max="9220" width="4.140625" style="1174" customWidth="1"/>
    <col min="9221" max="9221" width="2.42578125" style="1174" customWidth="1"/>
    <col min="9222" max="9222" width="6.5703125" style="1174" customWidth="1"/>
    <col min="9223" max="9223" width="15.42578125" style="1174" customWidth="1"/>
    <col min="9224" max="9225" width="13.28515625" style="1174" customWidth="1"/>
    <col min="9226" max="9226" width="13" style="1174" customWidth="1"/>
    <col min="9227" max="9227" width="12.140625" style="1174" bestFit="1" customWidth="1"/>
    <col min="9228" max="9228" width="12.42578125" style="1174" bestFit="1" customWidth="1"/>
    <col min="9229" max="9229" width="12.140625" style="1174" customWidth="1"/>
    <col min="9230" max="9230" width="14.42578125" style="1174" customWidth="1"/>
    <col min="9231" max="9231" width="13.42578125" style="1174" customWidth="1"/>
    <col min="9232" max="9232" width="0" style="1174" hidden="1" customWidth="1"/>
    <col min="9233" max="9233" width="12.85546875" style="1174" customWidth="1"/>
    <col min="9234" max="9234" width="0" style="1174" hidden="1" customWidth="1"/>
    <col min="9235" max="9462" width="12" style="1174" customWidth="1"/>
    <col min="9463" max="9474" width="9.42578125" style="1174"/>
    <col min="9475" max="9475" width="10.140625" style="1174" customWidth="1"/>
    <col min="9476" max="9476" width="4.140625" style="1174" customWidth="1"/>
    <col min="9477" max="9477" width="2.42578125" style="1174" customWidth="1"/>
    <col min="9478" max="9478" width="6.5703125" style="1174" customWidth="1"/>
    <col min="9479" max="9479" width="15.42578125" style="1174" customWidth="1"/>
    <col min="9480" max="9481" width="13.28515625" style="1174" customWidth="1"/>
    <col min="9482" max="9482" width="13" style="1174" customWidth="1"/>
    <col min="9483" max="9483" width="12.140625" style="1174" bestFit="1" customWidth="1"/>
    <col min="9484" max="9484" width="12.42578125" style="1174" bestFit="1" customWidth="1"/>
    <col min="9485" max="9485" width="12.140625" style="1174" customWidth="1"/>
    <col min="9486" max="9486" width="14.42578125" style="1174" customWidth="1"/>
    <col min="9487" max="9487" width="13.42578125" style="1174" customWidth="1"/>
    <col min="9488" max="9488" width="0" style="1174" hidden="1" customWidth="1"/>
    <col min="9489" max="9489" width="12.85546875" style="1174" customWidth="1"/>
    <col min="9490" max="9490" width="0" style="1174" hidden="1" customWidth="1"/>
    <col min="9491" max="9718" width="12" style="1174" customWidth="1"/>
    <col min="9719" max="9730" width="9.42578125" style="1174"/>
    <col min="9731" max="9731" width="10.140625" style="1174" customWidth="1"/>
    <col min="9732" max="9732" width="4.140625" style="1174" customWidth="1"/>
    <col min="9733" max="9733" width="2.42578125" style="1174" customWidth="1"/>
    <col min="9734" max="9734" width="6.5703125" style="1174" customWidth="1"/>
    <col min="9735" max="9735" width="15.42578125" style="1174" customWidth="1"/>
    <col min="9736" max="9737" width="13.28515625" style="1174" customWidth="1"/>
    <col min="9738" max="9738" width="13" style="1174" customWidth="1"/>
    <col min="9739" max="9739" width="12.140625" style="1174" bestFit="1" customWidth="1"/>
    <col min="9740" max="9740" width="12.42578125" style="1174" bestFit="1" customWidth="1"/>
    <col min="9741" max="9741" width="12.140625" style="1174" customWidth="1"/>
    <col min="9742" max="9742" width="14.42578125" style="1174" customWidth="1"/>
    <col min="9743" max="9743" width="13.42578125" style="1174" customWidth="1"/>
    <col min="9744" max="9744" width="0" style="1174" hidden="1" customWidth="1"/>
    <col min="9745" max="9745" width="12.85546875" style="1174" customWidth="1"/>
    <col min="9746" max="9746" width="0" style="1174" hidden="1" customWidth="1"/>
    <col min="9747" max="9974" width="12" style="1174" customWidth="1"/>
    <col min="9975" max="9986" width="9.42578125" style="1174"/>
    <col min="9987" max="9987" width="10.140625" style="1174" customWidth="1"/>
    <col min="9988" max="9988" width="4.140625" style="1174" customWidth="1"/>
    <col min="9989" max="9989" width="2.42578125" style="1174" customWidth="1"/>
    <col min="9990" max="9990" width="6.5703125" style="1174" customWidth="1"/>
    <col min="9991" max="9991" width="15.42578125" style="1174" customWidth="1"/>
    <col min="9992" max="9993" width="13.28515625" style="1174" customWidth="1"/>
    <col min="9994" max="9994" width="13" style="1174" customWidth="1"/>
    <col min="9995" max="9995" width="12.140625" style="1174" bestFit="1" customWidth="1"/>
    <col min="9996" max="9996" width="12.42578125" style="1174" bestFit="1" customWidth="1"/>
    <col min="9997" max="9997" width="12.140625" style="1174" customWidth="1"/>
    <col min="9998" max="9998" width="14.42578125" style="1174" customWidth="1"/>
    <col min="9999" max="9999" width="13.42578125" style="1174" customWidth="1"/>
    <col min="10000" max="10000" width="0" style="1174" hidden="1" customWidth="1"/>
    <col min="10001" max="10001" width="12.85546875" style="1174" customWidth="1"/>
    <col min="10002" max="10002" width="0" style="1174" hidden="1" customWidth="1"/>
    <col min="10003" max="10230" width="12" style="1174" customWidth="1"/>
    <col min="10231" max="10242" width="9.42578125" style="1174"/>
    <col min="10243" max="10243" width="10.140625" style="1174" customWidth="1"/>
    <col min="10244" max="10244" width="4.140625" style="1174" customWidth="1"/>
    <col min="10245" max="10245" width="2.42578125" style="1174" customWidth="1"/>
    <col min="10246" max="10246" width="6.5703125" style="1174" customWidth="1"/>
    <col min="10247" max="10247" width="15.42578125" style="1174" customWidth="1"/>
    <col min="10248" max="10249" width="13.28515625" style="1174" customWidth="1"/>
    <col min="10250" max="10250" width="13" style="1174" customWidth="1"/>
    <col min="10251" max="10251" width="12.140625" style="1174" bestFit="1" customWidth="1"/>
    <col min="10252" max="10252" width="12.42578125" style="1174" bestFit="1" customWidth="1"/>
    <col min="10253" max="10253" width="12.140625" style="1174" customWidth="1"/>
    <col min="10254" max="10254" width="14.42578125" style="1174" customWidth="1"/>
    <col min="10255" max="10255" width="13.42578125" style="1174" customWidth="1"/>
    <col min="10256" max="10256" width="0" style="1174" hidden="1" customWidth="1"/>
    <col min="10257" max="10257" width="12.85546875" style="1174" customWidth="1"/>
    <col min="10258" max="10258" width="0" style="1174" hidden="1" customWidth="1"/>
    <col min="10259" max="10486" width="12" style="1174" customWidth="1"/>
    <col min="10487" max="10498" width="9.42578125" style="1174"/>
    <col min="10499" max="10499" width="10.140625" style="1174" customWidth="1"/>
    <col min="10500" max="10500" width="4.140625" style="1174" customWidth="1"/>
    <col min="10501" max="10501" width="2.42578125" style="1174" customWidth="1"/>
    <col min="10502" max="10502" width="6.5703125" style="1174" customWidth="1"/>
    <col min="10503" max="10503" width="15.42578125" style="1174" customWidth="1"/>
    <col min="10504" max="10505" width="13.28515625" style="1174" customWidth="1"/>
    <col min="10506" max="10506" width="13" style="1174" customWidth="1"/>
    <col min="10507" max="10507" width="12.140625" style="1174" bestFit="1" customWidth="1"/>
    <col min="10508" max="10508" width="12.42578125" style="1174" bestFit="1" customWidth="1"/>
    <col min="10509" max="10509" width="12.140625" style="1174" customWidth="1"/>
    <col min="10510" max="10510" width="14.42578125" style="1174" customWidth="1"/>
    <col min="10511" max="10511" width="13.42578125" style="1174" customWidth="1"/>
    <col min="10512" max="10512" width="0" style="1174" hidden="1" customWidth="1"/>
    <col min="10513" max="10513" width="12.85546875" style="1174" customWidth="1"/>
    <col min="10514" max="10514" width="0" style="1174" hidden="1" customWidth="1"/>
    <col min="10515" max="10742" width="12" style="1174" customWidth="1"/>
    <col min="10743" max="10754" width="9.42578125" style="1174"/>
    <col min="10755" max="10755" width="10.140625" style="1174" customWidth="1"/>
    <col min="10756" max="10756" width="4.140625" style="1174" customWidth="1"/>
    <col min="10757" max="10757" width="2.42578125" style="1174" customWidth="1"/>
    <col min="10758" max="10758" width="6.5703125" style="1174" customWidth="1"/>
    <col min="10759" max="10759" width="15.42578125" style="1174" customWidth="1"/>
    <col min="10760" max="10761" width="13.28515625" style="1174" customWidth="1"/>
    <col min="10762" max="10762" width="13" style="1174" customWidth="1"/>
    <col min="10763" max="10763" width="12.140625" style="1174" bestFit="1" customWidth="1"/>
    <col min="10764" max="10764" width="12.42578125" style="1174" bestFit="1" customWidth="1"/>
    <col min="10765" max="10765" width="12.140625" style="1174" customWidth="1"/>
    <col min="10766" max="10766" width="14.42578125" style="1174" customWidth="1"/>
    <col min="10767" max="10767" width="13.42578125" style="1174" customWidth="1"/>
    <col min="10768" max="10768" width="0" style="1174" hidden="1" customWidth="1"/>
    <col min="10769" max="10769" width="12.85546875" style="1174" customWidth="1"/>
    <col min="10770" max="10770" width="0" style="1174" hidden="1" customWidth="1"/>
    <col min="10771" max="10998" width="12" style="1174" customWidth="1"/>
    <col min="10999" max="11010" width="9.42578125" style="1174"/>
    <col min="11011" max="11011" width="10.140625" style="1174" customWidth="1"/>
    <col min="11012" max="11012" width="4.140625" style="1174" customWidth="1"/>
    <col min="11013" max="11013" width="2.42578125" style="1174" customWidth="1"/>
    <col min="11014" max="11014" width="6.5703125" style="1174" customWidth="1"/>
    <col min="11015" max="11015" width="15.42578125" style="1174" customWidth="1"/>
    <col min="11016" max="11017" width="13.28515625" style="1174" customWidth="1"/>
    <col min="11018" max="11018" width="13" style="1174" customWidth="1"/>
    <col min="11019" max="11019" width="12.140625" style="1174" bestFit="1" customWidth="1"/>
    <col min="11020" max="11020" width="12.42578125" style="1174" bestFit="1" customWidth="1"/>
    <col min="11021" max="11021" width="12.140625" style="1174" customWidth="1"/>
    <col min="11022" max="11022" width="14.42578125" style="1174" customWidth="1"/>
    <col min="11023" max="11023" width="13.42578125" style="1174" customWidth="1"/>
    <col min="11024" max="11024" width="0" style="1174" hidden="1" customWidth="1"/>
    <col min="11025" max="11025" width="12.85546875" style="1174" customWidth="1"/>
    <col min="11026" max="11026" width="0" style="1174" hidden="1" customWidth="1"/>
    <col min="11027" max="11254" width="12" style="1174" customWidth="1"/>
    <col min="11255" max="11266" width="9.42578125" style="1174"/>
    <col min="11267" max="11267" width="10.140625" style="1174" customWidth="1"/>
    <col min="11268" max="11268" width="4.140625" style="1174" customWidth="1"/>
    <col min="11269" max="11269" width="2.42578125" style="1174" customWidth="1"/>
    <col min="11270" max="11270" width="6.5703125" style="1174" customWidth="1"/>
    <col min="11271" max="11271" width="15.42578125" style="1174" customWidth="1"/>
    <col min="11272" max="11273" width="13.28515625" style="1174" customWidth="1"/>
    <col min="11274" max="11274" width="13" style="1174" customWidth="1"/>
    <col min="11275" max="11275" width="12.140625" style="1174" bestFit="1" customWidth="1"/>
    <col min="11276" max="11276" width="12.42578125" style="1174" bestFit="1" customWidth="1"/>
    <col min="11277" max="11277" width="12.140625" style="1174" customWidth="1"/>
    <col min="11278" max="11278" width="14.42578125" style="1174" customWidth="1"/>
    <col min="11279" max="11279" width="13.42578125" style="1174" customWidth="1"/>
    <col min="11280" max="11280" width="0" style="1174" hidden="1" customWidth="1"/>
    <col min="11281" max="11281" width="12.85546875" style="1174" customWidth="1"/>
    <col min="11282" max="11282" width="0" style="1174" hidden="1" customWidth="1"/>
    <col min="11283" max="11510" width="12" style="1174" customWidth="1"/>
    <col min="11511" max="11522" width="9.42578125" style="1174"/>
    <col min="11523" max="11523" width="10.140625" style="1174" customWidth="1"/>
    <col min="11524" max="11524" width="4.140625" style="1174" customWidth="1"/>
    <col min="11525" max="11525" width="2.42578125" style="1174" customWidth="1"/>
    <col min="11526" max="11526" width="6.5703125" style="1174" customWidth="1"/>
    <col min="11527" max="11527" width="15.42578125" style="1174" customWidth="1"/>
    <col min="11528" max="11529" width="13.28515625" style="1174" customWidth="1"/>
    <col min="11530" max="11530" width="13" style="1174" customWidth="1"/>
    <col min="11531" max="11531" width="12.140625" style="1174" bestFit="1" customWidth="1"/>
    <col min="11532" max="11532" width="12.42578125" style="1174" bestFit="1" customWidth="1"/>
    <col min="11533" max="11533" width="12.140625" style="1174" customWidth="1"/>
    <col min="11534" max="11534" width="14.42578125" style="1174" customWidth="1"/>
    <col min="11535" max="11535" width="13.42578125" style="1174" customWidth="1"/>
    <col min="11536" max="11536" width="0" style="1174" hidden="1" customWidth="1"/>
    <col min="11537" max="11537" width="12.85546875" style="1174" customWidth="1"/>
    <col min="11538" max="11538" width="0" style="1174" hidden="1" customWidth="1"/>
    <col min="11539" max="11766" width="12" style="1174" customWidth="1"/>
    <col min="11767" max="11778" width="9.42578125" style="1174"/>
    <col min="11779" max="11779" width="10.140625" style="1174" customWidth="1"/>
    <col min="11780" max="11780" width="4.140625" style="1174" customWidth="1"/>
    <col min="11781" max="11781" width="2.42578125" style="1174" customWidth="1"/>
    <col min="11782" max="11782" width="6.5703125" style="1174" customWidth="1"/>
    <col min="11783" max="11783" width="15.42578125" style="1174" customWidth="1"/>
    <col min="11784" max="11785" width="13.28515625" style="1174" customWidth="1"/>
    <col min="11786" max="11786" width="13" style="1174" customWidth="1"/>
    <col min="11787" max="11787" width="12.140625" style="1174" bestFit="1" customWidth="1"/>
    <col min="11788" max="11788" width="12.42578125" style="1174" bestFit="1" customWidth="1"/>
    <col min="11789" max="11789" width="12.140625" style="1174" customWidth="1"/>
    <col min="11790" max="11790" width="14.42578125" style="1174" customWidth="1"/>
    <col min="11791" max="11791" width="13.42578125" style="1174" customWidth="1"/>
    <col min="11792" max="11792" width="0" style="1174" hidden="1" customWidth="1"/>
    <col min="11793" max="11793" width="12.85546875" style="1174" customWidth="1"/>
    <col min="11794" max="11794" width="0" style="1174" hidden="1" customWidth="1"/>
    <col min="11795" max="12022" width="12" style="1174" customWidth="1"/>
    <col min="12023" max="12034" width="9.42578125" style="1174"/>
    <col min="12035" max="12035" width="10.140625" style="1174" customWidth="1"/>
    <col min="12036" max="12036" width="4.140625" style="1174" customWidth="1"/>
    <col min="12037" max="12037" width="2.42578125" style="1174" customWidth="1"/>
    <col min="12038" max="12038" width="6.5703125" style="1174" customWidth="1"/>
    <col min="12039" max="12039" width="15.42578125" style="1174" customWidth="1"/>
    <col min="12040" max="12041" width="13.28515625" style="1174" customWidth="1"/>
    <col min="12042" max="12042" width="13" style="1174" customWidth="1"/>
    <col min="12043" max="12043" width="12.140625" style="1174" bestFit="1" customWidth="1"/>
    <col min="12044" max="12044" width="12.42578125" style="1174" bestFit="1" customWidth="1"/>
    <col min="12045" max="12045" width="12.140625" style="1174" customWidth="1"/>
    <col min="12046" max="12046" width="14.42578125" style="1174" customWidth="1"/>
    <col min="12047" max="12047" width="13.42578125" style="1174" customWidth="1"/>
    <col min="12048" max="12048" width="0" style="1174" hidden="1" customWidth="1"/>
    <col min="12049" max="12049" width="12.85546875" style="1174" customWidth="1"/>
    <col min="12050" max="12050" width="0" style="1174" hidden="1" customWidth="1"/>
    <col min="12051" max="12278" width="12" style="1174" customWidth="1"/>
    <col min="12279" max="12290" width="9.42578125" style="1174"/>
    <col min="12291" max="12291" width="10.140625" style="1174" customWidth="1"/>
    <col min="12292" max="12292" width="4.140625" style="1174" customWidth="1"/>
    <col min="12293" max="12293" width="2.42578125" style="1174" customWidth="1"/>
    <col min="12294" max="12294" width="6.5703125" style="1174" customWidth="1"/>
    <col min="12295" max="12295" width="15.42578125" style="1174" customWidth="1"/>
    <col min="12296" max="12297" width="13.28515625" style="1174" customWidth="1"/>
    <col min="12298" max="12298" width="13" style="1174" customWidth="1"/>
    <col min="12299" max="12299" width="12.140625" style="1174" bestFit="1" customWidth="1"/>
    <col min="12300" max="12300" width="12.42578125" style="1174" bestFit="1" customWidth="1"/>
    <col min="12301" max="12301" width="12.140625" style="1174" customWidth="1"/>
    <col min="12302" max="12302" width="14.42578125" style="1174" customWidth="1"/>
    <col min="12303" max="12303" width="13.42578125" style="1174" customWidth="1"/>
    <col min="12304" max="12304" width="0" style="1174" hidden="1" customWidth="1"/>
    <col min="12305" max="12305" width="12.85546875" style="1174" customWidth="1"/>
    <col min="12306" max="12306" width="0" style="1174" hidden="1" customWidth="1"/>
    <col min="12307" max="12534" width="12" style="1174" customWidth="1"/>
    <col min="12535" max="12546" width="9.42578125" style="1174"/>
    <col min="12547" max="12547" width="10.140625" style="1174" customWidth="1"/>
    <col min="12548" max="12548" width="4.140625" style="1174" customWidth="1"/>
    <col min="12549" max="12549" width="2.42578125" style="1174" customWidth="1"/>
    <col min="12550" max="12550" width="6.5703125" style="1174" customWidth="1"/>
    <col min="12551" max="12551" width="15.42578125" style="1174" customWidth="1"/>
    <col min="12552" max="12553" width="13.28515625" style="1174" customWidth="1"/>
    <col min="12554" max="12554" width="13" style="1174" customWidth="1"/>
    <col min="12555" max="12555" width="12.140625" style="1174" bestFit="1" customWidth="1"/>
    <col min="12556" max="12556" width="12.42578125" style="1174" bestFit="1" customWidth="1"/>
    <col min="12557" max="12557" width="12.140625" style="1174" customWidth="1"/>
    <col min="12558" max="12558" width="14.42578125" style="1174" customWidth="1"/>
    <col min="12559" max="12559" width="13.42578125" style="1174" customWidth="1"/>
    <col min="12560" max="12560" width="0" style="1174" hidden="1" customWidth="1"/>
    <col min="12561" max="12561" width="12.85546875" style="1174" customWidth="1"/>
    <col min="12562" max="12562" width="0" style="1174" hidden="1" customWidth="1"/>
    <col min="12563" max="12790" width="12" style="1174" customWidth="1"/>
    <col min="12791" max="12802" width="9.42578125" style="1174"/>
    <col min="12803" max="12803" width="10.140625" style="1174" customWidth="1"/>
    <col min="12804" max="12804" width="4.140625" style="1174" customWidth="1"/>
    <col min="12805" max="12805" width="2.42578125" style="1174" customWidth="1"/>
    <col min="12806" max="12806" width="6.5703125" style="1174" customWidth="1"/>
    <col min="12807" max="12807" width="15.42578125" style="1174" customWidth="1"/>
    <col min="12808" max="12809" width="13.28515625" style="1174" customWidth="1"/>
    <col min="12810" max="12810" width="13" style="1174" customWidth="1"/>
    <col min="12811" max="12811" width="12.140625" style="1174" bestFit="1" customWidth="1"/>
    <col min="12812" max="12812" width="12.42578125" style="1174" bestFit="1" customWidth="1"/>
    <col min="12813" max="12813" width="12.140625" style="1174" customWidth="1"/>
    <col min="12814" max="12814" width="14.42578125" style="1174" customWidth="1"/>
    <col min="12815" max="12815" width="13.42578125" style="1174" customWidth="1"/>
    <col min="12816" max="12816" width="0" style="1174" hidden="1" customWidth="1"/>
    <col min="12817" max="12817" width="12.85546875" style="1174" customWidth="1"/>
    <col min="12818" max="12818" width="0" style="1174" hidden="1" customWidth="1"/>
    <col min="12819" max="13046" width="12" style="1174" customWidth="1"/>
    <col min="13047" max="13058" width="9.42578125" style="1174"/>
    <col min="13059" max="13059" width="10.140625" style="1174" customWidth="1"/>
    <col min="13060" max="13060" width="4.140625" style="1174" customWidth="1"/>
    <col min="13061" max="13061" width="2.42578125" style="1174" customWidth="1"/>
    <col min="13062" max="13062" width="6.5703125" style="1174" customWidth="1"/>
    <col min="13063" max="13063" width="15.42578125" style="1174" customWidth="1"/>
    <col min="13064" max="13065" width="13.28515625" style="1174" customWidth="1"/>
    <col min="13066" max="13066" width="13" style="1174" customWidth="1"/>
    <col min="13067" max="13067" width="12.140625" style="1174" bestFit="1" customWidth="1"/>
    <col min="13068" max="13068" width="12.42578125" style="1174" bestFit="1" customWidth="1"/>
    <col min="13069" max="13069" width="12.140625" style="1174" customWidth="1"/>
    <col min="13070" max="13070" width="14.42578125" style="1174" customWidth="1"/>
    <col min="13071" max="13071" width="13.42578125" style="1174" customWidth="1"/>
    <col min="13072" max="13072" width="0" style="1174" hidden="1" customWidth="1"/>
    <col min="13073" max="13073" width="12.85546875" style="1174" customWidth="1"/>
    <col min="13074" max="13074" width="0" style="1174" hidden="1" customWidth="1"/>
    <col min="13075" max="13302" width="12" style="1174" customWidth="1"/>
    <col min="13303" max="13314" width="9.42578125" style="1174"/>
    <col min="13315" max="13315" width="10.140625" style="1174" customWidth="1"/>
    <col min="13316" max="13316" width="4.140625" style="1174" customWidth="1"/>
    <col min="13317" max="13317" width="2.42578125" style="1174" customWidth="1"/>
    <col min="13318" max="13318" width="6.5703125" style="1174" customWidth="1"/>
    <col min="13319" max="13319" width="15.42578125" style="1174" customWidth="1"/>
    <col min="13320" max="13321" width="13.28515625" style="1174" customWidth="1"/>
    <col min="13322" max="13322" width="13" style="1174" customWidth="1"/>
    <col min="13323" max="13323" width="12.140625" style="1174" bestFit="1" customWidth="1"/>
    <col min="13324" max="13324" width="12.42578125" style="1174" bestFit="1" customWidth="1"/>
    <col min="13325" max="13325" width="12.140625" style="1174" customWidth="1"/>
    <col min="13326" max="13326" width="14.42578125" style="1174" customWidth="1"/>
    <col min="13327" max="13327" width="13.42578125" style="1174" customWidth="1"/>
    <col min="13328" max="13328" width="0" style="1174" hidden="1" customWidth="1"/>
    <col min="13329" max="13329" width="12.85546875" style="1174" customWidth="1"/>
    <col min="13330" max="13330" width="0" style="1174" hidden="1" customWidth="1"/>
    <col min="13331" max="13558" width="12" style="1174" customWidth="1"/>
    <col min="13559" max="13570" width="9.42578125" style="1174"/>
    <col min="13571" max="13571" width="10.140625" style="1174" customWidth="1"/>
    <col min="13572" max="13572" width="4.140625" style="1174" customWidth="1"/>
    <col min="13573" max="13573" width="2.42578125" style="1174" customWidth="1"/>
    <col min="13574" max="13574" width="6.5703125" style="1174" customWidth="1"/>
    <col min="13575" max="13575" width="15.42578125" style="1174" customWidth="1"/>
    <col min="13576" max="13577" width="13.28515625" style="1174" customWidth="1"/>
    <col min="13578" max="13578" width="13" style="1174" customWidth="1"/>
    <col min="13579" max="13579" width="12.140625" style="1174" bestFit="1" customWidth="1"/>
    <col min="13580" max="13580" width="12.42578125" style="1174" bestFit="1" customWidth="1"/>
    <col min="13581" max="13581" width="12.140625" style="1174" customWidth="1"/>
    <col min="13582" max="13582" width="14.42578125" style="1174" customWidth="1"/>
    <col min="13583" max="13583" width="13.42578125" style="1174" customWidth="1"/>
    <col min="13584" max="13584" width="0" style="1174" hidden="1" customWidth="1"/>
    <col min="13585" max="13585" width="12.85546875" style="1174" customWidth="1"/>
    <col min="13586" max="13586" width="0" style="1174" hidden="1" customWidth="1"/>
    <col min="13587" max="13814" width="12" style="1174" customWidth="1"/>
    <col min="13815" max="13826" width="9.42578125" style="1174"/>
    <col min="13827" max="13827" width="10.140625" style="1174" customWidth="1"/>
    <col min="13828" max="13828" width="4.140625" style="1174" customWidth="1"/>
    <col min="13829" max="13829" width="2.42578125" style="1174" customWidth="1"/>
    <col min="13830" max="13830" width="6.5703125" style="1174" customWidth="1"/>
    <col min="13831" max="13831" width="15.42578125" style="1174" customWidth="1"/>
    <col min="13832" max="13833" width="13.28515625" style="1174" customWidth="1"/>
    <col min="13834" max="13834" width="13" style="1174" customWidth="1"/>
    <col min="13835" max="13835" width="12.140625" style="1174" bestFit="1" customWidth="1"/>
    <col min="13836" max="13836" width="12.42578125" style="1174" bestFit="1" customWidth="1"/>
    <col min="13837" max="13837" width="12.140625" style="1174" customWidth="1"/>
    <col min="13838" max="13838" width="14.42578125" style="1174" customWidth="1"/>
    <col min="13839" max="13839" width="13.42578125" style="1174" customWidth="1"/>
    <col min="13840" max="13840" width="0" style="1174" hidden="1" customWidth="1"/>
    <col min="13841" max="13841" width="12.85546875" style="1174" customWidth="1"/>
    <col min="13842" max="13842" width="0" style="1174" hidden="1" customWidth="1"/>
    <col min="13843" max="14070" width="12" style="1174" customWidth="1"/>
    <col min="14071" max="14082" width="9.42578125" style="1174"/>
    <col min="14083" max="14083" width="10.140625" style="1174" customWidth="1"/>
    <col min="14084" max="14084" width="4.140625" style="1174" customWidth="1"/>
    <col min="14085" max="14085" width="2.42578125" style="1174" customWidth="1"/>
    <col min="14086" max="14086" width="6.5703125" style="1174" customWidth="1"/>
    <col min="14087" max="14087" width="15.42578125" style="1174" customWidth="1"/>
    <col min="14088" max="14089" width="13.28515625" style="1174" customWidth="1"/>
    <col min="14090" max="14090" width="13" style="1174" customWidth="1"/>
    <col min="14091" max="14091" width="12.140625" style="1174" bestFit="1" customWidth="1"/>
    <col min="14092" max="14092" width="12.42578125" style="1174" bestFit="1" customWidth="1"/>
    <col min="14093" max="14093" width="12.140625" style="1174" customWidth="1"/>
    <col min="14094" max="14094" width="14.42578125" style="1174" customWidth="1"/>
    <col min="14095" max="14095" width="13.42578125" style="1174" customWidth="1"/>
    <col min="14096" max="14096" width="0" style="1174" hidden="1" customWidth="1"/>
    <col min="14097" max="14097" width="12.85546875" style="1174" customWidth="1"/>
    <col min="14098" max="14098" width="0" style="1174" hidden="1" customWidth="1"/>
    <col min="14099" max="14326" width="12" style="1174" customWidth="1"/>
    <col min="14327" max="14338" width="9.42578125" style="1174"/>
    <col min="14339" max="14339" width="10.140625" style="1174" customWidth="1"/>
    <col min="14340" max="14340" width="4.140625" style="1174" customWidth="1"/>
    <col min="14341" max="14341" width="2.42578125" style="1174" customWidth="1"/>
    <col min="14342" max="14342" width="6.5703125" style="1174" customWidth="1"/>
    <col min="14343" max="14343" width="15.42578125" style="1174" customWidth="1"/>
    <col min="14344" max="14345" width="13.28515625" style="1174" customWidth="1"/>
    <col min="14346" max="14346" width="13" style="1174" customWidth="1"/>
    <col min="14347" max="14347" width="12.140625" style="1174" bestFit="1" customWidth="1"/>
    <col min="14348" max="14348" width="12.42578125" style="1174" bestFit="1" customWidth="1"/>
    <col min="14349" max="14349" width="12.140625" style="1174" customWidth="1"/>
    <col min="14350" max="14350" width="14.42578125" style="1174" customWidth="1"/>
    <col min="14351" max="14351" width="13.42578125" style="1174" customWidth="1"/>
    <col min="14352" max="14352" width="0" style="1174" hidden="1" customWidth="1"/>
    <col min="14353" max="14353" width="12.85546875" style="1174" customWidth="1"/>
    <col min="14354" max="14354" width="0" style="1174" hidden="1" customWidth="1"/>
    <col min="14355" max="14582" width="12" style="1174" customWidth="1"/>
    <col min="14583" max="14594" width="9.42578125" style="1174"/>
    <col min="14595" max="14595" width="10.140625" style="1174" customWidth="1"/>
    <col min="14596" max="14596" width="4.140625" style="1174" customWidth="1"/>
    <col min="14597" max="14597" width="2.42578125" style="1174" customWidth="1"/>
    <col min="14598" max="14598" width="6.5703125" style="1174" customWidth="1"/>
    <col min="14599" max="14599" width="15.42578125" style="1174" customWidth="1"/>
    <col min="14600" max="14601" width="13.28515625" style="1174" customWidth="1"/>
    <col min="14602" max="14602" width="13" style="1174" customWidth="1"/>
    <col min="14603" max="14603" width="12.140625" style="1174" bestFit="1" customWidth="1"/>
    <col min="14604" max="14604" width="12.42578125" style="1174" bestFit="1" customWidth="1"/>
    <col min="14605" max="14605" width="12.140625" style="1174" customWidth="1"/>
    <col min="14606" max="14606" width="14.42578125" style="1174" customWidth="1"/>
    <col min="14607" max="14607" width="13.42578125" style="1174" customWidth="1"/>
    <col min="14608" max="14608" width="0" style="1174" hidden="1" customWidth="1"/>
    <col min="14609" max="14609" width="12.85546875" style="1174" customWidth="1"/>
    <col min="14610" max="14610" width="0" style="1174" hidden="1" customWidth="1"/>
    <col min="14611" max="14838" width="12" style="1174" customWidth="1"/>
    <col min="14839" max="14850" width="9.42578125" style="1174"/>
    <col min="14851" max="14851" width="10.140625" style="1174" customWidth="1"/>
    <col min="14852" max="14852" width="4.140625" style="1174" customWidth="1"/>
    <col min="14853" max="14853" width="2.42578125" style="1174" customWidth="1"/>
    <col min="14854" max="14854" width="6.5703125" style="1174" customWidth="1"/>
    <col min="14855" max="14855" width="15.42578125" style="1174" customWidth="1"/>
    <col min="14856" max="14857" width="13.28515625" style="1174" customWidth="1"/>
    <col min="14858" max="14858" width="13" style="1174" customWidth="1"/>
    <col min="14859" max="14859" width="12.140625" style="1174" bestFit="1" customWidth="1"/>
    <col min="14860" max="14860" width="12.42578125" style="1174" bestFit="1" customWidth="1"/>
    <col min="14861" max="14861" width="12.140625" style="1174" customWidth="1"/>
    <col min="14862" max="14862" width="14.42578125" style="1174" customWidth="1"/>
    <col min="14863" max="14863" width="13.42578125" style="1174" customWidth="1"/>
    <col min="14864" max="14864" width="0" style="1174" hidden="1" customWidth="1"/>
    <col min="14865" max="14865" width="12.85546875" style="1174" customWidth="1"/>
    <col min="14866" max="14866" width="0" style="1174" hidden="1" customWidth="1"/>
    <col min="14867" max="15094" width="12" style="1174" customWidth="1"/>
    <col min="15095" max="15106" width="9.42578125" style="1174"/>
    <col min="15107" max="15107" width="10.140625" style="1174" customWidth="1"/>
    <col min="15108" max="15108" width="4.140625" style="1174" customWidth="1"/>
    <col min="15109" max="15109" width="2.42578125" style="1174" customWidth="1"/>
    <col min="15110" max="15110" width="6.5703125" style="1174" customWidth="1"/>
    <col min="15111" max="15111" width="15.42578125" style="1174" customWidth="1"/>
    <col min="15112" max="15113" width="13.28515625" style="1174" customWidth="1"/>
    <col min="15114" max="15114" width="13" style="1174" customWidth="1"/>
    <col min="15115" max="15115" width="12.140625" style="1174" bestFit="1" customWidth="1"/>
    <col min="15116" max="15116" width="12.42578125" style="1174" bestFit="1" customWidth="1"/>
    <col min="15117" max="15117" width="12.140625" style="1174" customWidth="1"/>
    <col min="15118" max="15118" width="14.42578125" style="1174" customWidth="1"/>
    <col min="15119" max="15119" width="13.42578125" style="1174" customWidth="1"/>
    <col min="15120" max="15120" width="0" style="1174" hidden="1" customWidth="1"/>
    <col min="15121" max="15121" width="12.85546875" style="1174" customWidth="1"/>
    <col min="15122" max="15122" width="0" style="1174" hidden="1" customWidth="1"/>
    <col min="15123" max="15350" width="12" style="1174" customWidth="1"/>
    <col min="15351" max="15362" width="9.42578125" style="1174"/>
    <col min="15363" max="15363" width="10.140625" style="1174" customWidth="1"/>
    <col min="15364" max="15364" width="4.140625" style="1174" customWidth="1"/>
    <col min="15365" max="15365" width="2.42578125" style="1174" customWidth="1"/>
    <col min="15366" max="15366" width="6.5703125" style="1174" customWidth="1"/>
    <col min="15367" max="15367" width="15.42578125" style="1174" customWidth="1"/>
    <col min="15368" max="15369" width="13.28515625" style="1174" customWidth="1"/>
    <col min="15370" max="15370" width="13" style="1174" customWidth="1"/>
    <col min="15371" max="15371" width="12.140625" style="1174" bestFit="1" customWidth="1"/>
    <col min="15372" max="15372" width="12.42578125" style="1174" bestFit="1" customWidth="1"/>
    <col min="15373" max="15373" width="12.140625" style="1174" customWidth="1"/>
    <col min="15374" max="15374" width="14.42578125" style="1174" customWidth="1"/>
    <col min="15375" max="15375" width="13.42578125" style="1174" customWidth="1"/>
    <col min="15376" max="15376" width="0" style="1174" hidden="1" customWidth="1"/>
    <col min="15377" max="15377" width="12.85546875" style="1174" customWidth="1"/>
    <col min="15378" max="15378" width="0" style="1174" hidden="1" customWidth="1"/>
    <col min="15379" max="15606" width="12" style="1174" customWidth="1"/>
    <col min="15607" max="15618" width="9.42578125" style="1174"/>
    <col min="15619" max="15619" width="10.140625" style="1174" customWidth="1"/>
    <col min="15620" max="15620" width="4.140625" style="1174" customWidth="1"/>
    <col min="15621" max="15621" width="2.42578125" style="1174" customWidth="1"/>
    <col min="15622" max="15622" width="6.5703125" style="1174" customWidth="1"/>
    <col min="15623" max="15623" width="15.42578125" style="1174" customWidth="1"/>
    <col min="15624" max="15625" width="13.28515625" style="1174" customWidth="1"/>
    <col min="15626" max="15626" width="13" style="1174" customWidth="1"/>
    <col min="15627" max="15627" width="12.140625" style="1174" bestFit="1" customWidth="1"/>
    <col min="15628" max="15628" width="12.42578125" style="1174" bestFit="1" customWidth="1"/>
    <col min="15629" max="15629" width="12.140625" style="1174" customWidth="1"/>
    <col min="15630" max="15630" width="14.42578125" style="1174" customWidth="1"/>
    <col min="15631" max="15631" width="13.42578125" style="1174" customWidth="1"/>
    <col min="15632" max="15632" width="0" style="1174" hidden="1" customWidth="1"/>
    <col min="15633" max="15633" width="12.85546875" style="1174" customWidth="1"/>
    <col min="15634" max="15634" width="0" style="1174" hidden="1" customWidth="1"/>
    <col min="15635" max="15862" width="12" style="1174" customWidth="1"/>
    <col min="15863" max="15874" width="9.42578125" style="1174"/>
    <col min="15875" max="15875" width="10.140625" style="1174" customWidth="1"/>
    <col min="15876" max="15876" width="4.140625" style="1174" customWidth="1"/>
    <col min="15877" max="15877" width="2.42578125" style="1174" customWidth="1"/>
    <col min="15878" max="15878" width="6.5703125" style="1174" customWidth="1"/>
    <col min="15879" max="15879" width="15.42578125" style="1174" customWidth="1"/>
    <col min="15880" max="15881" width="13.28515625" style="1174" customWidth="1"/>
    <col min="15882" max="15882" width="13" style="1174" customWidth="1"/>
    <col min="15883" max="15883" width="12.140625" style="1174" bestFit="1" customWidth="1"/>
    <col min="15884" max="15884" width="12.42578125" style="1174" bestFit="1" customWidth="1"/>
    <col min="15885" max="15885" width="12.140625" style="1174" customWidth="1"/>
    <col min="15886" max="15886" width="14.42578125" style="1174" customWidth="1"/>
    <col min="15887" max="15887" width="13.42578125" style="1174" customWidth="1"/>
    <col min="15888" max="15888" width="0" style="1174" hidden="1" customWidth="1"/>
    <col min="15889" max="15889" width="12.85546875" style="1174" customWidth="1"/>
    <col min="15890" max="15890" width="0" style="1174" hidden="1" customWidth="1"/>
    <col min="15891" max="16118" width="12" style="1174" customWidth="1"/>
    <col min="16119" max="16130" width="9.42578125" style="1174"/>
    <col min="16131" max="16131" width="10.140625" style="1174" customWidth="1"/>
    <col min="16132" max="16132" width="4.140625" style="1174" customWidth="1"/>
    <col min="16133" max="16133" width="2.42578125" style="1174" customWidth="1"/>
    <col min="16134" max="16134" width="6.5703125" style="1174" customWidth="1"/>
    <col min="16135" max="16135" width="15.42578125" style="1174" customWidth="1"/>
    <col min="16136" max="16137" width="13.28515625" style="1174" customWidth="1"/>
    <col min="16138" max="16138" width="13" style="1174" customWidth="1"/>
    <col min="16139" max="16139" width="12.140625" style="1174" bestFit="1" customWidth="1"/>
    <col min="16140" max="16140" width="12.42578125" style="1174" bestFit="1" customWidth="1"/>
    <col min="16141" max="16141" width="12.140625" style="1174" customWidth="1"/>
    <col min="16142" max="16142" width="14.42578125" style="1174" customWidth="1"/>
    <col min="16143" max="16143" width="13.42578125" style="1174" customWidth="1"/>
    <col min="16144" max="16144" width="0" style="1174" hidden="1" customWidth="1"/>
    <col min="16145" max="16145" width="12.85546875" style="1174" customWidth="1"/>
    <col min="16146" max="16146" width="0" style="1174" hidden="1" customWidth="1"/>
    <col min="16147" max="16374" width="12" style="1174" customWidth="1"/>
    <col min="16375" max="16384" width="9.42578125" style="1174"/>
  </cols>
  <sheetData>
    <row r="1" spans="4:27" ht="28.35" customHeight="1"/>
    <row r="2" spans="4:27" ht="28.35" customHeight="1">
      <c r="D2" s="1760"/>
      <c r="E2" s="1760"/>
      <c r="F2" s="1760"/>
      <c r="G2" s="1760"/>
      <c r="H2" s="1760"/>
      <c r="I2" s="1760"/>
      <c r="J2" s="1760"/>
      <c r="K2" s="2260"/>
      <c r="L2" s="2260"/>
      <c r="M2" s="2260"/>
      <c r="N2" s="3408"/>
      <c r="O2" s="1760"/>
      <c r="P2" s="1760"/>
      <c r="Q2" s="1844"/>
      <c r="U2" s="2867"/>
      <c r="V2" s="3208"/>
      <c r="W2" s="3175"/>
      <c r="X2" s="2867"/>
      <c r="Y2" s="2867"/>
      <c r="Z2" s="2867"/>
      <c r="AA2" s="2867"/>
    </row>
    <row r="3" spans="4:27" s="1845" customFormat="1" ht="28.35" customHeight="1">
      <c r="D3" s="4856" t="s">
        <v>1540</v>
      </c>
      <c r="E3" s="4856"/>
      <c r="F3" s="4856"/>
      <c r="G3" s="4856"/>
      <c r="H3" s="4856"/>
      <c r="I3" s="4856"/>
      <c r="J3" s="4856"/>
      <c r="K3" s="4856"/>
      <c r="L3" s="4856"/>
      <c r="M3" s="4856"/>
      <c r="N3" s="4856"/>
      <c r="O3" s="4856"/>
      <c r="P3" s="4856"/>
      <c r="Q3" s="4856"/>
      <c r="R3" s="3410"/>
      <c r="U3" s="3373"/>
      <c r="V3" s="3372"/>
      <c r="W3" s="2885"/>
      <c r="X3" s="2885"/>
      <c r="Y3" s="2885"/>
      <c r="Z3" s="2885"/>
    </row>
    <row r="4" spans="4:27" s="2498" customFormat="1" ht="28.35" customHeight="1">
      <c r="D4" s="4713" t="s">
        <v>1541</v>
      </c>
      <c r="E4" s="4713"/>
      <c r="F4" s="4713"/>
      <c r="G4" s="4713"/>
      <c r="H4" s="4713"/>
      <c r="I4" s="4713"/>
      <c r="J4" s="4713"/>
      <c r="K4" s="4713"/>
      <c r="L4" s="4713"/>
      <c r="M4" s="4713"/>
      <c r="N4" s="4713"/>
      <c r="O4" s="4713"/>
      <c r="P4" s="4713"/>
      <c r="Q4" s="4713"/>
      <c r="R4" s="3412"/>
    </row>
    <row r="5" spans="4:27" s="1849" customFormat="1" ht="17.100000000000001" customHeight="1">
      <c r="D5" s="2334" t="s">
        <v>1482</v>
      </c>
      <c r="E5" s="3518"/>
      <c r="F5" s="3518"/>
      <c r="G5" s="3054"/>
      <c r="H5" s="3054"/>
      <c r="I5" s="3054"/>
      <c r="J5" s="3375"/>
      <c r="K5" s="3054"/>
      <c r="L5" s="3397"/>
      <c r="M5" s="3397"/>
      <c r="N5" s="3397"/>
      <c r="O5" s="3054"/>
      <c r="P5" s="3054"/>
      <c r="Q5" s="3397"/>
      <c r="R5" s="3415"/>
    </row>
    <row r="6" spans="4:27" ht="4.3499999999999996" customHeight="1">
      <c r="D6" s="1763"/>
      <c r="E6" s="1763"/>
      <c r="F6" s="1763"/>
      <c r="G6" s="1763"/>
      <c r="H6" s="1763"/>
      <c r="I6" s="1763"/>
      <c r="J6" s="1323"/>
      <c r="K6" s="2103"/>
      <c r="L6" s="1861"/>
      <c r="M6" s="2314"/>
      <c r="N6" s="1861"/>
      <c r="O6" s="2103"/>
      <c r="P6" s="2773"/>
      <c r="Q6" s="2282"/>
    </row>
    <row r="7" spans="4:27" s="1999" customFormat="1" ht="6" customHeight="1">
      <c r="D7" s="1225"/>
      <c r="E7" s="1226"/>
      <c r="F7" s="1226"/>
      <c r="G7" s="1229"/>
      <c r="H7" s="1226"/>
      <c r="I7" s="1226"/>
      <c r="J7" s="1226"/>
      <c r="K7" s="2546"/>
      <c r="L7" s="3377"/>
      <c r="M7" s="3519"/>
      <c r="N7" s="3377"/>
      <c r="O7" s="3398"/>
      <c r="P7" s="1226"/>
      <c r="Q7" s="3520"/>
      <c r="R7" s="3521"/>
    </row>
    <row r="8" spans="4:27" s="1986" customFormat="1" ht="33.950000000000003" customHeight="1">
      <c r="D8" s="3378" t="s">
        <v>1542</v>
      </c>
      <c r="E8" s="1236"/>
      <c r="F8" s="1236"/>
      <c r="G8" s="1236"/>
      <c r="H8" s="1236"/>
      <c r="I8" s="1236"/>
      <c r="J8" s="1236"/>
      <c r="K8" s="1997"/>
      <c r="L8" s="1292"/>
      <c r="M8" s="3522"/>
      <c r="N8" s="1292"/>
      <c r="O8" s="1356" t="s">
        <v>1516</v>
      </c>
      <c r="P8" s="1362"/>
      <c r="Q8" s="3246"/>
      <c r="R8" s="3523"/>
    </row>
    <row r="9" spans="4:27" s="1801" customFormat="1" ht="19.7" customHeight="1">
      <c r="D9" s="3524"/>
      <c r="E9" s="2518"/>
      <c r="F9" s="2136"/>
      <c r="G9" s="1384"/>
      <c r="H9" s="1384"/>
      <c r="I9" s="1384"/>
      <c r="J9" s="1384"/>
      <c r="K9" s="2548"/>
      <c r="L9" s="2548"/>
      <c r="M9" s="3220"/>
      <c r="N9" s="2548"/>
      <c r="O9" s="3220"/>
      <c r="P9" s="2523"/>
      <c r="Q9" s="3242"/>
      <c r="R9" s="3525"/>
    </row>
    <row r="10" spans="4:27" ht="19.7" customHeight="1">
      <c r="D10" s="3526"/>
      <c r="E10" s="1240"/>
      <c r="F10" s="1239"/>
      <c r="G10" s="1235"/>
      <c r="H10" s="1235"/>
      <c r="I10" s="1235"/>
      <c r="J10" s="1235"/>
      <c r="K10" s="2271" t="s">
        <v>1543</v>
      </c>
      <c r="L10" s="2271"/>
      <c r="M10" s="3193"/>
      <c r="N10" s="2271" t="s">
        <v>1538</v>
      </c>
      <c r="O10" s="3193"/>
      <c r="P10" s="2523"/>
      <c r="Q10" s="3242"/>
      <c r="R10" s="3525"/>
    </row>
    <row r="11" spans="4:27" ht="19.7" customHeight="1">
      <c r="D11" s="3526"/>
      <c r="E11" s="1240"/>
      <c r="F11" s="1239"/>
      <c r="G11" s="2271" t="s">
        <v>1518</v>
      </c>
      <c r="H11" s="1235"/>
      <c r="I11" s="2271"/>
      <c r="J11" s="1235"/>
      <c r="K11" s="2271" t="s">
        <v>1519</v>
      </c>
      <c r="L11" s="2271" t="s">
        <v>1544</v>
      </c>
      <c r="M11" s="1235"/>
      <c r="N11" s="2271" t="s">
        <v>1381</v>
      </c>
      <c r="O11" s="2271"/>
      <c r="P11" s="2523"/>
      <c r="Q11" s="3242"/>
      <c r="R11" s="3525"/>
    </row>
    <row r="12" spans="4:27" ht="19.7" customHeight="1">
      <c r="D12" s="3526" t="s">
        <v>1382</v>
      </c>
      <c r="E12" s="1240"/>
      <c r="F12" s="1239"/>
      <c r="G12" s="2271" t="s">
        <v>1349</v>
      </c>
      <c r="H12" s="2271" t="s">
        <v>1371</v>
      </c>
      <c r="I12" s="2271" t="s">
        <v>1317</v>
      </c>
      <c r="J12" s="2271" t="s">
        <v>1521</v>
      </c>
      <c r="K12" s="2271" t="s">
        <v>1522</v>
      </c>
      <c r="L12" s="2271" t="s">
        <v>1523</v>
      </c>
      <c r="M12" s="2271" t="s">
        <v>1386</v>
      </c>
      <c r="N12" s="2271" t="s">
        <v>1387</v>
      </c>
      <c r="O12" s="1249" t="s">
        <v>1545</v>
      </c>
      <c r="P12" s="2523"/>
      <c r="Q12" s="3242"/>
      <c r="R12" s="3525"/>
      <c r="T12" s="1190"/>
    </row>
    <row r="13" spans="4:27" ht="19.7" customHeight="1">
      <c r="D13" s="3527" t="s">
        <v>1388</v>
      </c>
      <c r="E13" s="1774"/>
      <c r="F13" s="1774"/>
      <c r="G13" s="2271" t="s">
        <v>1524</v>
      </c>
      <c r="H13" s="2271" t="s">
        <v>1373</v>
      </c>
      <c r="I13" s="2271" t="s">
        <v>1390</v>
      </c>
      <c r="J13" s="2271" t="s">
        <v>1525</v>
      </c>
      <c r="K13" s="2271" t="s">
        <v>1526</v>
      </c>
      <c r="L13" s="2271" t="s">
        <v>1351</v>
      </c>
      <c r="M13" s="2271" t="s">
        <v>1393</v>
      </c>
      <c r="N13" s="2271" t="s">
        <v>1394</v>
      </c>
      <c r="O13" s="1249" t="s">
        <v>395</v>
      </c>
      <c r="P13" s="2343" t="s">
        <v>1527</v>
      </c>
      <c r="Q13" s="2272"/>
      <c r="R13" s="3528" t="s">
        <v>1527</v>
      </c>
    </row>
    <row r="14" spans="4:27" ht="19.7" customHeight="1">
      <c r="D14" s="3529" t="s">
        <v>1431</v>
      </c>
      <c r="E14" s="2054"/>
      <c r="F14" s="2054"/>
      <c r="G14" s="1731" t="s">
        <v>1528</v>
      </c>
      <c r="H14" s="1731"/>
      <c r="I14" s="1731"/>
      <c r="J14" s="1731"/>
      <c r="K14" s="1731" t="s">
        <v>1397</v>
      </c>
      <c r="L14" s="1731" t="s">
        <v>1398</v>
      </c>
      <c r="M14" s="1731"/>
      <c r="N14" s="1731"/>
      <c r="O14" s="1242"/>
      <c r="P14" s="2523"/>
      <c r="Q14" s="3242"/>
      <c r="R14" s="3525"/>
    </row>
    <row r="15" spans="4:27" ht="19.7" customHeight="1">
      <c r="D15" s="3529" t="s">
        <v>1396</v>
      </c>
      <c r="E15" s="2054"/>
      <c r="F15" s="2054"/>
      <c r="G15" s="1731" t="s">
        <v>127</v>
      </c>
      <c r="H15" s="1731" t="s">
        <v>1432</v>
      </c>
      <c r="I15" s="1731"/>
      <c r="J15" s="1731" t="s">
        <v>1529</v>
      </c>
      <c r="K15" s="1731" t="s">
        <v>1530</v>
      </c>
      <c r="L15" s="1731" t="s">
        <v>1330</v>
      </c>
      <c r="M15" s="1731" t="s">
        <v>1531</v>
      </c>
      <c r="N15" s="1731" t="s">
        <v>1404</v>
      </c>
      <c r="O15" s="1242"/>
      <c r="P15" s="2343" t="s">
        <v>1532</v>
      </c>
      <c r="Q15" s="2272"/>
      <c r="R15" s="3528" t="s">
        <v>1532</v>
      </c>
    </row>
    <row r="16" spans="4:27" ht="19.7" customHeight="1">
      <c r="D16" s="3529" t="s">
        <v>1400</v>
      </c>
      <c r="E16" s="2054"/>
      <c r="F16" s="2054"/>
      <c r="G16" s="1731" t="s">
        <v>1411</v>
      </c>
      <c r="H16" s="1731" t="s">
        <v>1433</v>
      </c>
      <c r="I16" s="1731" t="s">
        <v>1533</v>
      </c>
      <c r="J16" s="1731" t="s">
        <v>127</v>
      </c>
      <c r="K16" s="1731" t="s">
        <v>1534</v>
      </c>
      <c r="L16" s="1731" t="s">
        <v>1415</v>
      </c>
      <c r="M16" s="1731" t="s">
        <v>1535</v>
      </c>
      <c r="N16" s="1731" t="s">
        <v>1493</v>
      </c>
      <c r="O16" s="1242" t="s">
        <v>401</v>
      </c>
      <c r="P16" s="2523"/>
      <c r="Q16" s="3242"/>
      <c r="R16" s="3525"/>
    </row>
    <row r="17" spans="4:18" s="1801" customFormat="1" ht="19.7" customHeight="1">
      <c r="D17" s="3530" t="s">
        <v>1417</v>
      </c>
      <c r="E17" s="3392"/>
      <c r="F17" s="3392"/>
      <c r="G17" s="1732" t="s">
        <v>1359</v>
      </c>
      <c r="H17" s="1732" t="s">
        <v>1329</v>
      </c>
      <c r="I17" s="1732" t="s">
        <v>1536</v>
      </c>
      <c r="J17" s="1732" t="s">
        <v>1420</v>
      </c>
      <c r="K17" s="1732" t="s">
        <v>689</v>
      </c>
      <c r="L17" s="1732" t="s">
        <v>1537</v>
      </c>
      <c r="M17" s="1732" t="s">
        <v>1421</v>
      </c>
      <c r="N17" s="1732" t="s">
        <v>1422</v>
      </c>
      <c r="O17" s="2515" t="s">
        <v>1495</v>
      </c>
      <c r="P17" s="3196"/>
      <c r="Q17" s="3531"/>
      <c r="R17" s="3532"/>
    </row>
    <row r="18" spans="4:18" s="1801" customFormat="1" ht="6" customHeight="1">
      <c r="D18" s="3533"/>
      <c r="E18" s="3534"/>
      <c r="F18" s="3534"/>
      <c r="G18" s="2902"/>
      <c r="H18" s="2902"/>
      <c r="I18" s="2902"/>
      <c r="J18" s="2902"/>
      <c r="K18" s="2902"/>
      <c r="L18" s="2902"/>
      <c r="M18" s="2902"/>
      <c r="N18" s="2902"/>
      <c r="O18" s="3535"/>
      <c r="P18" s="3536"/>
      <c r="Q18" s="3537"/>
      <c r="R18" s="3538"/>
    </row>
    <row r="19" spans="4:18" s="1801" customFormat="1" ht="20.100000000000001" customHeight="1">
      <c r="D19" s="4948">
        <v>11.7</v>
      </c>
      <c r="E19" s="4949"/>
      <c r="F19" s="4949"/>
      <c r="G19" s="1143">
        <v>17</v>
      </c>
      <c r="H19" s="1143">
        <v>41.3</v>
      </c>
      <c r="I19" s="1143">
        <v>21.1</v>
      </c>
      <c r="J19" s="1143">
        <v>22.9</v>
      </c>
      <c r="K19" s="1143">
        <v>21.7</v>
      </c>
      <c r="L19" s="1143">
        <v>3.9</v>
      </c>
      <c r="M19" s="1143">
        <v>89.1</v>
      </c>
      <c r="N19" s="1143">
        <v>27.5</v>
      </c>
      <c r="O19" s="1424">
        <v>22.6</v>
      </c>
      <c r="P19" s="2902"/>
      <c r="Q19" s="3539">
        <v>1969</v>
      </c>
      <c r="R19" s="3540"/>
    </row>
    <row r="20" spans="4:18" s="1801" customFormat="1" ht="20.100000000000001" customHeight="1">
      <c r="D20" s="4945">
        <v>10.7</v>
      </c>
      <c r="E20" s="4725"/>
      <c r="F20" s="4725"/>
      <c r="G20" s="1724">
        <v>14.1</v>
      </c>
      <c r="H20" s="1724">
        <v>34.1</v>
      </c>
      <c r="I20" s="1724">
        <v>21.6</v>
      </c>
      <c r="J20" s="1724">
        <v>17</v>
      </c>
      <c r="K20" s="1724">
        <v>18.3</v>
      </c>
      <c r="L20" s="1724">
        <v>3.3</v>
      </c>
      <c r="M20" s="1724">
        <v>45.8</v>
      </c>
      <c r="N20" s="1724">
        <v>29.6</v>
      </c>
      <c r="O20" s="1345">
        <v>20.399999999999999</v>
      </c>
      <c r="P20" s="1553"/>
      <c r="Q20" s="1160">
        <v>1970</v>
      </c>
      <c r="R20" s="3506"/>
    </row>
    <row r="21" spans="4:18" s="1801" customFormat="1" ht="20.100000000000001" customHeight="1">
      <c r="D21" s="4948">
        <v>11.7</v>
      </c>
      <c r="E21" s="4949"/>
      <c r="F21" s="4949"/>
      <c r="G21" s="1143">
        <v>10</v>
      </c>
      <c r="H21" s="1143">
        <v>24.8</v>
      </c>
      <c r="I21" s="1143">
        <v>15.3</v>
      </c>
      <c r="J21" s="1143">
        <v>33.4</v>
      </c>
      <c r="K21" s="1143">
        <v>22.5</v>
      </c>
      <c r="L21" s="1143">
        <v>3.3</v>
      </c>
      <c r="M21" s="1143">
        <v>73.3</v>
      </c>
      <c r="N21" s="1143">
        <v>31.6</v>
      </c>
      <c r="O21" s="1424">
        <v>19.600000000000001</v>
      </c>
      <c r="P21" s="2902"/>
      <c r="Q21" s="3539">
        <v>1971</v>
      </c>
      <c r="R21" s="3540"/>
    </row>
    <row r="22" spans="4:18" s="1801" customFormat="1" ht="20.100000000000001" customHeight="1">
      <c r="D22" s="4945">
        <v>14.7</v>
      </c>
      <c r="E22" s="4725"/>
      <c r="F22" s="4725"/>
      <c r="G22" s="1724">
        <v>13.3</v>
      </c>
      <c r="H22" s="1724">
        <v>35.9</v>
      </c>
      <c r="I22" s="1724">
        <v>24.6</v>
      </c>
      <c r="J22" s="1724">
        <v>48.6</v>
      </c>
      <c r="K22" s="1724">
        <v>25.3</v>
      </c>
      <c r="L22" s="1724">
        <v>2.2999999999999998</v>
      </c>
      <c r="M22" s="1724">
        <v>71.900000000000006</v>
      </c>
      <c r="N22" s="1724">
        <v>37.200000000000003</v>
      </c>
      <c r="O22" s="1345">
        <v>25</v>
      </c>
      <c r="P22" s="1553"/>
      <c r="Q22" s="1160">
        <v>1972</v>
      </c>
      <c r="R22" s="3506"/>
    </row>
    <row r="23" spans="4:18" s="1801" customFormat="1" ht="20.100000000000001" customHeight="1">
      <c r="D23" s="4948">
        <v>13.9</v>
      </c>
      <c r="E23" s="4949"/>
      <c r="F23" s="4949"/>
      <c r="G23" s="1143">
        <v>14.9</v>
      </c>
      <c r="H23" s="1143">
        <v>37.200000000000003</v>
      </c>
      <c r="I23" s="1143">
        <v>23.7</v>
      </c>
      <c r="J23" s="1143">
        <v>37.9</v>
      </c>
      <c r="K23" s="1143">
        <v>27.5</v>
      </c>
      <c r="L23" s="1143">
        <v>28.8</v>
      </c>
      <c r="M23" s="1143">
        <v>64.7</v>
      </c>
      <c r="N23" s="1143">
        <v>37.700000000000003</v>
      </c>
      <c r="O23" s="1424">
        <v>24.4</v>
      </c>
      <c r="P23" s="2902"/>
      <c r="Q23" s="3539">
        <v>1973</v>
      </c>
      <c r="R23" s="3540"/>
    </row>
    <row r="24" spans="4:18" s="1801" customFormat="1" ht="20.100000000000001" customHeight="1">
      <c r="D24" s="4945">
        <v>19.2</v>
      </c>
      <c r="E24" s="4725"/>
      <c r="F24" s="4725"/>
      <c r="G24" s="1724">
        <v>22.2</v>
      </c>
      <c r="H24" s="1724">
        <v>38</v>
      </c>
      <c r="I24" s="1724">
        <v>25.3</v>
      </c>
      <c r="J24" s="1724">
        <v>26.1</v>
      </c>
      <c r="K24" s="1724">
        <v>32.1</v>
      </c>
      <c r="L24" s="1724">
        <v>32.9</v>
      </c>
      <c r="M24" s="1724">
        <v>53.4</v>
      </c>
      <c r="N24" s="1724">
        <v>37.1</v>
      </c>
      <c r="O24" s="1345">
        <v>27.3</v>
      </c>
      <c r="P24" s="1553"/>
      <c r="Q24" s="1160">
        <v>1974</v>
      </c>
      <c r="R24" s="3506"/>
    </row>
    <row r="25" spans="4:18" s="1801" customFormat="1" ht="20.100000000000001" customHeight="1">
      <c r="D25" s="4948">
        <v>26</v>
      </c>
      <c r="E25" s="4949"/>
      <c r="F25" s="4949"/>
      <c r="G25" s="1143">
        <v>36.6</v>
      </c>
      <c r="H25" s="1143">
        <v>50.8</v>
      </c>
      <c r="I25" s="1143">
        <v>33.700000000000003</v>
      </c>
      <c r="J25" s="1143">
        <v>36.5</v>
      </c>
      <c r="K25" s="1143">
        <v>31.3</v>
      </c>
      <c r="L25" s="1143">
        <v>32.700000000000003</v>
      </c>
      <c r="M25" s="1143">
        <v>61.4</v>
      </c>
      <c r="N25" s="1143">
        <v>38.299999999999997</v>
      </c>
      <c r="O25" s="1424">
        <v>34.6</v>
      </c>
      <c r="P25" s="2902"/>
      <c r="Q25" s="3539">
        <v>1975</v>
      </c>
      <c r="R25" s="3540"/>
    </row>
    <row r="26" spans="4:18" s="1801" customFormat="1" ht="20.100000000000001" customHeight="1">
      <c r="D26" s="4945">
        <v>30.6</v>
      </c>
      <c r="E26" s="4725"/>
      <c r="F26" s="4725"/>
      <c r="G26" s="1724">
        <v>64</v>
      </c>
      <c r="H26" s="1724">
        <v>59</v>
      </c>
      <c r="I26" s="1724">
        <v>34.799999999999997</v>
      </c>
      <c r="J26" s="1724">
        <v>65.8</v>
      </c>
      <c r="K26" s="1724">
        <v>46.6</v>
      </c>
      <c r="L26" s="1724">
        <v>46.9</v>
      </c>
      <c r="M26" s="1724">
        <v>85</v>
      </c>
      <c r="N26" s="1724">
        <v>56.1</v>
      </c>
      <c r="O26" s="1345">
        <v>51.6</v>
      </c>
      <c r="P26" s="1553"/>
      <c r="Q26" s="1160">
        <v>1976</v>
      </c>
      <c r="R26" s="3506"/>
    </row>
    <row r="27" spans="4:18" s="1801" customFormat="1" ht="20.100000000000001" customHeight="1">
      <c r="D27" s="4948">
        <v>44.4</v>
      </c>
      <c r="E27" s="4949"/>
      <c r="F27" s="4949"/>
      <c r="G27" s="1143">
        <v>80.8</v>
      </c>
      <c r="H27" s="1143">
        <v>73.900000000000006</v>
      </c>
      <c r="I27" s="1143">
        <v>56.3</v>
      </c>
      <c r="J27" s="1143">
        <v>102.6</v>
      </c>
      <c r="K27" s="1143">
        <v>49.6</v>
      </c>
      <c r="L27" s="1143">
        <v>42.3</v>
      </c>
      <c r="M27" s="1143">
        <v>132.4</v>
      </c>
      <c r="N27" s="1143">
        <v>53</v>
      </c>
      <c r="O27" s="1424">
        <v>60.3</v>
      </c>
      <c r="P27" s="2902"/>
      <c r="Q27" s="3539">
        <v>1977</v>
      </c>
      <c r="R27" s="3540"/>
    </row>
    <row r="28" spans="4:18" s="1801" customFormat="1" ht="20.100000000000001" customHeight="1">
      <c r="D28" s="4945">
        <v>62.8</v>
      </c>
      <c r="E28" s="4725"/>
      <c r="F28" s="4725"/>
      <c r="G28" s="1724">
        <v>98.4</v>
      </c>
      <c r="H28" s="1724">
        <v>73.900000000000006</v>
      </c>
      <c r="I28" s="1724">
        <v>48.6</v>
      </c>
      <c r="J28" s="1724">
        <v>139.6</v>
      </c>
      <c r="K28" s="1724">
        <v>53.1</v>
      </c>
      <c r="L28" s="1724">
        <v>52.4</v>
      </c>
      <c r="M28" s="1724">
        <v>178.6</v>
      </c>
      <c r="N28" s="1724">
        <v>62.7</v>
      </c>
      <c r="O28" s="1345">
        <v>68.8</v>
      </c>
      <c r="P28" s="1553"/>
      <c r="Q28" s="1160">
        <v>1978</v>
      </c>
      <c r="R28" s="3506"/>
    </row>
    <row r="29" spans="4:18" s="1801" customFormat="1" ht="20.100000000000001" customHeight="1">
      <c r="D29" s="4948">
        <v>68.3</v>
      </c>
      <c r="E29" s="4949"/>
      <c r="F29" s="4949"/>
      <c r="G29" s="1143">
        <v>96.2</v>
      </c>
      <c r="H29" s="1143">
        <v>106.6</v>
      </c>
      <c r="I29" s="1143">
        <v>58.7</v>
      </c>
      <c r="J29" s="1143">
        <v>34.799999999999997</v>
      </c>
      <c r="K29" s="1143">
        <v>69.3</v>
      </c>
      <c r="L29" s="1143">
        <v>68.7</v>
      </c>
      <c r="M29" s="1143">
        <v>199</v>
      </c>
      <c r="N29" s="1143">
        <v>73.900000000000006</v>
      </c>
      <c r="O29" s="1424">
        <v>80.8</v>
      </c>
      <c r="P29" s="2902"/>
      <c r="Q29" s="3539">
        <v>1979</v>
      </c>
      <c r="R29" s="3540"/>
    </row>
    <row r="30" spans="4:18" s="1801" customFormat="1" ht="20.100000000000001" customHeight="1">
      <c r="D30" s="4945">
        <v>65.8</v>
      </c>
      <c r="E30" s="4725"/>
      <c r="F30" s="4725"/>
      <c r="G30" s="1724">
        <v>104.9</v>
      </c>
      <c r="H30" s="1724">
        <v>90.2</v>
      </c>
      <c r="I30" s="1724">
        <v>62.7</v>
      </c>
      <c r="J30" s="1724">
        <v>62.8</v>
      </c>
      <c r="K30" s="1724">
        <v>73.900000000000006</v>
      </c>
      <c r="L30" s="1724">
        <v>46.4</v>
      </c>
      <c r="M30" s="1724">
        <v>205.3</v>
      </c>
      <c r="N30" s="1724">
        <v>72.7</v>
      </c>
      <c r="O30" s="1345">
        <v>79.3</v>
      </c>
      <c r="P30" s="1553"/>
      <c r="Q30" s="1160">
        <v>1980</v>
      </c>
      <c r="R30" s="3506"/>
    </row>
    <row r="31" spans="4:18" s="1801" customFormat="1" ht="20.100000000000001" customHeight="1">
      <c r="D31" s="4948">
        <v>78.52</v>
      </c>
      <c r="E31" s="4949"/>
      <c r="F31" s="4949"/>
      <c r="G31" s="1143">
        <v>137.6</v>
      </c>
      <c r="H31" s="1143">
        <v>103</v>
      </c>
      <c r="I31" s="1143">
        <v>95.1</v>
      </c>
      <c r="J31" s="1143">
        <v>33.4</v>
      </c>
      <c r="K31" s="1143">
        <v>81</v>
      </c>
      <c r="L31" s="1143">
        <v>57.1</v>
      </c>
      <c r="M31" s="1143">
        <v>188.7</v>
      </c>
      <c r="N31" s="1143">
        <v>77.400000000000006</v>
      </c>
      <c r="O31" s="1424">
        <v>94.1</v>
      </c>
      <c r="P31" s="2902"/>
      <c r="Q31" s="3539">
        <v>1981</v>
      </c>
      <c r="R31" s="3540"/>
    </row>
    <row r="32" spans="4:18" s="1801" customFormat="1" ht="20.100000000000001" customHeight="1">
      <c r="D32" s="4945">
        <v>87.7</v>
      </c>
      <c r="E32" s="4725"/>
      <c r="F32" s="4725"/>
      <c r="G32" s="1724">
        <v>138.69999999999999</v>
      </c>
      <c r="H32" s="1724">
        <v>120.3</v>
      </c>
      <c r="I32" s="1724">
        <v>60.9</v>
      </c>
      <c r="J32" s="1724">
        <v>57.9</v>
      </c>
      <c r="K32" s="1724">
        <v>102.1</v>
      </c>
      <c r="L32" s="1724">
        <v>66.5</v>
      </c>
      <c r="M32" s="1724">
        <v>185.8</v>
      </c>
      <c r="N32" s="1724">
        <v>88.9</v>
      </c>
      <c r="O32" s="1345">
        <v>103.3</v>
      </c>
      <c r="P32" s="1553"/>
      <c r="Q32" s="1160">
        <v>1982</v>
      </c>
      <c r="R32" s="3506"/>
    </row>
    <row r="33" spans="4:29" s="1801" customFormat="1" ht="20.100000000000001" customHeight="1">
      <c r="D33" s="4948">
        <v>91.2</v>
      </c>
      <c r="E33" s="4949"/>
      <c r="F33" s="4949"/>
      <c r="G33" s="1143">
        <v>130.5</v>
      </c>
      <c r="H33" s="1143">
        <v>117.8</v>
      </c>
      <c r="I33" s="1143">
        <v>64.8</v>
      </c>
      <c r="J33" s="1143">
        <v>60.5</v>
      </c>
      <c r="K33" s="1143">
        <v>99.3</v>
      </c>
      <c r="L33" s="1143">
        <v>91.8</v>
      </c>
      <c r="M33" s="1143">
        <v>194.5</v>
      </c>
      <c r="N33" s="1143">
        <v>94.9</v>
      </c>
      <c r="O33" s="1424">
        <v>104.2</v>
      </c>
      <c r="P33" s="2902"/>
      <c r="Q33" s="3539">
        <v>1983</v>
      </c>
      <c r="R33" s="3540"/>
    </row>
    <row r="34" spans="4:29" s="1801" customFormat="1" ht="20.100000000000001" customHeight="1">
      <c r="D34" s="4945">
        <v>95.2</v>
      </c>
      <c r="E34" s="4725"/>
      <c r="F34" s="4725"/>
      <c r="G34" s="1724">
        <v>105.4</v>
      </c>
      <c r="H34" s="1724">
        <v>97</v>
      </c>
      <c r="I34" s="1724">
        <v>108.3</v>
      </c>
      <c r="J34" s="1724">
        <v>100.9</v>
      </c>
      <c r="K34" s="1724">
        <v>96.8</v>
      </c>
      <c r="L34" s="1724">
        <v>85.3</v>
      </c>
      <c r="M34" s="1724">
        <v>199.2</v>
      </c>
      <c r="N34" s="1724">
        <v>94.3</v>
      </c>
      <c r="O34" s="1345">
        <v>97.7</v>
      </c>
      <c r="P34" s="1553"/>
      <c r="Q34" s="1160">
        <v>1984</v>
      </c>
      <c r="R34" s="3506"/>
    </row>
    <row r="35" spans="4:29" s="1801" customFormat="1" ht="20.100000000000001" customHeight="1">
      <c r="D35" s="4948">
        <v>100</v>
      </c>
      <c r="E35" s="4949"/>
      <c r="F35" s="4949"/>
      <c r="G35" s="1143">
        <v>100</v>
      </c>
      <c r="H35" s="1143">
        <v>100</v>
      </c>
      <c r="I35" s="1143">
        <v>100</v>
      </c>
      <c r="J35" s="1143">
        <v>100</v>
      </c>
      <c r="K35" s="1143">
        <v>100</v>
      </c>
      <c r="L35" s="1143">
        <v>100</v>
      </c>
      <c r="M35" s="1143">
        <v>100</v>
      </c>
      <c r="N35" s="1143">
        <v>100</v>
      </c>
      <c r="O35" s="1424">
        <v>100</v>
      </c>
      <c r="P35" s="2902"/>
      <c r="Q35" s="3539">
        <v>1985</v>
      </c>
      <c r="R35" s="3540"/>
    </row>
    <row r="36" spans="4:29" s="1801" customFormat="1" ht="20.100000000000001" customHeight="1">
      <c r="D36" s="4945">
        <v>95.7</v>
      </c>
      <c r="E36" s="4725"/>
      <c r="F36" s="4725"/>
      <c r="G36" s="1724">
        <v>100.6</v>
      </c>
      <c r="H36" s="1724">
        <v>88.8</v>
      </c>
      <c r="I36" s="1724">
        <v>148.80000000000001</v>
      </c>
      <c r="J36" s="1724">
        <v>104.3</v>
      </c>
      <c r="K36" s="1724">
        <v>107.8</v>
      </c>
      <c r="L36" s="1724">
        <v>99.9</v>
      </c>
      <c r="M36" s="1724">
        <v>194.9</v>
      </c>
      <c r="N36" s="1724">
        <v>102.6</v>
      </c>
      <c r="O36" s="1345">
        <v>105.1</v>
      </c>
      <c r="P36" s="1553"/>
      <c r="Q36" s="1160">
        <v>1986</v>
      </c>
      <c r="R36" s="3506"/>
    </row>
    <row r="37" spans="4:29" s="1801" customFormat="1" ht="20.100000000000001" customHeight="1">
      <c r="D37" s="4948">
        <v>88.9</v>
      </c>
      <c r="E37" s="4949"/>
      <c r="F37" s="4949"/>
      <c r="G37" s="1143">
        <v>103</v>
      </c>
      <c r="H37" s="1143">
        <v>103.9</v>
      </c>
      <c r="I37" s="1143">
        <v>148.1</v>
      </c>
      <c r="J37" s="1143">
        <v>127.8</v>
      </c>
      <c r="K37" s="1143">
        <v>124.8</v>
      </c>
      <c r="L37" s="1143">
        <v>102.1</v>
      </c>
      <c r="M37" s="1143">
        <v>246.2</v>
      </c>
      <c r="N37" s="1143">
        <v>106.7</v>
      </c>
      <c r="O37" s="1424">
        <v>109</v>
      </c>
      <c r="P37" s="2902"/>
      <c r="Q37" s="3539">
        <v>1987</v>
      </c>
      <c r="R37" s="3540"/>
    </row>
    <row r="38" spans="4:29" s="1801" customFormat="1" ht="20.100000000000001" customHeight="1">
      <c r="D38" s="4945">
        <v>80.599999999999994</v>
      </c>
      <c r="E38" s="4725"/>
      <c r="F38" s="4725"/>
      <c r="G38" s="1724">
        <v>107.5</v>
      </c>
      <c r="H38" s="1724">
        <v>93.1</v>
      </c>
      <c r="I38" s="1724">
        <v>217.3</v>
      </c>
      <c r="J38" s="1724">
        <v>184.5</v>
      </c>
      <c r="K38" s="1724">
        <v>121.3</v>
      </c>
      <c r="L38" s="1724">
        <v>116.1</v>
      </c>
      <c r="M38" s="1724">
        <v>192.5</v>
      </c>
      <c r="N38" s="1724">
        <v>104.5</v>
      </c>
      <c r="O38" s="1345">
        <v>115.1</v>
      </c>
      <c r="P38" s="1553"/>
      <c r="Q38" s="1160">
        <v>1988</v>
      </c>
      <c r="R38" s="3506"/>
    </row>
    <row r="39" spans="4:29" ht="20.100000000000001" customHeight="1">
      <c r="D39" s="4948">
        <v>61.7</v>
      </c>
      <c r="E39" s="4949"/>
      <c r="F39" s="4949"/>
      <c r="G39" s="475">
        <v>91.6</v>
      </c>
      <c r="H39" s="475">
        <v>79.5</v>
      </c>
      <c r="I39" s="475">
        <v>195.8</v>
      </c>
      <c r="J39" s="1171">
        <v>69</v>
      </c>
      <c r="K39" s="1171">
        <v>115.1</v>
      </c>
      <c r="L39" s="1171">
        <v>78.8</v>
      </c>
      <c r="M39" s="1171">
        <v>153.6</v>
      </c>
      <c r="N39" s="1171">
        <v>79.400000000000006</v>
      </c>
      <c r="O39" s="1424">
        <v>95.4</v>
      </c>
      <c r="P39" s="2902"/>
      <c r="Q39" s="3539">
        <v>1989</v>
      </c>
      <c r="R39" s="3541"/>
      <c r="S39" s="1963"/>
      <c r="T39" s="1963"/>
      <c r="U39" s="1963"/>
      <c r="V39" s="1963"/>
      <c r="W39" s="1963"/>
      <c r="X39" s="1963"/>
      <c r="Y39" s="1963"/>
      <c r="Z39" s="1963"/>
      <c r="AA39" s="1963"/>
      <c r="AB39" s="1963"/>
      <c r="AC39" s="1963"/>
    </row>
    <row r="40" spans="4:29" ht="20.100000000000001" customHeight="1">
      <c r="D40" s="4945">
        <v>56.3</v>
      </c>
      <c r="E40" s="4725"/>
      <c r="F40" s="4725"/>
      <c r="G40" s="1724">
        <v>68.099999999999994</v>
      </c>
      <c r="H40" s="1724">
        <v>89</v>
      </c>
      <c r="I40" s="1724">
        <v>147.9</v>
      </c>
      <c r="J40" s="1724">
        <v>237.8</v>
      </c>
      <c r="K40" s="1724">
        <v>132.5</v>
      </c>
      <c r="L40" s="1724">
        <v>56.4</v>
      </c>
      <c r="M40" s="1724">
        <v>120.7</v>
      </c>
      <c r="N40" s="1724">
        <v>117.8</v>
      </c>
      <c r="O40" s="1345">
        <v>99.5</v>
      </c>
      <c r="P40" s="1553"/>
      <c r="Q40" s="1160">
        <v>1990</v>
      </c>
      <c r="R40" s="3506"/>
      <c r="S40" s="1963"/>
      <c r="T40" s="1963"/>
      <c r="U40" s="1963"/>
      <c r="V40" s="1963"/>
      <c r="W40" s="1963"/>
      <c r="X40" s="1963"/>
      <c r="Y40" s="1963"/>
      <c r="Z40" s="1963"/>
      <c r="AA40" s="1963"/>
      <c r="AB40" s="1963"/>
      <c r="AC40" s="1963"/>
    </row>
    <row r="41" spans="4:29" ht="20.100000000000001" customHeight="1">
      <c r="D41" s="4948">
        <v>47.3</v>
      </c>
      <c r="E41" s="4949"/>
      <c r="F41" s="4949"/>
      <c r="G41" s="475">
        <v>56.7</v>
      </c>
      <c r="H41" s="475">
        <v>90</v>
      </c>
      <c r="I41" s="475">
        <v>146.1</v>
      </c>
      <c r="J41" s="1171">
        <v>208.2</v>
      </c>
      <c r="K41" s="1171">
        <v>114.7</v>
      </c>
      <c r="L41" s="1171">
        <v>91.3</v>
      </c>
      <c r="M41" s="1171">
        <v>85.7</v>
      </c>
      <c r="N41" s="1171">
        <v>115.6</v>
      </c>
      <c r="O41" s="1424">
        <v>98.3</v>
      </c>
      <c r="P41" s="2902"/>
      <c r="Q41" s="3539">
        <v>1991</v>
      </c>
      <c r="R41" s="3541"/>
      <c r="S41" s="1963"/>
      <c r="T41" s="1963"/>
      <c r="U41" s="1963"/>
      <c r="V41" s="1963"/>
      <c r="W41" s="1963"/>
      <c r="X41" s="1963"/>
      <c r="Y41" s="1963"/>
      <c r="Z41" s="1963"/>
      <c r="AA41" s="1963"/>
      <c r="AB41" s="1963"/>
      <c r="AC41" s="1963"/>
    </row>
    <row r="42" spans="4:29" ht="20.100000000000001" customHeight="1">
      <c r="D42" s="4945">
        <v>101</v>
      </c>
      <c r="E42" s="4725"/>
      <c r="F42" s="4725"/>
      <c r="G42" s="1724">
        <v>130.30000000000001</v>
      </c>
      <c r="H42" s="1724">
        <v>134.4</v>
      </c>
      <c r="I42" s="1724">
        <v>135</v>
      </c>
      <c r="J42" s="1724">
        <v>350.7</v>
      </c>
      <c r="K42" s="1724">
        <v>148.4</v>
      </c>
      <c r="L42" s="1724">
        <v>71.599999999999994</v>
      </c>
      <c r="M42" s="1724">
        <v>102.8</v>
      </c>
      <c r="N42" s="1724">
        <v>118.9</v>
      </c>
      <c r="O42" s="1345">
        <v>134.80000000000001</v>
      </c>
      <c r="P42" s="1553"/>
      <c r="Q42" s="1160">
        <v>1992</v>
      </c>
      <c r="R42" s="3506"/>
      <c r="S42" s="1963"/>
      <c r="T42" s="1963"/>
      <c r="U42" s="1963"/>
      <c r="V42" s="1963"/>
      <c r="W42" s="1963"/>
      <c r="X42" s="1963"/>
      <c r="Y42" s="1963"/>
      <c r="Z42" s="1963"/>
      <c r="AA42" s="1963"/>
      <c r="AB42" s="1963"/>
      <c r="AC42" s="1963"/>
    </row>
    <row r="43" spans="4:29" ht="20.100000000000001" customHeight="1">
      <c r="D43" s="4948">
        <v>107.7</v>
      </c>
      <c r="E43" s="4949"/>
      <c r="F43" s="4949"/>
      <c r="G43" s="475">
        <v>168.5</v>
      </c>
      <c r="H43" s="475">
        <v>158.30000000000001</v>
      </c>
      <c r="I43" s="475">
        <v>176.9</v>
      </c>
      <c r="J43" s="1171">
        <v>377.4</v>
      </c>
      <c r="K43" s="1171">
        <v>143.4</v>
      </c>
      <c r="L43" s="1171">
        <v>93.4</v>
      </c>
      <c r="M43" s="1171">
        <v>105.3</v>
      </c>
      <c r="N43" s="1171">
        <v>134.1</v>
      </c>
      <c r="O43" s="1424">
        <v>147</v>
      </c>
      <c r="P43" s="2902"/>
      <c r="Q43" s="3539">
        <v>1993</v>
      </c>
      <c r="R43" s="3541"/>
      <c r="S43" s="1963"/>
      <c r="T43" s="1963"/>
      <c r="U43" s="1963"/>
      <c r="V43" s="1963"/>
      <c r="W43" s="1963"/>
      <c r="X43" s="1963"/>
      <c r="Y43" s="1963"/>
      <c r="Z43" s="1963"/>
      <c r="AA43" s="1963"/>
      <c r="AB43" s="1963"/>
      <c r="AC43" s="1963"/>
    </row>
    <row r="44" spans="4:29" ht="20.100000000000001" customHeight="1">
      <c r="D44" s="4984">
        <v>94</v>
      </c>
      <c r="E44" s="4985"/>
      <c r="F44" s="4985"/>
      <c r="G44" s="1746">
        <v>150.69999999999999</v>
      </c>
      <c r="H44" s="1746">
        <v>129</v>
      </c>
      <c r="I44" s="1746">
        <v>185</v>
      </c>
      <c r="J44" s="1725">
        <v>573.5</v>
      </c>
      <c r="K44" s="1725">
        <v>145.4</v>
      </c>
      <c r="L44" s="1725">
        <v>126.9</v>
      </c>
      <c r="M44" s="1725">
        <v>173.4</v>
      </c>
      <c r="N44" s="1725">
        <v>125.5</v>
      </c>
      <c r="O44" s="1346">
        <v>143.19999999999999</v>
      </c>
      <c r="P44" s="1417"/>
      <c r="Q44" s="1532">
        <v>1994</v>
      </c>
      <c r="R44" s="3542"/>
      <c r="S44" s="1963"/>
      <c r="T44" s="1963"/>
      <c r="U44" s="1963"/>
      <c r="V44" s="1963"/>
      <c r="W44" s="1963"/>
      <c r="X44" s="1963"/>
      <c r="Y44" s="1963"/>
      <c r="Z44" s="1963"/>
      <c r="AA44" s="1963"/>
      <c r="AB44" s="1963"/>
      <c r="AC44" s="1963"/>
    </row>
    <row r="45" spans="4:29" ht="20.100000000000001" hidden="1" customHeight="1">
      <c r="D45" s="476"/>
      <c r="E45" s="477"/>
      <c r="F45" s="477"/>
      <c r="G45" s="1746"/>
      <c r="H45" s="1746"/>
      <c r="I45" s="1746"/>
      <c r="J45" s="1725"/>
      <c r="K45" s="1725"/>
      <c r="L45" s="1725"/>
      <c r="M45" s="1725"/>
      <c r="N45" s="1725"/>
      <c r="O45" s="1651"/>
      <c r="P45" s="3543"/>
      <c r="Q45" s="3544"/>
      <c r="R45" s="3513"/>
      <c r="S45" s="1963"/>
      <c r="T45" s="1963"/>
      <c r="U45" s="1963"/>
      <c r="V45" s="1963"/>
      <c r="W45" s="1963"/>
      <c r="X45" s="1963"/>
      <c r="Y45" s="1963"/>
      <c r="Z45" s="1963"/>
      <c r="AA45" s="1963"/>
      <c r="AB45" s="1963"/>
      <c r="AC45" s="1963"/>
    </row>
    <row r="46" spans="4:29" ht="4.3499999999999996" customHeight="1">
      <c r="D46" s="1323"/>
      <c r="E46" s="1323"/>
      <c r="F46" s="1323"/>
      <c r="G46" s="1323"/>
      <c r="H46" s="1277"/>
      <c r="I46" s="1277"/>
      <c r="J46" s="3545"/>
      <c r="K46" s="3545"/>
      <c r="L46" s="3545"/>
      <c r="M46" s="3545"/>
      <c r="N46" s="3545"/>
      <c r="O46" s="3546"/>
      <c r="P46" s="2266"/>
      <c r="Q46" s="2266"/>
      <c r="R46" s="2618"/>
      <c r="S46" s="1964"/>
      <c r="T46" s="1963"/>
      <c r="U46" s="1963"/>
      <c r="V46" s="1963"/>
      <c r="W46" s="1963"/>
      <c r="X46" s="1963"/>
      <c r="Y46" s="1963"/>
      <c r="Z46" s="1963"/>
      <c r="AA46" s="1963"/>
      <c r="AB46" s="1963"/>
      <c r="AC46" s="1963"/>
    </row>
    <row r="47" spans="4:29" s="1849" customFormat="1" ht="17.100000000000001" customHeight="1">
      <c r="D47" s="2334" t="s">
        <v>1496</v>
      </c>
      <c r="E47" s="3405"/>
      <c r="F47" s="3405"/>
      <c r="G47" s="3405"/>
      <c r="H47" s="3405"/>
      <c r="I47" s="3405"/>
      <c r="J47" s="3388"/>
      <c r="K47" s="3405"/>
      <c r="L47" s="2313"/>
      <c r="M47" s="2313"/>
      <c r="N47" s="2313"/>
      <c r="O47" s="3405"/>
      <c r="P47" s="3405"/>
      <c r="Q47" s="2312"/>
      <c r="R47" s="3415"/>
    </row>
    <row r="48" spans="4:29" ht="4.3499999999999996" customHeight="1">
      <c r="D48" s="1763"/>
      <c r="E48" s="1763"/>
      <c r="F48" s="1763"/>
      <c r="G48" s="1763"/>
      <c r="H48" s="1763"/>
      <c r="I48" s="1763"/>
      <c r="J48" s="1323"/>
      <c r="K48" s="2103"/>
      <c r="L48" s="1861"/>
      <c r="M48" s="2314"/>
      <c r="N48" s="1861"/>
      <c r="O48" s="2103"/>
      <c r="P48" s="2773"/>
      <c r="Q48" s="1989"/>
    </row>
    <row r="49" spans="1:33" s="1999" customFormat="1" ht="6" customHeight="1">
      <c r="D49" s="1225"/>
      <c r="E49" s="1226"/>
      <c r="F49" s="1226"/>
      <c r="G49" s="1229"/>
      <c r="H49" s="1226"/>
      <c r="I49" s="1226"/>
      <c r="J49" s="1226"/>
      <c r="K49" s="2546"/>
      <c r="L49" s="3377"/>
      <c r="M49" s="3519"/>
      <c r="N49" s="3377"/>
      <c r="O49" s="3398"/>
      <c r="P49" s="3547"/>
      <c r="Q49" s="3520"/>
      <c r="R49" s="3421"/>
    </row>
    <row r="50" spans="1:33" s="1986" customFormat="1" ht="39.75" customHeight="1">
      <c r="D50" s="3378" t="s">
        <v>1542</v>
      </c>
      <c r="E50" s="1236"/>
      <c r="F50" s="1236"/>
      <c r="G50" s="1236"/>
      <c r="H50" s="1236"/>
      <c r="I50" s="1236"/>
      <c r="J50" s="1236"/>
      <c r="K50" s="1997"/>
      <c r="L50" s="1292"/>
      <c r="M50" s="3522"/>
      <c r="N50" s="1292"/>
      <c r="O50" s="1356" t="s">
        <v>1516</v>
      </c>
      <c r="P50" s="2470"/>
      <c r="Q50" s="3246"/>
      <c r="R50" s="3433"/>
    </row>
    <row r="51" spans="1:33" s="1801" customFormat="1" ht="19.7" customHeight="1">
      <c r="D51" s="3548"/>
      <c r="E51" s="2518"/>
      <c r="F51" s="2136"/>
      <c r="G51" s="1384"/>
      <c r="H51" s="1384"/>
      <c r="I51" s="1384"/>
      <c r="J51" s="1384"/>
      <c r="K51" s="2548"/>
      <c r="L51" s="2548"/>
      <c r="M51" s="3220"/>
      <c r="N51" s="2548"/>
      <c r="O51" s="3220"/>
      <c r="P51" s="2901"/>
      <c r="Q51" s="3242"/>
      <c r="R51" s="3549"/>
    </row>
    <row r="52" spans="1:33" ht="19.7" customHeight="1">
      <c r="D52" s="2199"/>
      <c r="E52" s="1240"/>
      <c r="F52" s="1239"/>
      <c r="G52" s="1235"/>
      <c r="H52" s="1235"/>
      <c r="I52" s="1235"/>
      <c r="J52" s="1235"/>
      <c r="K52" s="2271" t="s">
        <v>1543</v>
      </c>
      <c r="L52" s="2271"/>
      <c r="M52" s="3193"/>
      <c r="N52" s="2271" t="s">
        <v>1538</v>
      </c>
      <c r="O52" s="3193"/>
      <c r="P52" s="2901"/>
      <c r="Q52" s="3242"/>
      <c r="R52" s="3549"/>
    </row>
    <row r="53" spans="1:33" ht="19.7" customHeight="1">
      <c r="D53" s="2199"/>
      <c r="E53" s="1240"/>
      <c r="F53" s="1239"/>
      <c r="G53" s="2271" t="s">
        <v>1518</v>
      </c>
      <c r="H53" s="1235"/>
      <c r="I53" s="2271"/>
      <c r="J53" s="1235"/>
      <c r="K53" s="2271" t="s">
        <v>1519</v>
      </c>
      <c r="L53" s="2271" t="s">
        <v>1538</v>
      </c>
      <c r="M53" s="1235"/>
      <c r="N53" s="2271" t="s">
        <v>1381</v>
      </c>
      <c r="O53" s="2271"/>
      <c r="P53" s="2901"/>
      <c r="Q53" s="3242"/>
      <c r="R53" s="3549"/>
    </row>
    <row r="54" spans="1:33" ht="19.7" customHeight="1">
      <c r="D54" s="2610" t="s">
        <v>1382</v>
      </c>
      <c r="E54" s="1774"/>
      <c r="F54" s="1774"/>
      <c r="G54" s="2271" t="s">
        <v>1546</v>
      </c>
      <c r="H54" s="2271" t="s">
        <v>1371</v>
      </c>
      <c r="I54" s="2271" t="s">
        <v>1317</v>
      </c>
      <c r="J54" s="2271" t="s">
        <v>1521</v>
      </c>
      <c r="K54" s="2271" t="s">
        <v>1522</v>
      </c>
      <c r="L54" s="2271" t="s">
        <v>1523</v>
      </c>
      <c r="M54" s="2271" t="s">
        <v>1386</v>
      </c>
      <c r="N54" s="2271" t="s">
        <v>1387</v>
      </c>
      <c r="O54" s="1249" t="s">
        <v>1545</v>
      </c>
      <c r="P54" s="2901"/>
      <c r="Q54" s="3242"/>
      <c r="R54" s="3549"/>
      <c r="S54" s="1190"/>
      <c r="T54" s="1190"/>
    </row>
    <row r="55" spans="1:33" ht="19.7" customHeight="1">
      <c r="D55" s="2610" t="s">
        <v>1388</v>
      </c>
      <c r="E55" s="1774"/>
      <c r="F55" s="1774"/>
      <c r="G55" s="2271" t="s">
        <v>1524</v>
      </c>
      <c r="H55" s="2271" t="s">
        <v>1373</v>
      </c>
      <c r="I55" s="2271" t="s">
        <v>1390</v>
      </c>
      <c r="J55" s="2271" t="s">
        <v>1525</v>
      </c>
      <c r="K55" s="2271" t="s">
        <v>1526</v>
      </c>
      <c r="L55" s="2271" t="s">
        <v>1351</v>
      </c>
      <c r="M55" s="2271" t="s">
        <v>1393</v>
      </c>
      <c r="N55" s="2271" t="s">
        <v>1394</v>
      </c>
      <c r="O55" s="1249" t="s">
        <v>395</v>
      </c>
      <c r="P55" s="3550" t="s">
        <v>1527</v>
      </c>
      <c r="Q55" s="2272"/>
      <c r="R55" s="3551"/>
    </row>
    <row r="56" spans="1:33" ht="19.7" customHeight="1">
      <c r="D56" s="3390" t="s">
        <v>1431</v>
      </c>
      <c r="E56" s="2054"/>
      <c r="F56" s="2054"/>
      <c r="G56" s="1731" t="s">
        <v>1528</v>
      </c>
      <c r="H56" s="1731"/>
      <c r="I56" s="1731"/>
      <c r="J56" s="1731"/>
      <c r="K56" s="1731" t="s">
        <v>1397</v>
      </c>
      <c r="L56" s="1731" t="s">
        <v>1398</v>
      </c>
      <c r="M56" s="1731"/>
      <c r="N56" s="1731"/>
      <c r="O56" s="1242"/>
      <c r="P56" s="2901"/>
      <c r="Q56" s="3242"/>
      <c r="R56" s="3549"/>
    </row>
    <row r="57" spans="1:33" ht="19.7" customHeight="1">
      <c r="D57" s="3390" t="s">
        <v>1396</v>
      </c>
      <c r="E57" s="2054"/>
      <c r="F57" s="2054"/>
      <c r="G57" s="1731" t="s">
        <v>127</v>
      </c>
      <c r="H57" s="1731" t="s">
        <v>1432</v>
      </c>
      <c r="I57" s="1731"/>
      <c r="J57" s="1731" t="s">
        <v>1529</v>
      </c>
      <c r="K57" s="1731" t="s">
        <v>1530</v>
      </c>
      <c r="L57" s="1731" t="s">
        <v>1330</v>
      </c>
      <c r="M57" s="1731" t="s">
        <v>1531</v>
      </c>
      <c r="N57" s="1731" t="s">
        <v>1404</v>
      </c>
      <c r="O57" s="1242"/>
      <c r="P57" s="3550" t="s">
        <v>1532</v>
      </c>
      <c r="Q57" s="2272"/>
      <c r="R57" s="3551"/>
    </row>
    <row r="58" spans="1:33" ht="19.7" customHeight="1">
      <c r="D58" s="3390" t="s">
        <v>1400</v>
      </c>
      <c r="E58" s="2054"/>
      <c r="F58" s="2054"/>
      <c r="G58" s="1731" t="s">
        <v>1411</v>
      </c>
      <c r="H58" s="1731" t="s">
        <v>1433</v>
      </c>
      <c r="I58" s="1731" t="s">
        <v>1533</v>
      </c>
      <c r="J58" s="1731" t="s">
        <v>127</v>
      </c>
      <c r="K58" s="1731" t="s">
        <v>1534</v>
      </c>
      <c r="L58" s="1731" t="s">
        <v>1415</v>
      </c>
      <c r="M58" s="1731" t="s">
        <v>1535</v>
      </c>
      <c r="N58" s="1731" t="s">
        <v>1493</v>
      </c>
      <c r="O58" s="1242" t="s">
        <v>401</v>
      </c>
      <c r="P58" s="2901"/>
      <c r="Q58" s="3242"/>
      <c r="R58" s="3549"/>
    </row>
    <row r="59" spans="1:33" s="1801" customFormat="1" ht="19.7" customHeight="1">
      <c r="D59" s="3391" t="s">
        <v>1417</v>
      </c>
      <c r="E59" s="3392"/>
      <c r="F59" s="3392"/>
      <c r="G59" s="1732" t="s">
        <v>1359</v>
      </c>
      <c r="H59" s="1732" t="s">
        <v>1329</v>
      </c>
      <c r="I59" s="1732" t="s">
        <v>1536</v>
      </c>
      <c r="J59" s="1732" t="s">
        <v>1420</v>
      </c>
      <c r="K59" s="1732" t="s">
        <v>689</v>
      </c>
      <c r="L59" s="1732" t="s">
        <v>1537</v>
      </c>
      <c r="M59" s="1732" t="s">
        <v>1421</v>
      </c>
      <c r="N59" s="1732" t="s">
        <v>1422</v>
      </c>
      <c r="O59" s="2515" t="s">
        <v>1495</v>
      </c>
      <c r="P59" s="3552"/>
      <c r="Q59" s="3531"/>
      <c r="R59" s="3553"/>
      <c r="S59" s="1963"/>
      <c r="T59" s="1963"/>
      <c r="U59" s="1963"/>
      <c r="V59" s="1963"/>
      <c r="W59" s="1963"/>
      <c r="X59" s="1963"/>
      <c r="Y59" s="1963"/>
      <c r="Z59" s="1963"/>
      <c r="AA59" s="1963"/>
      <c r="AB59" s="1963"/>
      <c r="AC59" s="1963"/>
      <c r="AD59" s="1963"/>
      <c r="AE59" s="1963"/>
      <c r="AF59" s="1963"/>
      <c r="AG59" s="1963"/>
    </row>
    <row r="60" spans="1:33" s="3556" customFormat="1" ht="18" customHeight="1">
      <c r="A60" s="1999"/>
      <c r="B60" s="1999"/>
      <c r="C60" s="1999"/>
      <c r="D60" s="1430">
        <v>95.4</v>
      </c>
      <c r="E60" s="1168"/>
      <c r="F60" s="1168"/>
      <c r="G60" s="1724">
        <v>94.4</v>
      </c>
      <c r="H60" s="1724">
        <v>95</v>
      </c>
      <c r="I60" s="1724">
        <v>100.4</v>
      </c>
      <c r="J60" s="1724">
        <v>86.6</v>
      </c>
      <c r="K60" s="1724">
        <v>107.9</v>
      </c>
      <c r="L60" s="1724">
        <v>101.1</v>
      </c>
      <c r="M60" s="1724">
        <v>61.4</v>
      </c>
      <c r="N60" s="1724">
        <v>92.6</v>
      </c>
      <c r="O60" s="1345">
        <v>96.9</v>
      </c>
      <c r="P60" s="3554"/>
      <c r="Q60" s="1160">
        <v>1995</v>
      </c>
      <c r="R60" s="3555"/>
      <c r="S60" s="2864"/>
      <c r="T60" s="2864"/>
      <c r="U60" s="2864"/>
      <c r="V60" s="2864"/>
      <c r="W60" s="2864"/>
      <c r="X60" s="2864"/>
      <c r="Y60" s="2864"/>
      <c r="Z60" s="2864"/>
      <c r="AA60" s="2864"/>
      <c r="AB60" s="2864"/>
      <c r="AC60" s="2864"/>
      <c r="AD60" s="2864"/>
      <c r="AE60" s="2864"/>
      <c r="AF60" s="2864"/>
      <c r="AG60" s="2864"/>
    </row>
    <row r="61" spans="1:33" s="1999" customFormat="1" ht="18" customHeight="1">
      <c r="D61" s="3557">
        <v>94.2</v>
      </c>
      <c r="E61" s="3558"/>
      <c r="F61" s="3558"/>
      <c r="G61" s="1739">
        <v>99.7</v>
      </c>
      <c r="H61" s="1739">
        <v>101</v>
      </c>
      <c r="I61" s="1739">
        <v>103</v>
      </c>
      <c r="J61" s="1739">
        <v>77.599999999999994</v>
      </c>
      <c r="K61" s="1739">
        <v>112.5</v>
      </c>
      <c r="L61" s="1739">
        <v>127.9</v>
      </c>
      <c r="M61" s="1739">
        <v>110.9</v>
      </c>
      <c r="N61" s="1739">
        <v>119</v>
      </c>
      <c r="O61" s="1525">
        <v>104.4</v>
      </c>
      <c r="P61" s="1800"/>
      <c r="Q61" s="1165">
        <v>1996</v>
      </c>
      <c r="R61" s="3559"/>
      <c r="S61" s="2864"/>
      <c r="T61" s="2864"/>
      <c r="U61" s="2864"/>
      <c r="V61" s="2864"/>
      <c r="W61" s="2864"/>
      <c r="X61" s="2864"/>
      <c r="Y61" s="2864"/>
      <c r="Z61" s="2864"/>
      <c r="AA61" s="2864"/>
      <c r="AB61" s="2864"/>
      <c r="AC61" s="2864"/>
      <c r="AD61" s="2864"/>
      <c r="AE61" s="2864"/>
      <c r="AF61" s="2864"/>
      <c r="AG61" s="2864"/>
    </row>
    <row r="62" spans="1:33" s="3556" customFormat="1" ht="18" customHeight="1">
      <c r="A62" s="1999"/>
      <c r="B62" s="1999"/>
      <c r="C62" s="1999"/>
      <c r="D62" s="1430">
        <v>83.7</v>
      </c>
      <c r="E62" s="1168"/>
      <c r="F62" s="1168"/>
      <c r="G62" s="1724">
        <v>107.7</v>
      </c>
      <c r="H62" s="1724">
        <v>88</v>
      </c>
      <c r="I62" s="1724">
        <v>95.5</v>
      </c>
      <c r="J62" s="1724">
        <v>105.5</v>
      </c>
      <c r="K62" s="1724">
        <v>110</v>
      </c>
      <c r="L62" s="1724">
        <v>131.6</v>
      </c>
      <c r="M62" s="1724">
        <v>151.9</v>
      </c>
      <c r="N62" s="1724">
        <v>105.9</v>
      </c>
      <c r="O62" s="1345">
        <v>102</v>
      </c>
      <c r="P62" s="3554"/>
      <c r="Q62" s="1160">
        <v>1997</v>
      </c>
      <c r="R62" s="3555"/>
      <c r="S62" s="2864"/>
      <c r="T62" s="2864"/>
      <c r="U62" s="2864"/>
      <c r="V62" s="2864"/>
      <c r="W62" s="2864"/>
      <c r="X62" s="2864"/>
      <c r="Y62" s="2864"/>
      <c r="Z62" s="2864"/>
      <c r="AA62" s="2864"/>
      <c r="AB62" s="2864"/>
      <c r="AC62" s="2864"/>
      <c r="AD62" s="2864"/>
      <c r="AE62" s="2864"/>
      <c r="AF62" s="2864"/>
      <c r="AG62" s="2864"/>
    </row>
    <row r="63" spans="1:33" s="1999" customFormat="1" ht="18" customHeight="1">
      <c r="D63" s="3557">
        <v>145.80000000000001</v>
      </c>
      <c r="E63" s="3558"/>
      <c r="F63" s="3558"/>
      <c r="G63" s="1739">
        <v>80.599999999999994</v>
      </c>
      <c r="H63" s="1739">
        <v>80</v>
      </c>
      <c r="I63" s="1739">
        <v>101.1</v>
      </c>
      <c r="J63" s="1739">
        <v>55.9</v>
      </c>
      <c r="K63" s="1739">
        <v>121.2</v>
      </c>
      <c r="L63" s="1739">
        <v>149.9</v>
      </c>
      <c r="M63" s="1739">
        <v>198.3</v>
      </c>
      <c r="N63" s="1739">
        <v>122.4</v>
      </c>
      <c r="O63" s="1525">
        <v>96.4</v>
      </c>
      <c r="P63" s="1800"/>
      <c r="Q63" s="1165">
        <v>1998</v>
      </c>
      <c r="R63" s="3559"/>
      <c r="S63" s="2864"/>
      <c r="T63" s="2864"/>
      <c r="U63" s="2864"/>
      <c r="V63" s="2864"/>
      <c r="W63" s="2864"/>
      <c r="X63" s="2864"/>
      <c r="Y63" s="2864"/>
      <c r="Z63" s="2864"/>
      <c r="AA63" s="2864"/>
      <c r="AB63" s="2864"/>
      <c r="AC63" s="2864"/>
      <c r="AD63" s="2864"/>
      <c r="AE63" s="2864"/>
      <c r="AF63" s="2864"/>
      <c r="AG63" s="2864"/>
    </row>
    <row r="64" spans="1:33" s="3556" customFormat="1" ht="18" customHeight="1">
      <c r="A64" s="1999"/>
      <c r="B64" s="1999"/>
      <c r="C64" s="1999"/>
      <c r="D64" s="1430">
        <v>142.80000000000001</v>
      </c>
      <c r="E64" s="1168"/>
      <c r="F64" s="1168"/>
      <c r="G64" s="1724">
        <v>82.9</v>
      </c>
      <c r="H64" s="1724">
        <v>74.3</v>
      </c>
      <c r="I64" s="1724">
        <v>90.3</v>
      </c>
      <c r="J64" s="1724">
        <v>43.4</v>
      </c>
      <c r="K64" s="1724">
        <v>123.3</v>
      </c>
      <c r="L64" s="1724">
        <v>152</v>
      </c>
      <c r="M64" s="1724">
        <v>245.7</v>
      </c>
      <c r="N64" s="1724">
        <v>118.9</v>
      </c>
      <c r="O64" s="1345">
        <v>95.3</v>
      </c>
      <c r="P64" s="3554"/>
      <c r="Q64" s="1160">
        <v>1999</v>
      </c>
      <c r="R64" s="3555"/>
      <c r="S64" s="2864"/>
      <c r="T64" s="2864"/>
      <c r="U64" s="2864"/>
      <c r="V64" s="2864"/>
      <c r="W64" s="2864"/>
      <c r="X64" s="2864"/>
      <c r="Y64" s="2864"/>
      <c r="Z64" s="2864"/>
      <c r="AA64" s="2864"/>
      <c r="AB64" s="2864"/>
      <c r="AC64" s="2864"/>
      <c r="AD64" s="2864"/>
      <c r="AE64" s="2864"/>
      <c r="AF64" s="2864"/>
      <c r="AG64" s="2864"/>
    </row>
    <row r="65" spans="1:33" s="1999" customFormat="1" ht="18" customHeight="1">
      <c r="D65" s="3557">
        <v>155.6</v>
      </c>
      <c r="E65" s="3558"/>
      <c r="F65" s="3558"/>
      <c r="G65" s="1739">
        <v>107.9</v>
      </c>
      <c r="H65" s="1739">
        <v>94.1</v>
      </c>
      <c r="I65" s="1739">
        <v>101.2</v>
      </c>
      <c r="J65" s="1739">
        <v>58.2</v>
      </c>
      <c r="K65" s="1739">
        <v>124</v>
      </c>
      <c r="L65" s="1739">
        <v>177.4</v>
      </c>
      <c r="M65" s="1739">
        <v>282.89999999999998</v>
      </c>
      <c r="N65" s="1739">
        <v>128.6</v>
      </c>
      <c r="O65" s="1525">
        <v>115.1</v>
      </c>
      <c r="P65" s="1800"/>
      <c r="Q65" s="1165">
        <v>2000</v>
      </c>
      <c r="R65" s="3559"/>
      <c r="S65" s="2864"/>
      <c r="T65" s="2864"/>
      <c r="U65" s="2864"/>
      <c r="V65" s="2864"/>
      <c r="W65" s="2864"/>
      <c r="X65" s="2864"/>
      <c r="Y65" s="2864"/>
      <c r="Z65" s="2864"/>
      <c r="AA65" s="2864"/>
      <c r="AB65" s="2864"/>
      <c r="AC65" s="2864"/>
      <c r="AD65" s="2864"/>
      <c r="AE65" s="2864"/>
      <c r="AF65" s="2864"/>
      <c r="AG65" s="2864"/>
    </row>
    <row r="66" spans="1:33" s="3556" customFormat="1" ht="18" customHeight="1">
      <c r="A66" s="1999"/>
      <c r="B66" s="1999"/>
      <c r="C66" s="1999"/>
      <c r="D66" s="1430">
        <v>154.80000000000001</v>
      </c>
      <c r="E66" s="1168"/>
      <c r="F66" s="1168"/>
      <c r="G66" s="1724">
        <v>101.8</v>
      </c>
      <c r="H66" s="1724">
        <v>124.3</v>
      </c>
      <c r="I66" s="1724">
        <v>110.4</v>
      </c>
      <c r="J66" s="1724">
        <v>69.7</v>
      </c>
      <c r="K66" s="1724">
        <v>125.4</v>
      </c>
      <c r="L66" s="1724">
        <v>169.5</v>
      </c>
      <c r="M66" s="1724">
        <v>239.4</v>
      </c>
      <c r="N66" s="1724">
        <v>121.6</v>
      </c>
      <c r="O66" s="1345">
        <v>118.8</v>
      </c>
      <c r="P66" s="3554"/>
      <c r="Q66" s="1160">
        <v>2001</v>
      </c>
      <c r="R66" s="3555"/>
      <c r="S66" s="2864"/>
      <c r="T66" s="2864"/>
      <c r="U66" s="2864"/>
      <c r="V66" s="2864"/>
      <c r="W66" s="2864"/>
      <c r="X66" s="2864"/>
      <c r="Y66" s="2864"/>
      <c r="Z66" s="2864"/>
      <c r="AA66" s="2864"/>
      <c r="AB66" s="2864"/>
      <c r="AC66" s="2864"/>
      <c r="AD66" s="2864"/>
      <c r="AE66" s="2864"/>
      <c r="AF66" s="2864"/>
      <c r="AG66" s="2864"/>
    </row>
    <row r="67" spans="1:33" s="1999" customFormat="1" ht="18" customHeight="1">
      <c r="D67" s="3557">
        <v>199.4</v>
      </c>
      <c r="E67" s="3558"/>
      <c r="F67" s="3558"/>
      <c r="G67" s="1739">
        <v>95.3</v>
      </c>
      <c r="H67" s="1739">
        <v>129.6</v>
      </c>
      <c r="I67" s="1739">
        <v>106.9</v>
      </c>
      <c r="J67" s="1739">
        <v>133.69999999999999</v>
      </c>
      <c r="K67" s="1739">
        <v>129.4</v>
      </c>
      <c r="L67" s="1739">
        <v>167.3</v>
      </c>
      <c r="M67" s="1739">
        <v>327.5</v>
      </c>
      <c r="N67" s="1739">
        <v>129.4</v>
      </c>
      <c r="O67" s="1525">
        <v>122.4</v>
      </c>
      <c r="P67" s="1800"/>
      <c r="Q67" s="1165">
        <v>2002</v>
      </c>
      <c r="R67" s="3559"/>
      <c r="S67" s="2864"/>
      <c r="T67" s="2864"/>
      <c r="U67" s="2864"/>
      <c r="V67" s="2864"/>
      <c r="W67" s="2864"/>
      <c r="X67" s="2864"/>
      <c r="Y67" s="2864"/>
      <c r="Z67" s="2864"/>
      <c r="AA67" s="2864"/>
      <c r="AB67" s="2864"/>
      <c r="AC67" s="2864"/>
      <c r="AD67" s="2864"/>
      <c r="AE67" s="2864"/>
      <c r="AF67" s="2864"/>
      <c r="AG67" s="2864"/>
    </row>
    <row r="68" spans="1:33" s="3556" customFormat="1" ht="18" customHeight="1">
      <c r="A68" s="1999"/>
      <c r="B68" s="1999"/>
      <c r="C68" s="1999"/>
      <c r="D68" s="1430">
        <v>98.3</v>
      </c>
      <c r="E68" s="1168"/>
      <c r="F68" s="1168"/>
      <c r="G68" s="1724">
        <v>97.5</v>
      </c>
      <c r="H68" s="1724">
        <v>145</v>
      </c>
      <c r="I68" s="1724">
        <v>132.4</v>
      </c>
      <c r="J68" s="1724">
        <v>101.3</v>
      </c>
      <c r="K68" s="1724">
        <v>132.6</v>
      </c>
      <c r="L68" s="1724">
        <v>130.6</v>
      </c>
      <c r="M68" s="1724">
        <v>456.4</v>
      </c>
      <c r="N68" s="1724">
        <v>152.1</v>
      </c>
      <c r="O68" s="1345">
        <v>125</v>
      </c>
      <c r="P68" s="3554"/>
      <c r="Q68" s="1160">
        <v>2003</v>
      </c>
      <c r="R68" s="3555"/>
      <c r="S68" s="2864"/>
      <c r="T68" s="2864"/>
      <c r="U68" s="2864"/>
      <c r="V68" s="2864"/>
      <c r="W68" s="2864"/>
      <c r="X68" s="2864"/>
      <c r="Y68" s="2864"/>
      <c r="Z68" s="2864"/>
      <c r="AA68" s="2864"/>
      <c r="AB68" s="2864"/>
      <c r="AC68" s="2864"/>
      <c r="AD68" s="2864"/>
      <c r="AE68" s="2864"/>
      <c r="AF68" s="2864"/>
      <c r="AG68" s="2864"/>
    </row>
    <row r="69" spans="1:33" s="1999" customFormat="1" ht="22.5">
      <c r="D69" s="3557">
        <v>139</v>
      </c>
      <c r="E69" s="3558"/>
      <c r="F69" s="3558"/>
      <c r="G69" s="1739">
        <v>137.69999999999999</v>
      </c>
      <c r="H69" s="1739">
        <v>145.80000000000001</v>
      </c>
      <c r="I69" s="1739">
        <v>164.4</v>
      </c>
      <c r="J69" s="1739">
        <v>157.30000000000001</v>
      </c>
      <c r="K69" s="1739">
        <v>162.69999999999999</v>
      </c>
      <c r="L69" s="1739">
        <v>128.80000000000001</v>
      </c>
      <c r="M69" s="1739">
        <v>504.2</v>
      </c>
      <c r="N69" s="1739">
        <v>162.1</v>
      </c>
      <c r="O69" s="1525">
        <v>153.30000000000001</v>
      </c>
      <c r="P69" s="1479"/>
      <c r="Q69" s="1165">
        <v>2004</v>
      </c>
      <c r="R69" s="3559"/>
      <c r="S69" s="2864"/>
      <c r="T69" s="2864"/>
      <c r="U69" s="2864"/>
      <c r="V69" s="2864"/>
      <c r="W69" s="2864"/>
      <c r="X69" s="2864"/>
      <c r="Y69" s="2864"/>
      <c r="Z69" s="2864"/>
      <c r="AA69" s="2864"/>
      <c r="AB69" s="2864"/>
      <c r="AC69" s="2864"/>
      <c r="AD69" s="2864"/>
      <c r="AE69" s="2864"/>
      <c r="AF69" s="2864"/>
      <c r="AG69" s="2864"/>
    </row>
    <row r="70" spans="1:33" s="3560" customFormat="1" ht="20.100000000000001" customHeight="1">
      <c r="A70" s="1986"/>
      <c r="B70" s="1986"/>
      <c r="C70" s="1986"/>
      <c r="D70" s="1430">
        <v>171</v>
      </c>
      <c r="E70" s="1168"/>
      <c r="F70" s="1168"/>
      <c r="G70" s="1724">
        <v>172.2</v>
      </c>
      <c r="H70" s="1724">
        <v>219.2</v>
      </c>
      <c r="I70" s="1724">
        <v>143.19999999999999</v>
      </c>
      <c r="J70" s="1724">
        <v>133.9</v>
      </c>
      <c r="K70" s="1724">
        <v>178.7</v>
      </c>
      <c r="L70" s="1724">
        <v>160.5</v>
      </c>
      <c r="M70" s="1724">
        <v>655</v>
      </c>
      <c r="N70" s="1724">
        <v>161.30000000000001</v>
      </c>
      <c r="O70" s="1345">
        <v>178</v>
      </c>
      <c r="P70" s="3554"/>
      <c r="Q70" s="1160">
        <v>2005</v>
      </c>
      <c r="R70" s="3555"/>
      <c r="S70" s="2864"/>
      <c r="T70" s="2864"/>
      <c r="U70" s="2864"/>
      <c r="V70" s="2864"/>
      <c r="W70" s="2864"/>
      <c r="X70" s="2864"/>
      <c r="Y70" s="2864"/>
      <c r="Z70" s="2864"/>
      <c r="AA70" s="2864"/>
      <c r="AB70" s="2864"/>
      <c r="AC70" s="2864"/>
      <c r="AD70" s="2864"/>
      <c r="AE70" s="2864"/>
      <c r="AF70" s="2864"/>
      <c r="AG70" s="2864"/>
    </row>
    <row r="71" spans="1:33" s="1999" customFormat="1" ht="20.100000000000001" customHeight="1">
      <c r="D71" s="483">
        <v>186.5</v>
      </c>
      <c r="E71" s="484"/>
      <c r="F71" s="484"/>
      <c r="G71" s="485">
        <v>190.1</v>
      </c>
      <c r="H71" s="485">
        <v>247</v>
      </c>
      <c r="I71" s="485">
        <v>135.69999999999999</v>
      </c>
      <c r="J71" s="1739">
        <v>109.5</v>
      </c>
      <c r="K71" s="1739">
        <v>155.1</v>
      </c>
      <c r="L71" s="1739">
        <v>171.1</v>
      </c>
      <c r="M71" s="1739">
        <v>697.9</v>
      </c>
      <c r="N71" s="1739">
        <v>179</v>
      </c>
      <c r="O71" s="1525">
        <v>179</v>
      </c>
      <c r="P71" s="1479"/>
      <c r="Q71" s="1165">
        <v>2006</v>
      </c>
      <c r="R71" s="3559"/>
      <c r="S71" s="2864"/>
      <c r="T71" s="2864"/>
      <c r="U71" s="2864"/>
      <c r="V71" s="2864"/>
      <c r="W71" s="2864"/>
      <c r="X71" s="2864"/>
      <c r="Y71" s="2864"/>
      <c r="Z71" s="2864"/>
      <c r="AA71" s="2864"/>
      <c r="AB71" s="2864"/>
      <c r="AC71" s="2864"/>
      <c r="AD71" s="2864"/>
      <c r="AE71" s="2864"/>
      <c r="AF71" s="2864"/>
      <c r="AG71" s="2864"/>
    </row>
    <row r="72" spans="1:33" s="3560" customFormat="1" ht="20.100000000000001" customHeight="1">
      <c r="A72" s="1986"/>
      <c r="B72" s="1986"/>
      <c r="C72" s="1986"/>
      <c r="D72" s="1430">
        <v>180.6</v>
      </c>
      <c r="E72" s="1168"/>
      <c r="F72" s="1168"/>
      <c r="G72" s="1724">
        <v>234.5</v>
      </c>
      <c r="H72" s="1724">
        <v>273.10000000000002</v>
      </c>
      <c r="I72" s="1724">
        <v>121.8</v>
      </c>
      <c r="J72" s="1724">
        <v>79.2</v>
      </c>
      <c r="K72" s="1724">
        <v>148.1</v>
      </c>
      <c r="L72" s="1724">
        <v>150.30000000000001</v>
      </c>
      <c r="M72" s="1724">
        <v>705.7</v>
      </c>
      <c r="N72" s="1724">
        <v>197.7</v>
      </c>
      <c r="O72" s="1345">
        <v>186.3</v>
      </c>
      <c r="P72" s="3554"/>
      <c r="Q72" s="1160">
        <v>2007</v>
      </c>
      <c r="R72" s="3555"/>
      <c r="S72" s="2864"/>
      <c r="T72" s="2864"/>
      <c r="U72" s="2864"/>
      <c r="V72" s="2864"/>
      <c r="W72" s="2864"/>
      <c r="X72" s="2864"/>
      <c r="Y72" s="2864"/>
      <c r="Z72" s="2864"/>
      <c r="AA72" s="2864"/>
      <c r="AB72" s="2864"/>
      <c r="AC72" s="2864"/>
      <c r="AD72" s="2864"/>
      <c r="AE72" s="2864"/>
      <c r="AF72" s="2864"/>
      <c r="AG72" s="2864"/>
    </row>
    <row r="73" spans="1:33" s="2254" customFormat="1" ht="22.5">
      <c r="D73" s="3557">
        <v>214.4</v>
      </c>
      <c r="E73" s="3558"/>
      <c r="F73" s="3558"/>
      <c r="G73" s="1739">
        <v>268.3</v>
      </c>
      <c r="H73" s="1739">
        <v>304.7</v>
      </c>
      <c r="I73" s="1739">
        <v>118.1</v>
      </c>
      <c r="J73" s="1739">
        <v>93.5</v>
      </c>
      <c r="K73" s="1739">
        <v>146.5</v>
      </c>
      <c r="L73" s="1739">
        <v>132.6</v>
      </c>
      <c r="M73" s="1739">
        <v>657.3</v>
      </c>
      <c r="N73" s="1739">
        <v>194.9</v>
      </c>
      <c r="O73" s="1525">
        <v>191.2</v>
      </c>
      <c r="P73" s="1479"/>
      <c r="Q73" s="1165">
        <v>2008</v>
      </c>
      <c r="R73" s="3559"/>
      <c r="S73" s="2864"/>
      <c r="T73" s="2864"/>
      <c r="U73" s="2864"/>
      <c r="V73" s="2864"/>
      <c r="W73" s="2864"/>
      <c r="X73" s="2864"/>
      <c r="Y73" s="2864"/>
      <c r="Z73" s="2864"/>
      <c r="AA73" s="2864"/>
      <c r="AB73" s="2864"/>
      <c r="AC73" s="2864"/>
      <c r="AD73" s="2864"/>
      <c r="AE73" s="2864"/>
      <c r="AF73" s="2864"/>
      <c r="AG73" s="2864"/>
    </row>
    <row r="74" spans="1:33" s="2254" customFormat="1">
      <c r="D74" s="1430">
        <v>184</v>
      </c>
      <c r="E74" s="1168"/>
      <c r="F74" s="1168"/>
      <c r="G74" s="1724">
        <v>214.4</v>
      </c>
      <c r="H74" s="1724">
        <v>269.7</v>
      </c>
      <c r="I74" s="1724">
        <v>127.5</v>
      </c>
      <c r="J74" s="1724">
        <v>82.7</v>
      </c>
      <c r="K74" s="1724">
        <v>147.5</v>
      </c>
      <c r="L74" s="1724">
        <v>138</v>
      </c>
      <c r="M74" s="1724">
        <v>614.5</v>
      </c>
      <c r="N74" s="1724">
        <v>194.7</v>
      </c>
      <c r="O74" s="1345">
        <v>183.7</v>
      </c>
      <c r="P74" s="3554"/>
      <c r="Q74" s="1160">
        <v>2009</v>
      </c>
      <c r="R74" s="3555"/>
      <c r="S74" s="2864"/>
      <c r="T74" s="2864"/>
      <c r="U74" s="2864"/>
      <c r="V74" s="2864"/>
      <c r="W74" s="2864"/>
      <c r="X74" s="2864"/>
      <c r="Y74" s="2864"/>
      <c r="Z74" s="2864"/>
      <c r="AA74" s="2864"/>
      <c r="AB74" s="2864"/>
      <c r="AC74" s="2864"/>
      <c r="AD74" s="2864"/>
      <c r="AE74" s="2864"/>
      <c r="AF74" s="2864"/>
      <c r="AG74" s="2864"/>
    </row>
    <row r="75" spans="1:33" s="2254" customFormat="1" ht="22.5">
      <c r="D75" s="4946">
        <v>184.4</v>
      </c>
      <c r="E75" s="4947"/>
      <c r="F75" s="4947"/>
      <c r="G75" s="4482">
        <v>223.6</v>
      </c>
      <c r="H75" s="4482">
        <v>244</v>
      </c>
      <c r="I75" s="4482">
        <v>97.9</v>
      </c>
      <c r="J75" s="4482">
        <v>50.9</v>
      </c>
      <c r="K75" s="4482">
        <v>161.69999999999999</v>
      </c>
      <c r="L75" s="4482">
        <v>157.6</v>
      </c>
      <c r="M75" s="4482">
        <v>565.79999999999995</v>
      </c>
      <c r="N75" s="4482">
        <v>184.8</v>
      </c>
      <c r="O75" s="1525">
        <v>162.80000000000001</v>
      </c>
      <c r="P75" s="1479"/>
      <c r="Q75" s="1165">
        <v>2010</v>
      </c>
      <c r="R75" s="3559"/>
      <c r="S75" s="2864"/>
      <c r="T75" s="2864"/>
      <c r="U75" s="2864"/>
      <c r="V75" s="2864"/>
      <c r="W75" s="2864"/>
      <c r="X75" s="2864"/>
      <c r="Y75" s="2864"/>
      <c r="Z75" s="2864"/>
      <c r="AA75" s="2864"/>
      <c r="AB75" s="2864"/>
      <c r="AC75" s="2864"/>
      <c r="AD75" s="2864"/>
      <c r="AE75" s="2864"/>
      <c r="AF75" s="2864"/>
      <c r="AG75" s="2864"/>
    </row>
    <row r="76" spans="1:33" s="2254" customFormat="1" ht="22.5">
      <c r="D76" s="1430">
        <v>169.5</v>
      </c>
      <c r="E76" s="1168"/>
      <c r="F76" s="1168"/>
      <c r="G76" s="486">
        <v>280.60000000000002</v>
      </c>
      <c r="H76" s="4487">
        <v>255.1</v>
      </c>
      <c r="I76" s="4487">
        <v>54.5</v>
      </c>
      <c r="J76" s="4481">
        <v>69.3</v>
      </c>
      <c r="K76" s="4481">
        <v>220.7</v>
      </c>
      <c r="L76" s="4481">
        <v>198.7</v>
      </c>
      <c r="M76" s="4481">
        <v>591.6</v>
      </c>
      <c r="N76" s="4481">
        <v>203.1</v>
      </c>
      <c r="O76" s="1345">
        <v>160.1</v>
      </c>
      <c r="P76" s="1531"/>
      <c r="Q76" s="1160">
        <v>2011</v>
      </c>
      <c r="R76" s="3555"/>
      <c r="S76" s="2864"/>
      <c r="T76" s="2864"/>
      <c r="U76" s="2864"/>
      <c r="V76" s="2864"/>
      <c r="W76" s="2864"/>
      <c r="X76" s="2864"/>
      <c r="Y76" s="2864"/>
      <c r="Z76" s="2864"/>
      <c r="AA76" s="2864"/>
      <c r="AB76" s="2864"/>
      <c r="AC76" s="2864"/>
      <c r="AD76" s="2864"/>
      <c r="AE76" s="2864"/>
      <c r="AF76" s="2864"/>
      <c r="AG76" s="2864"/>
    </row>
    <row r="77" spans="1:33" s="2254" customFormat="1" ht="22.5">
      <c r="D77" s="4946">
        <v>227.1</v>
      </c>
      <c r="E77" s="4947"/>
      <c r="F77" s="4947"/>
      <c r="G77" s="4482">
        <v>241.5</v>
      </c>
      <c r="H77" s="4482">
        <v>237.3</v>
      </c>
      <c r="I77" s="4482">
        <v>65.599999999999994</v>
      </c>
      <c r="J77" s="4482">
        <v>63.8</v>
      </c>
      <c r="K77" s="4482">
        <v>217.6</v>
      </c>
      <c r="L77" s="4482">
        <v>170.4</v>
      </c>
      <c r="M77" s="4482">
        <v>458.1</v>
      </c>
      <c r="N77" s="4482">
        <v>242.6</v>
      </c>
      <c r="O77" s="1525">
        <v>174</v>
      </c>
      <c r="P77" s="1479"/>
      <c r="Q77" s="1165">
        <v>2012</v>
      </c>
      <c r="R77" s="3559"/>
      <c r="S77" s="2864"/>
      <c r="T77" s="2864"/>
      <c r="U77" s="2864"/>
      <c r="V77" s="2864"/>
      <c r="W77" s="2864"/>
      <c r="X77" s="2864"/>
      <c r="Y77" s="2864"/>
      <c r="Z77" s="2864"/>
      <c r="AA77" s="2864"/>
      <c r="AB77" s="2864"/>
      <c r="AC77" s="2864"/>
      <c r="AD77" s="2864"/>
      <c r="AE77" s="2864"/>
      <c r="AF77" s="2864"/>
      <c r="AG77" s="2864"/>
    </row>
    <row r="78" spans="1:33" s="2254" customFormat="1" ht="23.25" customHeight="1">
      <c r="D78" s="4982">
        <v>255.3</v>
      </c>
      <c r="E78" s="4983"/>
      <c r="F78" s="4983"/>
      <c r="G78" s="486">
        <v>270.39999999999998</v>
      </c>
      <c r="H78" s="4487">
        <v>284.7</v>
      </c>
      <c r="I78" s="4487">
        <v>60.9</v>
      </c>
      <c r="J78" s="4481">
        <v>64</v>
      </c>
      <c r="K78" s="4481">
        <v>193.5</v>
      </c>
      <c r="L78" s="4481">
        <v>153.6</v>
      </c>
      <c r="M78" s="4481">
        <v>824.5</v>
      </c>
      <c r="N78" s="4481">
        <v>260.3</v>
      </c>
      <c r="O78" s="1345">
        <v>181.8</v>
      </c>
      <c r="P78" s="1531"/>
      <c r="Q78" s="1160">
        <v>2013</v>
      </c>
      <c r="R78" s="3561"/>
      <c r="S78" s="2864"/>
      <c r="T78" s="2864"/>
      <c r="U78" s="2864"/>
      <c r="V78" s="2864"/>
      <c r="W78" s="2864"/>
      <c r="X78" s="2864"/>
      <c r="Y78" s="2864"/>
      <c r="Z78" s="2864"/>
      <c r="AA78" s="2864"/>
      <c r="AB78" s="2864"/>
      <c r="AC78" s="2864"/>
      <c r="AD78" s="2864"/>
      <c r="AE78" s="2864"/>
      <c r="AF78" s="2864"/>
      <c r="AG78" s="2864"/>
    </row>
    <row r="79" spans="1:33" s="2254" customFormat="1" ht="22.5">
      <c r="D79" s="4946">
        <v>240</v>
      </c>
      <c r="E79" s="4947"/>
      <c r="F79" s="4947"/>
      <c r="G79" s="4482">
        <v>278.7</v>
      </c>
      <c r="H79" s="4482">
        <v>271.10000000000002</v>
      </c>
      <c r="I79" s="4482">
        <v>52.2</v>
      </c>
      <c r="J79" s="4482">
        <v>58.4</v>
      </c>
      <c r="K79" s="4482">
        <v>227.3</v>
      </c>
      <c r="L79" s="4482">
        <v>201.5</v>
      </c>
      <c r="M79" s="4482">
        <v>882.6</v>
      </c>
      <c r="N79" s="4482">
        <v>281.10000000000002</v>
      </c>
      <c r="O79" s="1525">
        <v>183.3</v>
      </c>
      <c r="P79" s="1479"/>
      <c r="Q79" s="1165">
        <v>2014</v>
      </c>
      <c r="R79" s="3559"/>
      <c r="S79" s="2864"/>
      <c r="T79" s="2864"/>
      <c r="U79" s="2864"/>
      <c r="V79" s="2864"/>
      <c r="W79" s="2864"/>
      <c r="X79" s="2864"/>
      <c r="Y79" s="2864"/>
      <c r="Z79" s="2864"/>
      <c r="AA79" s="2864"/>
      <c r="AB79" s="2864"/>
      <c r="AC79" s="2864"/>
      <c r="AD79" s="2864"/>
      <c r="AE79" s="2864"/>
      <c r="AF79" s="2864"/>
      <c r="AG79" s="2864"/>
    </row>
    <row r="80" spans="1:33" s="2254" customFormat="1" ht="23.25" customHeight="1">
      <c r="D80" s="4982">
        <v>221</v>
      </c>
      <c r="E80" s="4983"/>
      <c r="F80" s="4983"/>
      <c r="G80" s="486">
        <v>320.49166666666667</v>
      </c>
      <c r="H80" s="4487">
        <v>274.18333333333334</v>
      </c>
      <c r="I80" s="4487">
        <v>48.25</v>
      </c>
      <c r="J80" s="4481">
        <v>64.11666666666666</v>
      </c>
      <c r="K80" s="4481">
        <v>209.0333333333333</v>
      </c>
      <c r="L80" s="4481">
        <v>205.12499999999997</v>
      </c>
      <c r="M80" s="4481">
        <v>903.9666666666667</v>
      </c>
      <c r="N80" s="4481">
        <v>245.69166666666663</v>
      </c>
      <c r="O80" s="1345">
        <v>176.61666666666667</v>
      </c>
      <c r="P80" s="1531"/>
      <c r="Q80" s="1160">
        <v>2015</v>
      </c>
      <c r="R80" s="3561"/>
      <c r="S80" s="2864"/>
      <c r="T80" s="2864"/>
      <c r="U80" s="2864"/>
      <c r="V80" s="2864"/>
      <c r="W80" s="2864"/>
      <c r="X80" s="2864"/>
      <c r="Y80" s="2864"/>
      <c r="Z80" s="2864"/>
      <c r="AA80" s="2864"/>
      <c r="AB80" s="2864"/>
      <c r="AC80" s="2864"/>
      <c r="AD80" s="2864"/>
      <c r="AE80" s="2864"/>
      <c r="AF80" s="2864"/>
      <c r="AG80" s="2864"/>
    </row>
    <row r="81" spans="4:33" s="2254" customFormat="1" ht="24">
      <c r="D81" s="4946">
        <v>257</v>
      </c>
      <c r="E81" s="4947"/>
      <c r="F81" s="4947"/>
      <c r="G81" s="4482">
        <v>357.2</v>
      </c>
      <c r="H81" s="4482">
        <v>284.60000000000002</v>
      </c>
      <c r="I81" s="4482">
        <v>37.700000000000003</v>
      </c>
      <c r="J81" s="4482">
        <v>99.5</v>
      </c>
      <c r="K81" s="4482">
        <v>205.1</v>
      </c>
      <c r="L81" s="4482">
        <v>209.2</v>
      </c>
      <c r="M81" s="4482">
        <v>861.9</v>
      </c>
      <c r="N81" s="4482">
        <v>295.39999999999998</v>
      </c>
      <c r="O81" s="1525">
        <v>165.7</v>
      </c>
      <c r="P81" s="1479"/>
      <c r="Q81" s="1665" t="s">
        <v>2618</v>
      </c>
      <c r="R81" s="3559"/>
      <c r="S81" s="2864"/>
      <c r="T81" s="2864"/>
      <c r="U81" s="2864"/>
      <c r="V81" s="2864"/>
      <c r="W81" s="2864"/>
      <c r="X81" s="2864"/>
      <c r="Y81" s="2864"/>
      <c r="Z81" s="2864"/>
      <c r="AA81" s="2864"/>
      <c r="AB81" s="2864"/>
      <c r="AC81" s="2864"/>
      <c r="AD81" s="2864"/>
      <c r="AE81" s="2864"/>
      <c r="AF81" s="2864"/>
      <c r="AG81" s="2864"/>
    </row>
    <row r="82" spans="4:33" s="2254" customFormat="1" ht="24">
      <c r="D82" s="4982">
        <v>278</v>
      </c>
      <c r="E82" s="4983"/>
      <c r="F82" s="4983"/>
      <c r="G82" s="486">
        <v>441.8</v>
      </c>
      <c r="H82" s="4499">
        <v>244.1</v>
      </c>
      <c r="I82" s="4499">
        <v>45</v>
      </c>
      <c r="J82" s="4492">
        <v>77.2</v>
      </c>
      <c r="K82" s="4492">
        <v>192.5</v>
      </c>
      <c r="L82" s="4492">
        <v>163.19999999999999</v>
      </c>
      <c r="M82" s="4492">
        <v>736.8</v>
      </c>
      <c r="N82" s="4492">
        <v>276.3</v>
      </c>
      <c r="O82" s="1345">
        <v>180.8</v>
      </c>
      <c r="P82" s="1531"/>
      <c r="Q82" s="3562" t="s">
        <v>2748</v>
      </c>
      <c r="R82" s="3338"/>
      <c r="S82" s="2864"/>
      <c r="T82" s="2864"/>
      <c r="U82" s="2864"/>
      <c r="V82" s="2864"/>
      <c r="W82" s="2864"/>
      <c r="X82" s="2864"/>
      <c r="Y82" s="2864"/>
      <c r="Z82" s="2864"/>
      <c r="AA82" s="2864"/>
      <c r="AB82" s="2864"/>
      <c r="AC82" s="2864"/>
      <c r="AD82" s="2864"/>
      <c r="AE82" s="2864"/>
      <c r="AF82" s="2864"/>
      <c r="AG82" s="2864"/>
    </row>
    <row r="83" spans="4:33" s="2254" customFormat="1" ht="24">
      <c r="D83" s="4946">
        <v>245.78333333333299</v>
      </c>
      <c r="E83" s="4947"/>
      <c r="F83" s="4947"/>
      <c r="G83" s="4498">
        <v>320.05</v>
      </c>
      <c r="H83" s="4498">
        <v>240.41666666666666</v>
      </c>
      <c r="I83" s="4498">
        <v>56.525000000000006</v>
      </c>
      <c r="J83" s="4498">
        <v>64.158333333333346</v>
      </c>
      <c r="K83" s="4498">
        <v>197.79999999999998</v>
      </c>
      <c r="L83" s="4498">
        <v>178.34166666666667</v>
      </c>
      <c r="M83" s="4498">
        <v>848.96666666666681</v>
      </c>
      <c r="N83" s="4498">
        <v>250.80833333333339</v>
      </c>
      <c r="O83" s="1525">
        <v>177.84166666666667</v>
      </c>
      <c r="P83" s="1479"/>
      <c r="Q83" s="1665" t="s">
        <v>2928</v>
      </c>
      <c r="R83" s="3559"/>
      <c r="S83" s="2864"/>
      <c r="T83" s="2864"/>
      <c r="U83" s="2864"/>
      <c r="V83" s="2864"/>
      <c r="W83" s="2864"/>
      <c r="X83" s="2864"/>
      <c r="Y83" s="2864"/>
      <c r="Z83" s="2864"/>
      <c r="AA83" s="2864"/>
      <c r="AB83" s="2864"/>
      <c r="AC83" s="2864"/>
      <c r="AD83" s="2864"/>
      <c r="AE83" s="2864"/>
      <c r="AF83" s="2864"/>
      <c r="AG83" s="2864"/>
    </row>
    <row r="84" spans="4:33" s="2254" customFormat="1" ht="24">
      <c r="D84" s="4982">
        <v>217.2</v>
      </c>
      <c r="E84" s="4983"/>
      <c r="F84" s="4983"/>
      <c r="G84" s="486">
        <v>298.89999999999998</v>
      </c>
      <c r="H84" s="4499">
        <v>281.8</v>
      </c>
      <c r="I84" s="4499">
        <v>61.5</v>
      </c>
      <c r="J84" s="4492">
        <v>62.6</v>
      </c>
      <c r="K84" s="4492">
        <v>180.9</v>
      </c>
      <c r="L84" s="4492">
        <v>164.4</v>
      </c>
      <c r="M84" s="4492">
        <v>865.3</v>
      </c>
      <c r="N84" s="4492">
        <v>289</v>
      </c>
      <c r="O84" s="1345">
        <v>182.4</v>
      </c>
      <c r="P84" s="1531"/>
      <c r="Q84" s="3562" t="s">
        <v>3028</v>
      </c>
      <c r="R84" s="3338"/>
      <c r="S84" s="2864"/>
      <c r="T84" s="2864"/>
      <c r="U84" s="2864"/>
      <c r="V84" s="2864"/>
      <c r="W84" s="2864"/>
      <c r="X84" s="2864"/>
      <c r="Y84" s="2864"/>
      <c r="Z84" s="2864"/>
      <c r="AA84" s="2864"/>
      <c r="AB84" s="2864"/>
      <c r="AC84" s="2864"/>
      <c r="AD84" s="2864"/>
      <c r="AE84" s="2864"/>
      <c r="AF84" s="2864"/>
      <c r="AG84" s="2864"/>
    </row>
    <row r="85" spans="4:33" s="2254" customFormat="1" ht="24">
      <c r="D85" s="4946">
        <v>231.5</v>
      </c>
      <c r="E85" s="4947"/>
      <c r="F85" s="4947"/>
      <c r="G85" s="4498">
        <v>217.04999999999998</v>
      </c>
      <c r="H85" s="4498">
        <v>235.86666666666667</v>
      </c>
      <c r="I85" s="4498">
        <v>67.133333333333326</v>
      </c>
      <c r="J85" s="4498">
        <v>73.641666666666666</v>
      </c>
      <c r="K85" s="4498">
        <v>172.70833333333334</v>
      </c>
      <c r="L85" s="4498">
        <v>213.06666666666669</v>
      </c>
      <c r="M85" s="4498">
        <v>1056.3833333333334</v>
      </c>
      <c r="N85" s="4498">
        <v>292.67499999999995</v>
      </c>
      <c r="O85" s="1525">
        <v>165.89166666666668</v>
      </c>
      <c r="P85" s="1479"/>
      <c r="Q85" s="1665" t="s">
        <v>3101</v>
      </c>
      <c r="R85" s="3338"/>
      <c r="S85" s="2864"/>
      <c r="T85" s="2864"/>
      <c r="U85" s="2864"/>
      <c r="V85" s="2864"/>
      <c r="W85" s="2864"/>
      <c r="X85" s="2864"/>
      <c r="Y85" s="2864"/>
      <c r="Z85" s="2864"/>
      <c r="AA85" s="2864"/>
      <c r="AB85" s="2864"/>
      <c r="AC85" s="2864"/>
      <c r="AD85" s="2864"/>
      <c r="AE85" s="2864"/>
      <c r="AF85" s="2864"/>
      <c r="AG85" s="2864"/>
    </row>
    <row r="86" spans="4:33" ht="18.600000000000001" customHeight="1">
      <c r="D86" s="4982">
        <v>237.5</v>
      </c>
      <c r="E86" s="4983"/>
      <c r="F86" s="4983"/>
      <c r="G86" s="486">
        <v>267</v>
      </c>
      <c r="H86" s="4526">
        <v>243</v>
      </c>
      <c r="I86" s="4526">
        <v>97.5</v>
      </c>
      <c r="J86" s="4517">
        <v>37.700000000000003</v>
      </c>
      <c r="K86" s="4517">
        <v>129.1</v>
      </c>
      <c r="L86" s="4517">
        <v>154.30000000000001</v>
      </c>
      <c r="M86" s="4517">
        <v>733</v>
      </c>
      <c r="N86" s="4517">
        <v>299.39999999999998</v>
      </c>
      <c r="O86" s="1345">
        <v>194.5</v>
      </c>
      <c r="P86" s="1531"/>
      <c r="Q86" s="3562" t="s">
        <v>3106</v>
      </c>
      <c r="R86" s="3267" t="s">
        <v>1548</v>
      </c>
      <c r="T86" s="1963"/>
      <c r="U86" s="1963"/>
      <c r="V86" s="1963"/>
      <c r="W86" s="1963"/>
      <c r="X86" s="1963"/>
      <c r="Y86" s="1963"/>
      <c r="Z86" s="1963"/>
      <c r="AA86" s="1963"/>
      <c r="AB86" s="1963"/>
      <c r="AC86" s="1963"/>
      <c r="AD86" s="1963"/>
      <c r="AE86" s="1963"/>
      <c r="AF86" s="1963"/>
      <c r="AG86" s="1963"/>
    </row>
    <row r="87" spans="4:33" s="2254" customFormat="1" ht="24">
      <c r="D87" s="4951">
        <v>302.10000000000002</v>
      </c>
      <c r="E87" s="4952"/>
      <c r="F87" s="4952"/>
      <c r="G87" s="3395">
        <v>297.7</v>
      </c>
      <c r="H87" s="3395">
        <v>308.5</v>
      </c>
      <c r="I87" s="3395">
        <v>114.1</v>
      </c>
      <c r="J87" s="3395">
        <v>44.6</v>
      </c>
      <c r="K87" s="3395">
        <v>183.4</v>
      </c>
      <c r="L87" s="3395">
        <v>111.9</v>
      </c>
      <c r="M87" s="3395">
        <v>580</v>
      </c>
      <c r="N87" s="3395">
        <v>349.1</v>
      </c>
      <c r="O87" s="4559">
        <v>230.5</v>
      </c>
      <c r="P87" s="4569"/>
      <c r="Q87" s="4570" t="s">
        <v>3116</v>
      </c>
      <c r="R87" s="3338"/>
      <c r="S87" s="2864"/>
      <c r="T87" s="2864"/>
      <c r="U87" s="2864"/>
      <c r="V87" s="2864"/>
      <c r="W87" s="2864"/>
      <c r="X87" s="2864"/>
      <c r="Y87" s="2864"/>
      <c r="Z87" s="2864"/>
      <c r="AA87" s="2864"/>
      <c r="AB87" s="2864"/>
      <c r="AC87" s="2864"/>
      <c r="AD87" s="2864"/>
      <c r="AE87" s="2864"/>
      <c r="AF87" s="2864"/>
      <c r="AG87" s="2864"/>
    </row>
    <row r="88" spans="4:33">
      <c r="D88" s="428" t="s">
        <v>1539</v>
      </c>
      <c r="E88" s="1185"/>
      <c r="F88" s="487"/>
      <c r="G88" s="488"/>
      <c r="H88" s="1318"/>
      <c r="I88" s="1318"/>
      <c r="J88" s="1318"/>
      <c r="K88" s="1318"/>
      <c r="L88" s="1318"/>
      <c r="M88" s="1318"/>
      <c r="N88" s="1318"/>
      <c r="O88" s="4986" t="s">
        <v>1547</v>
      </c>
      <c r="P88" s="4986"/>
      <c r="Q88" s="4986"/>
      <c r="S88" s="1963"/>
      <c r="T88" s="1963"/>
      <c r="U88" s="1963"/>
      <c r="V88" s="1963"/>
      <c r="W88" s="1963"/>
      <c r="X88" s="1963"/>
      <c r="Y88" s="1963"/>
      <c r="Z88" s="1963"/>
      <c r="AA88" s="1963"/>
      <c r="AB88" s="1963"/>
      <c r="AC88" s="1963"/>
      <c r="AD88" s="1963"/>
      <c r="AE88" s="1963"/>
      <c r="AF88" s="1963"/>
      <c r="AG88" s="1963"/>
    </row>
    <row r="89" spans="4:33">
      <c r="J89" s="1843"/>
      <c r="K89" s="1843"/>
      <c r="L89" s="1843"/>
      <c r="M89" s="1843"/>
      <c r="N89" s="1843"/>
      <c r="S89" s="1963"/>
      <c r="T89" s="1963"/>
      <c r="U89" s="1963"/>
      <c r="V89" s="1963"/>
      <c r="W89" s="1963"/>
      <c r="X89" s="1963"/>
      <c r="Y89" s="1963"/>
      <c r="Z89" s="1963"/>
      <c r="AA89" s="1963"/>
      <c r="AB89" s="1963"/>
      <c r="AC89" s="1963"/>
    </row>
    <row r="90" spans="4:33">
      <c r="J90" s="1843"/>
      <c r="K90" s="1843"/>
      <c r="L90" s="1843"/>
      <c r="M90" s="1843"/>
      <c r="N90" s="1843"/>
      <c r="O90" s="1843"/>
      <c r="P90" s="1843"/>
      <c r="Q90" s="2618"/>
      <c r="R90" s="1843"/>
      <c r="S90" s="1963"/>
      <c r="T90" s="1963"/>
      <c r="U90" s="1963"/>
      <c r="V90" s="1963"/>
      <c r="W90" s="1963"/>
      <c r="X90" s="1963"/>
      <c r="Y90" s="1963"/>
      <c r="Z90" s="1963"/>
      <c r="AA90" s="1963"/>
      <c r="AB90" s="1963"/>
      <c r="AC90" s="1963"/>
    </row>
    <row r="91" spans="4:33">
      <c r="J91" s="1843"/>
      <c r="K91" s="1843"/>
      <c r="L91" s="1843"/>
      <c r="M91" s="1843"/>
      <c r="N91" s="1843"/>
      <c r="O91" s="1843"/>
      <c r="P91" s="1843"/>
      <c r="Q91" s="2618"/>
      <c r="R91" s="1843"/>
      <c r="S91" s="1963"/>
      <c r="T91" s="1963"/>
      <c r="U91" s="1963"/>
      <c r="V91" s="1963"/>
      <c r="W91" s="1963"/>
      <c r="X91" s="1963"/>
      <c r="Y91" s="1963"/>
      <c r="Z91" s="1963"/>
      <c r="AA91" s="1963"/>
      <c r="AB91" s="1963"/>
      <c r="AC91" s="1963"/>
    </row>
    <row r="92" spans="4:33">
      <c r="J92" s="1843"/>
      <c r="K92" s="1843"/>
      <c r="L92" s="1843"/>
      <c r="M92" s="1843"/>
      <c r="N92" s="1843"/>
      <c r="O92" s="1843"/>
      <c r="P92" s="1843"/>
      <c r="Q92" s="2618"/>
      <c r="R92" s="1843"/>
      <c r="S92" s="1963"/>
      <c r="T92" s="1963"/>
      <c r="U92" s="1963"/>
      <c r="V92" s="1963"/>
      <c r="W92" s="1963"/>
      <c r="X92" s="1963"/>
      <c r="Y92" s="1963"/>
      <c r="Z92" s="1963"/>
      <c r="AA92" s="1963"/>
      <c r="AB92" s="1963"/>
      <c r="AC92" s="1963"/>
    </row>
    <row r="93" spans="4:33">
      <c r="J93" s="1843"/>
      <c r="K93" s="1843"/>
      <c r="L93" s="1843"/>
      <c r="M93" s="1843"/>
      <c r="N93" s="1843"/>
      <c r="O93" s="1843"/>
      <c r="P93" s="1843"/>
      <c r="Q93" s="2618"/>
      <c r="R93" s="1843"/>
      <c r="S93" s="1963"/>
      <c r="T93" s="1963"/>
      <c r="U93" s="1963"/>
      <c r="V93" s="1963"/>
      <c r="W93" s="1963"/>
      <c r="X93" s="1963"/>
      <c r="Y93" s="1963"/>
      <c r="Z93" s="1963"/>
      <c r="AA93" s="1963"/>
      <c r="AB93" s="1963"/>
      <c r="AC93" s="1963"/>
    </row>
    <row r="94" spans="4:33">
      <c r="J94" s="1843"/>
      <c r="K94" s="1843"/>
      <c r="L94" s="1843"/>
      <c r="M94" s="1843"/>
      <c r="N94" s="1843"/>
      <c r="O94" s="1843"/>
      <c r="P94" s="1843"/>
      <c r="Q94" s="2618"/>
      <c r="R94" s="1843"/>
      <c r="S94" s="1963"/>
      <c r="T94" s="1963"/>
      <c r="U94" s="1963"/>
      <c r="V94" s="1963"/>
      <c r="W94" s="1963"/>
      <c r="X94" s="1963"/>
      <c r="Y94" s="1963"/>
      <c r="Z94" s="1963"/>
      <c r="AA94" s="1963"/>
      <c r="AB94" s="1963"/>
      <c r="AC94" s="1963"/>
    </row>
    <row r="95" spans="4:33">
      <c r="J95" s="1843"/>
      <c r="K95" s="1843"/>
      <c r="L95" s="1843"/>
      <c r="M95" s="1843"/>
      <c r="N95" s="1843"/>
      <c r="O95" s="1843"/>
      <c r="P95" s="1843"/>
      <c r="Q95" s="2618"/>
      <c r="R95" s="1843"/>
      <c r="S95" s="1963"/>
      <c r="T95" s="1963"/>
      <c r="U95" s="1963"/>
      <c r="V95" s="1963"/>
      <c r="W95" s="1963"/>
      <c r="X95" s="1963"/>
      <c r="Y95" s="1963"/>
      <c r="Z95" s="1963"/>
      <c r="AA95" s="1963"/>
      <c r="AB95" s="1963"/>
      <c r="AC95" s="1963"/>
    </row>
    <row r="96" spans="4:33">
      <c r="J96" s="1843"/>
      <c r="K96" s="1843"/>
      <c r="L96" s="1843"/>
      <c r="M96" s="1843"/>
      <c r="N96" s="1843"/>
      <c r="O96" s="1843"/>
      <c r="P96" s="1843"/>
      <c r="Q96" s="2618"/>
      <c r="R96" s="1843"/>
      <c r="S96" s="1963"/>
      <c r="T96" s="1963"/>
      <c r="U96" s="1963"/>
      <c r="V96" s="1963"/>
      <c r="W96" s="1963"/>
      <c r="X96" s="1963"/>
      <c r="Y96" s="1963"/>
      <c r="Z96" s="1963"/>
      <c r="AA96" s="1963"/>
      <c r="AB96" s="1963"/>
      <c r="AC96" s="1963"/>
    </row>
    <row r="97" spans="4:29">
      <c r="J97" s="1843"/>
      <c r="K97" s="1843"/>
      <c r="L97" s="1843"/>
      <c r="M97" s="1843"/>
      <c r="N97" s="1843"/>
      <c r="O97" s="1843"/>
      <c r="P97" s="1843"/>
      <c r="Q97" s="2618"/>
      <c r="R97" s="1843"/>
      <c r="S97" s="1963"/>
      <c r="T97" s="1963"/>
      <c r="U97" s="1963"/>
      <c r="V97" s="1963"/>
      <c r="W97" s="1963"/>
      <c r="X97" s="1963"/>
      <c r="Y97" s="1963"/>
      <c r="Z97" s="1963"/>
      <c r="AA97" s="1963"/>
      <c r="AB97" s="1963"/>
      <c r="AC97" s="1963"/>
    </row>
    <row r="98" spans="4:29">
      <c r="J98" s="1843"/>
      <c r="K98" s="1843"/>
      <c r="L98" s="1843"/>
      <c r="M98" s="1843"/>
      <c r="N98" s="1843"/>
      <c r="O98" s="1843"/>
      <c r="P98" s="1843"/>
      <c r="Q98" s="2618"/>
      <c r="R98" s="1843"/>
      <c r="S98" s="1963"/>
      <c r="T98" s="1963"/>
      <c r="U98" s="1963"/>
      <c r="V98" s="1963"/>
      <c r="W98" s="1963"/>
      <c r="X98" s="1963"/>
      <c r="Y98" s="1963"/>
      <c r="Z98" s="1963"/>
      <c r="AA98" s="1963"/>
      <c r="AB98" s="1963"/>
      <c r="AC98" s="1963"/>
    </row>
    <row r="99" spans="4:29">
      <c r="J99" s="1843"/>
      <c r="K99" s="1843"/>
      <c r="L99" s="1843"/>
      <c r="M99" s="1843"/>
      <c r="N99" s="1843"/>
      <c r="O99" s="1843"/>
      <c r="P99" s="1843"/>
      <c r="Q99" s="2618"/>
      <c r="R99" s="1843"/>
      <c r="S99" s="1963"/>
      <c r="T99" s="1963"/>
      <c r="U99" s="1963"/>
      <c r="V99" s="1963"/>
      <c r="W99" s="1963"/>
      <c r="X99" s="1963"/>
      <c r="Y99" s="1963"/>
      <c r="Z99" s="1963"/>
      <c r="AA99" s="1963"/>
      <c r="AB99" s="1963"/>
      <c r="AC99" s="1963"/>
    </row>
    <row r="100" spans="4:29">
      <c r="D100" s="1174"/>
      <c r="E100" s="1174"/>
      <c r="F100" s="1174"/>
      <c r="G100" s="1174"/>
      <c r="H100" s="1174"/>
      <c r="I100" s="1174"/>
      <c r="J100" s="1843"/>
      <c r="K100" s="1843"/>
      <c r="L100" s="1843"/>
      <c r="M100" s="1843"/>
      <c r="N100" s="1843"/>
      <c r="O100" s="1843"/>
      <c r="P100" s="1843"/>
      <c r="Q100" s="2618"/>
      <c r="R100" s="1843"/>
      <c r="S100" s="1963"/>
      <c r="T100" s="1963"/>
      <c r="U100" s="1963"/>
      <c r="V100" s="1963"/>
      <c r="W100" s="1963"/>
      <c r="X100" s="1963"/>
      <c r="Y100" s="1963"/>
      <c r="Z100" s="1963"/>
      <c r="AA100" s="1963"/>
      <c r="AB100" s="1963"/>
      <c r="AC100" s="1963"/>
    </row>
    <row r="101" spans="4:29">
      <c r="D101" s="1174"/>
      <c r="E101" s="1174"/>
      <c r="F101" s="1174"/>
      <c r="G101" s="1174"/>
      <c r="H101" s="1174"/>
      <c r="I101" s="1174"/>
      <c r="J101" s="1843"/>
      <c r="K101" s="1843"/>
      <c r="L101" s="1843"/>
      <c r="M101" s="1843"/>
      <c r="N101" s="1843"/>
      <c r="O101" s="1843"/>
      <c r="P101" s="1843"/>
      <c r="Q101" s="2618"/>
      <c r="R101" s="1843"/>
      <c r="S101" s="1963"/>
      <c r="T101" s="1963"/>
      <c r="U101" s="1963"/>
      <c r="V101" s="1963"/>
      <c r="W101" s="1963"/>
      <c r="X101" s="1963"/>
      <c r="Y101" s="1963"/>
      <c r="Z101" s="1963"/>
      <c r="AA101" s="1963"/>
      <c r="AB101" s="1963"/>
      <c r="AC101" s="1963"/>
    </row>
    <row r="102" spans="4:29">
      <c r="D102" s="1174"/>
      <c r="E102" s="1174"/>
      <c r="F102" s="1174"/>
      <c r="G102" s="1174"/>
      <c r="H102" s="1174"/>
      <c r="I102" s="1174"/>
      <c r="J102" s="1843"/>
      <c r="K102" s="1843"/>
      <c r="L102" s="1843"/>
      <c r="M102" s="1843"/>
      <c r="N102" s="1843"/>
      <c r="O102" s="1843"/>
      <c r="P102" s="1843"/>
      <c r="Q102" s="2618"/>
      <c r="R102" s="1843"/>
      <c r="S102" s="1963"/>
      <c r="T102" s="1963"/>
      <c r="U102" s="1963"/>
      <c r="V102" s="1963"/>
      <c r="W102" s="1963"/>
      <c r="X102" s="1963"/>
      <c r="Y102" s="1963"/>
      <c r="Z102" s="1963"/>
      <c r="AA102" s="1963"/>
      <c r="AB102" s="1963"/>
      <c r="AC102" s="1963"/>
    </row>
    <row r="103" spans="4:29">
      <c r="D103" s="1174"/>
      <c r="E103" s="1174"/>
      <c r="F103" s="1174"/>
      <c r="G103" s="1174"/>
      <c r="H103" s="1174"/>
      <c r="I103" s="1174"/>
      <c r="J103" s="1843"/>
      <c r="K103" s="1843"/>
      <c r="L103" s="1843"/>
      <c r="M103" s="1843"/>
      <c r="N103" s="1843"/>
      <c r="O103" s="1843"/>
      <c r="P103" s="1843"/>
      <c r="Q103" s="2618"/>
      <c r="R103" s="1843"/>
      <c r="S103" s="1963"/>
      <c r="T103" s="1963"/>
      <c r="U103" s="1963"/>
      <c r="V103" s="1963"/>
      <c r="W103" s="1963"/>
      <c r="X103" s="1963"/>
      <c r="Y103" s="1963"/>
      <c r="Z103" s="1963"/>
      <c r="AA103" s="1963"/>
      <c r="AB103" s="1963"/>
      <c r="AC103" s="1963"/>
    </row>
    <row r="104" spans="4:29">
      <c r="D104" s="1174"/>
      <c r="E104" s="1174"/>
      <c r="F104" s="1174"/>
      <c r="G104" s="1174"/>
      <c r="H104" s="1174"/>
      <c r="I104" s="1174"/>
      <c r="J104" s="1843"/>
      <c r="K104" s="1843"/>
      <c r="L104" s="1843"/>
      <c r="M104" s="1843"/>
      <c r="N104" s="1843"/>
      <c r="O104" s="1843"/>
      <c r="P104" s="1843"/>
      <c r="Q104" s="2618"/>
      <c r="R104" s="1843"/>
      <c r="S104" s="1963"/>
      <c r="T104" s="1963"/>
      <c r="U104" s="1963"/>
      <c r="V104" s="1963"/>
      <c r="W104" s="1963"/>
      <c r="X104" s="1963"/>
      <c r="Y104" s="1963"/>
      <c r="Z104" s="1963"/>
      <c r="AA104" s="1963"/>
      <c r="AB104" s="1963"/>
      <c r="AC104" s="1963"/>
    </row>
    <row r="105" spans="4:29">
      <c r="D105" s="1174"/>
      <c r="E105" s="1174"/>
      <c r="F105" s="1174"/>
      <c r="G105" s="1174"/>
      <c r="H105" s="1174"/>
      <c r="I105" s="1174"/>
      <c r="J105" s="1843"/>
      <c r="K105" s="1843"/>
      <c r="L105" s="1843"/>
      <c r="M105" s="1843"/>
      <c r="N105" s="1843"/>
      <c r="O105" s="1843"/>
      <c r="P105" s="1843"/>
      <c r="Q105" s="2618"/>
      <c r="R105" s="1843"/>
      <c r="S105" s="1963"/>
      <c r="T105" s="1963"/>
      <c r="U105" s="1963"/>
      <c r="V105" s="1963"/>
      <c r="W105" s="1963"/>
      <c r="X105" s="1963"/>
      <c r="Y105" s="1963"/>
      <c r="Z105" s="1963"/>
      <c r="AA105" s="1963"/>
      <c r="AB105" s="1963"/>
      <c r="AC105" s="1963"/>
    </row>
    <row r="106" spans="4:29">
      <c r="D106" s="1174"/>
      <c r="E106" s="1174"/>
      <c r="F106" s="1174"/>
      <c r="G106" s="1174"/>
      <c r="H106" s="1174"/>
      <c r="I106" s="1174"/>
      <c r="J106" s="1843"/>
      <c r="K106" s="1843"/>
      <c r="L106" s="1843"/>
      <c r="M106" s="1843"/>
      <c r="N106" s="1843"/>
      <c r="O106" s="1843"/>
      <c r="P106" s="1843"/>
      <c r="Q106" s="2618"/>
      <c r="R106" s="1843"/>
      <c r="S106" s="1963"/>
      <c r="T106" s="1963"/>
      <c r="U106" s="1963"/>
      <c r="V106" s="1963"/>
      <c r="W106" s="1963"/>
      <c r="X106" s="1963"/>
      <c r="Y106" s="1963"/>
      <c r="Z106" s="1963"/>
      <c r="AA106" s="1963"/>
      <c r="AB106" s="1963"/>
      <c r="AC106" s="1963"/>
    </row>
    <row r="107" spans="4:29">
      <c r="D107" s="1174"/>
      <c r="E107" s="1174"/>
      <c r="F107" s="1174"/>
      <c r="G107" s="1174"/>
      <c r="H107" s="1174"/>
      <c r="I107" s="1174"/>
      <c r="J107" s="1843"/>
      <c r="K107" s="1843"/>
      <c r="L107" s="1843"/>
      <c r="M107" s="1843"/>
      <c r="N107" s="1843"/>
      <c r="O107" s="1843"/>
      <c r="P107" s="1843"/>
      <c r="Q107" s="2618"/>
      <c r="R107" s="1843"/>
      <c r="S107" s="1963"/>
      <c r="T107" s="1963"/>
      <c r="U107" s="1963"/>
      <c r="V107" s="1963"/>
      <c r="W107" s="1963"/>
      <c r="X107" s="1963"/>
      <c r="Y107" s="1963"/>
      <c r="Z107" s="1963"/>
      <c r="AA107" s="1963"/>
      <c r="AB107" s="1963"/>
      <c r="AC107" s="1963"/>
    </row>
    <row r="108" spans="4:29">
      <c r="D108" s="1174"/>
      <c r="E108" s="1174"/>
      <c r="F108" s="1174"/>
      <c r="G108" s="1174"/>
      <c r="H108" s="1174"/>
      <c r="I108" s="1174"/>
      <c r="J108" s="1843"/>
      <c r="K108" s="1843"/>
      <c r="L108" s="1843"/>
      <c r="M108" s="1843"/>
      <c r="N108" s="1843"/>
      <c r="O108" s="1843"/>
      <c r="P108" s="1843"/>
      <c r="Q108" s="2618"/>
      <c r="R108" s="1843"/>
      <c r="S108" s="1963"/>
      <c r="T108" s="1963"/>
      <c r="U108" s="1963"/>
      <c r="V108" s="1963"/>
      <c r="W108" s="1963"/>
      <c r="X108" s="1963"/>
      <c r="Y108" s="1963"/>
      <c r="Z108" s="1963"/>
      <c r="AA108" s="1963"/>
      <c r="AB108" s="1963"/>
      <c r="AC108" s="1963"/>
    </row>
    <row r="109" spans="4:29">
      <c r="D109" s="1174"/>
      <c r="E109" s="1174"/>
      <c r="F109" s="1174"/>
      <c r="G109" s="1174"/>
      <c r="H109" s="1174"/>
      <c r="I109" s="1174"/>
      <c r="J109" s="1843"/>
      <c r="K109" s="1843"/>
      <c r="L109" s="1843"/>
      <c r="M109" s="1843"/>
      <c r="N109" s="1843"/>
      <c r="O109" s="1843"/>
      <c r="P109" s="1843"/>
      <c r="Q109" s="2618"/>
      <c r="R109" s="1843"/>
      <c r="S109" s="1963"/>
      <c r="T109" s="1963"/>
      <c r="U109" s="1963"/>
      <c r="V109" s="1963"/>
      <c r="W109" s="1963"/>
      <c r="X109" s="1963"/>
      <c r="Y109" s="1963"/>
      <c r="Z109" s="1963"/>
      <c r="AA109" s="1963"/>
      <c r="AB109" s="1963"/>
      <c r="AC109" s="1963"/>
    </row>
    <row r="110" spans="4:29">
      <c r="D110" s="1174"/>
      <c r="E110" s="1174"/>
      <c r="F110" s="1174"/>
      <c r="G110" s="1174"/>
      <c r="H110" s="1174"/>
      <c r="I110" s="1174"/>
      <c r="J110" s="1843"/>
      <c r="K110" s="1843"/>
      <c r="L110" s="1843"/>
      <c r="M110" s="1843"/>
      <c r="N110" s="1843"/>
      <c r="O110" s="1843"/>
      <c r="P110" s="1843"/>
      <c r="Q110" s="2618"/>
      <c r="R110" s="1843"/>
      <c r="S110" s="1963"/>
      <c r="T110" s="1963"/>
      <c r="U110" s="1963"/>
      <c r="V110" s="1963"/>
      <c r="W110" s="1963"/>
      <c r="X110" s="1963"/>
      <c r="Y110" s="1963"/>
      <c r="Z110" s="1963"/>
      <c r="AA110" s="1963"/>
      <c r="AB110" s="1963"/>
      <c r="AC110" s="1963"/>
    </row>
    <row r="111" spans="4:29">
      <c r="D111" s="1174"/>
      <c r="E111" s="1174"/>
      <c r="F111" s="1174"/>
      <c r="G111" s="1174"/>
      <c r="H111" s="1174"/>
      <c r="I111" s="1174"/>
      <c r="J111" s="1843"/>
      <c r="K111" s="1843"/>
      <c r="L111" s="1843"/>
      <c r="M111" s="1843"/>
      <c r="N111" s="1843"/>
      <c r="O111" s="1843"/>
      <c r="P111" s="1843"/>
      <c r="Q111" s="2618"/>
      <c r="R111" s="1843"/>
      <c r="S111" s="1963"/>
      <c r="T111" s="1963"/>
      <c r="U111" s="1963"/>
      <c r="V111" s="1963"/>
      <c r="W111" s="1963"/>
      <c r="X111" s="1963"/>
      <c r="Y111" s="1963"/>
      <c r="Z111" s="1963"/>
      <c r="AA111" s="1963"/>
      <c r="AB111" s="1963"/>
      <c r="AC111" s="1963"/>
    </row>
    <row r="112" spans="4:29">
      <c r="D112" s="1174"/>
      <c r="E112" s="1174"/>
      <c r="F112" s="1174"/>
      <c r="G112" s="1174"/>
      <c r="H112" s="1174"/>
      <c r="I112" s="1174"/>
      <c r="J112" s="1843"/>
      <c r="K112" s="1843"/>
      <c r="L112" s="1843"/>
      <c r="M112" s="1843"/>
      <c r="N112" s="1843"/>
      <c r="O112" s="1843"/>
      <c r="P112" s="1843"/>
      <c r="Q112" s="2618"/>
      <c r="R112" s="1843"/>
      <c r="S112" s="1963"/>
      <c r="T112" s="1963"/>
      <c r="U112" s="1963"/>
      <c r="V112" s="1963"/>
      <c r="W112" s="1963"/>
      <c r="X112" s="1963"/>
      <c r="Y112" s="1963"/>
      <c r="Z112" s="1963"/>
      <c r="AA112" s="1963"/>
      <c r="AB112" s="1963"/>
      <c r="AC112" s="1963"/>
    </row>
    <row r="113" spans="4:29">
      <c r="D113" s="1174"/>
      <c r="E113" s="1174"/>
      <c r="F113" s="1174"/>
      <c r="G113" s="1174"/>
      <c r="H113" s="1174"/>
      <c r="I113" s="1174"/>
      <c r="J113" s="1843"/>
      <c r="K113" s="1843"/>
      <c r="L113" s="1843"/>
      <c r="M113" s="1843"/>
      <c r="N113" s="1843"/>
      <c r="O113" s="1843"/>
      <c r="P113" s="1843"/>
      <c r="Q113" s="2618"/>
      <c r="R113" s="1843"/>
      <c r="S113" s="1963"/>
      <c r="T113" s="1963"/>
      <c r="U113" s="1963"/>
      <c r="V113" s="1963"/>
      <c r="W113" s="1963"/>
      <c r="X113" s="1963"/>
      <c r="Y113" s="1963"/>
      <c r="Z113" s="1963"/>
      <c r="AA113" s="1963"/>
      <c r="AB113" s="1963"/>
      <c r="AC113" s="1963"/>
    </row>
    <row r="114" spans="4:29">
      <c r="D114" s="1174"/>
      <c r="E114" s="1174"/>
      <c r="F114" s="1174"/>
      <c r="G114" s="1174"/>
      <c r="H114" s="1174"/>
      <c r="I114" s="1174"/>
      <c r="J114" s="1843"/>
      <c r="K114" s="1843"/>
      <c r="L114" s="1843"/>
      <c r="M114" s="1843"/>
      <c r="N114" s="1843"/>
      <c r="O114" s="1843"/>
      <c r="P114" s="1843"/>
      <c r="Q114" s="2618"/>
      <c r="R114" s="1843"/>
      <c r="S114" s="1963"/>
      <c r="T114" s="1963"/>
      <c r="U114" s="1963"/>
      <c r="V114" s="1963"/>
      <c r="W114" s="1963"/>
      <c r="X114" s="1963"/>
      <c r="Y114" s="1963"/>
      <c r="Z114" s="1963"/>
      <c r="AA114" s="1963"/>
      <c r="AB114" s="1963"/>
      <c r="AC114" s="1963"/>
    </row>
    <row r="115" spans="4:29">
      <c r="D115" s="1174"/>
      <c r="E115" s="1174"/>
      <c r="F115" s="1174"/>
      <c r="G115" s="1174"/>
      <c r="H115" s="1174"/>
      <c r="I115" s="1174"/>
      <c r="J115" s="1843"/>
      <c r="K115" s="1843"/>
      <c r="L115" s="1843"/>
      <c r="M115" s="1843"/>
      <c r="N115" s="1843"/>
      <c r="O115" s="1843"/>
      <c r="P115" s="1843"/>
      <c r="Q115" s="2618"/>
      <c r="R115" s="1843"/>
      <c r="S115" s="1963"/>
      <c r="T115" s="1963"/>
      <c r="U115" s="1963"/>
      <c r="V115" s="1963"/>
      <c r="W115" s="1963"/>
      <c r="X115" s="1963"/>
      <c r="Y115" s="1963"/>
      <c r="Z115" s="1963"/>
      <c r="AA115" s="1963"/>
      <c r="AB115" s="1963"/>
      <c r="AC115" s="1963"/>
    </row>
    <row r="116" spans="4:29">
      <c r="D116" s="1174"/>
      <c r="E116" s="1174"/>
      <c r="F116" s="1174"/>
      <c r="G116" s="1174"/>
      <c r="H116" s="1174"/>
      <c r="I116" s="1174"/>
      <c r="J116" s="1843"/>
      <c r="K116" s="1843"/>
      <c r="L116" s="1843"/>
      <c r="M116" s="1843"/>
      <c r="N116" s="1843"/>
      <c r="O116" s="1843"/>
      <c r="P116" s="1843"/>
      <c r="Q116" s="2618"/>
      <c r="R116" s="1843"/>
      <c r="S116" s="1963"/>
      <c r="T116" s="1963"/>
      <c r="U116" s="1963"/>
      <c r="V116" s="1963"/>
      <c r="W116" s="1963"/>
      <c r="X116" s="1963"/>
      <c r="Y116" s="1963"/>
      <c r="Z116" s="1963"/>
      <c r="AA116" s="1963"/>
      <c r="AB116" s="1963"/>
      <c r="AC116" s="1963"/>
    </row>
    <row r="117" spans="4:29">
      <c r="D117" s="1174"/>
      <c r="E117" s="1174"/>
      <c r="F117" s="1174"/>
      <c r="G117" s="1174"/>
      <c r="H117" s="1174"/>
      <c r="I117" s="1174"/>
      <c r="J117" s="1843"/>
      <c r="K117" s="1843"/>
      <c r="L117" s="1843"/>
      <c r="M117" s="1843"/>
      <c r="N117" s="1843"/>
      <c r="O117" s="1843"/>
      <c r="P117" s="1843"/>
      <c r="Q117" s="2618"/>
      <c r="R117" s="1843"/>
      <c r="S117" s="1963"/>
      <c r="T117" s="1963"/>
      <c r="U117" s="1963"/>
      <c r="V117" s="1963"/>
      <c r="W117" s="1963"/>
      <c r="X117" s="1963"/>
      <c r="Y117" s="1963"/>
      <c r="Z117" s="1963"/>
      <c r="AA117" s="1963"/>
      <c r="AB117" s="1963"/>
      <c r="AC117" s="1963"/>
    </row>
    <row r="118" spans="4:29">
      <c r="D118" s="1174"/>
      <c r="E118" s="1174"/>
      <c r="F118" s="1174"/>
      <c r="G118" s="1174"/>
      <c r="H118" s="1174"/>
      <c r="I118" s="1174"/>
      <c r="J118" s="1843"/>
      <c r="K118" s="1843"/>
      <c r="L118" s="1843"/>
      <c r="M118" s="1843"/>
      <c r="N118" s="1843"/>
      <c r="O118" s="1843"/>
      <c r="P118" s="1843"/>
      <c r="Q118" s="2618"/>
      <c r="R118" s="1843"/>
      <c r="S118" s="1963"/>
      <c r="T118" s="1963"/>
      <c r="U118" s="1963"/>
      <c r="V118" s="1963"/>
      <c r="W118" s="1963"/>
      <c r="X118" s="1963"/>
      <c r="Y118" s="1963"/>
      <c r="Z118" s="1963"/>
      <c r="AA118" s="1963"/>
      <c r="AB118" s="1963"/>
      <c r="AC118" s="1963"/>
    </row>
    <row r="119" spans="4:29">
      <c r="D119" s="1174"/>
      <c r="E119" s="1174"/>
      <c r="F119" s="1174"/>
      <c r="G119" s="1174"/>
      <c r="H119" s="1174"/>
      <c r="I119" s="1174"/>
      <c r="J119" s="1843"/>
      <c r="K119" s="1843"/>
      <c r="L119" s="1843"/>
      <c r="M119" s="1843"/>
      <c r="N119" s="1843"/>
      <c r="O119" s="1843"/>
      <c r="P119" s="1843"/>
      <c r="Q119" s="2618"/>
      <c r="R119" s="1843"/>
      <c r="S119" s="1963"/>
      <c r="T119" s="1963"/>
      <c r="U119" s="1963"/>
      <c r="V119" s="1963"/>
      <c r="W119" s="1963"/>
      <c r="X119" s="1963"/>
      <c r="Y119" s="1963"/>
      <c r="Z119" s="1963"/>
      <c r="AA119" s="1963"/>
      <c r="AB119" s="1963"/>
      <c r="AC119" s="1963"/>
    </row>
    <row r="120" spans="4:29">
      <c r="D120" s="1174"/>
      <c r="E120" s="1174"/>
      <c r="F120" s="1174"/>
      <c r="G120" s="1174"/>
      <c r="H120" s="1174"/>
      <c r="I120" s="1174"/>
      <c r="J120" s="1843"/>
      <c r="K120" s="1843"/>
      <c r="L120" s="1843"/>
      <c r="M120" s="1843"/>
      <c r="N120" s="1843"/>
      <c r="O120" s="1843"/>
      <c r="P120" s="1843"/>
      <c r="Q120" s="2618"/>
      <c r="R120" s="1843"/>
      <c r="S120" s="1963"/>
      <c r="T120" s="1963"/>
      <c r="U120" s="1963"/>
      <c r="V120" s="1963"/>
      <c r="W120" s="1963"/>
      <c r="X120" s="1963"/>
      <c r="Y120" s="1963"/>
      <c r="Z120" s="1963"/>
      <c r="AA120" s="1963"/>
      <c r="AB120" s="1963"/>
      <c r="AC120" s="1963"/>
    </row>
    <row r="121" spans="4:29">
      <c r="D121" s="1174"/>
      <c r="E121" s="1174"/>
      <c r="F121" s="1174"/>
      <c r="G121" s="1174"/>
      <c r="H121" s="1174"/>
      <c r="I121" s="1174"/>
      <c r="J121" s="1843"/>
      <c r="K121" s="1843"/>
      <c r="L121" s="1843"/>
      <c r="M121" s="1843"/>
      <c r="N121" s="1843"/>
      <c r="O121" s="1843"/>
      <c r="P121" s="1843"/>
      <c r="Q121" s="2618"/>
      <c r="R121" s="1843"/>
      <c r="S121" s="1963"/>
      <c r="T121" s="1963"/>
      <c r="U121" s="1963"/>
      <c r="V121" s="1963"/>
      <c r="W121" s="1963"/>
      <c r="X121" s="1963"/>
      <c r="Y121" s="1963"/>
      <c r="Z121" s="1963"/>
      <c r="AA121" s="1963"/>
      <c r="AB121" s="1963"/>
      <c r="AC121" s="1963"/>
    </row>
    <row r="122" spans="4:29">
      <c r="D122" s="1174"/>
      <c r="E122" s="1174"/>
      <c r="F122" s="1174"/>
      <c r="G122" s="1174"/>
      <c r="H122" s="1174"/>
      <c r="I122" s="1174"/>
      <c r="J122" s="1843"/>
      <c r="K122" s="1843"/>
      <c r="L122" s="1843"/>
      <c r="M122" s="1843"/>
      <c r="N122" s="1843"/>
      <c r="O122" s="1843"/>
      <c r="P122" s="1843"/>
      <c r="Q122" s="2618"/>
      <c r="R122" s="1843"/>
      <c r="S122" s="1963"/>
      <c r="T122" s="1963"/>
      <c r="U122" s="1963"/>
      <c r="V122" s="1963"/>
      <c r="W122" s="1963"/>
      <c r="X122" s="1963"/>
      <c r="Y122" s="1963"/>
      <c r="Z122" s="1963"/>
      <c r="AA122" s="1963"/>
      <c r="AB122" s="1963"/>
      <c r="AC122" s="1963"/>
    </row>
    <row r="123" spans="4:29">
      <c r="D123" s="1174"/>
      <c r="E123" s="1174"/>
      <c r="F123" s="1174"/>
      <c r="G123" s="1174"/>
      <c r="H123" s="1174"/>
      <c r="I123" s="1174"/>
      <c r="J123" s="1843"/>
      <c r="K123" s="1843"/>
      <c r="L123" s="1843"/>
      <c r="M123" s="1843"/>
      <c r="N123" s="1843"/>
      <c r="O123" s="1843"/>
      <c r="P123" s="1843"/>
      <c r="Q123" s="2618"/>
      <c r="R123" s="1843"/>
      <c r="S123" s="1963"/>
      <c r="T123" s="1963"/>
      <c r="U123" s="1963"/>
      <c r="V123" s="1963"/>
      <c r="W123" s="1963"/>
      <c r="X123" s="1963"/>
      <c r="Y123" s="1963"/>
      <c r="Z123" s="1963"/>
      <c r="AA123" s="1963"/>
      <c r="AB123" s="1963"/>
      <c r="AC123" s="1963"/>
    </row>
    <row r="124" spans="4:29">
      <c r="D124" s="1174"/>
      <c r="E124" s="1174"/>
      <c r="F124" s="1174"/>
      <c r="G124" s="1174"/>
      <c r="H124" s="1174"/>
      <c r="I124" s="1174"/>
      <c r="J124" s="1843"/>
      <c r="K124" s="1843"/>
      <c r="L124" s="1843"/>
      <c r="M124" s="1843"/>
      <c r="N124" s="1843"/>
      <c r="O124" s="1843"/>
      <c r="P124" s="1843"/>
      <c r="Q124" s="2618"/>
      <c r="R124" s="1843"/>
      <c r="S124" s="1963"/>
      <c r="T124" s="1963"/>
      <c r="U124" s="1963"/>
      <c r="V124" s="1963"/>
      <c r="W124" s="1963"/>
      <c r="X124" s="1963"/>
      <c r="Y124" s="1963"/>
      <c r="Z124" s="1963"/>
      <c r="AA124" s="1963"/>
      <c r="AB124" s="1963"/>
      <c r="AC124" s="1963"/>
    </row>
    <row r="125" spans="4:29">
      <c r="D125" s="1174"/>
      <c r="E125" s="1174"/>
      <c r="F125" s="1174"/>
      <c r="G125" s="1174"/>
      <c r="H125" s="1174"/>
      <c r="I125" s="1174"/>
      <c r="J125" s="1843"/>
      <c r="K125" s="1843"/>
      <c r="L125" s="1843"/>
      <c r="M125" s="1843"/>
      <c r="N125" s="1843"/>
      <c r="O125" s="1843"/>
      <c r="P125" s="1843"/>
      <c r="Q125" s="2618"/>
      <c r="R125" s="1843"/>
      <c r="S125" s="1963"/>
      <c r="T125" s="1963"/>
      <c r="U125" s="1963"/>
      <c r="V125" s="1963"/>
      <c r="W125" s="1963"/>
      <c r="X125" s="1963"/>
      <c r="Y125" s="1963"/>
      <c r="Z125" s="1963"/>
      <c r="AA125" s="1963"/>
      <c r="AB125" s="1963"/>
      <c r="AC125" s="1963"/>
    </row>
    <row r="126" spans="4:29">
      <c r="D126" s="1174"/>
      <c r="E126" s="1174"/>
      <c r="F126" s="1174"/>
      <c r="G126" s="1174"/>
      <c r="H126" s="1174"/>
      <c r="I126" s="1174"/>
      <c r="J126" s="1843"/>
      <c r="K126" s="1843"/>
      <c r="L126" s="1843"/>
      <c r="M126" s="1843"/>
      <c r="N126" s="1843"/>
      <c r="O126" s="1843"/>
      <c r="P126" s="1843"/>
      <c r="Q126" s="2618"/>
      <c r="R126" s="1843"/>
      <c r="S126" s="1963"/>
      <c r="T126" s="1963"/>
      <c r="U126" s="1963"/>
      <c r="V126" s="1963"/>
      <c r="W126" s="1963"/>
      <c r="X126" s="1963"/>
      <c r="Y126" s="1963"/>
      <c r="Z126" s="1963"/>
      <c r="AA126" s="1963"/>
      <c r="AB126" s="1963"/>
      <c r="AC126" s="1963"/>
    </row>
    <row r="127" spans="4:29">
      <c r="D127" s="1174"/>
      <c r="E127" s="1174"/>
      <c r="F127" s="1174"/>
      <c r="G127" s="1174"/>
      <c r="H127" s="1174"/>
      <c r="I127" s="1174"/>
      <c r="J127" s="1843"/>
      <c r="K127" s="1843"/>
      <c r="L127" s="1843"/>
      <c r="M127" s="1843"/>
      <c r="N127" s="1843"/>
      <c r="O127" s="1843"/>
      <c r="P127" s="1843"/>
      <c r="Q127" s="2618"/>
      <c r="R127" s="1843"/>
      <c r="S127" s="1963"/>
      <c r="T127" s="1963"/>
      <c r="U127" s="1963"/>
      <c r="V127" s="1963"/>
      <c r="W127" s="1963"/>
      <c r="X127" s="1963"/>
      <c r="Y127" s="1963"/>
      <c r="Z127" s="1963"/>
      <c r="AA127" s="1963"/>
      <c r="AB127" s="1963"/>
      <c r="AC127" s="1963"/>
    </row>
    <row r="128" spans="4:29">
      <c r="D128" s="1174"/>
      <c r="E128" s="1174"/>
      <c r="F128" s="1174"/>
      <c r="G128" s="1174"/>
      <c r="H128" s="1174"/>
      <c r="I128" s="1174"/>
      <c r="J128" s="1843"/>
      <c r="K128" s="1843"/>
      <c r="L128" s="1843"/>
      <c r="M128" s="1843"/>
      <c r="N128" s="1843"/>
      <c r="O128" s="1843"/>
      <c r="R128" s="1843"/>
      <c r="S128" s="1963"/>
      <c r="T128" s="1963"/>
      <c r="U128" s="1963"/>
      <c r="V128" s="1963"/>
      <c r="W128" s="1963"/>
      <c r="X128" s="1963"/>
      <c r="Y128" s="1963"/>
      <c r="Z128" s="1963"/>
      <c r="AA128" s="1963"/>
      <c r="AB128" s="1963"/>
      <c r="AC128" s="1963"/>
    </row>
    <row r="129" spans="4:29">
      <c r="D129" s="1174"/>
      <c r="E129" s="1174"/>
      <c r="F129" s="1174"/>
      <c r="G129" s="1174"/>
      <c r="H129" s="1174"/>
      <c r="I129" s="1174"/>
      <c r="J129" s="1843"/>
      <c r="K129" s="1843"/>
      <c r="L129" s="1843"/>
      <c r="M129" s="1843"/>
      <c r="N129" s="1843"/>
      <c r="O129" s="1843"/>
      <c r="R129" s="1843"/>
      <c r="S129" s="1963"/>
      <c r="T129" s="1963"/>
      <c r="U129" s="1963"/>
      <c r="V129" s="1963"/>
      <c r="W129" s="1963"/>
      <c r="X129" s="1963"/>
      <c r="Y129" s="1963"/>
      <c r="Z129" s="1963"/>
      <c r="AA129" s="1963"/>
      <c r="AB129" s="1963"/>
      <c r="AC129" s="1963"/>
    </row>
    <row r="130" spans="4:29">
      <c r="D130" s="1174"/>
      <c r="E130" s="1174"/>
      <c r="F130" s="1174"/>
      <c r="G130" s="1174"/>
      <c r="H130" s="1174"/>
      <c r="I130" s="1174"/>
      <c r="J130" s="1843"/>
      <c r="K130" s="1843"/>
      <c r="L130" s="1843"/>
      <c r="M130" s="1843"/>
      <c r="N130" s="1843"/>
      <c r="O130" s="1843"/>
      <c r="R130" s="1843"/>
      <c r="S130" s="1963"/>
      <c r="T130" s="1963"/>
      <c r="U130" s="1963"/>
      <c r="V130" s="1963"/>
      <c r="W130" s="1963"/>
      <c r="X130" s="1963"/>
      <c r="Y130" s="1963"/>
      <c r="Z130" s="1963"/>
      <c r="AA130" s="1963"/>
      <c r="AB130" s="1963"/>
      <c r="AC130" s="1963"/>
    </row>
    <row r="131" spans="4:29">
      <c r="D131" s="1174"/>
      <c r="E131" s="1174"/>
      <c r="F131" s="1174"/>
      <c r="G131" s="1174"/>
      <c r="H131" s="1174"/>
      <c r="I131" s="1174"/>
      <c r="J131" s="1843"/>
    </row>
  </sheetData>
  <mergeCells count="41">
    <mergeCell ref="O88:Q88"/>
    <mergeCell ref="D79:F79"/>
    <mergeCell ref="D80:F80"/>
    <mergeCell ref="D81:F81"/>
    <mergeCell ref="D82:F82"/>
    <mergeCell ref="D83:F83"/>
    <mergeCell ref="D84:F84"/>
    <mergeCell ref="D85:F85"/>
    <mergeCell ref="D86:F86"/>
    <mergeCell ref="D87:F87"/>
    <mergeCell ref="D77:F77"/>
    <mergeCell ref="D78:F78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3:Q3"/>
    <mergeCell ref="D4:Q4"/>
    <mergeCell ref="D19:F19"/>
    <mergeCell ref="D20:F20"/>
    <mergeCell ref="D75:F75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</mergeCells>
  <printOptions horizontalCentered="1"/>
  <pageMargins left="0.62992125984252001" right="0.62992125984252001" top="0.78740157480314998" bottom="0.98425196850393704" header="0.511811023622047" footer="0.511811023622047"/>
  <pageSetup paperSize="9" scale="49" orientation="portrait" r:id="rId1"/>
  <headerFooter alignWithMargins="0">
    <oddFooter>&amp;C&amp;"+,Regular"&amp;22-58-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M72"/>
  <sheetViews>
    <sheetView topLeftCell="B61" zoomScale="65" zoomScaleNormal="65" workbookViewId="0">
      <selection activeCell="B68" sqref="A68:XFD68"/>
    </sheetView>
  </sheetViews>
  <sheetFormatPr defaultColWidth="9.42578125" defaultRowHeight="20.25"/>
  <cols>
    <col min="1" max="3" width="9.85546875" style="1" customWidth="1"/>
    <col min="4" max="7" width="13.7109375" style="1" customWidth="1"/>
    <col min="8" max="8" width="13.7109375" style="214" customWidth="1"/>
    <col min="9" max="11" width="13.7109375" style="1" customWidth="1"/>
    <col min="12" max="12" width="19.140625" style="1" customWidth="1"/>
    <col min="13" max="15" width="13.7109375" style="1" customWidth="1"/>
    <col min="16" max="16" width="0.7109375" style="1" hidden="1" customWidth="1"/>
    <col min="17" max="17" width="10.7109375" style="1" customWidth="1"/>
    <col min="18" max="25" width="9.42578125" style="1" customWidth="1"/>
    <col min="26" max="26" width="9.42578125" style="18" customWidth="1"/>
    <col min="27" max="257" width="9.42578125" style="1"/>
    <col min="258" max="258" width="8" style="1" customWidth="1"/>
    <col min="259" max="259" width="9.42578125" style="1" customWidth="1"/>
    <col min="260" max="267" width="13.7109375" style="1" customWidth="1"/>
    <col min="268" max="268" width="19.140625" style="1" customWidth="1"/>
    <col min="269" max="271" width="13.7109375" style="1" customWidth="1"/>
    <col min="272" max="272" width="0" style="1" hidden="1" customWidth="1"/>
    <col min="273" max="273" width="10.7109375" style="1" customWidth="1"/>
    <col min="274" max="282" width="9.42578125" style="1" customWidth="1"/>
    <col min="283" max="513" width="9.42578125" style="1"/>
    <col min="514" max="514" width="8" style="1" customWidth="1"/>
    <col min="515" max="515" width="9.42578125" style="1" customWidth="1"/>
    <col min="516" max="523" width="13.7109375" style="1" customWidth="1"/>
    <col min="524" max="524" width="19.140625" style="1" customWidth="1"/>
    <col min="525" max="527" width="13.7109375" style="1" customWidth="1"/>
    <col min="528" max="528" width="0" style="1" hidden="1" customWidth="1"/>
    <col min="529" max="529" width="10.7109375" style="1" customWidth="1"/>
    <col min="530" max="538" width="9.42578125" style="1" customWidth="1"/>
    <col min="539" max="769" width="9.42578125" style="1"/>
    <col min="770" max="770" width="8" style="1" customWidth="1"/>
    <col min="771" max="771" width="9.42578125" style="1" customWidth="1"/>
    <col min="772" max="779" width="13.7109375" style="1" customWidth="1"/>
    <col min="780" max="780" width="19.140625" style="1" customWidth="1"/>
    <col min="781" max="783" width="13.7109375" style="1" customWidth="1"/>
    <col min="784" max="784" width="0" style="1" hidden="1" customWidth="1"/>
    <col min="785" max="785" width="10.7109375" style="1" customWidth="1"/>
    <col min="786" max="794" width="9.42578125" style="1" customWidth="1"/>
    <col min="795" max="1025" width="9.42578125" style="1"/>
    <col min="1026" max="1026" width="8" style="1" customWidth="1"/>
    <col min="1027" max="1027" width="9.42578125" style="1" customWidth="1"/>
    <col min="1028" max="1035" width="13.7109375" style="1" customWidth="1"/>
    <col min="1036" max="1036" width="19.140625" style="1" customWidth="1"/>
    <col min="1037" max="1039" width="13.7109375" style="1" customWidth="1"/>
    <col min="1040" max="1040" width="0" style="1" hidden="1" customWidth="1"/>
    <col min="1041" max="1041" width="10.7109375" style="1" customWidth="1"/>
    <col min="1042" max="1050" width="9.42578125" style="1" customWidth="1"/>
    <col min="1051" max="1281" width="9.42578125" style="1"/>
    <col min="1282" max="1282" width="8" style="1" customWidth="1"/>
    <col min="1283" max="1283" width="9.42578125" style="1" customWidth="1"/>
    <col min="1284" max="1291" width="13.7109375" style="1" customWidth="1"/>
    <col min="1292" max="1292" width="19.140625" style="1" customWidth="1"/>
    <col min="1293" max="1295" width="13.7109375" style="1" customWidth="1"/>
    <col min="1296" max="1296" width="0" style="1" hidden="1" customWidth="1"/>
    <col min="1297" max="1297" width="10.7109375" style="1" customWidth="1"/>
    <col min="1298" max="1306" width="9.42578125" style="1" customWidth="1"/>
    <col min="1307" max="1537" width="9.42578125" style="1"/>
    <col min="1538" max="1538" width="8" style="1" customWidth="1"/>
    <col min="1539" max="1539" width="9.42578125" style="1" customWidth="1"/>
    <col min="1540" max="1547" width="13.7109375" style="1" customWidth="1"/>
    <col min="1548" max="1548" width="19.140625" style="1" customWidth="1"/>
    <col min="1549" max="1551" width="13.7109375" style="1" customWidth="1"/>
    <col min="1552" max="1552" width="0" style="1" hidden="1" customWidth="1"/>
    <col min="1553" max="1553" width="10.7109375" style="1" customWidth="1"/>
    <col min="1554" max="1562" width="9.42578125" style="1" customWidth="1"/>
    <col min="1563" max="1793" width="9.42578125" style="1"/>
    <col min="1794" max="1794" width="8" style="1" customWidth="1"/>
    <col min="1795" max="1795" width="9.42578125" style="1" customWidth="1"/>
    <col min="1796" max="1803" width="13.7109375" style="1" customWidth="1"/>
    <col min="1804" max="1804" width="19.140625" style="1" customWidth="1"/>
    <col min="1805" max="1807" width="13.7109375" style="1" customWidth="1"/>
    <col min="1808" max="1808" width="0" style="1" hidden="1" customWidth="1"/>
    <col min="1809" max="1809" width="10.7109375" style="1" customWidth="1"/>
    <col min="1810" max="1818" width="9.42578125" style="1" customWidth="1"/>
    <col min="1819" max="2049" width="9.42578125" style="1"/>
    <col min="2050" max="2050" width="8" style="1" customWidth="1"/>
    <col min="2051" max="2051" width="9.42578125" style="1" customWidth="1"/>
    <col min="2052" max="2059" width="13.7109375" style="1" customWidth="1"/>
    <col min="2060" max="2060" width="19.140625" style="1" customWidth="1"/>
    <col min="2061" max="2063" width="13.7109375" style="1" customWidth="1"/>
    <col min="2064" max="2064" width="0" style="1" hidden="1" customWidth="1"/>
    <col min="2065" max="2065" width="10.7109375" style="1" customWidth="1"/>
    <col min="2066" max="2074" width="9.42578125" style="1" customWidth="1"/>
    <col min="2075" max="2305" width="9.42578125" style="1"/>
    <col min="2306" max="2306" width="8" style="1" customWidth="1"/>
    <col min="2307" max="2307" width="9.42578125" style="1" customWidth="1"/>
    <col min="2308" max="2315" width="13.7109375" style="1" customWidth="1"/>
    <col min="2316" max="2316" width="19.140625" style="1" customWidth="1"/>
    <col min="2317" max="2319" width="13.7109375" style="1" customWidth="1"/>
    <col min="2320" max="2320" width="0" style="1" hidden="1" customWidth="1"/>
    <col min="2321" max="2321" width="10.7109375" style="1" customWidth="1"/>
    <col min="2322" max="2330" width="9.42578125" style="1" customWidth="1"/>
    <col min="2331" max="2561" width="9.42578125" style="1"/>
    <col min="2562" max="2562" width="8" style="1" customWidth="1"/>
    <col min="2563" max="2563" width="9.42578125" style="1" customWidth="1"/>
    <col min="2564" max="2571" width="13.7109375" style="1" customWidth="1"/>
    <col min="2572" max="2572" width="19.140625" style="1" customWidth="1"/>
    <col min="2573" max="2575" width="13.7109375" style="1" customWidth="1"/>
    <col min="2576" max="2576" width="0" style="1" hidden="1" customWidth="1"/>
    <col min="2577" max="2577" width="10.7109375" style="1" customWidth="1"/>
    <col min="2578" max="2586" width="9.42578125" style="1" customWidth="1"/>
    <col min="2587" max="2817" width="9.42578125" style="1"/>
    <col min="2818" max="2818" width="8" style="1" customWidth="1"/>
    <col min="2819" max="2819" width="9.42578125" style="1" customWidth="1"/>
    <col min="2820" max="2827" width="13.7109375" style="1" customWidth="1"/>
    <col min="2828" max="2828" width="19.140625" style="1" customWidth="1"/>
    <col min="2829" max="2831" width="13.7109375" style="1" customWidth="1"/>
    <col min="2832" max="2832" width="0" style="1" hidden="1" customWidth="1"/>
    <col min="2833" max="2833" width="10.7109375" style="1" customWidth="1"/>
    <col min="2834" max="2842" width="9.42578125" style="1" customWidth="1"/>
    <col min="2843" max="3073" width="9.42578125" style="1"/>
    <col min="3074" max="3074" width="8" style="1" customWidth="1"/>
    <col min="3075" max="3075" width="9.42578125" style="1" customWidth="1"/>
    <col min="3076" max="3083" width="13.7109375" style="1" customWidth="1"/>
    <col min="3084" max="3084" width="19.140625" style="1" customWidth="1"/>
    <col min="3085" max="3087" width="13.7109375" style="1" customWidth="1"/>
    <col min="3088" max="3088" width="0" style="1" hidden="1" customWidth="1"/>
    <col min="3089" max="3089" width="10.7109375" style="1" customWidth="1"/>
    <col min="3090" max="3098" width="9.42578125" style="1" customWidth="1"/>
    <col min="3099" max="3329" width="9.42578125" style="1"/>
    <col min="3330" max="3330" width="8" style="1" customWidth="1"/>
    <col min="3331" max="3331" width="9.42578125" style="1" customWidth="1"/>
    <col min="3332" max="3339" width="13.7109375" style="1" customWidth="1"/>
    <col min="3340" max="3340" width="19.140625" style="1" customWidth="1"/>
    <col min="3341" max="3343" width="13.7109375" style="1" customWidth="1"/>
    <col min="3344" max="3344" width="0" style="1" hidden="1" customWidth="1"/>
    <col min="3345" max="3345" width="10.7109375" style="1" customWidth="1"/>
    <col min="3346" max="3354" width="9.42578125" style="1" customWidth="1"/>
    <col min="3355" max="3585" width="9.42578125" style="1"/>
    <col min="3586" max="3586" width="8" style="1" customWidth="1"/>
    <col min="3587" max="3587" width="9.42578125" style="1" customWidth="1"/>
    <col min="3588" max="3595" width="13.7109375" style="1" customWidth="1"/>
    <col min="3596" max="3596" width="19.140625" style="1" customWidth="1"/>
    <col min="3597" max="3599" width="13.7109375" style="1" customWidth="1"/>
    <col min="3600" max="3600" width="0" style="1" hidden="1" customWidth="1"/>
    <col min="3601" max="3601" width="10.7109375" style="1" customWidth="1"/>
    <col min="3602" max="3610" width="9.42578125" style="1" customWidth="1"/>
    <col min="3611" max="3841" width="9.42578125" style="1"/>
    <col min="3842" max="3842" width="8" style="1" customWidth="1"/>
    <col min="3843" max="3843" width="9.42578125" style="1" customWidth="1"/>
    <col min="3844" max="3851" width="13.7109375" style="1" customWidth="1"/>
    <col min="3852" max="3852" width="19.140625" style="1" customWidth="1"/>
    <col min="3853" max="3855" width="13.7109375" style="1" customWidth="1"/>
    <col min="3856" max="3856" width="0" style="1" hidden="1" customWidth="1"/>
    <col min="3857" max="3857" width="10.7109375" style="1" customWidth="1"/>
    <col min="3858" max="3866" width="9.42578125" style="1" customWidth="1"/>
    <col min="3867" max="4097" width="9.42578125" style="1"/>
    <col min="4098" max="4098" width="8" style="1" customWidth="1"/>
    <col min="4099" max="4099" width="9.42578125" style="1" customWidth="1"/>
    <col min="4100" max="4107" width="13.7109375" style="1" customWidth="1"/>
    <col min="4108" max="4108" width="19.140625" style="1" customWidth="1"/>
    <col min="4109" max="4111" width="13.7109375" style="1" customWidth="1"/>
    <col min="4112" max="4112" width="0" style="1" hidden="1" customWidth="1"/>
    <col min="4113" max="4113" width="10.7109375" style="1" customWidth="1"/>
    <col min="4114" max="4122" width="9.42578125" style="1" customWidth="1"/>
    <col min="4123" max="4353" width="9.42578125" style="1"/>
    <col min="4354" max="4354" width="8" style="1" customWidth="1"/>
    <col min="4355" max="4355" width="9.42578125" style="1" customWidth="1"/>
    <col min="4356" max="4363" width="13.7109375" style="1" customWidth="1"/>
    <col min="4364" max="4364" width="19.140625" style="1" customWidth="1"/>
    <col min="4365" max="4367" width="13.7109375" style="1" customWidth="1"/>
    <col min="4368" max="4368" width="0" style="1" hidden="1" customWidth="1"/>
    <col min="4369" max="4369" width="10.7109375" style="1" customWidth="1"/>
    <col min="4370" max="4378" width="9.42578125" style="1" customWidth="1"/>
    <col min="4379" max="4609" width="9.42578125" style="1"/>
    <col min="4610" max="4610" width="8" style="1" customWidth="1"/>
    <col min="4611" max="4611" width="9.42578125" style="1" customWidth="1"/>
    <col min="4612" max="4619" width="13.7109375" style="1" customWidth="1"/>
    <col min="4620" max="4620" width="19.140625" style="1" customWidth="1"/>
    <col min="4621" max="4623" width="13.7109375" style="1" customWidth="1"/>
    <col min="4624" max="4624" width="0" style="1" hidden="1" customWidth="1"/>
    <col min="4625" max="4625" width="10.7109375" style="1" customWidth="1"/>
    <col min="4626" max="4634" width="9.42578125" style="1" customWidth="1"/>
    <col min="4635" max="4865" width="9.42578125" style="1"/>
    <col min="4866" max="4866" width="8" style="1" customWidth="1"/>
    <col min="4867" max="4867" width="9.42578125" style="1" customWidth="1"/>
    <col min="4868" max="4875" width="13.7109375" style="1" customWidth="1"/>
    <col min="4876" max="4876" width="19.140625" style="1" customWidth="1"/>
    <col min="4877" max="4879" width="13.7109375" style="1" customWidth="1"/>
    <col min="4880" max="4880" width="0" style="1" hidden="1" customWidth="1"/>
    <col min="4881" max="4881" width="10.7109375" style="1" customWidth="1"/>
    <col min="4882" max="4890" width="9.42578125" style="1" customWidth="1"/>
    <col min="4891" max="5121" width="9.42578125" style="1"/>
    <col min="5122" max="5122" width="8" style="1" customWidth="1"/>
    <col min="5123" max="5123" width="9.42578125" style="1" customWidth="1"/>
    <col min="5124" max="5131" width="13.7109375" style="1" customWidth="1"/>
    <col min="5132" max="5132" width="19.140625" style="1" customWidth="1"/>
    <col min="5133" max="5135" width="13.7109375" style="1" customWidth="1"/>
    <col min="5136" max="5136" width="0" style="1" hidden="1" customWidth="1"/>
    <col min="5137" max="5137" width="10.7109375" style="1" customWidth="1"/>
    <col min="5138" max="5146" width="9.42578125" style="1" customWidth="1"/>
    <col min="5147" max="5377" width="9.42578125" style="1"/>
    <col min="5378" max="5378" width="8" style="1" customWidth="1"/>
    <col min="5379" max="5379" width="9.42578125" style="1" customWidth="1"/>
    <col min="5380" max="5387" width="13.7109375" style="1" customWidth="1"/>
    <col min="5388" max="5388" width="19.140625" style="1" customWidth="1"/>
    <col min="5389" max="5391" width="13.7109375" style="1" customWidth="1"/>
    <col min="5392" max="5392" width="0" style="1" hidden="1" customWidth="1"/>
    <col min="5393" max="5393" width="10.7109375" style="1" customWidth="1"/>
    <col min="5394" max="5402" width="9.42578125" style="1" customWidth="1"/>
    <col min="5403" max="5633" width="9.42578125" style="1"/>
    <col min="5634" max="5634" width="8" style="1" customWidth="1"/>
    <col min="5635" max="5635" width="9.42578125" style="1" customWidth="1"/>
    <col min="5636" max="5643" width="13.7109375" style="1" customWidth="1"/>
    <col min="5644" max="5644" width="19.140625" style="1" customWidth="1"/>
    <col min="5645" max="5647" width="13.7109375" style="1" customWidth="1"/>
    <col min="5648" max="5648" width="0" style="1" hidden="1" customWidth="1"/>
    <col min="5649" max="5649" width="10.7109375" style="1" customWidth="1"/>
    <col min="5650" max="5658" width="9.42578125" style="1" customWidth="1"/>
    <col min="5659" max="5889" width="9.42578125" style="1"/>
    <col min="5890" max="5890" width="8" style="1" customWidth="1"/>
    <col min="5891" max="5891" width="9.42578125" style="1" customWidth="1"/>
    <col min="5892" max="5899" width="13.7109375" style="1" customWidth="1"/>
    <col min="5900" max="5900" width="19.140625" style="1" customWidth="1"/>
    <col min="5901" max="5903" width="13.7109375" style="1" customWidth="1"/>
    <col min="5904" max="5904" width="0" style="1" hidden="1" customWidth="1"/>
    <col min="5905" max="5905" width="10.7109375" style="1" customWidth="1"/>
    <col min="5906" max="5914" width="9.42578125" style="1" customWidth="1"/>
    <col min="5915" max="6145" width="9.42578125" style="1"/>
    <col min="6146" max="6146" width="8" style="1" customWidth="1"/>
    <col min="6147" max="6147" width="9.42578125" style="1" customWidth="1"/>
    <col min="6148" max="6155" width="13.7109375" style="1" customWidth="1"/>
    <col min="6156" max="6156" width="19.140625" style="1" customWidth="1"/>
    <col min="6157" max="6159" width="13.7109375" style="1" customWidth="1"/>
    <col min="6160" max="6160" width="0" style="1" hidden="1" customWidth="1"/>
    <col min="6161" max="6161" width="10.7109375" style="1" customWidth="1"/>
    <col min="6162" max="6170" width="9.42578125" style="1" customWidth="1"/>
    <col min="6171" max="6401" width="9.42578125" style="1"/>
    <col min="6402" max="6402" width="8" style="1" customWidth="1"/>
    <col min="6403" max="6403" width="9.42578125" style="1" customWidth="1"/>
    <col min="6404" max="6411" width="13.7109375" style="1" customWidth="1"/>
    <col min="6412" max="6412" width="19.140625" style="1" customWidth="1"/>
    <col min="6413" max="6415" width="13.7109375" style="1" customWidth="1"/>
    <col min="6416" max="6416" width="0" style="1" hidden="1" customWidth="1"/>
    <col min="6417" max="6417" width="10.7109375" style="1" customWidth="1"/>
    <col min="6418" max="6426" width="9.42578125" style="1" customWidth="1"/>
    <col min="6427" max="6657" width="9.42578125" style="1"/>
    <col min="6658" max="6658" width="8" style="1" customWidth="1"/>
    <col min="6659" max="6659" width="9.42578125" style="1" customWidth="1"/>
    <col min="6660" max="6667" width="13.7109375" style="1" customWidth="1"/>
    <col min="6668" max="6668" width="19.140625" style="1" customWidth="1"/>
    <col min="6669" max="6671" width="13.7109375" style="1" customWidth="1"/>
    <col min="6672" max="6672" width="0" style="1" hidden="1" customWidth="1"/>
    <col min="6673" max="6673" width="10.7109375" style="1" customWidth="1"/>
    <col min="6674" max="6682" width="9.42578125" style="1" customWidth="1"/>
    <col min="6683" max="6913" width="9.42578125" style="1"/>
    <col min="6914" max="6914" width="8" style="1" customWidth="1"/>
    <col min="6915" max="6915" width="9.42578125" style="1" customWidth="1"/>
    <col min="6916" max="6923" width="13.7109375" style="1" customWidth="1"/>
    <col min="6924" max="6924" width="19.140625" style="1" customWidth="1"/>
    <col min="6925" max="6927" width="13.7109375" style="1" customWidth="1"/>
    <col min="6928" max="6928" width="0" style="1" hidden="1" customWidth="1"/>
    <col min="6929" max="6929" width="10.7109375" style="1" customWidth="1"/>
    <col min="6930" max="6938" width="9.42578125" style="1" customWidth="1"/>
    <col min="6939" max="7169" width="9.42578125" style="1"/>
    <col min="7170" max="7170" width="8" style="1" customWidth="1"/>
    <col min="7171" max="7171" width="9.42578125" style="1" customWidth="1"/>
    <col min="7172" max="7179" width="13.7109375" style="1" customWidth="1"/>
    <col min="7180" max="7180" width="19.140625" style="1" customWidth="1"/>
    <col min="7181" max="7183" width="13.7109375" style="1" customWidth="1"/>
    <col min="7184" max="7184" width="0" style="1" hidden="1" customWidth="1"/>
    <col min="7185" max="7185" width="10.7109375" style="1" customWidth="1"/>
    <col min="7186" max="7194" width="9.42578125" style="1" customWidth="1"/>
    <col min="7195" max="7425" width="9.42578125" style="1"/>
    <col min="7426" max="7426" width="8" style="1" customWidth="1"/>
    <col min="7427" max="7427" width="9.42578125" style="1" customWidth="1"/>
    <col min="7428" max="7435" width="13.7109375" style="1" customWidth="1"/>
    <col min="7436" max="7436" width="19.140625" style="1" customWidth="1"/>
    <col min="7437" max="7439" width="13.7109375" style="1" customWidth="1"/>
    <col min="7440" max="7440" width="0" style="1" hidden="1" customWidth="1"/>
    <col min="7441" max="7441" width="10.7109375" style="1" customWidth="1"/>
    <col min="7442" max="7450" width="9.42578125" style="1" customWidth="1"/>
    <col min="7451" max="7681" width="9.42578125" style="1"/>
    <col min="7682" max="7682" width="8" style="1" customWidth="1"/>
    <col min="7683" max="7683" width="9.42578125" style="1" customWidth="1"/>
    <col min="7684" max="7691" width="13.7109375" style="1" customWidth="1"/>
    <col min="7692" max="7692" width="19.140625" style="1" customWidth="1"/>
    <col min="7693" max="7695" width="13.7109375" style="1" customWidth="1"/>
    <col min="7696" max="7696" width="0" style="1" hidden="1" customWidth="1"/>
    <col min="7697" max="7697" width="10.7109375" style="1" customWidth="1"/>
    <col min="7698" max="7706" width="9.42578125" style="1" customWidth="1"/>
    <col min="7707" max="7937" width="9.42578125" style="1"/>
    <col min="7938" max="7938" width="8" style="1" customWidth="1"/>
    <col min="7939" max="7939" width="9.42578125" style="1" customWidth="1"/>
    <col min="7940" max="7947" width="13.7109375" style="1" customWidth="1"/>
    <col min="7948" max="7948" width="19.140625" style="1" customWidth="1"/>
    <col min="7949" max="7951" width="13.7109375" style="1" customWidth="1"/>
    <col min="7952" max="7952" width="0" style="1" hidden="1" customWidth="1"/>
    <col min="7953" max="7953" width="10.7109375" style="1" customWidth="1"/>
    <col min="7954" max="7962" width="9.42578125" style="1" customWidth="1"/>
    <col min="7963" max="8193" width="9.42578125" style="1"/>
    <col min="8194" max="8194" width="8" style="1" customWidth="1"/>
    <col min="8195" max="8195" width="9.42578125" style="1" customWidth="1"/>
    <col min="8196" max="8203" width="13.7109375" style="1" customWidth="1"/>
    <col min="8204" max="8204" width="19.140625" style="1" customWidth="1"/>
    <col min="8205" max="8207" width="13.7109375" style="1" customWidth="1"/>
    <col min="8208" max="8208" width="0" style="1" hidden="1" customWidth="1"/>
    <col min="8209" max="8209" width="10.7109375" style="1" customWidth="1"/>
    <col min="8210" max="8218" width="9.42578125" style="1" customWidth="1"/>
    <col min="8219" max="8449" width="9.42578125" style="1"/>
    <col min="8450" max="8450" width="8" style="1" customWidth="1"/>
    <col min="8451" max="8451" width="9.42578125" style="1" customWidth="1"/>
    <col min="8452" max="8459" width="13.7109375" style="1" customWidth="1"/>
    <col min="8460" max="8460" width="19.140625" style="1" customWidth="1"/>
    <col min="8461" max="8463" width="13.7109375" style="1" customWidth="1"/>
    <col min="8464" max="8464" width="0" style="1" hidden="1" customWidth="1"/>
    <col min="8465" max="8465" width="10.7109375" style="1" customWidth="1"/>
    <col min="8466" max="8474" width="9.42578125" style="1" customWidth="1"/>
    <col min="8475" max="8705" width="9.42578125" style="1"/>
    <col min="8706" max="8706" width="8" style="1" customWidth="1"/>
    <col min="8707" max="8707" width="9.42578125" style="1" customWidth="1"/>
    <col min="8708" max="8715" width="13.7109375" style="1" customWidth="1"/>
    <col min="8716" max="8716" width="19.140625" style="1" customWidth="1"/>
    <col min="8717" max="8719" width="13.7109375" style="1" customWidth="1"/>
    <col min="8720" max="8720" width="0" style="1" hidden="1" customWidth="1"/>
    <col min="8721" max="8721" width="10.7109375" style="1" customWidth="1"/>
    <col min="8722" max="8730" width="9.42578125" style="1" customWidth="1"/>
    <col min="8731" max="8961" width="9.42578125" style="1"/>
    <col min="8962" max="8962" width="8" style="1" customWidth="1"/>
    <col min="8963" max="8963" width="9.42578125" style="1" customWidth="1"/>
    <col min="8964" max="8971" width="13.7109375" style="1" customWidth="1"/>
    <col min="8972" max="8972" width="19.140625" style="1" customWidth="1"/>
    <col min="8973" max="8975" width="13.7109375" style="1" customWidth="1"/>
    <col min="8976" max="8976" width="0" style="1" hidden="1" customWidth="1"/>
    <col min="8977" max="8977" width="10.7109375" style="1" customWidth="1"/>
    <col min="8978" max="8986" width="9.42578125" style="1" customWidth="1"/>
    <col min="8987" max="9217" width="9.42578125" style="1"/>
    <col min="9218" max="9218" width="8" style="1" customWidth="1"/>
    <col min="9219" max="9219" width="9.42578125" style="1" customWidth="1"/>
    <col min="9220" max="9227" width="13.7109375" style="1" customWidth="1"/>
    <col min="9228" max="9228" width="19.140625" style="1" customWidth="1"/>
    <col min="9229" max="9231" width="13.7109375" style="1" customWidth="1"/>
    <col min="9232" max="9232" width="0" style="1" hidden="1" customWidth="1"/>
    <col min="9233" max="9233" width="10.7109375" style="1" customWidth="1"/>
    <col min="9234" max="9242" width="9.42578125" style="1" customWidth="1"/>
    <col min="9243" max="9473" width="9.42578125" style="1"/>
    <col min="9474" max="9474" width="8" style="1" customWidth="1"/>
    <col min="9475" max="9475" width="9.42578125" style="1" customWidth="1"/>
    <col min="9476" max="9483" width="13.7109375" style="1" customWidth="1"/>
    <col min="9484" max="9484" width="19.140625" style="1" customWidth="1"/>
    <col min="9485" max="9487" width="13.7109375" style="1" customWidth="1"/>
    <col min="9488" max="9488" width="0" style="1" hidden="1" customWidth="1"/>
    <col min="9489" max="9489" width="10.7109375" style="1" customWidth="1"/>
    <col min="9490" max="9498" width="9.42578125" style="1" customWidth="1"/>
    <col min="9499" max="9729" width="9.42578125" style="1"/>
    <col min="9730" max="9730" width="8" style="1" customWidth="1"/>
    <col min="9731" max="9731" width="9.42578125" style="1" customWidth="1"/>
    <col min="9732" max="9739" width="13.7109375" style="1" customWidth="1"/>
    <col min="9740" max="9740" width="19.140625" style="1" customWidth="1"/>
    <col min="9741" max="9743" width="13.7109375" style="1" customWidth="1"/>
    <col min="9744" max="9744" width="0" style="1" hidden="1" customWidth="1"/>
    <col min="9745" max="9745" width="10.7109375" style="1" customWidth="1"/>
    <col min="9746" max="9754" width="9.42578125" style="1" customWidth="1"/>
    <col min="9755" max="9985" width="9.42578125" style="1"/>
    <col min="9986" max="9986" width="8" style="1" customWidth="1"/>
    <col min="9987" max="9987" width="9.42578125" style="1" customWidth="1"/>
    <col min="9988" max="9995" width="13.7109375" style="1" customWidth="1"/>
    <col min="9996" max="9996" width="19.140625" style="1" customWidth="1"/>
    <col min="9997" max="9999" width="13.7109375" style="1" customWidth="1"/>
    <col min="10000" max="10000" width="0" style="1" hidden="1" customWidth="1"/>
    <col min="10001" max="10001" width="10.7109375" style="1" customWidth="1"/>
    <col min="10002" max="10010" width="9.42578125" style="1" customWidth="1"/>
    <col min="10011" max="10241" width="9.42578125" style="1"/>
    <col min="10242" max="10242" width="8" style="1" customWidth="1"/>
    <col min="10243" max="10243" width="9.42578125" style="1" customWidth="1"/>
    <col min="10244" max="10251" width="13.7109375" style="1" customWidth="1"/>
    <col min="10252" max="10252" width="19.140625" style="1" customWidth="1"/>
    <col min="10253" max="10255" width="13.7109375" style="1" customWidth="1"/>
    <col min="10256" max="10256" width="0" style="1" hidden="1" customWidth="1"/>
    <col min="10257" max="10257" width="10.7109375" style="1" customWidth="1"/>
    <col min="10258" max="10266" width="9.42578125" style="1" customWidth="1"/>
    <col min="10267" max="10497" width="9.42578125" style="1"/>
    <col min="10498" max="10498" width="8" style="1" customWidth="1"/>
    <col min="10499" max="10499" width="9.42578125" style="1" customWidth="1"/>
    <col min="10500" max="10507" width="13.7109375" style="1" customWidth="1"/>
    <col min="10508" max="10508" width="19.140625" style="1" customWidth="1"/>
    <col min="10509" max="10511" width="13.7109375" style="1" customWidth="1"/>
    <col min="10512" max="10512" width="0" style="1" hidden="1" customWidth="1"/>
    <col min="10513" max="10513" width="10.7109375" style="1" customWidth="1"/>
    <col min="10514" max="10522" width="9.42578125" style="1" customWidth="1"/>
    <col min="10523" max="10753" width="9.42578125" style="1"/>
    <col min="10754" max="10754" width="8" style="1" customWidth="1"/>
    <col min="10755" max="10755" width="9.42578125" style="1" customWidth="1"/>
    <col min="10756" max="10763" width="13.7109375" style="1" customWidth="1"/>
    <col min="10764" max="10764" width="19.140625" style="1" customWidth="1"/>
    <col min="10765" max="10767" width="13.7109375" style="1" customWidth="1"/>
    <col min="10768" max="10768" width="0" style="1" hidden="1" customWidth="1"/>
    <col min="10769" max="10769" width="10.7109375" style="1" customWidth="1"/>
    <col min="10770" max="10778" width="9.42578125" style="1" customWidth="1"/>
    <col min="10779" max="11009" width="9.42578125" style="1"/>
    <col min="11010" max="11010" width="8" style="1" customWidth="1"/>
    <col min="11011" max="11011" width="9.42578125" style="1" customWidth="1"/>
    <col min="11012" max="11019" width="13.7109375" style="1" customWidth="1"/>
    <col min="11020" max="11020" width="19.140625" style="1" customWidth="1"/>
    <col min="11021" max="11023" width="13.7109375" style="1" customWidth="1"/>
    <col min="11024" max="11024" width="0" style="1" hidden="1" customWidth="1"/>
    <col min="11025" max="11025" width="10.7109375" style="1" customWidth="1"/>
    <col min="11026" max="11034" width="9.42578125" style="1" customWidth="1"/>
    <col min="11035" max="11265" width="9.42578125" style="1"/>
    <col min="11266" max="11266" width="8" style="1" customWidth="1"/>
    <col min="11267" max="11267" width="9.42578125" style="1" customWidth="1"/>
    <col min="11268" max="11275" width="13.7109375" style="1" customWidth="1"/>
    <col min="11276" max="11276" width="19.140625" style="1" customWidth="1"/>
    <col min="11277" max="11279" width="13.7109375" style="1" customWidth="1"/>
    <col min="11280" max="11280" width="0" style="1" hidden="1" customWidth="1"/>
    <col min="11281" max="11281" width="10.7109375" style="1" customWidth="1"/>
    <col min="11282" max="11290" width="9.42578125" style="1" customWidth="1"/>
    <col min="11291" max="11521" width="9.42578125" style="1"/>
    <col min="11522" max="11522" width="8" style="1" customWidth="1"/>
    <col min="11523" max="11523" width="9.42578125" style="1" customWidth="1"/>
    <col min="11524" max="11531" width="13.7109375" style="1" customWidth="1"/>
    <col min="11532" max="11532" width="19.140625" style="1" customWidth="1"/>
    <col min="11533" max="11535" width="13.7109375" style="1" customWidth="1"/>
    <col min="11536" max="11536" width="0" style="1" hidden="1" customWidth="1"/>
    <col min="11537" max="11537" width="10.7109375" style="1" customWidth="1"/>
    <col min="11538" max="11546" width="9.42578125" style="1" customWidth="1"/>
    <col min="11547" max="11777" width="9.42578125" style="1"/>
    <col min="11778" max="11778" width="8" style="1" customWidth="1"/>
    <col min="11779" max="11779" width="9.42578125" style="1" customWidth="1"/>
    <col min="11780" max="11787" width="13.7109375" style="1" customWidth="1"/>
    <col min="11788" max="11788" width="19.140625" style="1" customWidth="1"/>
    <col min="11789" max="11791" width="13.7109375" style="1" customWidth="1"/>
    <col min="11792" max="11792" width="0" style="1" hidden="1" customWidth="1"/>
    <col min="11793" max="11793" width="10.7109375" style="1" customWidth="1"/>
    <col min="11794" max="11802" width="9.42578125" style="1" customWidth="1"/>
    <col min="11803" max="12033" width="9.42578125" style="1"/>
    <col min="12034" max="12034" width="8" style="1" customWidth="1"/>
    <col min="12035" max="12035" width="9.42578125" style="1" customWidth="1"/>
    <col min="12036" max="12043" width="13.7109375" style="1" customWidth="1"/>
    <col min="12044" max="12044" width="19.140625" style="1" customWidth="1"/>
    <col min="12045" max="12047" width="13.7109375" style="1" customWidth="1"/>
    <col min="12048" max="12048" width="0" style="1" hidden="1" customWidth="1"/>
    <col min="12049" max="12049" width="10.7109375" style="1" customWidth="1"/>
    <col min="12050" max="12058" width="9.42578125" style="1" customWidth="1"/>
    <col min="12059" max="12289" width="9.42578125" style="1"/>
    <col min="12290" max="12290" width="8" style="1" customWidth="1"/>
    <col min="12291" max="12291" width="9.42578125" style="1" customWidth="1"/>
    <col min="12292" max="12299" width="13.7109375" style="1" customWidth="1"/>
    <col min="12300" max="12300" width="19.140625" style="1" customWidth="1"/>
    <col min="12301" max="12303" width="13.7109375" style="1" customWidth="1"/>
    <col min="12304" max="12304" width="0" style="1" hidden="1" customWidth="1"/>
    <col min="12305" max="12305" width="10.7109375" style="1" customWidth="1"/>
    <col min="12306" max="12314" width="9.42578125" style="1" customWidth="1"/>
    <col min="12315" max="12545" width="9.42578125" style="1"/>
    <col min="12546" max="12546" width="8" style="1" customWidth="1"/>
    <col min="12547" max="12547" width="9.42578125" style="1" customWidth="1"/>
    <col min="12548" max="12555" width="13.7109375" style="1" customWidth="1"/>
    <col min="12556" max="12556" width="19.140625" style="1" customWidth="1"/>
    <col min="12557" max="12559" width="13.7109375" style="1" customWidth="1"/>
    <col min="12560" max="12560" width="0" style="1" hidden="1" customWidth="1"/>
    <col min="12561" max="12561" width="10.7109375" style="1" customWidth="1"/>
    <col min="12562" max="12570" width="9.42578125" style="1" customWidth="1"/>
    <col min="12571" max="12801" width="9.42578125" style="1"/>
    <col min="12802" max="12802" width="8" style="1" customWidth="1"/>
    <col min="12803" max="12803" width="9.42578125" style="1" customWidth="1"/>
    <col min="12804" max="12811" width="13.7109375" style="1" customWidth="1"/>
    <col min="12812" max="12812" width="19.140625" style="1" customWidth="1"/>
    <col min="12813" max="12815" width="13.7109375" style="1" customWidth="1"/>
    <col min="12816" max="12816" width="0" style="1" hidden="1" customWidth="1"/>
    <col min="12817" max="12817" width="10.7109375" style="1" customWidth="1"/>
    <col min="12818" max="12826" width="9.42578125" style="1" customWidth="1"/>
    <col min="12827" max="13057" width="9.42578125" style="1"/>
    <col min="13058" max="13058" width="8" style="1" customWidth="1"/>
    <col min="13059" max="13059" width="9.42578125" style="1" customWidth="1"/>
    <col min="13060" max="13067" width="13.7109375" style="1" customWidth="1"/>
    <col min="13068" max="13068" width="19.140625" style="1" customWidth="1"/>
    <col min="13069" max="13071" width="13.7109375" style="1" customWidth="1"/>
    <col min="13072" max="13072" width="0" style="1" hidden="1" customWidth="1"/>
    <col min="13073" max="13073" width="10.7109375" style="1" customWidth="1"/>
    <col min="13074" max="13082" width="9.42578125" style="1" customWidth="1"/>
    <col min="13083" max="13313" width="9.42578125" style="1"/>
    <col min="13314" max="13314" width="8" style="1" customWidth="1"/>
    <col min="13315" max="13315" width="9.42578125" style="1" customWidth="1"/>
    <col min="13316" max="13323" width="13.7109375" style="1" customWidth="1"/>
    <col min="13324" max="13324" width="19.140625" style="1" customWidth="1"/>
    <col min="13325" max="13327" width="13.7109375" style="1" customWidth="1"/>
    <col min="13328" max="13328" width="0" style="1" hidden="1" customWidth="1"/>
    <col min="13329" max="13329" width="10.7109375" style="1" customWidth="1"/>
    <col min="13330" max="13338" width="9.42578125" style="1" customWidth="1"/>
    <col min="13339" max="13569" width="9.42578125" style="1"/>
    <col min="13570" max="13570" width="8" style="1" customWidth="1"/>
    <col min="13571" max="13571" width="9.42578125" style="1" customWidth="1"/>
    <col min="13572" max="13579" width="13.7109375" style="1" customWidth="1"/>
    <col min="13580" max="13580" width="19.140625" style="1" customWidth="1"/>
    <col min="13581" max="13583" width="13.7109375" style="1" customWidth="1"/>
    <col min="13584" max="13584" width="0" style="1" hidden="1" customWidth="1"/>
    <col min="13585" max="13585" width="10.7109375" style="1" customWidth="1"/>
    <col min="13586" max="13594" width="9.42578125" style="1" customWidth="1"/>
    <col min="13595" max="13825" width="9.42578125" style="1"/>
    <col min="13826" max="13826" width="8" style="1" customWidth="1"/>
    <col min="13827" max="13827" width="9.42578125" style="1" customWidth="1"/>
    <col min="13828" max="13835" width="13.7109375" style="1" customWidth="1"/>
    <col min="13836" max="13836" width="19.140625" style="1" customWidth="1"/>
    <col min="13837" max="13839" width="13.7109375" style="1" customWidth="1"/>
    <col min="13840" max="13840" width="0" style="1" hidden="1" customWidth="1"/>
    <col min="13841" max="13841" width="10.7109375" style="1" customWidth="1"/>
    <col min="13842" max="13850" width="9.42578125" style="1" customWidth="1"/>
    <col min="13851" max="14081" width="9.42578125" style="1"/>
    <col min="14082" max="14082" width="8" style="1" customWidth="1"/>
    <col min="14083" max="14083" width="9.42578125" style="1" customWidth="1"/>
    <col min="14084" max="14091" width="13.7109375" style="1" customWidth="1"/>
    <col min="14092" max="14092" width="19.140625" style="1" customWidth="1"/>
    <col min="14093" max="14095" width="13.7109375" style="1" customWidth="1"/>
    <col min="14096" max="14096" width="0" style="1" hidden="1" customWidth="1"/>
    <col min="14097" max="14097" width="10.7109375" style="1" customWidth="1"/>
    <col min="14098" max="14106" width="9.42578125" style="1" customWidth="1"/>
    <col min="14107" max="14337" width="9.42578125" style="1"/>
    <col min="14338" max="14338" width="8" style="1" customWidth="1"/>
    <col min="14339" max="14339" width="9.42578125" style="1" customWidth="1"/>
    <col min="14340" max="14347" width="13.7109375" style="1" customWidth="1"/>
    <col min="14348" max="14348" width="19.140625" style="1" customWidth="1"/>
    <col min="14349" max="14351" width="13.7109375" style="1" customWidth="1"/>
    <col min="14352" max="14352" width="0" style="1" hidden="1" customWidth="1"/>
    <col min="14353" max="14353" width="10.7109375" style="1" customWidth="1"/>
    <col min="14354" max="14362" width="9.42578125" style="1" customWidth="1"/>
    <col min="14363" max="14593" width="9.42578125" style="1"/>
    <col min="14594" max="14594" width="8" style="1" customWidth="1"/>
    <col min="14595" max="14595" width="9.42578125" style="1" customWidth="1"/>
    <col min="14596" max="14603" width="13.7109375" style="1" customWidth="1"/>
    <col min="14604" max="14604" width="19.140625" style="1" customWidth="1"/>
    <col min="14605" max="14607" width="13.7109375" style="1" customWidth="1"/>
    <col min="14608" max="14608" width="0" style="1" hidden="1" customWidth="1"/>
    <col min="14609" max="14609" width="10.7109375" style="1" customWidth="1"/>
    <col min="14610" max="14618" width="9.42578125" style="1" customWidth="1"/>
    <col min="14619" max="14849" width="9.42578125" style="1"/>
    <col min="14850" max="14850" width="8" style="1" customWidth="1"/>
    <col min="14851" max="14851" width="9.42578125" style="1" customWidth="1"/>
    <col min="14852" max="14859" width="13.7109375" style="1" customWidth="1"/>
    <col min="14860" max="14860" width="19.140625" style="1" customWidth="1"/>
    <col min="14861" max="14863" width="13.7109375" style="1" customWidth="1"/>
    <col min="14864" max="14864" width="0" style="1" hidden="1" customWidth="1"/>
    <col min="14865" max="14865" width="10.7109375" style="1" customWidth="1"/>
    <col min="14866" max="14874" width="9.42578125" style="1" customWidth="1"/>
    <col min="14875" max="15105" width="9.42578125" style="1"/>
    <col min="15106" max="15106" width="8" style="1" customWidth="1"/>
    <col min="15107" max="15107" width="9.42578125" style="1" customWidth="1"/>
    <col min="15108" max="15115" width="13.7109375" style="1" customWidth="1"/>
    <col min="15116" max="15116" width="19.140625" style="1" customWidth="1"/>
    <col min="15117" max="15119" width="13.7109375" style="1" customWidth="1"/>
    <col min="15120" max="15120" width="0" style="1" hidden="1" customWidth="1"/>
    <col min="15121" max="15121" width="10.7109375" style="1" customWidth="1"/>
    <col min="15122" max="15130" width="9.42578125" style="1" customWidth="1"/>
    <col min="15131" max="15361" width="9.42578125" style="1"/>
    <col min="15362" max="15362" width="8" style="1" customWidth="1"/>
    <col min="15363" max="15363" width="9.42578125" style="1" customWidth="1"/>
    <col min="15364" max="15371" width="13.7109375" style="1" customWidth="1"/>
    <col min="15372" max="15372" width="19.140625" style="1" customWidth="1"/>
    <col min="15373" max="15375" width="13.7109375" style="1" customWidth="1"/>
    <col min="15376" max="15376" width="0" style="1" hidden="1" customWidth="1"/>
    <col min="15377" max="15377" width="10.7109375" style="1" customWidth="1"/>
    <col min="15378" max="15386" width="9.42578125" style="1" customWidth="1"/>
    <col min="15387" max="15617" width="9.42578125" style="1"/>
    <col min="15618" max="15618" width="8" style="1" customWidth="1"/>
    <col min="15619" max="15619" width="9.42578125" style="1" customWidth="1"/>
    <col min="15620" max="15627" width="13.7109375" style="1" customWidth="1"/>
    <col min="15628" max="15628" width="19.140625" style="1" customWidth="1"/>
    <col min="15629" max="15631" width="13.7109375" style="1" customWidth="1"/>
    <col min="15632" max="15632" width="0" style="1" hidden="1" customWidth="1"/>
    <col min="15633" max="15633" width="10.7109375" style="1" customWidth="1"/>
    <col min="15634" max="15642" width="9.42578125" style="1" customWidth="1"/>
    <col min="15643" max="15873" width="9.42578125" style="1"/>
    <col min="15874" max="15874" width="8" style="1" customWidth="1"/>
    <col min="15875" max="15875" width="9.42578125" style="1" customWidth="1"/>
    <col min="15876" max="15883" width="13.7109375" style="1" customWidth="1"/>
    <col min="15884" max="15884" width="19.140625" style="1" customWidth="1"/>
    <col min="15885" max="15887" width="13.7109375" style="1" customWidth="1"/>
    <col min="15888" max="15888" width="0" style="1" hidden="1" customWidth="1"/>
    <col min="15889" max="15889" width="10.7109375" style="1" customWidth="1"/>
    <col min="15890" max="15898" width="9.42578125" style="1" customWidth="1"/>
    <col min="15899" max="16129" width="9.42578125" style="1"/>
    <col min="16130" max="16130" width="8" style="1" customWidth="1"/>
    <col min="16131" max="16131" width="9.42578125" style="1" customWidth="1"/>
    <col min="16132" max="16139" width="13.7109375" style="1" customWidth="1"/>
    <col min="16140" max="16140" width="19.140625" style="1" customWidth="1"/>
    <col min="16141" max="16143" width="13.7109375" style="1" customWidth="1"/>
    <col min="16144" max="16144" width="0" style="1" hidden="1" customWidth="1"/>
    <col min="16145" max="16145" width="10.7109375" style="1" customWidth="1"/>
    <col min="16146" max="16154" width="9.42578125" style="1" customWidth="1"/>
    <col min="16155" max="16384" width="9.42578125" style="1"/>
  </cols>
  <sheetData>
    <row r="1" spans="4:33" ht="28.35" customHeight="1">
      <c r="H1" s="1"/>
    </row>
    <row r="2" spans="4:33" ht="28.35" customHeight="1">
      <c r="H2" s="1"/>
      <c r="I2" s="215"/>
    </row>
    <row r="3" spans="4:33" s="3" customFormat="1" ht="28.35" customHeight="1">
      <c r="D3" s="4987" t="s">
        <v>1549</v>
      </c>
      <c r="E3" s="4987"/>
      <c r="F3" s="4987"/>
      <c r="G3" s="4987"/>
      <c r="H3" s="4987"/>
      <c r="I3" s="4987"/>
      <c r="J3" s="4987"/>
      <c r="K3" s="4987"/>
      <c r="L3" s="4987"/>
      <c r="M3" s="4987"/>
      <c r="N3" s="4987"/>
      <c r="O3" s="4987"/>
      <c r="P3" s="4987"/>
      <c r="Q3" s="4987"/>
      <c r="Z3" s="489"/>
    </row>
    <row r="4" spans="4:33" s="393" customFormat="1" ht="28.35" customHeight="1">
      <c r="D4" s="4988" t="s">
        <v>1550</v>
      </c>
      <c r="E4" s="4988"/>
      <c r="F4" s="4988"/>
      <c r="G4" s="4988"/>
      <c r="H4" s="4988"/>
      <c r="I4" s="4988"/>
      <c r="J4" s="4988"/>
      <c r="K4" s="4988"/>
      <c r="L4" s="4988"/>
      <c r="M4" s="4988"/>
      <c r="N4" s="4988"/>
      <c r="O4" s="4988"/>
      <c r="P4" s="4988"/>
      <c r="Q4" s="4988"/>
    </row>
    <row r="5" spans="4:33" s="155" customFormat="1" ht="17.100000000000001" customHeight="1">
      <c r="D5" s="4989" t="s">
        <v>1551</v>
      </c>
      <c r="E5" s="4989"/>
      <c r="F5" s="439"/>
      <c r="G5" s="490"/>
      <c r="H5" s="439"/>
      <c r="I5" s="439"/>
      <c r="J5" s="439"/>
      <c r="K5" s="439"/>
      <c r="L5" s="491"/>
      <c r="M5" s="491"/>
      <c r="N5" s="491"/>
      <c r="O5" s="4990" t="s">
        <v>1552</v>
      </c>
      <c r="P5" s="4990"/>
      <c r="Q5" s="4990"/>
    </row>
    <row r="6" spans="4:33" ht="4.3499999999999996" customHeight="1">
      <c r="D6" s="4"/>
      <c r="E6" s="4"/>
      <c r="F6" s="4"/>
      <c r="G6" s="4"/>
      <c r="H6" s="4"/>
      <c r="I6" s="219"/>
      <c r="J6" s="492"/>
      <c r="K6" s="492"/>
      <c r="L6" s="110"/>
      <c r="M6" s="110"/>
      <c r="N6" s="110"/>
      <c r="O6" s="110"/>
      <c r="P6" s="110"/>
      <c r="Q6" s="110"/>
      <c r="R6" s="18"/>
      <c r="S6" s="18"/>
      <c r="T6" s="18"/>
      <c r="U6" s="18"/>
      <c r="V6" s="18"/>
      <c r="W6" s="18"/>
      <c r="X6" s="18"/>
      <c r="Y6" s="18"/>
    </row>
    <row r="7" spans="4:33" s="26" customFormat="1" ht="6" customHeight="1">
      <c r="D7" s="165"/>
      <c r="E7" s="493"/>
      <c r="F7" s="396"/>
      <c r="G7" s="166"/>
      <c r="H7" s="493"/>
      <c r="I7" s="493"/>
      <c r="J7" s="493"/>
      <c r="K7" s="494"/>
      <c r="L7" s="495"/>
      <c r="M7" s="396"/>
      <c r="N7" s="494"/>
      <c r="O7" s="398"/>
      <c r="P7" s="192"/>
      <c r="Q7" s="496"/>
    </row>
    <row r="8" spans="4:33" s="17" customFormat="1" ht="19.5" customHeight="1">
      <c r="D8" s="4991" t="s">
        <v>1553</v>
      </c>
      <c r="E8" s="4992"/>
      <c r="F8" s="4993" t="s">
        <v>1554</v>
      </c>
      <c r="G8" s="4992"/>
      <c r="H8" s="4992"/>
      <c r="I8" s="4992"/>
      <c r="J8" s="4992"/>
      <c r="K8" s="4994"/>
      <c r="L8" s="69" t="s">
        <v>1555</v>
      </c>
      <c r="M8" s="4993" t="s">
        <v>1556</v>
      </c>
      <c r="N8" s="4994"/>
      <c r="O8" s="7"/>
      <c r="P8" s="10"/>
      <c r="Q8" s="200"/>
      <c r="R8" s="26"/>
      <c r="S8" s="26"/>
      <c r="T8" s="26"/>
      <c r="U8" s="26"/>
      <c r="V8" s="26"/>
      <c r="W8" s="26"/>
      <c r="X8" s="26"/>
      <c r="Y8" s="26"/>
      <c r="Z8" s="26"/>
    </row>
    <row r="9" spans="4:33" s="26" customFormat="1" ht="19.5" customHeight="1">
      <c r="D9" s="4991" t="s">
        <v>1557</v>
      </c>
      <c r="E9" s="4992"/>
      <c r="F9" s="4997" t="s">
        <v>1558</v>
      </c>
      <c r="G9" s="4998"/>
      <c r="H9" s="4998"/>
      <c r="I9" s="4998"/>
      <c r="J9" s="4998"/>
      <c r="K9" s="4999"/>
      <c r="L9" s="69" t="s">
        <v>1559</v>
      </c>
      <c r="M9" s="5000" t="s">
        <v>1560</v>
      </c>
      <c r="N9" s="5001"/>
      <c r="O9" s="5002"/>
      <c r="P9" s="5003"/>
      <c r="Q9" s="200"/>
    </row>
    <row r="10" spans="4:33" s="26" customFormat="1" ht="23.25" customHeight="1">
      <c r="D10" s="176"/>
      <c r="E10" s="107"/>
      <c r="F10" s="49" t="s">
        <v>1561</v>
      </c>
      <c r="G10" s="107"/>
      <c r="H10" s="497"/>
      <c r="I10" s="498"/>
      <c r="J10" s="498"/>
      <c r="K10" s="498"/>
      <c r="L10" s="69" t="s">
        <v>1562</v>
      </c>
      <c r="M10" s="4997" t="s">
        <v>1563</v>
      </c>
      <c r="N10" s="4999"/>
      <c r="O10" s="5002" t="s">
        <v>1564</v>
      </c>
      <c r="P10" s="5003"/>
      <c r="Q10" s="200"/>
    </row>
    <row r="11" spans="4:33" s="17" customFormat="1" ht="23.25" customHeight="1">
      <c r="D11" s="167"/>
      <c r="E11" s="499"/>
      <c r="F11" s="49" t="s">
        <v>1565</v>
      </c>
      <c r="G11" s="51" t="s">
        <v>1566</v>
      </c>
      <c r="H11" s="158"/>
      <c r="I11" s="145"/>
      <c r="J11" s="145"/>
      <c r="K11" s="145"/>
      <c r="L11" s="69" t="s">
        <v>1567</v>
      </c>
      <c r="M11" s="107"/>
      <c r="N11" s="500"/>
      <c r="O11" s="69" t="s">
        <v>1568</v>
      </c>
      <c r="P11" s="501"/>
      <c r="Q11" s="200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</row>
    <row r="12" spans="4:33" s="26" customFormat="1" ht="23.25" customHeight="1">
      <c r="D12" s="177" t="s">
        <v>1569</v>
      </c>
      <c r="E12" s="51" t="s">
        <v>1570</v>
      </c>
      <c r="F12" s="49" t="s">
        <v>1571</v>
      </c>
      <c r="G12" s="51" t="s">
        <v>1572</v>
      </c>
      <c r="H12" s="51" t="s">
        <v>1573</v>
      </c>
      <c r="I12" s="51" t="s">
        <v>1574</v>
      </c>
      <c r="J12" s="51" t="s">
        <v>1575</v>
      </c>
      <c r="K12" s="9" t="s">
        <v>170</v>
      </c>
      <c r="L12" s="69" t="s">
        <v>1576</v>
      </c>
      <c r="M12" s="6" t="s">
        <v>1295</v>
      </c>
      <c r="N12" s="51" t="s">
        <v>1577</v>
      </c>
      <c r="O12" s="46"/>
      <c r="P12" s="48"/>
      <c r="Q12" s="200"/>
    </row>
    <row r="13" spans="4:33" s="503" customFormat="1" ht="36" customHeight="1">
      <c r="D13" s="167"/>
      <c r="E13" s="6"/>
      <c r="F13" s="7"/>
      <c r="G13" s="6"/>
      <c r="H13" s="6"/>
      <c r="I13" s="6"/>
      <c r="J13" s="6"/>
      <c r="K13" s="145"/>
      <c r="L13" s="502" t="s">
        <v>1578</v>
      </c>
      <c r="M13" s="102"/>
      <c r="N13" s="102"/>
      <c r="O13" s="4995"/>
      <c r="P13" s="4996"/>
      <c r="Q13" s="200"/>
    </row>
    <row r="14" spans="4:33" s="503" customFormat="1">
      <c r="D14" s="195"/>
      <c r="E14" s="504"/>
      <c r="F14" s="126" t="s">
        <v>1579</v>
      </c>
      <c r="G14" s="101" t="s">
        <v>1580</v>
      </c>
      <c r="H14" s="102"/>
      <c r="I14" s="102"/>
      <c r="J14" s="102"/>
      <c r="K14" s="105"/>
      <c r="L14" s="502" t="s">
        <v>1581</v>
      </c>
      <c r="M14" s="102"/>
      <c r="N14" s="102"/>
      <c r="O14" s="4995" t="s">
        <v>1582</v>
      </c>
      <c r="P14" s="4996"/>
      <c r="Q14" s="505"/>
    </row>
    <row r="15" spans="4:33" s="503" customFormat="1">
      <c r="D15" s="197" t="s">
        <v>1579</v>
      </c>
      <c r="E15" s="99" t="s">
        <v>1583</v>
      </c>
      <c r="F15" s="506" t="s">
        <v>1584</v>
      </c>
      <c r="G15" s="99" t="s">
        <v>1585</v>
      </c>
      <c r="H15" s="99" t="s">
        <v>1586</v>
      </c>
      <c r="I15" s="99" t="s">
        <v>1587</v>
      </c>
      <c r="J15" s="99" t="s">
        <v>1588</v>
      </c>
      <c r="K15" s="507" t="s">
        <v>187</v>
      </c>
      <c r="L15" s="508" t="s">
        <v>1589</v>
      </c>
      <c r="M15" s="127" t="s">
        <v>1297</v>
      </c>
      <c r="N15" s="127" t="s">
        <v>1296</v>
      </c>
      <c r="O15" s="509" t="s">
        <v>1590</v>
      </c>
      <c r="P15" s="510"/>
      <c r="Q15" s="472"/>
    </row>
    <row r="16" spans="4:33" s="18" customFormat="1" ht="30" customHeight="1">
      <c r="D16" s="399" t="s">
        <v>77</v>
      </c>
      <c r="E16" s="67">
        <v>340.3</v>
      </c>
      <c r="F16" s="67" t="s">
        <v>77</v>
      </c>
      <c r="G16" s="67">
        <v>12.3</v>
      </c>
      <c r="H16" s="67" t="s">
        <v>77</v>
      </c>
      <c r="I16" s="67" t="s">
        <v>77</v>
      </c>
      <c r="J16" s="67">
        <v>480.8</v>
      </c>
      <c r="K16" s="65">
        <v>493.1</v>
      </c>
      <c r="L16" s="65">
        <v>833.4</v>
      </c>
      <c r="M16" s="67" t="s">
        <v>77</v>
      </c>
      <c r="N16" s="67" t="s">
        <v>77</v>
      </c>
      <c r="O16" s="511">
        <v>542</v>
      </c>
      <c r="P16" s="512"/>
      <c r="Q16" s="513">
        <v>1964</v>
      </c>
    </row>
    <row r="17" spans="4:17" s="18" customFormat="1" ht="30" customHeight="1">
      <c r="D17" s="421" t="s">
        <v>77</v>
      </c>
      <c r="E17" s="71">
        <v>408.2</v>
      </c>
      <c r="F17" s="422" t="s">
        <v>77</v>
      </c>
      <c r="G17" s="71">
        <v>12.7</v>
      </c>
      <c r="H17" s="422" t="s">
        <v>77</v>
      </c>
      <c r="I17" s="422" t="s">
        <v>77</v>
      </c>
      <c r="J17" s="71">
        <v>508.9</v>
      </c>
      <c r="K17" s="56">
        <v>521.6</v>
      </c>
      <c r="L17" s="56">
        <v>929.8</v>
      </c>
      <c r="M17" s="422" t="s">
        <v>77</v>
      </c>
      <c r="N17" s="422" t="s">
        <v>77</v>
      </c>
      <c r="O17" s="514">
        <v>579</v>
      </c>
      <c r="P17" s="423"/>
      <c r="Q17" s="474">
        <v>1965</v>
      </c>
    </row>
    <row r="18" spans="4:17" s="18" customFormat="1" ht="30" customHeight="1">
      <c r="D18" s="399" t="s">
        <v>77</v>
      </c>
      <c r="E18" s="401">
        <v>590.29999999999995</v>
      </c>
      <c r="F18" s="67" t="s">
        <v>77</v>
      </c>
      <c r="G18" s="401">
        <v>20.2</v>
      </c>
      <c r="H18" s="67" t="s">
        <v>77</v>
      </c>
      <c r="I18" s="67" t="s">
        <v>77</v>
      </c>
      <c r="J18" s="401">
        <v>637</v>
      </c>
      <c r="K18" s="64">
        <v>657.2</v>
      </c>
      <c r="L18" s="64">
        <v>1247.5</v>
      </c>
      <c r="M18" s="67" t="s">
        <v>77</v>
      </c>
      <c r="N18" s="67" t="s">
        <v>77</v>
      </c>
      <c r="O18" s="515">
        <v>666</v>
      </c>
      <c r="P18" s="420"/>
      <c r="Q18" s="482">
        <v>1966</v>
      </c>
    </row>
    <row r="19" spans="4:17" s="18" customFormat="1" ht="30" customHeight="1">
      <c r="D19" s="421" t="s">
        <v>77</v>
      </c>
      <c r="E19" s="71">
        <v>353.8</v>
      </c>
      <c r="F19" s="71">
        <v>28.7</v>
      </c>
      <c r="G19" s="71">
        <v>1.6</v>
      </c>
      <c r="H19" s="422" t="s">
        <v>77</v>
      </c>
      <c r="I19" s="422" t="s">
        <v>77</v>
      </c>
      <c r="J19" s="71">
        <v>620.6</v>
      </c>
      <c r="K19" s="72">
        <v>650.9</v>
      </c>
      <c r="L19" s="72">
        <v>1004.7</v>
      </c>
      <c r="M19" s="422" t="s">
        <v>77</v>
      </c>
      <c r="N19" s="422" t="s">
        <v>77</v>
      </c>
      <c r="O19" s="514">
        <v>452</v>
      </c>
      <c r="P19" s="423"/>
      <c r="Q19" s="474">
        <v>1967</v>
      </c>
    </row>
    <row r="20" spans="4:17" s="18" customFormat="1" ht="30" customHeight="1">
      <c r="D20" s="399" t="s">
        <v>77</v>
      </c>
      <c r="E20" s="67">
        <v>161.4</v>
      </c>
      <c r="F20" s="67">
        <v>77.8</v>
      </c>
      <c r="G20" s="67">
        <v>5.3</v>
      </c>
      <c r="H20" s="67" t="s">
        <v>77</v>
      </c>
      <c r="I20" s="67" t="s">
        <v>77</v>
      </c>
      <c r="J20" s="67">
        <v>611.6</v>
      </c>
      <c r="K20" s="65">
        <v>694.7</v>
      </c>
      <c r="L20" s="65">
        <v>856.1</v>
      </c>
      <c r="M20" s="67" t="s">
        <v>77</v>
      </c>
      <c r="N20" s="67" t="s">
        <v>77</v>
      </c>
      <c r="O20" s="511">
        <v>275</v>
      </c>
      <c r="P20" s="512"/>
      <c r="Q20" s="513">
        <v>1968</v>
      </c>
    </row>
    <row r="21" spans="4:17" s="18" customFormat="1" ht="30" customHeight="1">
      <c r="D21" s="421" t="s">
        <v>77</v>
      </c>
      <c r="E21" s="71">
        <v>205</v>
      </c>
      <c r="F21" s="71">
        <v>61.9</v>
      </c>
      <c r="G21" s="71">
        <v>0.7</v>
      </c>
      <c r="H21" s="422" t="s">
        <v>77</v>
      </c>
      <c r="I21" s="422" t="s">
        <v>77</v>
      </c>
      <c r="J21" s="71">
        <v>475.9</v>
      </c>
      <c r="K21" s="56">
        <v>538.5</v>
      </c>
      <c r="L21" s="56">
        <v>743.5</v>
      </c>
      <c r="M21" s="422" t="s">
        <v>77</v>
      </c>
      <c r="N21" s="422" t="s">
        <v>77</v>
      </c>
      <c r="O21" s="514">
        <v>269</v>
      </c>
      <c r="P21" s="423"/>
      <c r="Q21" s="474">
        <v>1969</v>
      </c>
    </row>
    <row r="22" spans="4:17" s="18" customFormat="1" ht="30" customHeight="1">
      <c r="D22" s="399" t="s">
        <v>77</v>
      </c>
      <c r="E22" s="401">
        <v>195.6</v>
      </c>
      <c r="F22" s="401">
        <v>27.2</v>
      </c>
      <c r="G22" s="401">
        <v>1.6</v>
      </c>
      <c r="H22" s="67" t="s">
        <v>77</v>
      </c>
      <c r="I22" s="67" t="s">
        <v>77</v>
      </c>
      <c r="J22" s="401">
        <v>157.5</v>
      </c>
      <c r="K22" s="64">
        <v>186.3</v>
      </c>
      <c r="L22" s="64">
        <v>381.9</v>
      </c>
      <c r="M22" s="67" t="s">
        <v>77</v>
      </c>
      <c r="N22" s="67" t="s">
        <v>77</v>
      </c>
      <c r="O22" s="515">
        <v>220</v>
      </c>
      <c r="P22" s="420"/>
      <c r="Q22" s="482">
        <v>1970</v>
      </c>
    </row>
    <row r="23" spans="4:17" s="18" customFormat="1" ht="30" customHeight="1">
      <c r="D23" s="421" t="s">
        <v>77</v>
      </c>
      <c r="E23" s="71">
        <v>277.89999999999998</v>
      </c>
      <c r="F23" s="71">
        <v>58.1</v>
      </c>
      <c r="G23" s="71">
        <v>2.9</v>
      </c>
      <c r="H23" s="422" t="s">
        <v>77</v>
      </c>
      <c r="I23" s="422" t="s">
        <v>77</v>
      </c>
      <c r="J23" s="71">
        <v>326.2</v>
      </c>
      <c r="K23" s="72">
        <v>387.2</v>
      </c>
      <c r="L23" s="72">
        <v>665.1</v>
      </c>
      <c r="M23" s="422" t="s">
        <v>77</v>
      </c>
      <c r="N23" s="422" t="s">
        <v>77</v>
      </c>
      <c r="O23" s="514">
        <v>254</v>
      </c>
      <c r="P23" s="423"/>
      <c r="Q23" s="474">
        <v>1971</v>
      </c>
    </row>
    <row r="24" spans="4:17" s="18" customFormat="1" ht="30" customHeight="1">
      <c r="D24" s="399" t="s">
        <v>77</v>
      </c>
      <c r="E24" s="67">
        <v>518.6</v>
      </c>
      <c r="F24" s="67">
        <v>24.7</v>
      </c>
      <c r="G24" s="67">
        <v>0.2</v>
      </c>
      <c r="H24" s="67" t="s">
        <v>77</v>
      </c>
      <c r="I24" s="67" t="s">
        <v>77</v>
      </c>
      <c r="J24" s="67">
        <v>679.9</v>
      </c>
      <c r="K24" s="65">
        <v>704.8</v>
      </c>
      <c r="L24" s="65">
        <v>1223.4000000000001</v>
      </c>
      <c r="M24" s="67" t="s">
        <v>77</v>
      </c>
      <c r="N24" s="67" t="s">
        <v>77</v>
      </c>
      <c r="O24" s="511">
        <v>327</v>
      </c>
      <c r="P24" s="512"/>
      <c r="Q24" s="513">
        <v>1972</v>
      </c>
    </row>
    <row r="25" spans="4:17" s="18" customFormat="1" ht="30" customHeight="1">
      <c r="D25" s="421" t="s">
        <v>77</v>
      </c>
      <c r="E25" s="71">
        <v>433.8</v>
      </c>
      <c r="F25" s="71">
        <v>25.6</v>
      </c>
      <c r="G25" s="71">
        <v>7.1</v>
      </c>
      <c r="H25" s="422" t="s">
        <v>77</v>
      </c>
      <c r="I25" s="422" t="s">
        <v>77</v>
      </c>
      <c r="J25" s="71">
        <v>778.6</v>
      </c>
      <c r="K25" s="56">
        <v>811.3</v>
      </c>
      <c r="L25" s="56">
        <v>1245.0999999999999</v>
      </c>
      <c r="M25" s="422" t="s">
        <v>77</v>
      </c>
      <c r="N25" s="422" t="s">
        <v>77</v>
      </c>
      <c r="O25" s="514">
        <v>304</v>
      </c>
      <c r="P25" s="423"/>
      <c r="Q25" s="474">
        <v>1973</v>
      </c>
    </row>
    <row r="26" spans="4:17" s="18" customFormat="1" ht="30" customHeight="1">
      <c r="D26" s="399" t="s">
        <v>77</v>
      </c>
      <c r="E26" s="401">
        <v>367.4</v>
      </c>
      <c r="F26" s="401">
        <v>48.3</v>
      </c>
      <c r="G26" s="401">
        <v>4.7</v>
      </c>
      <c r="H26" s="67" t="s">
        <v>77</v>
      </c>
      <c r="I26" s="67" t="s">
        <v>77</v>
      </c>
      <c r="J26" s="401">
        <v>1062.9000000000001</v>
      </c>
      <c r="K26" s="64">
        <v>1115.9000000000001</v>
      </c>
      <c r="L26" s="64">
        <v>1483.3</v>
      </c>
      <c r="M26" s="67" t="s">
        <v>77</v>
      </c>
      <c r="N26" s="67" t="s">
        <v>77</v>
      </c>
      <c r="O26" s="515">
        <v>299</v>
      </c>
      <c r="P26" s="420"/>
      <c r="Q26" s="482">
        <v>1974</v>
      </c>
    </row>
    <row r="27" spans="4:17" s="18" customFormat="1" ht="30" customHeight="1">
      <c r="D27" s="421" t="s">
        <v>77</v>
      </c>
      <c r="E27" s="71">
        <v>682.6</v>
      </c>
      <c r="F27" s="71">
        <v>13.3</v>
      </c>
      <c r="G27" s="71">
        <v>1.1000000000000001</v>
      </c>
      <c r="H27" s="422" t="s">
        <v>77</v>
      </c>
      <c r="I27" s="422" t="s">
        <v>77</v>
      </c>
      <c r="J27" s="71">
        <v>856.3</v>
      </c>
      <c r="K27" s="72">
        <v>870.7</v>
      </c>
      <c r="L27" s="72">
        <v>1553.3</v>
      </c>
      <c r="M27" s="422" t="s">
        <v>77</v>
      </c>
      <c r="N27" s="422" t="s">
        <v>77</v>
      </c>
      <c r="O27" s="514">
        <v>516</v>
      </c>
      <c r="P27" s="423"/>
      <c r="Q27" s="474">
        <v>1975</v>
      </c>
    </row>
    <row r="28" spans="4:17" s="18" customFormat="1" ht="30" customHeight="1">
      <c r="D28" s="399" t="s">
        <v>77</v>
      </c>
      <c r="E28" s="67">
        <v>1368.6</v>
      </c>
      <c r="F28" s="67">
        <v>0.4</v>
      </c>
      <c r="G28" s="67">
        <v>4.5999999999999996</v>
      </c>
      <c r="H28" s="67" t="s">
        <v>77</v>
      </c>
      <c r="I28" s="67" t="s">
        <v>77</v>
      </c>
      <c r="J28" s="67">
        <v>1626.9</v>
      </c>
      <c r="K28" s="65">
        <v>1631.9</v>
      </c>
      <c r="L28" s="65">
        <v>3000.5</v>
      </c>
      <c r="M28" s="67" t="s">
        <v>77</v>
      </c>
      <c r="N28" s="67" t="s">
        <v>77</v>
      </c>
      <c r="O28" s="511">
        <v>1064</v>
      </c>
      <c r="P28" s="512"/>
      <c r="Q28" s="513">
        <v>1976</v>
      </c>
    </row>
    <row r="29" spans="4:17" s="18" customFormat="1" ht="30" customHeight="1">
      <c r="D29" s="159">
        <v>101.1</v>
      </c>
      <c r="E29" s="71">
        <v>1288.3</v>
      </c>
      <c r="F29" s="71">
        <v>14.2</v>
      </c>
      <c r="G29" s="71">
        <v>2.7</v>
      </c>
      <c r="H29" s="422" t="s">
        <v>77</v>
      </c>
      <c r="I29" s="422" t="s">
        <v>77</v>
      </c>
      <c r="J29" s="71">
        <v>1705.4</v>
      </c>
      <c r="K29" s="56">
        <v>1722.3</v>
      </c>
      <c r="L29" s="56">
        <f t="shared" ref="L29:L50" si="0">K29+E29+D29</f>
        <v>3111.7</v>
      </c>
      <c r="M29" s="422" t="s">
        <v>77</v>
      </c>
      <c r="N29" s="422" t="s">
        <v>77</v>
      </c>
      <c r="O29" s="514">
        <v>944</v>
      </c>
      <c r="P29" s="423"/>
      <c r="Q29" s="474">
        <v>1977</v>
      </c>
    </row>
    <row r="30" spans="4:17" s="18" customFormat="1" ht="30" customHeight="1">
      <c r="D30" s="400">
        <v>88.2</v>
      </c>
      <c r="E30" s="401">
        <v>1462.7</v>
      </c>
      <c r="F30" s="401">
        <v>9.8000000000000007</v>
      </c>
      <c r="G30" s="401">
        <v>3.4</v>
      </c>
      <c r="H30" s="67" t="s">
        <v>77</v>
      </c>
      <c r="I30" s="67" t="s">
        <v>77</v>
      </c>
      <c r="J30" s="401">
        <v>2095</v>
      </c>
      <c r="K30" s="64">
        <v>2108.1999999999998</v>
      </c>
      <c r="L30" s="64">
        <f t="shared" si="0"/>
        <v>3659.0999999999995</v>
      </c>
      <c r="M30" s="67" t="s">
        <v>77</v>
      </c>
      <c r="N30" s="67" t="s">
        <v>77</v>
      </c>
      <c r="O30" s="515">
        <v>1197</v>
      </c>
      <c r="P30" s="420"/>
      <c r="Q30" s="482">
        <v>1978</v>
      </c>
    </row>
    <row r="31" spans="4:17" s="18" customFormat="1" ht="30" customHeight="1">
      <c r="D31" s="159">
        <v>161.1</v>
      </c>
      <c r="E31" s="71">
        <v>2140.1999999999998</v>
      </c>
      <c r="F31" s="71">
        <v>51.6</v>
      </c>
      <c r="G31" s="71">
        <v>6.5</v>
      </c>
      <c r="H31" s="422" t="s">
        <v>77</v>
      </c>
      <c r="I31" s="422" t="s">
        <v>77</v>
      </c>
      <c r="J31" s="71">
        <v>2684.1</v>
      </c>
      <c r="K31" s="72">
        <v>2742.2</v>
      </c>
      <c r="L31" s="72">
        <v>5010.8999999999996</v>
      </c>
      <c r="M31" s="422" t="s">
        <v>77</v>
      </c>
      <c r="N31" s="422" t="s">
        <v>77</v>
      </c>
      <c r="O31" s="514">
        <v>1238</v>
      </c>
      <c r="P31" s="423"/>
      <c r="Q31" s="474">
        <v>1979</v>
      </c>
    </row>
    <row r="32" spans="4:17" s="18" customFormat="1" ht="30" customHeight="1">
      <c r="D32" s="399">
        <v>941.4</v>
      </c>
      <c r="E32" s="67">
        <v>2082.6999999999998</v>
      </c>
      <c r="F32" s="67">
        <v>51.6</v>
      </c>
      <c r="G32" s="67">
        <v>4.3</v>
      </c>
      <c r="H32" s="67" t="s">
        <v>77</v>
      </c>
      <c r="I32" s="67" t="s">
        <v>77</v>
      </c>
      <c r="J32" s="67">
        <v>3562.1</v>
      </c>
      <c r="K32" s="65">
        <v>3618</v>
      </c>
      <c r="L32" s="65">
        <f t="shared" si="0"/>
        <v>6642.0999999999995</v>
      </c>
      <c r="M32" s="516">
        <v>17309</v>
      </c>
      <c r="N32" s="516">
        <v>30151</v>
      </c>
      <c r="O32" s="511">
        <v>1466</v>
      </c>
      <c r="P32" s="512"/>
      <c r="Q32" s="513">
        <v>1980</v>
      </c>
    </row>
    <row r="33" spans="4:17" s="18" customFormat="1" ht="30" customHeight="1">
      <c r="D33" s="159">
        <v>3030.7</v>
      </c>
      <c r="E33" s="71">
        <v>2773.9</v>
      </c>
      <c r="F33" s="71">
        <v>103.7</v>
      </c>
      <c r="G33" s="71">
        <v>28.4</v>
      </c>
      <c r="H33" s="422" t="s">
        <v>77</v>
      </c>
      <c r="I33" s="422" t="s">
        <v>77</v>
      </c>
      <c r="J33" s="71">
        <v>3489.6</v>
      </c>
      <c r="K33" s="56">
        <v>3621.7</v>
      </c>
      <c r="L33" s="56">
        <f t="shared" si="0"/>
        <v>9426.2999999999993</v>
      </c>
      <c r="M33" s="422">
        <v>12331</v>
      </c>
      <c r="N33" s="422">
        <v>74668</v>
      </c>
      <c r="O33" s="514">
        <v>1744</v>
      </c>
      <c r="P33" s="423"/>
      <c r="Q33" s="474">
        <v>1981</v>
      </c>
    </row>
    <row r="34" spans="4:17" s="18" customFormat="1" ht="30" customHeight="1">
      <c r="D34" s="400">
        <v>4166.3</v>
      </c>
      <c r="E34" s="401">
        <v>3671</v>
      </c>
      <c r="F34" s="401">
        <v>145.1</v>
      </c>
      <c r="G34" s="401">
        <v>46.1</v>
      </c>
      <c r="H34" s="67" t="s">
        <v>77</v>
      </c>
      <c r="I34" s="401">
        <v>82</v>
      </c>
      <c r="J34" s="401">
        <v>3562.3</v>
      </c>
      <c r="K34" s="64">
        <v>3835.5</v>
      </c>
      <c r="L34" s="64">
        <f t="shared" si="0"/>
        <v>11672.8</v>
      </c>
      <c r="M34" s="424">
        <v>99262</v>
      </c>
      <c r="N34" s="424">
        <v>273551</v>
      </c>
      <c r="O34" s="515">
        <v>2599</v>
      </c>
      <c r="P34" s="420"/>
      <c r="Q34" s="482">
        <v>1982</v>
      </c>
    </row>
    <row r="35" spans="4:17" s="18" customFormat="1" ht="30" customHeight="1">
      <c r="D35" s="159">
        <v>2936.9</v>
      </c>
      <c r="E35" s="71">
        <v>3161.9</v>
      </c>
      <c r="F35" s="71">
        <v>795.3</v>
      </c>
      <c r="G35" s="71">
        <v>162.1</v>
      </c>
      <c r="H35" s="422" t="s">
        <v>77</v>
      </c>
      <c r="I35" s="71">
        <v>431.5</v>
      </c>
      <c r="J35" s="71">
        <v>3670.2</v>
      </c>
      <c r="K35" s="72">
        <v>5059.1000000000004</v>
      </c>
      <c r="L35" s="72">
        <f t="shared" si="0"/>
        <v>11157.9</v>
      </c>
      <c r="M35" s="422">
        <v>262020</v>
      </c>
      <c r="N35" s="422">
        <v>261761</v>
      </c>
      <c r="O35" s="514">
        <v>2454</v>
      </c>
      <c r="P35" s="423"/>
      <c r="Q35" s="474">
        <v>1983</v>
      </c>
    </row>
    <row r="36" spans="4:17" s="18" customFormat="1" ht="30" customHeight="1">
      <c r="D36" s="399">
        <v>3220.2</v>
      </c>
      <c r="E36" s="67">
        <v>3228.1</v>
      </c>
      <c r="F36" s="67">
        <v>1451.2</v>
      </c>
      <c r="G36" s="67">
        <v>59.1</v>
      </c>
      <c r="H36" s="67">
        <v>294.89999999999998</v>
      </c>
      <c r="I36" s="67">
        <v>637.9</v>
      </c>
      <c r="J36" s="67">
        <v>4715</v>
      </c>
      <c r="K36" s="65">
        <f t="shared" ref="K36:K63" si="1">J36+I36+H36+G36+F36</f>
        <v>7158.0999999999995</v>
      </c>
      <c r="L36" s="65">
        <f t="shared" si="0"/>
        <v>13606.399999999998</v>
      </c>
      <c r="M36" s="516">
        <v>176550</v>
      </c>
      <c r="N36" s="516">
        <v>344648</v>
      </c>
      <c r="O36" s="511">
        <v>2329</v>
      </c>
      <c r="P36" s="512"/>
      <c r="Q36" s="513">
        <v>1984</v>
      </c>
    </row>
    <row r="37" spans="4:17" s="18" customFormat="1" ht="30" customHeight="1">
      <c r="D37" s="159">
        <v>4007.7</v>
      </c>
      <c r="E37" s="71">
        <v>2362.4</v>
      </c>
      <c r="F37" s="71">
        <v>2101</v>
      </c>
      <c r="G37" s="71">
        <v>49.4</v>
      </c>
      <c r="H37" s="71">
        <v>898.2</v>
      </c>
      <c r="I37" s="71">
        <v>519.5</v>
      </c>
      <c r="J37" s="71">
        <v>4609.5</v>
      </c>
      <c r="K37" s="56">
        <f t="shared" si="1"/>
        <v>8177.5999999999995</v>
      </c>
      <c r="L37" s="56">
        <f t="shared" si="0"/>
        <v>14547.7</v>
      </c>
      <c r="M37" s="422">
        <v>213356</v>
      </c>
      <c r="N37" s="422">
        <v>444661</v>
      </c>
      <c r="O37" s="514">
        <v>2671</v>
      </c>
      <c r="P37" s="423"/>
      <c r="Q37" s="474">
        <v>1985</v>
      </c>
    </row>
    <row r="38" spans="4:17" s="18" customFormat="1" ht="30" customHeight="1">
      <c r="D38" s="400">
        <v>4462.5</v>
      </c>
      <c r="E38" s="401">
        <v>2690.7</v>
      </c>
      <c r="F38" s="401">
        <v>2785</v>
      </c>
      <c r="G38" s="401">
        <v>36.299999999999997</v>
      </c>
      <c r="H38" s="401">
        <v>1125.2</v>
      </c>
      <c r="I38" s="401">
        <v>552.29999999999995</v>
      </c>
      <c r="J38" s="401">
        <v>5197.7</v>
      </c>
      <c r="K38" s="64">
        <f t="shared" si="1"/>
        <v>9696.5</v>
      </c>
      <c r="L38" s="64">
        <f t="shared" si="0"/>
        <v>16849.7</v>
      </c>
      <c r="M38" s="424">
        <v>404050</v>
      </c>
      <c r="N38" s="424">
        <v>435605</v>
      </c>
      <c r="O38" s="515">
        <v>2677</v>
      </c>
      <c r="P38" s="420"/>
      <c r="Q38" s="482">
        <v>1986</v>
      </c>
    </row>
    <row r="39" spans="4:17" s="18" customFormat="1" ht="30" customHeight="1">
      <c r="D39" s="159">
        <v>5941.4</v>
      </c>
      <c r="E39" s="71">
        <v>2802.4</v>
      </c>
      <c r="F39" s="71">
        <v>3899.3</v>
      </c>
      <c r="G39" s="71">
        <v>48.6</v>
      </c>
      <c r="H39" s="71">
        <v>1204.9000000000001</v>
      </c>
      <c r="I39" s="71">
        <v>575.4</v>
      </c>
      <c r="J39" s="71">
        <v>5543.4</v>
      </c>
      <c r="K39" s="72">
        <f t="shared" si="1"/>
        <v>11271.599999999999</v>
      </c>
      <c r="L39" s="72">
        <f t="shared" si="0"/>
        <v>20015.399999999998</v>
      </c>
      <c r="M39" s="422">
        <v>211224</v>
      </c>
      <c r="N39" s="422">
        <v>437451</v>
      </c>
      <c r="O39" s="514">
        <v>2555</v>
      </c>
      <c r="P39" s="423"/>
      <c r="Q39" s="474">
        <v>1987</v>
      </c>
    </row>
    <row r="40" spans="4:17" ht="30" customHeight="1">
      <c r="D40" s="399">
        <v>6930.2</v>
      </c>
      <c r="E40" s="67">
        <v>2213</v>
      </c>
      <c r="F40" s="67">
        <v>3237.5</v>
      </c>
      <c r="G40" s="67">
        <v>18.600000000000001</v>
      </c>
      <c r="H40" s="67">
        <v>1285.4000000000001</v>
      </c>
      <c r="I40" s="67">
        <v>600.1</v>
      </c>
      <c r="J40" s="67">
        <v>5811.4</v>
      </c>
      <c r="K40" s="65">
        <f t="shared" si="1"/>
        <v>10953</v>
      </c>
      <c r="L40" s="65">
        <f t="shared" si="0"/>
        <v>20096.2</v>
      </c>
      <c r="M40" s="516">
        <v>239624</v>
      </c>
      <c r="N40" s="516">
        <v>583828</v>
      </c>
      <c r="O40" s="511">
        <v>2583</v>
      </c>
      <c r="P40" s="512"/>
      <c r="Q40" s="513">
        <v>1988</v>
      </c>
    </row>
    <row r="41" spans="4:17" ht="30" customHeight="1">
      <c r="D41" s="159">
        <v>6162.9</v>
      </c>
      <c r="E41" s="71">
        <v>2531.8000000000002</v>
      </c>
      <c r="F41" s="71">
        <v>1732</v>
      </c>
      <c r="G41" s="71">
        <v>35.299999999999997</v>
      </c>
      <c r="H41" s="71">
        <v>1235.3</v>
      </c>
      <c r="I41" s="71">
        <v>572.70000000000005</v>
      </c>
      <c r="J41" s="71">
        <v>6410.6</v>
      </c>
      <c r="K41" s="56">
        <f t="shared" si="1"/>
        <v>9985.9</v>
      </c>
      <c r="L41" s="56">
        <f t="shared" si="0"/>
        <v>18680.599999999999</v>
      </c>
      <c r="M41" s="422">
        <v>321212</v>
      </c>
      <c r="N41" s="422">
        <v>448689</v>
      </c>
      <c r="O41" s="514">
        <v>2446</v>
      </c>
      <c r="P41" s="423"/>
      <c r="Q41" s="474">
        <v>1989</v>
      </c>
    </row>
    <row r="42" spans="4:17" ht="30" customHeight="1">
      <c r="D42" s="400">
        <v>3230.4</v>
      </c>
      <c r="E42" s="401">
        <v>2934.3</v>
      </c>
      <c r="F42" s="401">
        <v>1865.4</v>
      </c>
      <c r="G42" s="401">
        <v>83.1</v>
      </c>
      <c r="H42" s="401">
        <v>1393.8</v>
      </c>
      <c r="I42" s="401">
        <v>668.7</v>
      </c>
      <c r="J42" s="401">
        <v>4874.2</v>
      </c>
      <c r="K42" s="64">
        <f t="shared" si="1"/>
        <v>8885.2000000000007</v>
      </c>
      <c r="L42" s="64">
        <f t="shared" si="0"/>
        <v>15049.9</v>
      </c>
      <c r="M42" s="424">
        <v>550005</v>
      </c>
      <c r="N42" s="424">
        <v>310380</v>
      </c>
      <c r="O42" s="515">
        <v>2222</v>
      </c>
      <c r="P42" s="420"/>
      <c r="Q42" s="482">
        <v>1990</v>
      </c>
    </row>
    <row r="43" spans="4:17" ht="30" customHeight="1">
      <c r="D43" s="159">
        <v>1524.8</v>
      </c>
      <c r="E43" s="71">
        <v>4023.2</v>
      </c>
      <c r="F43" s="71">
        <v>1424</v>
      </c>
      <c r="G43" s="71">
        <v>79.2</v>
      </c>
      <c r="H43" s="71">
        <v>1265.3</v>
      </c>
      <c r="I43" s="71">
        <v>663.3</v>
      </c>
      <c r="J43" s="71">
        <v>4245.7</v>
      </c>
      <c r="K43" s="72">
        <f t="shared" si="1"/>
        <v>7677.5</v>
      </c>
      <c r="L43" s="72">
        <f t="shared" si="0"/>
        <v>13225.5</v>
      </c>
      <c r="M43" s="422">
        <v>407367</v>
      </c>
      <c r="N43" s="422">
        <v>460452</v>
      </c>
      <c r="O43" s="514">
        <v>2075</v>
      </c>
      <c r="P43" s="423"/>
      <c r="Q43" s="474">
        <v>1991</v>
      </c>
    </row>
    <row r="44" spans="4:17" ht="30" customHeight="1">
      <c r="D44" s="399">
        <v>2093.5</v>
      </c>
      <c r="E44" s="67">
        <v>3928.2</v>
      </c>
      <c r="F44" s="67">
        <v>1184.7</v>
      </c>
      <c r="G44" s="67">
        <v>128.30000000000001</v>
      </c>
      <c r="H44" s="67">
        <v>1234.5999999999999</v>
      </c>
      <c r="I44" s="67">
        <v>549.1</v>
      </c>
      <c r="J44" s="67">
        <v>4263.8999999999996</v>
      </c>
      <c r="K44" s="65">
        <f t="shared" si="1"/>
        <v>7360.6</v>
      </c>
      <c r="L44" s="65">
        <f t="shared" si="0"/>
        <v>13382.3</v>
      </c>
      <c r="M44" s="516">
        <v>561279</v>
      </c>
      <c r="N44" s="516">
        <v>650356</v>
      </c>
      <c r="O44" s="511">
        <v>2430</v>
      </c>
      <c r="P44" s="512"/>
      <c r="Q44" s="513">
        <v>1992</v>
      </c>
    </row>
    <row r="45" spans="4:17" ht="30" customHeight="1">
      <c r="D45" s="159">
        <v>1275.5</v>
      </c>
      <c r="E45" s="71">
        <v>3977.2</v>
      </c>
      <c r="F45" s="71">
        <v>826.1</v>
      </c>
      <c r="G45" s="71">
        <v>125.9</v>
      </c>
      <c r="H45" s="71">
        <v>1452.1</v>
      </c>
      <c r="I45" s="71">
        <v>412.2</v>
      </c>
      <c r="J45" s="71">
        <v>3565</v>
      </c>
      <c r="K45" s="56">
        <f t="shared" si="1"/>
        <v>6381.2999999999993</v>
      </c>
      <c r="L45" s="56">
        <f t="shared" si="0"/>
        <v>11634</v>
      </c>
      <c r="M45" s="422">
        <v>615394</v>
      </c>
      <c r="N45" s="422">
        <v>644526</v>
      </c>
      <c r="O45" s="514">
        <v>2490</v>
      </c>
      <c r="P45" s="423"/>
      <c r="Q45" s="474">
        <v>1993</v>
      </c>
    </row>
    <row r="46" spans="4:17" ht="30" customHeight="1">
      <c r="D46" s="400">
        <v>387.7</v>
      </c>
      <c r="E46" s="401">
        <v>3536.3</v>
      </c>
      <c r="F46" s="401">
        <v>666.6</v>
      </c>
      <c r="G46" s="401">
        <v>138.4</v>
      </c>
      <c r="H46" s="401">
        <v>1500.7</v>
      </c>
      <c r="I46" s="401">
        <v>517.70000000000005</v>
      </c>
      <c r="J46" s="401">
        <v>3824.9</v>
      </c>
      <c r="K46" s="64">
        <f t="shared" si="1"/>
        <v>6648.3</v>
      </c>
      <c r="L46" s="64">
        <f t="shared" si="0"/>
        <v>10572.300000000001</v>
      </c>
      <c r="M46" s="424">
        <v>696046</v>
      </c>
      <c r="N46" s="424">
        <v>668038</v>
      </c>
      <c r="O46" s="515">
        <v>2485</v>
      </c>
      <c r="P46" s="420"/>
      <c r="Q46" s="482">
        <v>1994</v>
      </c>
    </row>
    <row r="47" spans="4:17" ht="30" customHeight="1">
      <c r="D47" s="159">
        <v>670.4</v>
      </c>
      <c r="E47" s="71">
        <v>4406.6000000000004</v>
      </c>
      <c r="F47" s="71">
        <v>314</v>
      </c>
      <c r="G47" s="71">
        <v>127.6</v>
      </c>
      <c r="H47" s="71">
        <v>1721.9</v>
      </c>
      <c r="I47" s="71">
        <v>637.1</v>
      </c>
      <c r="J47" s="71">
        <v>3878.6</v>
      </c>
      <c r="K47" s="72">
        <f t="shared" si="1"/>
        <v>6679.2000000000007</v>
      </c>
      <c r="L47" s="72">
        <f t="shared" si="0"/>
        <v>11756.2</v>
      </c>
      <c r="M47" s="422">
        <v>595691</v>
      </c>
      <c r="N47" s="422">
        <v>579771</v>
      </c>
      <c r="O47" s="514">
        <v>2382</v>
      </c>
      <c r="P47" s="423"/>
      <c r="Q47" s="474">
        <v>1995</v>
      </c>
    </row>
    <row r="48" spans="4:17" ht="30" customHeight="1">
      <c r="D48" s="399">
        <v>506.1</v>
      </c>
      <c r="E48" s="67">
        <v>4106.3</v>
      </c>
      <c r="F48" s="67">
        <f>404.4+119</f>
        <v>523.4</v>
      </c>
      <c r="G48" s="67">
        <v>151.1</v>
      </c>
      <c r="H48" s="67">
        <v>1697.7</v>
      </c>
      <c r="I48" s="67">
        <v>673.7</v>
      </c>
      <c r="J48" s="67">
        <v>4350.5</v>
      </c>
      <c r="K48" s="65">
        <f t="shared" si="1"/>
        <v>7396.4</v>
      </c>
      <c r="L48" s="65">
        <f t="shared" si="0"/>
        <v>12008.800000000001</v>
      </c>
      <c r="M48" s="516">
        <v>566967</v>
      </c>
      <c r="N48" s="516">
        <v>540376</v>
      </c>
      <c r="O48" s="511">
        <v>2735</v>
      </c>
      <c r="P48" s="512"/>
      <c r="Q48" s="513">
        <v>1996</v>
      </c>
    </row>
    <row r="49" spans="1:195" ht="30" customHeight="1">
      <c r="D49" s="159">
        <v>887.7</v>
      </c>
      <c r="E49" s="71">
        <v>3890.6</v>
      </c>
      <c r="F49" s="71">
        <f>645.4+168.9</f>
        <v>814.3</v>
      </c>
      <c r="G49" s="71">
        <v>182.3</v>
      </c>
      <c r="H49" s="71">
        <v>1447.3</v>
      </c>
      <c r="I49" s="71">
        <v>723.7</v>
      </c>
      <c r="J49" s="71">
        <v>4367.2</v>
      </c>
      <c r="K49" s="56">
        <f t="shared" si="1"/>
        <v>7534.8</v>
      </c>
      <c r="L49" s="56">
        <f t="shared" si="0"/>
        <v>12313.1</v>
      </c>
      <c r="M49" s="422">
        <v>461889</v>
      </c>
      <c r="N49" s="422">
        <v>401676</v>
      </c>
      <c r="O49" s="514">
        <v>2997</v>
      </c>
      <c r="P49" s="423"/>
      <c r="Q49" s="474">
        <v>1997</v>
      </c>
    </row>
    <row r="50" spans="1:195" ht="30" customHeight="1">
      <c r="D50" s="400">
        <v>682.8</v>
      </c>
      <c r="E50" s="401">
        <v>4650.8999999999996</v>
      </c>
      <c r="F50" s="401">
        <f>722.2+80.4</f>
        <v>802.6</v>
      </c>
      <c r="G50" s="401">
        <v>202.5</v>
      </c>
      <c r="H50" s="401">
        <v>1508.2</v>
      </c>
      <c r="I50" s="401">
        <v>1068.5</v>
      </c>
      <c r="J50" s="401">
        <v>3728.5</v>
      </c>
      <c r="K50" s="64">
        <f t="shared" si="1"/>
        <v>7310.3</v>
      </c>
      <c r="L50" s="64">
        <f t="shared" si="0"/>
        <v>12644</v>
      </c>
      <c r="M50" s="424">
        <v>378627</v>
      </c>
      <c r="N50" s="424">
        <v>354608</v>
      </c>
      <c r="O50" s="515">
        <v>2608</v>
      </c>
      <c r="P50" s="420"/>
      <c r="Q50" s="482">
        <v>1998</v>
      </c>
    </row>
    <row r="51" spans="1:195" ht="30" customHeight="1">
      <c r="D51" s="159">
        <v>561.1</v>
      </c>
      <c r="E51" s="71">
        <v>4812.7</v>
      </c>
      <c r="F51" s="71">
        <f>730.5+94.2</f>
        <v>824.7</v>
      </c>
      <c r="G51" s="71">
        <v>203.2</v>
      </c>
      <c r="H51" s="71">
        <v>1653.6</v>
      </c>
      <c r="I51" s="71">
        <v>1165.5999999999999</v>
      </c>
      <c r="J51" s="71">
        <v>3632.8</v>
      </c>
      <c r="K51" s="72">
        <f t="shared" si="1"/>
        <v>7479.9</v>
      </c>
      <c r="L51" s="72">
        <v>12853.7</v>
      </c>
      <c r="M51" s="422">
        <v>359980</v>
      </c>
      <c r="N51" s="422">
        <v>345646</v>
      </c>
      <c r="O51" s="514">
        <v>2351</v>
      </c>
      <c r="P51" s="423"/>
      <c r="Q51" s="474">
        <v>1999</v>
      </c>
    </row>
    <row r="52" spans="1:195" ht="30" customHeight="1">
      <c r="D52" s="399">
        <v>427.7</v>
      </c>
      <c r="E52" s="67">
        <v>4934.8999999999996</v>
      </c>
      <c r="F52" s="67">
        <f>787+48.7</f>
        <v>835.7</v>
      </c>
      <c r="G52" s="67">
        <v>207.7</v>
      </c>
      <c r="H52" s="67">
        <v>1865.4</v>
      </c>
      <c r="I52" s="67">
        <v>1158.4000000000001</v>
      </c>
      <c r="J52" s="67">
        <v>3125.7</v>
      </c>
      <c r="K52" s="65">
        <f t="shared" si="1"/>
        <v>7192.9</v>
      </c>
      <c r="L52" s="65">
        <v>12552.5</v>
      </c>
      <c r="M52" s="516">
        <v>344866</v>
      </c>
      <c r="N52" s="516">
        <v>293676</v>
      </c>
      <c r="O52" s="511">
        <v>2505</v>
      </c>
      <c r="P52" s="512"/>
      <c r="Q52" s="513">
        <v>2000</v>
      </c>
    </row>
    <row r="53" spans="1:195" ht="30" customHeight="1">
      <c r="D53" s="159">
        <v>641.70000000000005</v>
      </c>
      <c r="E53" s="71">
        <v>4609.8999999999996</v>
      </c>
      <c r="F53" s="71">
        <f>1124.2+39.3</f>
        <v>1163.5</v>
      </c>
      <c r="G53" s="71">
        <v>232.3</v>
      </c>
      <c r="H53" s="71">
        <v>1857.4</v>
      </c>
      <c r="I53" s="71">
        <v>989.5</v>
      </c>
      <c r="J53" s="71">
        <v>3548.8</v>
      </c>
      <c r="K53" s="56">
        <f t="shared" si="1"/>
        <v>7791.5000000000009</v>
      </c>
      <c r="L53" s="56">
        <f t="shared" ref="L53:L61" si="2">K53+E53+D53</f>
        <v>13043.100000000002</v>
      </c>
      <c r="M53" s="422">
        <v>344278</v>
      </c>
      <c r="N53" s="422">
        <v>330065</v>
      </c>
      <c r="O53" s="514">
        <v>2673</v>
      </c>
      <c r="P53" s="423"/>
      <c r="Q53" s="474">
        <v>2001</v>
      </c>
    </row>
    <row r="54" spans="1:195" ht="30" customHeight="1">
      <c r="D54" s="400">
        <v>919.1</v>
      </c>
      <c r="E54" s="401">
        <v>4367.1000000000004</v>
      </c>
      <c r="F54" s="401">
        <f>1115.8+447.8</f>
        <v>1563.6</v>
      </c>
      <c r="G54" s="401">
        <v>258.3</v>
      </c>
      <c r="H54" s="401">
        <v>1882.4</v>
      </c>
      <c r="I54" s="401">
        <v>1174.3</v>
      </c>
      <c r="J54" s="401">
        <v>3994</v>
      </c>
      <c r="K54" s="64">
        <f t="shared" si="1"/>
        <v>8872.6</v>
      </c>
      <c r="L54" s="64">
        <f t="shared" si="2"/>
        <v>14158.800000000001</v>
      </c>
      <c r="M54" s="424">
        <v>339627</v>
      </c>
      <c r="N54" s="424">
        <v>307051</v>
      </c>
      <c r="O54" s="515">
        <v>2789</v>
      </c>
      <c r="P54" s="420"/>
      <c r="Q54" s="482">
        <v>2002</v>
      </c>
    </row>
    <row r="55" spans="1:195" ht="30" customHeight="1">
      <c r="D55" s="159">
        <v>976.4</v>
      </c>
      <c r="E55" s="71">
        <v>8630.7999999999993</v>
      </c>
      <c r="F55" s="71">
        <f>1098.8+291.6</f>
        <v>1390.4</v>
      </c>
      <c r="G55" s="71">
        <v>252</v>
      </c>
      <c r="H55" s="71">
        <v>1932.1</v>
      </c>
      <c r="I55" s="71">
        <v>993.8</v>
      </c>
      <c r="J55" s="71">
        <v>3671.6</v>
      </c>
      <c r="K55" s="72">
        <f t="shared" si="1"/>
        <v>8239.9</v>
      </c>
      <c r="L55" s="72">
        <f t="shared" si="2"/>
        <v>17847.099999999999</v>
      </c>
      <c r="M55" s="422">
        <v>358967</v>
      </c>
      <c r="N55" s="422">
        <v>318649</v>
      </c>
      <c r="O55" s="514">
        <v>2694</v>
      </c>
      <c r="P55" s="423"/>
      <c r="Q55" s="474">
        <v>2003</v>
      </c>
    </row>
    <row r="56" spans="1:195" s="17" customFormat="1" ht="30" customHeight="1">
      <c r="D56" s="400">
        <v>1112.5</v>
      </c>
      <c r="E56" s="401">
        <v>11152.2</v>
      </c>
      <c r="F56" s="401">
        <f>71.3+805.1</f>
        <v>876.4</v>
      </c>
      <c r="G56" s="401">
        <v>308.3</v>
      </c>
      <c r="H56" s="401">
        <v>1761</v>
      </c>
      <c r="I56" s="401">
        <v>1159.2</v>
      </c>
      <c r="J56" s="401">
        <v>4666</v>
      </c>
      <c r="K56" s="65">
        <f t="shared" si="1"/>
        <v>8770.9</v>
      </c>
      <c r="L56" s="65">
        <f t="shared" si="2"/>
        <v>21035.599999999999</v>
      </c>
      <c r="M56" s="424">
        <v>445239</v>
      </c>
      <c r="N56" s="424">
        <v>434295</v>
      </c>
      <c r="O56" s="515">
        <v>2888</v>
      </c>
      <c r="P56" s="420"/>
      <c r="Q56" s="482">
        <v>2004</v>
      </c>
      <c r="Z56" s="26"/>
    </row>
    <row r="57" spans="1:195" s="517" customFormat="1" ht="30" customHeight="1">
      <c r="A57" s="18"/>
      <c r="B57" s="18"/>
      <c r="C57" s="18"/>
      <c r="D57" s="159">
        <v>818.6</v>
      </c>
      <c r="E57" s="71">
        <v>11613.3</v>
      </c>
      <c r="F57" s="71">
        <f>119.4+906.2</f>
        <v>1025.6000000000001</v>
      </c>
      <c r="G57" s="71">
        <v>335.3</v>
      </c>
      <c r="H57" s="71">
        <v>1570.5</v>
      </c>
      <c r="I57" s="71">
        <v>1060.5999999999999</v>
      </c>
      <c r="J57" s="71">
        <v>4006.3</v>
      </c>
      <c r="K57" s="56">
        <f t="shared" si="1"/>
        <v>7998.3</v>
      </c>
      <c r="L57" s="56">
        <f t="shared" si="2"/>
        <v>20430.199999999997</v>
      </c>
      <c r="M57" s="422">
        <v>473950</v>
      </c>
      <c r="N57" s="422">
        <v>447772</v>
      </c>
      <c r="O57" s="514">
        <v>2933</v>
      </c>
      <c r="P57" s="423"/>
      <c r="Q57" s="474">
        <v>2005</v>
      </c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</row>
    <row r="58" spans="1:195" s="18" customFormat="1" ht="30" customHeight="1">
      <c r="D58" s="400">
        <v>654.70000000000005</v>
      </c>
      <c r="E58" s="401">
        <v>9489.7999999999993</v>
      </c>
      <c r="F58" s="401">
        <f>782.6+440.8</f>
        <v>1223.4000000000001</v>
      </c>
      <c r="G58" s="401">
        <v>12.5</v>
      </c>
      <c r="H58" s="401">
        <v>1372.4</v>
      </c>
      <c r="I58" s="401">
        <v>1157.8</v>
      </c>
      <c r="J58" s="401">
        <v>3254.3</v>
      </c>
      <c r="K58" s="64">
        <f t="shared" si="1"/>
        <v>7020.4</v>
      </c>
      <c r="L58" s="64">
        <f t="shared" si="2"/>
        <v>17164.899999999998</v>
      </c>
      <c r="M58" s="424">
        <v>701111</v>
      </c>
      <c r="N58" s="424">
        <v>674300</v>
      </c>
      <c r="O58" s="515">
        <v>2884</v>
      </c>
      <c r="P58" s="420"/>
      <c r="Q58" s="482">
        <v>2006</v>
      </c>
    </row>
    <row r="59" spans="1:195" s="18" customFormat="1" ht="30" customHeight="1">
      <c r="D59" s="159">
        <v>386.7</v>
      </c>
      <c r="E59" s="71">
        <v>9910.7000000000007</v>
      </c>
      <c r="F59" s="71">
        <f>934.1+316.6</f>
        <v>1250.7</v>
      </c>
      <c r="G59" s="71">
        <v>11.2</v>
      </c>
      <c r="H59" s="71">
        <v>1573.6</v>
      </c>
      <c r="I59" s="71">
        <v>1055.3</v>
      </c>
      <c r="J59" s="71">
        <v>3604.3</v>
      </c>
      <c r="K59" s="72">
        <f t="shared" si="1"/>
        <v>7495.1</v>
      </c>
      <c r="L59" s="72">
        <f t="shared" si="2"/>
        <v>17792.500000000004</v>
      </c>
      <c r="M59" s="422">
        <v>623299</v>
      </c>
      <c r="N59" s="422">
        <v>581263</v>
      </c>
      <c r="O59" s="514">
        <v>2587</v>
      </c>
      <c r="P59" s="423"/>
      <c r="Q59" s="474">
        <v>2007</v>
      </c>
    </row>
    <row r="60" spans="1:195" s="18" customFormat="1" ht="30" customHeight="1">
      <c r="D60" s="400">
        <v>341.7</v>
      </c>
      <c r="E60" s="401">
        <v>8823.4</v>
      </c>
      <c r="F60" s="401">
        <f>852.4+358.8</f>
        <v>1211.2</v>
      </c>
      <c r="G60" s="401">
        <v>66.2</v>
      </c>
      <c r="H60" s="401">
        <v>1565.3</v>
      </c>
      <c r="I60" s="401">
        <v>968.6</v>
      </c>
      <c r="J60" s="401">
        <v>3975.9</v>
      </c>
      <c r="K60" s="65">
        <f t="shared" si="1"/>
        <v>7787.2</v>
      </c>
      <c r="L60" s="65">
        <f t="shared" si="2"/>
        <v>16952.3</v>
      </c>
      <c r="M60" s="424">
        <v>592036</v>
      </c>
      <c r="N60" s="424">
        <v>605805</v>
      </c>
      <c r="O60" s="515">
        <v>2662</v>
      </c>
      <c r="P60" s="420"/>
      <c r="Q60" s="482">
        <v>2008</v>
      </c>
    </row>
    <row r="61" spans="1:195" s="18" customFormat="1" ht="30" customHeight="1">
      <c r="D61" s="159">
        <v>444.2</v>
      </c>
      <c r="E61" s="71">
        <v>7858.4</v>
      </c>
      <c r="F61" s="71">
        <f>152.2+643</f>
        <v>795.2</v>
      </c>
      <c r="G61" s="71">
        <v>58.3</v>
      </c>
      <c r="H61" s="71">
        <v>825.7</v>
      </c>
      <c r="I61" s="71">
        <v>971.5</v>
      </c>
      <c r="J61" s="71">
        <v>3247.9</v>
      </c>
      <c r="K61" s="56">
        <f t="shared" si="1"/>
        <v>5898.5999999999995</v>
      </c>
      <c r="L61" s="56">
        <f t="shared" si="2"/>
        <v>14201.2</v>
      </c>
      <c r="M61" s="422">
        <v>482783</v>
      </c>
      <c r="N61" s="422">
        <v>440831</v>
      </c>
      <c r="O61" s="514">
        <v>2331</v>
      </c>
      <c r="P61" s="423"/>
      <c r="Q61" s="474">
        <v>2009</v>
      </c>
    </row>
    <row r="62" spans="1:195" s="18" customFormat="1" ht="30" customHeight="1">
      <c r="D62" s="1550">
        <v>599.29999999999995</v>
      </c>
      <c r="E62" s="1551">
        <v>8196.4</v>
      </c>
      <c r="F62" s="1551">
        <f>186+647</f>
        <v>833</v>
      </c>
      <c r="G62" s="1551">
        <v>130.5</v>
      </c>
      <c r="H62" s="1551">
        <v>1721.2</v>
      </c>
      <c r="I62" s="1551">
        <v>1074.0999999999999</v>
      </c>
      <c r="J62" s="1551">
        <v>4296.8</v>
      </c>
      <c r="K62" s="1161">
        <f t="shared" si="1"/>
        <v>8055.5999999999995</v>
      </c>
      <c r="L62" s="1161">
        <f>K62+E62+D62</f>
        <v>16851.3</v>
      </c>
      <c r="M62" s="1162">
        <v>487496</v>
      </c>
      <c r="N62" s="1162">
        <v>427441</v>
      </c>
      <c r="O62" s="1163">
        <v>2369</v>
      </c>
      <c r="P62" s="1164"/>
      <c r="Q62" s="1165">
        <v>2010</v>
      </c>
    </row>
    <row r="63" spans="1:195" s="18" customFormat="1" ht="30" customHeight="1">
      <c r="D63" s="1549">
        <v>629</v>
      </c>
      <c r="E63" s="1546">
        <v>9579.5</v>
      </c>
      <c r="F63" s="1546">
        <v>848.36899999999991</v>
      </c>
      <c r="G63" s="1546">
        <v>98</v>
      </c>
      <c r="H63" s="1546">
        <v>1725.5</v>
      </c>
      <c r="I63" s="1546">
        <v>900.2</v>
      </c>
      <c r="J63" s="1546">
        <v>5402.9</v>
      </c>
      <c r="K63" s="1552">
        <f t="shared" si="1"/>
        <v>8974.9689999999991</v>
      </c>
      <c r="L63" s="1552">
        <v>19183.599999999999</v>
      </c>
      <c r="M63" s="1157">
        <v>424463</v>
      </c>
      <c r="N63" s="1157">
        <v>386232</v>
      </c>
      <c r="O63" s="1158">
        <v>2395</v>
      </c>
      <c r="P63" s="1159"/>
      <c r="Q63" s="1160">
        <v>2011</v>
      </c>
      <c r="T63" s="172"/>
    </row>
    <row r="64" spans="1:195" s="18" customFormat="1" ht="30" customHeight="1">
      <c r="D64" s="1550">
        <v>673.7</v>
      </c>
      <c r="E64" s="1551">
        <v>11270.2</v>
      </c>
      <c r="F64" s="1551">
        <v>1030.5999999999999</v>
      </c>
      <c r="G64" s="1551">
        <v>149.30000000000001</v>
      </c>
      <c r="H64" s="1551">
        <v>1208.9000000000001</v>
      </c>
      <c r="I64" s="1551">
        <v>739.4</v>
      </c>
      <c r="J64" s="1551">
        <v>4282.7</v>
      </c>
      <c r="K64" s="1161">
        <f>J64+I64+H64+G64+F64</f>
        <v>7410.9</v>
      </c>
      <c r="L64" s="1161">
        <f>K64+E64+D64</f>
        <v>19354.8</v>
      </c>
      <c r="M64" s="1162">
        <v>489702</v>
      </c>
      <c r="N64" s="1162">
        <v>435652</v>
      </c>
      <c r="O64" s="1163">
        <v>2632</v>
      </c>
      <c r="P64" s="1164"/>
      <c r="Q64" s="1165">
        <v>2012</v>
      </c>
      <c r="T64" s="172"/>
    </row>
    <row r="65" spans="3:26" s="18" customFormat="1" ht="30" customHeight="1">
      <c r="D65" s="1549">
        <v>664.8</v>
      </c>
      <c r="E65" s="1546">
        <v>11119.7</v>
      </c>
      <c r="F65" s="1546">
        <v>933</v>
      </c>
      <c r="G65" s="1546">
        <v>44.4</v>
      </c>
      <c r="H65" s="1546">
        <v>1240.3</v>
      </c>
      <c r="I65" s="1546">
        <v>851.1</v>
      </c>
      <c r="J65" s="1546">
        <v>1462.3</v>
      </c>
      <c r="K65" s="1552">
        <f>J65+I65+H65+G65+F65</f>
        <v>4531.1000000000004</v>
      </c>
      <c r="L65" s="1552">
        <f>K65+E65+D65</f>
        <v>16315.6</v>
      </c>
      <c r="M65" s="1157">
        <v>381282</v>
      </c>
      <c r="N65" s="1157">
        <v>345638</v>
      </c>
      <c r="O65" s="1158">
        <v>2441</v>
      </c>
      <c r="P65" s="1159"/>
      <c r="Q65" s="1160">
        <v>2013</v>
      </c>
      <c r="T65" s="172"/>
    </row>
    <row r="66" spans="3:26" s="18" customFormat="1" ht="30" customHeight="1">
      <c r="D66" s="1550">
        <v>636.79999999999995</v>
      </c>
      <c r="E66" s="1551">
        <v>13206.7</v>
      </c>
      <c r="F66" s="1551">
        <v>857.3</v>
      </c>
      <c r="G66" s="1551">
        <v>46.7</v>
      </c>
      <c r="H66" s="1551">
        <v>1609.8</v>
      </c>
      <c r="I66" s="1551">
        <v>1284.5</v>
      </c>
      <c r="J66" s="1551">
        <v>1403</v>
      </c>
      <c r="K66" s="1161">
        <f>J66+I66+H66+G66+F66</f>
        <v>5201.3</v>
      </c>
      <c r="L66" s="1161">
        <f>K66+E66+D66</f>
        <v>19044.8</v>
      </c>
      <c r="M66" s="1162">
        <v>254029</v>
      </c>
      <c r="N66" s="1162">
        <v>286934</v>
      </c>
      <c r="O66" s="1163">
        <v>2269</v>
      </c>
      <c r="P66" s="1164"/>
      <c r="Q66" s="1165">
        <v>2014</v>
      </c>
      <c r="T66" s="172"/>
    </row>
    <row r="67" spans="3:26" s="18" customFormat="1" ht="30" customHeight="1">
      <c r="D67" s="1548">
        <v>401.5</v>
      </c>
      <c r="E67" s="1547">
        <v>12747.2</v>
      </c>
      <c r="F67" s="1547">
        <v>750.7</v>
      </c>
      <c r="G67" s="1547">
        <v>114.7</v>
      </c>
      <c r="H67" s="1547">
        <v>1679.1</v>
      </c>
      <c r="I67" s="1547">
        <v>1423.7</v>
      </c>
      <c r="J67" s="1547">
        <v>1265.0999999999999</v>
      </c>
      <c r="K67" s="1471">
        <v>5233.3</v>
      </c>
      <c r="L67" s="1471">
        <v>18382</v>
      </c>
      <c r="M67" s="1502">
        <v>244241</v>
      </c>
      <c r="N67" s="1502">
        <v>256898</v>
      </c>
      <c r="O67" s="1503">
        <v>2244</v>
      </c>
      <c r="P67" s="1513"/>
      <c r="Q67" s="1532">
        <v>2015</v>
      </c>
      <c r="T67" s="172"/>
    </row>
    <row r="68" spans="3:26" s="175" customFormat="1" ht="6.95" customHeight="1">
      <c r="D68" s="173"/>
      <c r="E68" s="425"/>
      <c r="F68" s="425"/>
      <c r="G68" s="425"/>
      <c r="H68" s="95"/>
      <c r="I68" s="425"/>
      <c r="J68" s="425"/>
      <c r="K68" s="425"/>
      <c r="L68" s="95"/>
      <c r="M68" s="425"/>
      <c r="N68" s="425"/>
      <c r="O68" s="96"/>
      <c r="P68" s="96"/>
      <c r="Q68" s="96"/>
    </row>
    <row r="69" spans="3:26" s="175" customFormat="1" ht="18">
      <c r="D69" s="92" t="s">
        <v>1591</v>
      </c>
      <c r="E69" s="94"/>
      <c r="F69" s="94"/>
      <c r="G69" s="94"/>
      <c r="H69" s="91"/>
      <c r="I69" s="94"/>
      <c r="J69" s="94"/>
      <c r="K69" s="94"/>
      <c r="L69" s="91"/>
      <c r="M69" s="94"/>
      <c r="N69" s="94"/>
      <c r="O69" s="81"/>
      <c r="P69" s="81"/>
      <c r="Q69" s="81" t="s">
        <v>1592</v>
      </c>
    </row>
    <row r="70" spans="3:26" s="24" customFormat="1" ht="18">
      <c r="C70" s="175"/>
      <c r="D70" s="518" t="s">
        <v>1593</v>
      </c>
      <c r="E70" s="40"/>
      <c r="F70" s="40"/>
      <c r="G70" s="40"/>
      <c r="H70" s="199"/>
      <c r="I70" s="40"/>
      <c r="J70" s="40"/>
      <c r="K70" s="40"/>
      <c r="L70" s="199"/>
      <c r="M70" s="40"/>
      <c r="N70" s="40"/>
      <c r="O70" s="223"/>
      <c r="P70" s="223"/>
      <c r="Q70" s="90" t="s">
        <v>1594</v>
      </c>
      <c r="Z70" s="175"/>
    </row>
    <row r="71" spans="3:26" s="24" customFormat="1" ht="18">
      <c r="D71" s="518" t="s">
        <v>1595</v>
      </c>
      <c r="E71" s="40"/>
      <c r="F71" s="40"/>
      <c r="G71" s="40"/>
      <c r="H71" s="199"/>
      <c r="I71" s="40"/>
      <c r="J71" s="40"/>
      <c r="K71" s="40"/>
      <c r="L71" s="199"/>
      <c r="M71" s="40"/>
      <c r="N71" s="40"/>
      <c r="O71" s="223"/>
      <c r="P71" s="223"/>
      <c r="Q71" s="90" t="s">
        <v>1596</v>
      </c>
      <c r="Z71" s="175"/>
    </row>
    <row r="72" spans="3:26" ht="17.100000000000001" customHeight="1"/>
  </sheetData>
  <mergeCells count="15">
    <mergeCell ref="O13:P13"/>
    <mergeCell ref="O14:P14"/>
    <mergeCell ref="D9:E9"/>
    <mergeCell ref="F9:K9"/>
    <mergeCell ref="M9:N9"/>
    <mergeCell ref="O9:P9"/>
    <mergeCell ref="M10:N10"/>
    <mergeCell ref="O10:P10"/>
    <mergeCell ref="D3:Q3"/>
    <mergeCell ref="D4:Q4"/>
    <mergeCell ref="D5:E5"/>
    <mergeCell ref="O5:Q5"/>
    <mergeCell ref="D8:E8"/>
    <mergeCell ref="F8:K8"/>
    <mergeCell ref="M8:N8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39" orientation="portrait" horizontalDpi="300" verticalDpi="300" r:id="rId1"/>
  <headerFooter alignWithMargins="0">
    <oddFooter>&amp;C&amp;"+,Regular"&amp;22-59-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97"/>
  <sheetViews>
    <sheetView zoomScale="75" zoomScaleNormal="75" workbookViewId="0">
      <selection activeCell="G2" sqref="G2"/>
    </sheetView>
  </sheetViews>
  <sheetFormatPr defaultColWidth="1.140625" defaultRowHeight="20.25"/>
  <cols>
    <col min="1" max="1" width="11.7109375" style="1192" customWidth="1"/>
    <col min="2" max="6" width="32.7109375" style="1192" customWidth="1"/>
    <col min="7" max="7" width="29.7109375" style="1192" customWidth="1"/>
    <col min="8" max="8" width="29.7109375" style="1760" customWidth="1"/>
    <col min="9" max="9" width="27.7109375" style="1813" customWidth="1"/>
    <col min="10" max="12" width="27.7109375" customWidth="1"/>
    <col min="13" max="13" width="11.7109375" customWidth="1"/>
    <col min="14" max="14" width="12.7109375" style="1192" customWidth="1"/>
    <col min="15" max="16384" width="1.140625" style="1192"/>
  </cols>
  <sheetData>
    <row r="1" spans="1:20" ht="15" customHeight="1">
      <c r="I1" s="1793"/>
    </row>
    <row r="2" spans="1:20" ht="15" customHeight="1">
      <c r="I2" s="1793"/>
    </row>
    <row r="3" spans="1:20" s="1761" customFormat="1" ht="30" customHeight="1">
      <c r="A3" s="4602" t="s">
        <v>2417</v>
      </c>
      <c r="B3" s="4602"/>
      <c r="C3" s="4602"/>
      <c r="D3" s="4602"/>
      <c r="E3" s="4602"/>
      <c r="F3" s="4602"/>
      <c r="G3" s="4602" t="s">
        <v>2416</v>
      </c>
      <c r="H3" s="4602"/>
      <c r="I3" s="4602"/>
      <c r="J3" s="4602"/>
      <c r="K3" s="4602"/>
      <c r="L3" s="4602"/>
      <c r="M3" s="4602"/>
      <c r="N3"/>
      <c r="O3"/>
      <c r="P3"/>
      <c r="Q3"/>
      <c r="R3"/>
      <c r="S3"/>
      <c r="T3"/>
    </row>
    <row r="4" spans="1:20" s="1814" customFormat="1" ht="30" customHeight="1">
      <c r="A4" s="4604" t="s">
        <v>2415</v>
      </c>
      <c r="B4" s="4604"/>
      <c r="C4" s="4604"/>
      <c r="D4" s="4604"/>
      <c r="E4" s="4604"/>
      <c r="F4" s="4604"/>
      <c r="G4" s="4604" t="s">
        <v>2414</v>
      </c>
      <c r="H4" s="4604"/>
      <c r="I4" s="4604"/>
      <c r="J4" s="4604"/>
      <c r="K4" s="4604"/>
      <c r="L4" s="4604"/>
      <c r="M4" s="4604"/>
      <c r="N4"/>
      <c r="O4"/>
      <c r="P4"/>
      <c r="Q4"/>
      <c r="R4"/>
      <c r="S4"/>
      <c r="T4"/>
    </row>
    <row r="5" spans="1:20" ht="15" customHeight="1">
      <c r="A5" s="1323"/>
      <c r="B5" s="1323"/>
      <c r="C5" s="1323"/>
      <c r="D5" s="1323"/>
      <c r="E5" s="1323"/>
      <c r="F5" s="1762"/>
      <c r="G5" s="1323"/>
      <c r="H5" s="1323"/>
      <c r="I5" s="1323"/>
      <c r="J5" s="1323"/>
      <c r="K5" s="1323"/>
      <c r="L5" s="1323"/>
      <c r="M5" s="1763"/>
      <c r="N5"/>
      <c r="O5"/>
      <c r="P5"/>
      <c r="Q5"/>
      <c r="R5"/>
      <c r="S5"/>
      <c r="T5"/>
    </row>
    <row r="6" spans="1:20" s="1770" customFormat="1" ht="21.2" customHeight="1">
      <c r="A6" s="4614"/>
      <c r="B6" s="1815" t="s">
        <v>4</v>
      </c>
      <c r="C6" s="1765"/>
      <c r="D6" s="4164"/>
      <c r="E6" s="4164"/>
      <c r="F6" s="1816"/>
      <c r="G6" s="4616"/>
      <c r="H6" s="4616"/>
      <c r="I6" s="4617" t="s">
        <v>5</v>
      </c>
      <c r="J6" s="4617"/>
      <c r="K6" s="4618"/>
      <c r="L6" s="1766"/>
      <c r="M6" s="4619"/>
      <c r="N6"/>
      <c r="O6"/>
      <c r="P6"/>
      <c r="Q6"/>
      <c r="R6"/>
      <c r="S6"/>
      <c r="T6"/>
    </row>
    <row r="7" spans="1:20" s="1770" customFormat="1" ht="21.2" customHeight="1">
      <c r="A7" s="4615"/>
      <c r="B7" s="4143" t="s">
        <v>6</v>
      </c>
      <c r="C7" s="4608" t="s">
        <v>7</v>
      </c>
      <c r="D7" s="4609"/>
      <c r="E7" s="4609"/>
      <c r="F7" s="4609"/>
      <c r="G7" s="4621" t="s">
        <v>7</v>
      </c>
      <c r="H7" s="4621"/>
      <c r="I7" s="4621"/>
      <c r="J7" s="4621"/>
      <c r="K7" s="4622"/>
      <c r="L7" s="1817" t="s">
        <v>8</v>
      </c>
      <c r="M7" s="4620"/>
      <c r="N7"/>
      <c r="O7"/>
      <c r="P7"/>
      <c r="Q7"/>
      <c r="R7"/>
      <c r="S7"/>
      <c r="T7"/>
    </row>
    <row r="8" spans="1:20" s="1760" customFormat="1" ht="21.2" customHeight="1">
      <c r="A8" s="4615"/>
      <c r="B8" s="4238" t="s">
        <v>9</v>
      </c>
      <c r="C8" s="4623" t="s">
        <v>10</v>
      </c>
      <c r="D8" s="4624"/>
      <c r="E8" s="4624"/>
      <c r="F8" s="4624"/>
      <c r="G8" s="4625" t="s">
        <v>10</v>
      </c>
      <c r="H8" s="4625"/>
      <c r="I8" s="4625"/>
      <c r="J8" s="4625"/>
      <c r="K8" s="4626"/>
      <c r="L8" s="1821"/>
      <c r="M8" s="4620"/>
      <c r="N8"/>
      <c r="O8"/>
      <c r="P8"/>
      <c r="Q8"/>
      <c r="R8"/>
      <c r="S8"/>
      <c r="T8"/>
    </row>
    <row r="9" spans="1:20" s="1760" customFormat="1" ht="21.2" customHeight="1">
      <c r="A9" s="4615"/>
      <c r="B9" s="4229"/>
      <c r="C9" s="4229"/>
      <c r="D9" s="4229"/>
      <c r="E9" s="4229"/>
      <c r="F9" s="4197"/>
      <c r="G9" s="1822"/>
      <c r="H9" s="4215" t="s">
        <v>2413</v>
      </c>
      <c r="I9" s="4229"/>
      <c r="J9" s="4229"/>
      <c r="K9" s="4229"/>
      <c r="L9" s="4204"/>
      <c r="M9" s="4620"/>
      <c r="N9"/>
      <c r="O9"/>
      <c r="P9"/>
      <c r="Q9"/>
      <c r="R9"/>
      <c r="S9"/>
      <c r="T9"/>
    </row>
    <row r="10" spans="1:20" s="1760" customFormat="1" ht="21.2" customHeight="1">
      <c r="A10" s="4615"/>
      <c r="B10" s="4229"/>
      <c r="C10" s="4229" t="s">
        <v>13</v>
      </c>
      <c r="D10" s="4229"/>
      <c r="E10" s="4229" t="s">
        <v>12</v>
      </c>
      <c r="F10" s="4197" t="s">
        <v>2411</v>
      </c>
      <c r="G10" s="4215"/>
      <c r="H10" s="4215" t="s">
        <v>2410</v>
      </c>
      <c r="I10" s="4229" t="s">
        <v>13</v>
      </c>
      <c r="J10" s="4229" t="s">
        <v>13</v>
      </c>
      <c r="K10" s="4229" t="s">
        <v>19</v>
      </c>
      <c r="L10" s="4204"/>
      <c r="M10" s="4620"/>
      <c r="N10"/>
      <c r="O10"/>
      <c r="P10"/>
      <c r="Q10"/>
      <c r="R10"/>
      <c r="S10"/>
      <c r="T10"/>
    </row>
    <row r="11" spans="1:20" s="1760" customFormat="1" ht="21.2" customHeight="1">
      <c r="A11" s="4615"/>
      <c r="B11" s="4229" t="s">
        <v>2407</v>
      </c>
      <c r="C11" s="4229" t="s">
        <v>2409</v>
      </c>
      <c r="D11" s="4229" t="s">
        <v>2412</v>
      </c>
      <c r="E11" s="4229" t="s">
        <v>2408</v>
      </c>
      <c r="F11" s="4197" t="s">
        <v>13</v>
      </c>
      <c r="G11" s="4215" t="s">
        <v>2407</v>
      </c>
      <c r="H11" s="4215" t="s">
        <v>2406</v>
      </c>
      <c r="I11" s="4229" t="s">
        <v>2405</v>
      </c>
      <c r="J11" s="4229" t="s">
        <v>2404</v>
      </c>
      <c r="K11" s="4229" t="s">
        <v>2403</v>
      </c>
      <c r="L11" s="4204"/>
      <c r="M11" s="4620"/>
      <c r="N11"/>
      <c r="O11"/>
      <c r="P11"/>
      <c r="Q11"/>
      <c r="R11"/>
      <c r="S11"/>
      <c r="T11"/>
    </row>
    <row r="12" spans="1:20" s="1760" customFormat="1" ht="21.2" customHeight="1">
      <c r="A12" s="4615"/>
      <c r="B12" s="4229" t="s">
        <v>2402</v>
      </c>
      <c r="C12" s="4229" t="s">
        <v>2401</v>
      </c>
      <c r="D12" s="4229" t="s">
        <v>2902</v>
      </c>
      <c r="E12" s="4229" t="s">
        <v>2397</v>
      </c>
      <c r="F12" s="4197" t="s">
        <v>2400</v>
      </c>
      <c r="G12" s="4215" t="s">
        <v>2399</v>
      </c>
      <c r="H12" s="4215" t="s">
        <v>2398</v>
      </c>
      <c r="I12" s="4229" t="s">
        <v>2903</v>
      </c>
      <c r="J12" s="4229" t="s">
        <v>2396</v>
      </c>
      <c r="K12" s="4229" t="s">
        <v>2395</v>
      </c>
      <c r="L12" s="4204" t="s">
        <v>170</v>
      </c>
      <c r="M12" s="4620"/>
      <c r="N12"/>
      <c r="O12"/>
      <c r="P12"/>
      <c r="Q12"/>
      <c r="R12"/>
      <c r="S12"/>
      <c r="T12"/>
    </row>
    <row r="13" spans="1:20" s="1780" customFormat="1" ht="21.2" customHeight="1">
      <c r="A13" s="4615"/>
      <c r="B13" s="4264"/>
      <c r="C13" s="1776"/>
      <c r="D13" s="1776"/>
      <c r="E13" s="1776"/>
      <c r="F13" s="1823"/>
      <c r="G13" s="1824"/>
      <c r="H13" s="4215"/>
      <c r="I13" s="4264"/>
      <c r="J13" s="1825"/>
      <c r="K13" s="1776"/>
      <c r="L13" s="1826"/>
      <c r="M13" s="4620"/>
      <c r="N13"/>
      <c r="O13"/>
      <c r="P13"/>
      <c r="Q13"/>
      <c r="R13"/>
      <c r="S13"/>
      <c r="T13"/>
    </row>
    <row r="14" spans="1:20" s="1780" customFormat="1" ht="21.2" customHeight="1">
      <c r="A14" s="4615"/>
      <c r="B14" s="4264"/>
      <c r="C14" s="1776"/>
      <c r="D14" s="4264"/>
      <c r="E14" s="1776" t="s">
        <v>2393</v>
      </c>
      <c r="F14" s="1823"/>
      <c r="G14" s="4247"/>
      <c r="H14" s="4247" t="s">
        <v>2394</v>
      </c>
      <c r="I14" s="1776" t="s">
        <v>2904</v>
      </c>
      <c r="J14" s="1776" t="s">
        <v>2392</v>
      </c>
      <c r="K14" s="1776" t="s">
        <v>2391</v>
      </c>
      <c r="L14" s="1827"/>
      <c r="M14" s="4620"/>
      <c r="N14"/>
      <c r="O14"/>
      <c r="P14"/>
      <c r="Q14"/>
      <c r="R14"/>
      <c r="S14"/>
      <c r="T14"/>
    </row>
    <row r="15" spans="1:20" s="1780" customFormat="1" ht="21.2" customHeight="1">
      <c r="A15" s="4615"/>
      <c r="B15" s="4264" t="s">
        <v>2390</v>
      </c>
      <c r="C15" s="1776" t="s">
        <v>2389</v>
      </c>
      <c r="D15" s="1776" t="s">
        <v>2905</v>
      </c>
      <c r="E15" s="1776" t="s">
        <v>2385</v>
      </c>
      <c r="F15" s="1823" t="s">
        <v>2388</v>
      </c>
      <c r="G15" s="4247" t="s">
        <v>2387</v>
      </c>
      <c r="H15" s="4247" t="s">
        <v>2386</v>
      </c>
      <c r="I15" s="4264" t="s">
        <v>2385</v>
      </c>
      <c r="J15" s="4264" t="s">
        <v>2384</v>
      </c>
      <c r="K15" s="4264" t="s">
        <v>2383</v>
      </c>
      <c r="L15" s="1828"/>
      <c r="M15" s="4620"/>
      <c r="N15"/>
      <c r="O15"/>
      <c r="P15"/>
      <c r="Q15"/>
      <c r="R15"/>
      <c r="S15"/>
      <c r="T15"/>
    </row>
    <row r="16" spans="1:20" s="1781" customFormat="1" ht="21.2" customHeight="1">
      <c r="A16" s="4615"/>
      <c r="B16" s="4264" t="s">
        <v>65</v>
      </c>
      <c r="C16" s="4264" t="s">
        <v>70</v>
      </c>
      <c r="D16" s="4264" t="s">
        <v>2906</v>
      </c>
      <c r="E16" s="4264" t="s">
        <v>62</v>
      </c>
      <c r="F16" s="4246" t="s">
        <v>2382</v>
      </c>
      <c r="G16" s="4247" t="s">
        <v>65</v>
      </c>
      <c r="H16" s="4247" t="s">
        <v>2381</v>
      </c>
      <c r="I16" s="4264" t="s">
        <v>2380</v>
      </c>
      <c r="J16" s="4264" t="s">
        <v>65</v>
      </c>
      <c r="K16" s="4264" t="s">
        <v>65</v>
      </c>
      <c r="L16" s="1828"/>
      <c r="M16" s="4620"/>
      <c r="N16"/>
      <c r="O16"/>
      <c r="P16"/>
      <c r="Q16"/>
      <c r="R16"/>
      <c r="S16"/>
      <c r="T16"/>
    </row>
    <row r="17" spans="1:21" s="1781" customFormat="1" ht="21.2" customHeight="1">
      <c r="A17" s="4235"/>
      <c r="B17" s="1785">
        <v>2011</v>
      </c>
      <c r="C17" s="1784">
        <v>2004</v>
      </c>
      <c r="D17" s="1784">
        <v>2004</v>
      </c>
      <c r="E17" s="1784">
        <v>2004</v>
      </c>
      <c r="F17" s="1783">
        <v>1974</v>
      </c>
      <c r="G17" s="1829">
        <v>1957</v>
      </c>
      <c r="H17" s="1829">
        <v>1949</v>
      </c>
      <c r="I17" s="1785">
        <v>2010</v>
      </c>
      <c r="J17" s="1785">
        <v>1969</v>
      </c>
      <c r="K17" s="1785">
        <v>1951</v>
      </c>
      <c r="L17" s="1830" t="s">
        <v>187</v>
      </c>
      <c r="M17" s="1831"/>
      <c r="N17"/>
      <c r="O17"/>
      <c r="P17"/>
      <c r="Q17"/>
      <c r="R17"/>
      <c r="S17"/>
      <c r="T17"/>
    </row>
    <row r="18" spans="1:21" s="1790" customFormat="1" ht="21" customHeight="1">
      <c r="A18" s="4210">
        <v>1964</v>
      </c>
      <c r="B18" s="4177" t="s">
        <v>77</v>
      </c>
      <c r="C18" s="4173" t="s">
        <v>77</v>
      </c>
      <c r="D18" s="4173" t="s">
        <v>77</v>
      </c>
      <c r="E18" s="4173" t="s">
        <v>77</v>
      </c>
      <c r="F18" s="4173" t="s">
        <v>77</v>
      </c>
      <c r="G18" s="4173">
        <v>1</v>
      </c>
      <c r="H18" s="4173">
        <v>1</v>
      </c>
      <c r="I18" s="4173" t="s">
        <v>77</v>
      </c>
      <c r="J18" s="4173">
        <v>4</v>
      </c>
      <c r="K18" s="4173">
        <v>3</v>
      </c>
      <c r="L18" s="1415">
        <v>9</v>
      </c>
      <c r="M18" s="1566">
        <v>1964</v>
      </c>
      <c r="N18"/>
      <c r="O18"/>
      <c r="P18"/>
      <c r="Q18"/>
      <c r="R18"/>
      <c r="S18"/>
      <c r="T18"/>
      <c r="U18"/>
    </row>
    <row r="19" spans="1:21" ht="21" customHeight="1">
      <c r="A19" s="4209">
        <v>1965</v>
      </c>
      <c r="B19" s="4175" t="s">
        <v>77</v>
      </c>
      <c r="C19" s="1832" t="s">
        <v>77</v>
      </c>
      <c r="D19" s="1832" t="s">
        <v>77</v>
      </c>
      <c r="E19" s="1832" t="s">
        <v>77</v>
      </c>
      <c r="F19" s="1832" t="s">
        <v>77</v>
      </c>
      <c r="G19" s="1832">
        <v>1</v>
      </c>
      <c r="H19" s="1832">
        <v>1</v>
      </c>
      <c r="I19" s="1832" t="s">
        <v>77</v>
      </c>
      <c r="J19" s="1832">
        <v>4</v>
      </c>
      <c r="K19" s="1832">
        <v>3</v>
      </c>
      <c r="L19" s="1833">
        <v>9</v>
      </c>
      <c r="M19" s="1160">
        <v>1965</v>
      </c>
      <c r="N19"/>
      <c r="O19"/>
      <c r="P19"/>
      <c r="Q19"/>
      <c r="R19"/>
      <c r="S19"/>
      <c r="T19"/>
      <c r="U19"/>
    </row>
    <row r="20" spans="1:21" ht="21" customHeight="1">
      <c r="A20" s="4210">
        <v>1966</v>
      </c>
      <c r="B20" s="4177" t="s">
        <v>77</v>
      </c>
      <c r="C20" s="4173" t="s">
        <v>77</v>
      </c>
      <c r="D20" s="4173" t="s">
        <v>77</v>
      </c>
      <c r="E20" s="4173" t="s">
        <v>77</v>
      </c>
      <c r="F20" s="4173" t="s">
        <v>77</v>
      </c>
      <c r="G20" s="4173">
        <v>1</v>
      </c>
      <c r="H20" s="4173">
        <v>1</v>
      </c>
      <c r="I20" s="4173" t="s">
        <v>77</v>
      </c>
      <c r="J20" s="4173">
        <v>4</v>
      </c>
      <c r="K20" s="4173">
        <v>4</v>
      </c>
      <c r="L20" s="1415">
        <v>10</v>
      </c>
      <c r="M20" s="1566">
        <v>1966</v>
      </c>
      <c r="N20"/>
      <c r="O20"/>
      <c r="P20"/>
      <c r="Q20"/>
      <c r="R20"/>
      <c r="S20"/>
      <c r="T20"/>
      <c r="U20"/>
    </row>
    <row r="21" spans="1:21" ht="21" customHeight="1">
      <c r="A21" s="4209">
        <v>1967</v>
      </c>
      <c r="B21" s="4175" t="s">
        <v>77</v>
      </c>
      <c r="C21" s="1832" t="s">
        <v>77</v>
      </c>
      <c r="D21" s="1832" t="s">
        <v>77</v>
      </c>
      <c r="E21" s="1832" t="s">
        <v>77</v>
      </c>
      <c r="F21" s="1832" t="s">
        <v>77</v>
      </c>
      <c r="G21" s="1832">
        <v>1</v>
      </c>
      <c r="H21" s="1832">
        <v>1</v>
      </c>
      <c r="I21" s="1832" t="s">
        <v>77</v>
      </c>
      <c r="J21" s="1832">
        <v>5</v>
      </c>
      <c r="K21" s="1832">
        <v>4</v>
      </c>
      <c r="L21" s="1833">
        <v>11</v>
      </c>
      <c r="M21" s="1160">
        <v>1967</v>
      </c>
      <c r="N21"/>
      <c r="O21"/>
      <c r="P21"/>
      <c r="Q21"/>
      <c r="R21"/>
      <c r="S21"/>
      <c r="T21"/>
      <c r="U21"/>
    </row>
    <row r="22" spans="1:21" ht="21" customHeight="1">
      <c r="A22" s="4210">
        <v>1968</v>
      </c>
      <c r="B22" s="4177" t="s">
        <v>77</v>
      </c>
      <c r="C22" s="4173" t="s">
        <v>77</v>
      </c>
      <c r="D22" s="4173" t="s">
        <v>77</v>
      </c>
      <c r="E22" s="4173" t="s">
        <v>77</v>
      </c>
      <c r="F22" s="4173" t="s">
        <v>77</v>
      </c>
      <c r="G22" s="4173">
        <v>1</v>
      </c>
      <c r="H22" s="4173">
        <v>1</v>
      </c>
      <c r="I22" s="4173" t="s">
        <v>77</v>
      </c>
      <c r="J22" s="4173">
        <v>5</v>
      </c>
      <c r="K22" s="4173">
        <v>4</v>
      </c>
      <c r="L22" s="1415">
        <v>11</v>
      </c>
      <c r="M22" s="1566">
        <v>1968</v>
      </c>
      <c r="N22"/>
      <c r="O22"/>
      <c r="P22"/>
      <c r="Q22"/>
      <c r="R22"/>
      <c r="S22"/>
      <c r="T22"/>
      <c r="U22"/>
    </row>
    <row r="23" spans="1:21" ht="21" customHeight="1">
      <c r="A23" s="4209">
        <v>1969</v>
      </c>
      <c r="B23" s="4175" t="s">
        <v>77</v>
      </c>
      <c r="C23" s="1832" t="s">
        <v>77</v>
      </c>
      <c r="D23" s="1832" t="s">
        <v>77</v>
      </c>
      <c r="E23" s="1832" t="s">
        <v>77</v>
      </c>
      <c r="F23" s="1832" t="s">
        <v>77</v>
      </c>
      <c r="G23" s="1832">
        <v>1</v>
      </c>
      <c r="H23" s="1832">
        <v>1</v>
      </c>
      <c r="I23" s="1832" t="s">
        <v>77</v>
      </c>
      <c r="J23" s="1832">
        <v>6</v>
      </c>
      <c r="K23" s="1832">
        <v>4</v>
      </c>
      <c r="L23" s="1833">
        <v>12</v>
      </c>
      <c r="M23" s="1160">
        <v>1969</v>
      </c>
      <c r="N23"/>
      <c r="O23"/>
      <c r="P23"/>
      <c r="Q23"/>
      <c r="R23"/>
      <c r="S23"/>
      <c r="T23"/>
      <c r="U23"/>
    </row>
    <row r="24" spans="1:21" ht="21" customHeight="1">
      <c r="A24" s="4210">
        <v>1970</v>
      </c>
      <c r="B24" s="4177" t="s">
        <v>77</v>
      </c>
      <c r="C24" s="4173" t="s">
        <v>77</v>
      </c>
      <c r="D24" s="4173" t="s">
        <v>77</v>
      </c>
      <c r="E24" s="4173" t="s">
        <v>77</v>
      </c>
      <c r="F24" s="4173" t="s">
        <v>77</v>
      </c>
      <c r="G24" s="4173">
        <v>2</v>
      </c>
      <c r="H24" s="4173">
        <v>2</v>
      </c>
      <c r="I24" s="4173" t="s">
        <v>77</v>
      </c>
      <c r="J24" s="4173">
        <v>8</v>
      </c>
      <c r="K24" s="4173">
        <v>4</v>
      </c>
      <c r="L24" s="1415">
        <v>16</v>
      </c>
      <c r="M24" s="1566">
        <v>1970</v>
      </c>
      <c r="N24"/>
      <c r="O24"/>
      <c r="P24"/>
      <c r="Q24"/>
      <c r="R24"/>
      <c r="S24"/>
      <c r="T24"/>
      <c r="U24"/>
    </row>
    <row r="25" spans="1:21" ht="21" customHeight="1">
      <c r="A25" s="4209">
        <v>1971</v>
      </c>
      <c r="B25" s="4175" t="s">
        <v>77</v>
      </c>
      <c r="C25" s="1832" t="s">
        <v>77</v>
      </c>
      <c r="D25" s="1832" t="s">
        <v>77</v>
      </c>
      <c r="E25" s="1832" t="s">
        <v>77</v>
      </c>
      <c r="F25" s="1832" t="s">
        <v>77</v>
      </c>
      <c r="G25" s="1832">
        <v>2</v>
      </c>
      <c r="H25" s="1832">
        <v>2</v>
      </c>
      <c r="I25" s="1832" t="s">
        <v>77</v>
      </c>
      <c r="J25" s="1832">
        <v>8</v>
      </c>
      <c r="K25" s="1832">
        <v>4</v>
      </c>
      <c r="L25" s="1833">
        <v>16</v>
      </c>
      <c r="M25" s="1160">
        <v>1971</v>
      </c>
      <c r="N25"/>
      <c r="O25"/>
      <c r="P25"/>
      <c r="Q25"/>
      <c r="R25"/>
      <c r="S25"/>
      <c r="T25"/>
      <c r="U25"/>
    </row>
    <row r="26" spans="1:21" ht="21" customHeight="1">
      <c r="A26" s="4210">
        <v>1972</v>
      </c>
      <c r="B26" s="4177" t="s">
        <v>77</v>
      </c>
      <c r="C26" s="4173" t="s">
        <v>77</v>
      </c>
      <c r="D26" s="4173" t="s">
        <v>77</v>
      </c>
      <c r="E26" s="4173" t="s">
        <v>77</v>
      </c>
      <c r="F26" s="4173" t="s">
        <v>77</v>
      </c>
      <c r="G26" s="4173">
        <v>2</v>
      </c>
      <c r="H26" s="4173">
        <v>2</v>
      </c>
      <c r="I26" s="4173" t="s">
        <v>77</v>
      </c>
      <c r="J26" s="4173">
        <v>8</v>
      </c>
      <c r="K26" s="4173">
        <v>4</v>
      </c>
      <c r="L26" s="1415">
        <v>16</v>
      </c>
      <c r="M26" s="1566">
        <v>1972</v>
      </c>
      <c r="N26"/>
      <c r="O26"/>
      <c r="P26"/>
      <c r="Q26"/>
      <c r="R26"/>
      <c r="S26"/>
      <c r="T26"/>
      <c r="U26"/>
    </row>
    <row r="27" spans="1:21" ht="21" customHeight="1">
      <c r="A27" s="4209">
        <v>1973</v>
      </c>
      <c r="B27" s="4175" t="s">
        <v>77</v>
      </c>
      <c r="C27" s="1832" t="s">
        <v>77</v>
      </c>
      <c r="D27" s="1832" t="s">
        <v>77</v>
      </c>
      <c r="E27" s="1832" t="s">
        <v>77</v>
      </c>
      <c r="F27" s="1832" t="s">
        <v>77</v>
      </c>
      <c r="G27" s="1832">
        <v>2</v>
      </c>
      <c r="H27" s="1832">
        <v>2</v>
      </c>
      <c r="I27" s="1832" t="s">
        <v>77</v>
      </c>
      <c r="J27" s="1832">
        <v>9</v>
      </c>
      <c r="K27" s="1832">
        <v>6</v>
      </c>
      <c r="L27" s="1833">
        <v>19</v>
      </c>
      <c r="M27" s="1160">
        <v>1973</v>
      </c>
      <c r="N27"/>
      <c r="O27"/>
      <c r="P27"/>
      <c r="Q27"/>
      <c r="R27"/>
      <c r="S27"/>
      <c r="T27"/>
      <c r="U27"/>
    </row>
    <row r="28" spans="1:21" ht="21" customHeight="1">
      <c r="A28" s="4210">
        <v>1974</v>
      </c>
      <c r="B28" s="4177" t="s">
        <v>77</v>
      </c>
      <c r="C28" s="4173" t="s">
        <v>77</v>
      </c>
      <c r="D28" s="4173" t="s">
        <v>77</v>
      </c>
      <c r="E28" s="4173" t="s">
        <v>77</v>
      </c>
      <c r="F28" s="4173">
        <v>1</v>
      </c>
      <c r="G28" s="4173">
        <v>2</v>
      </c>
      <c r="H28" s="4173">
        <v>3</v>
      </c>
      <c r="I28" s="4173" t="s">
        <v>77</v>
      </c>
      <c r="J28" s="4173">
        <v>10</v>
      </c>
      <c r="K28" s="4173">
        <v>6</v>
      </c>
      <c r="L28" s="1415">
        <v>22</v>
      </c>
      <c r="M28" s="1566">
        <v>1974</v>
      </c>
      <c r="N28"/>
      <c r="O28"/>
      <c r="P28"/>
      <c r="Q28"/>
      <c r="R28"/>
      <c r="S28"/>
      <c r="T28"/>
      <c r="U28"/>
    </row>
    <row r="29" spans="1:21" ht="21" customHeight="1">
      <c r="A29" s="4209">
        <v>1975</v>
      </c>
      <c r="B29" s="4175" t="s">
        <v>77</v>
      </c>
      <c r="C29" s="1832" t="s">
        <v>77</v>
      </c>
      <c r="D29" s="1832" t="s">
        <v>77</v>
      </c>
      <c r="E29" s="1832" t="s">
        <v>77</v>
      </c>
      <c r="F29" s="1832">
        <v>1</v>
      </c>
      <c r="G29" s="1832">
        <v>2</v>
      </c>
      <c r="H29" s="1832">
        <v>4</v>
      </c>
      <c r="I29" s="1832" t="s">
        <v>77</v>
      </c>
      <c r="J29" s="1832">
        <v>11</v>
      </c>
      <c r="K29" s="1832">
        <v>6</v>
      </c>
      <c r="L29" s="1833">
        <v>24</v>
      </c>
      <c r="M29" s="1160">
        <v>1975</v>
      </c>
      <c r="N29"/>
      <c r="O29"/>
      <c r="P29"/>
      <c r="Q29"/>
      <c r="R29"/>
      <c r="S29"/>
      <c r="T29"/>
      <c r="U29"/>
    </row>
    <row r="30" spans="1:21" ht="21" customHeight="1">
      <c r="A30" s="4210">
        <v>1976</v>
      </c>
      <c r="B30" s="4177" t="s">
        <v>77</v>
      </c>
      <c r="C30" s="4173" t="s">
        <v>77</v>
      </c>
      <c r="D30" s="4173" t="s">
        <v>77</v>
      </c>
      <c r="E30" s="4173" t="s">
        <v>77</v>
      </c>
      <c r="F30" s="4173">
        <v>1</v>
      </c>
      <c r="G30" s="4173">
        <v>2</v>
      </c>
      <c r="H30" s="4173">
        <v>4</v>
      </c>
      <c r="I30" s="4173" t="s">
        <v>77</v>
      </c>
      <c r="J30" s="4173">
        <v>11</v>
      </c>
      <c r="K30" s="4173">
        <v>7</v>
      </c>
      <c r="L30" s="1415">
        <v>25</v>
      </c>
      <c r="M30" s="1566">
        <v>1976</v>
      </c>
      <c r="N30"/>
      <c r="O30"/>
      <c r="P30"/>
      <c r="Q30"/>
      <c r="R30"/>
      <c r="S30"/>
      <c r="T30"/>
      <c r="U30"/>
    </row>
    <row r="31" spans="1:21" ht="21" customHeight="1">
      <c r="A31" s="4209">
        <v>1977</v>
      </c>
      <c r="B31" s="4175" t="s">
        <v>77</v>
      </c>
      <c r="C31" s="1832" t="s">
        <v>77</v>
      </c>
      <c r="D31" s="1832" t="s">
        <v>77</v>
      </c>
      <c r="E31" s="1832" t="s">
        <v>77</v>
      </c>
      <c r="F31" s="1832">
        <v>1</v>
      </c>
      <c r="G31" s="1832">
        <v>2</v>
      </c>
      <c r="H31" s="1832">
        <v>4</v>
      </c>
      <c r="I31" s="1832" t="s">
        <v>77</v>
      </c>
      <c r="J31" s="1832">
        <v>11</v>
      </c>
      <c r="K31" s="1832">
        <v>7</v>
      </c>
      <c r="L31" s="1833">
        <v>25</v>
      </c>
      <c r="M31" s="1160">
        <v>1977</v>
      </c>
      <c r="N31"/>
      <c r="O31"/>
      <c r="P31"/>
      <c r="Q31"/>
      <c r="R31"/>
      <c r="S31"/>
      <c r="T31"/>
      <c r="U31"/>
    </row>
    <row r="32" spans="1:21" ht="21" customHeight="1">
      <c r="A32" s="4210">
        <v>1978</v>
      </c>
      <c r="B32" s="4177" t="s">
        <v>77</v>
      </c>
      <c r="C32" s="4173" t="s">
        <v>77</v>
      </c>
      <c r="D32" s="4173" t="s">
        <v>77</v>
      </c>
      <c r="E32" s="4173" t="s">
        <v>77</v>
      </c>
      <c r="F32" s="4173">
        <v>1</v>
      </c>
      <c r="G32" s="4173">
        <v>2</v>
      </c>
      <c r="H32" s="4173">
        <v>4</v>
      </c>
      <c r="I32" s="4173" t="s">
        <v>77</v>
      </c>
      <c r="J32" s="4173">
        <v>11</v>
      </c>
      <c r="K32" s="4173">
        <v>7</v>
      </c>
      <c r="L32" s="1415">
        <v>25</v>
      </c>
      <c r="M32" s="1566">
        <v>1978</v>
      </c>
      <c r="N32"/>
      <c r="O32"/>
      <c r="P32"/>
      <c r="Q32"/>
      <c r="R32"/>
      <c r="S32"/>
      <c r="T32"/>
      <c r="U32"/>
    </row>
    <row r="33" spans="1:21" ht="21" customHeight="1">
      <c r="A33" s="4209">
        <v>1979</v>
      </c>
      <c r="B33" s="4175" t="s">
        <v>77</v>
      </c>
      <c r="C33" s="1832" t="s">
        <v>77</v>
      </c>
      <c r="D33" s="1832" t="s">
        <v>77</v>
      </c>
      <c r="E33" s="1832" t="s">
        <v>77</v>
      </c>
      <c r="F33" s="1832">
        <v>1</v>
      </c>
      <c r="G33" s="1832">
        <v>2</v>
      </c>
      <c r="H33" s="1832">
        <v>4</v>
      </c>
      <c r="I33" s="1832" t="s">
        <v>77</v>
      </c>
      <c r="J33" s="1832">
        <v>11</v>
      </c>
      <c r="K33" s="1832">
        <v>7</v>
      </c>
      <c r="L33" s="1833">
        <v>25</v>
      </c>
      <c r="M33" s="1160">
        <v>1979</v>
      </c>
      <c r="N33"/>
      <c r="O33"/>
      <c r="P33"/>
      <c r="Q33"/>
      <c r="R33"/>
      <c r="S33"/>
      <c r="T33"/>
      <c r="U33"/>
    </row>
    <row r="34" spans="1:21" ht="21" customHeight="1">
      <c r="A34" s="4210">
        <v>1980</v>
      </c>
      <c r="B34" s="4177" t="s">
        <v>77</v>
      </c>
      <c r="C34" s="4173" t="s">
        <v>77</v>
      </c>
      <c r="D34" s="4173" t="s">
        <v>77</v>
      </c>
      <c r="E34" s="4173" t="s">
        <v>77</v>
      </c>
      <c r="F34" s="4173">
        <v>1</v>
      </c>
      <c r="G34" s="4173">
        <v>2</v>
      </c>
      <c r="H34" s="4173">
        <v>4</v>
      </c>
      <c r="I34" s="4173" t="s">
        <v>77</v>
      </c>
      <c r="J34" s="4173">
        <v>11</v>
      </c>
      <c r="K34" s="4173">
        <v>7</v>
      </c>
      <c r="L34" s="1415">
        <v>25</v>
      </c>
      <c r="M34" s="1566">
        <v>1980</v>
      </c>
      <c r="N34"/>
      <c r="O34"/>
      <c r="P34"/>
      <c r="Q34"/>
      <c r="R34"/>
      <c r="S34"/>
      <c r="T34"/>
      <c r="U34"/>
    </row>
    <row r="35" spans="1:21" ht="21" customHeight="1">
      <c r="A35" s="4209">
        <v>1981</v>
      </c>
      <c r="B35" s="4175" t="s">
        <v>77</v>
      </c>
      <c r="C35" s="1832" t="s">
        <v>77</v>
      </c>
      <c r="D35" s="1832" t="s">
        <v>77</v>
      </c>
      <c r="E35" s="1832" t="s">
        <v>77</v>
      </c>
      <c r="F35" s="1832">
        <v>1</v>
      </c>
      <c r="G35" s="1832">
        <v>3</v>
      </c>
      <c r="H35" s="1832">
        <v>4</v>
      </c>
      <c r="I35" s="1832" t="s">
        <v>77</v>
      </c>
      <c r="J35" s="1832">
        <v>12</v>
      </c>
      <c r="K35" s="1832">
        <v>7</v>
      </c>
      <c r="L35" s="1833">
        <v>27</v>
      </c>
      <c r="M35" s="1160">
        <v>1981</v>
      </c>
      <c r="N35"/>
      <c r="O35"/>
      <c r="P35"/>
      <c r="Q35"/>
      <c r="R35"/>
      <c r="S35"/>
      <c r="T35"/>
      <c r="U35"/>
    </row>
    <row r="36" spans="1:21" ht="21" customHeight="1">
      <c r="A36" s="4210">
        <v>1982</v>
      </c>
      <c r="B36" s="4177" t="s">
        <v>77</v>
      </c>
      <c r="C36" s="4173" t="s">
        <v>77</v>
      </c>
      <c r="D36" s="4173" t="s">
        <v>77</v>
      </c>
      <c r="E36" s="4173" t="s">
        <v>77</v>
      </c>
      <c r="F36" s="4173">
        <v>1</v>
      </c>
      <c r="G36" s="4173">
        <v>4</v>
      </c>
      <c r="H36" s="4173">
        <v>4</v>
      </c>
      <c r="I36" s="4173" t="s">
        <v>77</v>
      </c>
      <c r="J36" s="4173">
        <v>12</v>
      </c>
      <c r="K36" s="4173">
        <v>7</v>
      </c>
      <c r="L36" s="1415">
        <v>28</v>
      </c>
      <c r="M36" s="1566">
        <v>1982</v>
      </c>
      <c r="N36"/>
      <c r="O36"/>
      <c r="P36"/>
      <c r="Q36"/>
      <c r="R36"/>
      <c r="S36"/>
      <c r="T36"/>
      <c r="U36"/>
    </row>
    <row r="37" spans="1:21" ht="21" customHeight="1">
      <c r="A37" s="4209">
        <v>1983</v>
      </c>
      <c r="B37" s="4175" t="s">
        <v>77</v>
      </c>
      <c r="C37" s="1832" t="s">
        <v>77</v>
      </c>
      <c r="D37" s="1832" t="s">
        <v>77</v>
      </c>
      <c r="E37" s="1832" t="s">
        <v>77</v>
      </c>
      <c r="F37" s="1832">
        <v>1</v>
      </c>
      <c r="G37" s="1832">
        <v>4</v>
      </c>
      <c r="H37" s="1832">
        <v>4</v>
      </c>
      <c r="I37" s="1832" t="s">
        <v>77</v>
      </c>
      <c r="J37" s="1832">
        <v>12</v>
      </c>
      <c r="K37" s="1832">
        <v>7</v>
      </c>
      <c r="L37" s="1833">
        <v>28</v>
      </c>
      <c r="M37" s="1160">
        <v>1983</v>
      </c>
      <c r="N37"/>
      <c r="O37"/>
      <c r="P37"/>
      <c r="Q37"/>
      <c r="R37"/>
      <c r="S37"/>
      <c r="T37"/>
      <c r="U37"/>
    </row>
    <row r="38" spans="1:21" ht="21" customHeight="1">
      <c r="A38" s="4210">
        <v>1984</v>
      </c>
      <c r="B38" s="4177" t="s">
        <v>77</v>
      </c>
      <c r="C38" s="4173" t="s">
        <v>77</v>
      </c>
      <c r="D38" s="4173" t="s">
        <v>77</v>
      </c>
      <c r="E38" s="4173" t="s">
        <v>77</v>
      </c>
      <c r="F38" s="4173">
        <v>1</v>
      </c>
      <c r="G38" s="4173">
        <v>4</v>
      </c>
      <c r="H38" s="4173">
        <v>4</v>
      </c>
      <c r="I38" s="4173" t="s">
        <v>77</v>
      </c>
      <c r="J38" s="4173">
        <v>12</v>
      </c>
      <c r="K38" s="4173">
        <v>7</v>
      </c>
      <c r="L38" s="1415">
        <v>28</v>
      </c>
      <c r="M38" s="1566">
        <v>1984</v>
      </c>
      <c r="N38"/>
      <c r="O38"/>
      <c r="P38"/>
      <c r="Q38"/>
      <c r="R38"/>
      <c r="S38"/>
      <c r="T38"/>
      <c r="U38"/>
    </row>
    <row r="39" spans="1:21" ht="21" customHeight="1">
      <c r="A39" s="4209">
        <v>1985</v>
      </c>
      <c r="B39" s="4175" t="s">
        <v>77</v>
      </c>
      <c r="C39" s="1832" t="s">
        <v>77</v>
      </c>
      <c r="D39" s="1832" t="s">
        <v>77</v>
      </c>
      <c r="E39" s="1832" t="s">
        <v>77</v>
      </c>
      <c r="F39" s="1832">
        <v>1</v>
      </c>
      <c r="G39" s="1832">
        <v>4</v>
      </c>
      <c r="H39" s="1832">
        <v>4</v>
      </c>
      <c r="I39" s="1832" t="s">
        <v>77</v>
      </c>
      <c r="J39" s="1832">
        <v>12</v>
      </c>
      <c r="K39" s="1832">
        <v>7</v>
      </c>
      <c r="L39" s="1833">
        <v>28</v>
      </c>
      <c r="M39" s="1160">
        <v>1985</v>
      </c>
      <c r="N39"/>
      <c r="O39"/>
      <c r="P39"/>
      <c r="Q39"/>
      <c r="R39"/>
      <c r="S39"/>
      <c r="T39"/>
      <c r="U39"/>
    </row>
    <row r="40" spans="1:21" ht="21" customHeight="1">
      <c r="A40" s="4210">
        <v>1986</v>
      </c>
      <c r="B40" s="4177" t="s">
        <v>77</v>
      </c>
      <c r="C40" s="4173" t="s">
        <v>77</v>
      </c>
      <c r="D40" s="4173" t="s">
        <v>77</v>
      </c>
      <c r="E40" s="4173" t="s">
        <v>77</v>
      </c>
      <c r="F40" s="4173">
        <v>1</v>
      </c>
      <c r="G40" s="4173">
        <v>4</v>
      </c>
      <c r="H40" s="4173">
        <v>4</v>
      </c>
      <c r="I40" s="4173" t="s">
        <v>77</v>
      </c>
      <c r="J40" s="4173">
        <v>12</v>
      </c>
      <c r="K40" s="4173">
        <v>9</v>
      </c>
      <c r="L40" s="1415">
        <v>30</v>
      </c>
      <c r="M40" s="1566">
        <v>1986</v>
      </c>
      <c r="N40"/>
      <c r="O40"/>
      <c r="P40"/>
      <c r="Q40"/>
      <c r="R40"/>
      <c r="S40"/>
      <c r="T40"/>
      <c r="U40"/>
    </row>
    <row r="41" spans="1:21" ht="21" customHeight="1">
      <c r="A41" s="4209">
        <v>1987</v>
      </c>
      <c r="B41" s="4175" t="s">
        <v>77</v>
      </c>
      <c r="C41" s="1832" t="s">
        <v>77</v>
      </c>
      <c r="D41" s="1832" t="s">
        <v>77</v>
      </c>
      <c r="E41" s="1832" t="s">
        <v>77</v>
      </c>
      <c r="F41" s="1832">
        <v>1</v>
      </c>
      <c r="G41" s="1832">
        <v>4</v>
      </c>
      <c r="H41" s="1832">
        <v>4</v>
      </c>
      <c r="I41" s="1832" t="s">
        <v>77</v>
      </c>
      <c r="J41" s="1832">
        <v>11</v>
      </c>
      <c r="K41" s="1832">
        <v>9</v>
      </c>
      <c r="L41" s="1833">
        <v>29</v>
      </c>
      <c r="M41" s="1160">
        <v>1987</v>
      </c>
      <c r="N41"/>
      <c r="O41"/>
      <c r="P41"/>
      <c r="Q41"/>
      <c r="R41"/>
      <c r="S41"/>
      <c r="T41"/>
      <c r="U41"/>
    </row>
    <row r="42" spans="1:21" ht="21" customHeight="1">
      <c r="A42" s="4210">
        <v>1988</v>
      </c>
      <c r="B42" s="4177" t="s">
        <v>77</v>
      </c>
      <c r="C42" s="4173" t="s">
        <v>77</v>
      </c>
      <c r="D42" s="4173" t="s">
        <v>77</v>
      </c>
      <c r="E42" s="4173" t="s">
        <v>77</v>
      </c>
      <c r="F42" s="4173">
        <v>1</v>
      </c>
      <c r="G42" s="4173">
        <v>3</v>
      </c>
      <c r="H42" s="4173">
        <v>5</v>
      </c>
      <c r="I42" s="4173" t="s">
        <v>77</v>
      </c>
      <c r="J42" s="4173">
        <v>13</v>
      </c>
      <c r="K42" s="4173">
        <v>9</v>
      </c>
      <c r="L42" s="1415">
        <v>31</v>
      </c>
      <c r="M42" s="1566">
        <v>1988</v>
      </c>
      <c r="N42"/>
      <c r="O42"/>
      <c r="P42"/>
      <c r="Q42"/>
      <c r="R42"/>
      <c r="S42"/>
      <c r="T42"/>
      <c r="U42"/>
    </row>
    <row r="43" spans="1:21" ht="21" customHeight="1">
      <c r="A43" s="4209">
        <v>1989</v>
      </c>
      <c r="B43" s="4175" t="s">
        <v>77</v>
      </c>
      <c r="C43" s="1832" t="s">
        <v>77</v>
      </c>
      <c r="D43" s="1832" t="s">
        <v>77</v>
      </c>
      <c r="E43" s="1832" t="s">
        <v>77</v>
      </c>
      <c r="F43" s="1832">
        <v>1</v>
      </c>
      <c r="G43" s="1832">
        <v>3</v>
      </c>
      <c r="H43" s="1832">
        <v>5</v>
      </c>
      <c r="I43" s="1832" t="s">
        <v>77</v>
      </c>
      <c r="J43" s="1832">
        <v>13</v>
      </c>
      <c r="K43" s="1832">
        <v>9</v>
      </c>
      <c r="L43" s="1833">
        <v>31</v>
      </c>
      <c r="M43" s="1160">
        <v>1989</v>
      </c>
      <c r="N43"/>
      <c r="O43"/>
      <c r="P43"/>
      <c r="Q43"/>
      <c r="R43"/>
      <c r="S43"/>
      <c r="T43"/>
      <c r="U43"/>
    </row>
    <row r="44" spans="1:21" ht="21" customHeight="1">
      <c r="A44" s="4210">
        <v>1990</v>
      </c>
      <c r="B44" s="4177" t="s">
        <v>77</v>
      </c>
      <c r="C44" s="4173" t="s">
        <v>77</v>
      </c>
      <c r="D44" s="4173" t="s">
        <v>77</v>
      </c>
      <c r="E44" s="4173" t="s">
        <v>77</v>
      </c>
      <c r="F44" s="4173">
        <v>1</v>
      </c>
      <c r="G44" s="4173">
        <v>3</v>
      </c>
      <c r="H44" s="4173">
        <v>5</v>
      </c>
      <c r="I44" s="4173" t="s">
        <v>77</v>
      </c>
      <c r="J44" s="4173">
        <v>13</v>
      </c>
      <c r="K44" s="4173">
        <v>18</v>
      </c>
      <c r="L44" s="1415">
        <v>40</v>
      </c>
      <c r="M44" s="1566">
        <v>1990</v>
      </c>
      <c r="N44"/>
      <c r="O44"/>
      <c r="P44"/>
      <c r="Q44"/>
      <c r="R44"/>
      <c r="S44"/>
      <c r="T44"/>
      <c r="U44"/>
    </row>
    <row r="45" spans="1:21" ht="21" customHeight="1">
      <c r="A45" s="4209">
        <v>1991</v>
      </c>
      <c r="B45" s="4175" t="s">
        <v>77</v>
      </c>
      <c r="C45" s="1832" t="s">
        <v>77</v>
      </c>
      <c r="D45" s="1832" t="s">
        <v>77</v>
      </c>
      <c r="E45" s="1832" t="s">
        <v>77</v>
      </c>
      <c r="F45" s="1832">
        <v>1</v>
      </c>
      <c r="G45" s="1832">
        <v>3</v>
      </c>
      <c r="H45" s="1832">
        <v>5</v>
      </c>
      <c r="I45" s="1832" t="s">
        <v>77</v>
      </c>
      <c r="J45" s="1832">
        <v>13</v>
      </c>
      <c r="K45" s="1832">
        <v>18</v>
      </c>
      <c r="L45" s="1833">
        <v>40</v>
      </c>
      <c r="M45" s="1160">
        <v>1991</v>
      </c>
      <c r="N45"/>
      <c r="O45"/>
      <c r="P45"/>
      <c r="Q45"/>
      <c r="R45"/>
      <c r="S45"/>
      <c r="T45"/>
      <c r="U45"/>
    </row>
    <row r="46" spans="1:21" ht="21" customHeight="1">
      <c r="A46" s="4210">
        <v>1992</v>
      </c>
      <c r="B46" s="4177" t="s">
        <v>77</v>
      </c>
      <c r="C46" s="4173" t="s">
        <v>77</v>
      </c>
      <c r="D46" s="4173" t="s">
        <v>77</v>
      </c>
      <c r="E46" s="4173" t="s">
        <v>77</v>
      </c>
      <c r="F46" s="4173">
        <v>1</v>
      </c>
      <c r="G46" s="4173">
        <v>3</v>
      </c>
      <c r="H46" s="4173">
        <v>5</v>
      </c>
      <c r="I46" s="4173" t="s">
        <v>77</v>
      </c>
      <c r="J46" s="4173">
        <v>13</v>
      </c>
      <c r="K46" s="4173">
        <v>18</v>
      </c>
      <c r="L46" s="1415">
        <v>40</v>
      </c>
      <c r="M46" s="1566">
        <v>1992</v>
      </c>
      <c r="N46"/>
      <c r="O46"/>
      <c r="P46"/>
      <c r="Q46"/>
      <c r="R46"/>
      <c r="S46"/>
      <c r="T46"/>
      <c r="U46"/>
    </row>
    <row r="47" spans="1:21" ht="21" customHeight="1">
      <c r="A47" s="4209">
        <v>1993</v>
      </c>
      <c r="B47" s="4175" t="s">
        <v>77</v>
      </c>
      <c r="C47" s="1832" t="s">
        <v>77</v>
      </c>
      <c r="D47" s="1832" t="s">
        <v>77</v>
      </c>
      <c r="E47" s="1832" t="s">
        <v>77</v>
      </c>
      <c r="F47" s="1832">
        <v>1</v>
      </c>
      <c r="G47" s="1832">
        <v>3</v>
      </c>
      <c r="H47" s="1832">
        <v>5</v>
      </c>
      <c r="I47" s="1832" t="s">
        <v>77</v>
      </c>
      <c r="J47" s="1832">
        <v>14</v>
      </c>
      <c r="K47" s="1832">
        <v>18</v>
      </c>
      <c r="L47" s="1833">
        <v>41</v>
      </c>
      <c r="M47" s="1160">
        <v>1993</v>
      </c>
      <c r="N47"/>
      <c r="O47"/>
      <c r="P47"/>
      <c r="Q47"/>
      <c r="R47"/>
      <c r="S47"/>
      <c r="T47"/>
      <c r="U47"/>
    </row>
    <row r="48" spans="1:21" ht="21" customHeight="1">
      <c r="A48" s="4210">
        <v>1994</v>
      </c>
      <c r="B48" s="4177" t="s">
        <v>77</v>
      </c>
      <c r="C48" s="4173" t="s">
        <v>77</v>
      </c>
      <c r="D48" s="4173" t="s">
        <v>77</v>
      </c>
      <c r="E48" s="4173" t="s">
        <v>77</v>
      </c>
      <c r="F48" s="4173">
        <v>2</v>
      </c>
      <c r="G48" s="4173">
        <v>3</v>
      </c>
      <c r="H48" s="4173">
        <v>5</v>
      </c>
      <c r="I48" s="4173" t="s">
        <v>77</v>
      </c>
      <c r="J48" s="4173">
        <v>14</v>
      </c>
      <c r="K48" s="4173">
        <v>19</v>
      </c>
      <c r="L48" s="1415">
        <v>43</v>
      </c>
      <c r="M48" s="1566">
        <v>1994</v>
      </c>
      <c r="N48"/>
      <c r="O48"/>
      <c r="P48"/>
      <c r="Q48"/>
      <c r="R48"/>
      <c r="S48"/>
      <c r="T48"/>
      <c r="U48"/>
    </row>
    <row r="49" spans="1:21" ht="21" customHeight="1">
      <c r="A49" s="4209">
        <v>1995</v>
      </c>
      <c r="B49" s="4175" t="s">
        <v>77</v>
      </c>
      <c r="C49" s="1832" t="s">
        <v>77</v>
      </c>
      <c r="D49" s="1832" t="s">
        <v>77</v>
      </c>
      <c r="E49" s="1832" t="s">
        <v>77</v>
      </c>
      <c r="F49" s="1832">
        <v>2</v>
      </c>
      <c r="G49" s="1832">
        <v>3</v>
      </c>
      <c r="H49" s="1832">
        <v>5</v>
      </c>
      <c r="I49" s="1832" t="s">
        <v>77</v>
      </c>
      <c r="J49" s="1832">
        <v>14</v>
      </c>
      <c r="K49" s="1832">
        <v>19</v>
      </c>
      <c r="L49" s="1833">
        <v>43</v>
      </c>
      <c r="M49" s="1160">
        <v>1995</v>
      </c>
      <c r="N49"/>
      <c r="O49"/>
      <c r="P49"/>
      <c r="Q49"/>
      <c r="R49"/>
      <c r="S49"/>
      <c r="T49"/>
      <c r="U49"/>
    </row>
    <row r="50" spans="1:21" ht="21" customHeight="1">
      <c r="A50" s="4210">
        <f>A49+1</f>
        <v>1996</v>
      </c>
      <c r="B50" s="4177" t="s">
        <v>77</v>
      </c>
      <c r="C50" s="4173" t="s">
        <v>77</v>
      </c>
      <c r="D50" s="4173" t="s">
        <v>77</v>
      </c>
      <c r="E50" s="4173" t="s">
        <v>77</v>
      </c>
      <c r="F50" s="4173">
        <v>2</v>
      </c>
      <c r="G50" s="4173">
        <v>3</v>
      </c>
      <c r="H50" s="4173">
        <v>5</v>
      </c>
      <c r="I50" s="4173" t="s">
        <v>77</v>
      </c>
      <c r="J50" s="4173">
        <v>14</v>
      </c>
      <c r="K50" s="4173">
        <v>19</v>
      </c>
      <c r="L50" s="1415">
        <v>43</v>
      </c>
      <c r="M50" s="1566">
        <f>M49+1</f>
        <v>1996</v>
      </c>
      <c r="N50"/>
      <c r="O50"/>
      <c r="P50"/>
      <c r="Q50"/>
      <c r="R50"/>
      <c r="S50"/>
      <c r="T50"/>
      <c r="U50"/>
    </row>
    <row r="51" spans="1:21" ht="21" customHeight="1">
      <c r="A51" s="4209">
        <f t="shared" ref="A51:A60" si="0">A50+1</f>
        <v>1997</v>
      </c>
      <c r="B51" s="4175" t="s">
        <v>77</v>
      </c>
      <c r="C51" s="1832" t="s">
        <v>77</v>
      </c>
      <c r="D51" s="1832" t="s">
        <v>77</v>
      </c>
      <c r="E51" s="1832" t="s">
        <v>77</v>
      </c>
      <c r="F51" s="1832">
        <v>2</v>
      </c>
      <c r="G51" s="1832">
        <v>3</v>
      </c>
      <c r="H51" s="1832">
        <v>5</v>
      </c>
      <c r="I51" s="1832" t="s">
        <v>77</v>
      </c>
      <c r="J51" s="1832">
        <v>14</v>
      </c>
      <c r="K51" s="1832">
        <v>19</v>
      </c>
      <c r="L51" s="1833">
        <v>43</v>
      </c>
      <c r="M51" s="1160">
        <f t="shared" ref="M51:M58" si="1">M50+1</f>
        <v>1997</v>
      </c>
      <c r="N51"/>
      <c r="O51"/>
      <c r="P51"/>
      <c r="Q51"/>
      <c r="R51"/>
      <c r="S51"/>
      <c r="T51"/>
      <c r="U51"/>
    </row>
    <row r="52" spans="1:21" ht="21" customHeight="1">
      <c r="A52" s="4210">
        <f t="shared" si="0"/>
        <v>1998</v>
      </c>
      <c r="B52" s="4177" t="s">
        <v>77</v>
      </c>
      <c r="C52" s="4173" t="s">
        <v>77</v>
      </c>
      <c r="D52" s="4173" t="s">
        <v>77</v>
      </c>
      <c r="E52" s="4173" t="s">
        <v>77</v>
      </c>
      <c r="F52" s="4173">
        <v>2</v>
      </c>
      <c r="G52" s="4173">
        <v>3</v>
      </c>
      <c r="H52" s="4173">
        <v>5</v>
      </c>
      <c r="I52" s="4173" t="s">
        <v>77</v>
      </c>
      <c r="J52" s="4173">
        <v>12</v>
      </c>
      <c r="K52" s="4173">
        <v>19</v>
      </c>
      <c r="L52" s="1415">
        <v>41</v>
      </c>
      <c r="M52" s="1566">
        <f t="shared" si="1"/>
        <v>1998</v>
      </c>
      <c r="N52"/>
      <c r="O52"/>
      <c r="P52"/>
      <c r="Q52"/>
      <c r="R52"/>
      <c r="S52"/>
      <c r="T52"/>
      <c r="U52"/>
    </row>
    <row r="53" spans="1:21" ht="21" customHeight="1">
      <c r="A53" s="4209">
        <f t="shared" si="0"/>
        <v>1999</v>
      </c>
      <c r="B53" s="4175" t="s">
        <v>77</v>
      </c>
      <c r="C53" s="1832" t="s">
        <v>77</v>
      </c>
      <c r="D53" s="1832" t="s">
        <v>77</v>
      </c>
      <c r="E53" s="1832" t="s">
        <v>77</v>
      </c>
      <c r="F53" s="1832">
        <v>2</v>
      </c>
      <c r="G53" s="1832">
        <v>2</v>
      </c>
      <c r="H53" s="1832">
        <v>5</v>
      </c>
      <c r="I53" s="1832" t="s">
        <v>77</v>
      </c>
      <c r="J53" s="1832">
        <v>13</v>
      </c>
      <c r="K53" s="1832">
        <v>19</v>
      </c>
      <c r="L53" s="1833">
        <v>41</v>
      </c>
      <c r="M53" s="1160">
        <f t="shared" si="1"/>
        <v>1999</v>
      </c>
      <c r="N53"/>
      <c r="O53"/>
      <c r="P53"/>
      <c r="Q53"/>
      <c r="R53"/>
      <c r="S53"/>
      <c r="T53"/>
      <c r="U53"/>
    </row>
    <row r="54" spans="1:21" ht="21" customHeight="1">
      <c r="A54" s="4210">
        <f t="shared" si="0"/>
        <v>2000</v>
      </c>
      <c r="B54" s="4177" t="s">
        <v>77</v>
      </c>
      <c r="C54" s="4173" t="s">
        <v>77</v>
      </c>
      <c r="D54" s="4173" t="s">
        <v>77</v>
      </c>
      <c r="E54" s="4173" t="s">
        <v>77</v>
      </c>
      <c r="F54" s="4173">
        <v>3</v>
      </c>
      <c r="G54" s="4173">
        <v>4</v>
      </c>
      <c r="H54" s="4173">
        <v>4</v>
      </c>
      <c r="I54" s="4173" t="s">
        <v>77</v>
      </c>
      <c r="J54" s="4173">
        <v>12</v>
      </c>
      <c r="K54" s="4173">
        <v>20</v>
      </c>
      <c r="L54" s="1415">
        <v>43</v>
      </c>
      <c r="M54" s="1566">
        <f t="shared" si="1"/>
        <v>2000</v>
      </c>
      <c r="N54"/>
      <c r="O54"/>
      <c r="P54"/>
      <c r="Q54"/>
      <c r="R54"/>
      <c r="S54"/>
      <c r="T54"/>
      <c r="U54"/>
    </row>
    <row r="55" spans="1:21" ht="21" customHeight="1">
      <c r="A55" s="4209">
        <f t="shared" si="0"/>
        <v>2001</v>
      </c>
      <c r="B55" s="4175" t="s">
        <v>77</v>
      </c>
      <c r="C55" s="1832" t="s">
        <v>77</v>
      </c>
      <c r="D55" s="1832" t="s">
        <v>77</v>
      </c>
      <c r="E55" s="1832" t="s">
        <v>77</v>
      </c>
      <c r="F55" s="1832">
        <v>3</v>
      </c>
      <c r="G55" s="1832">
        <v>4</v>
      </c>
      <c r="H55" s="1832">
        <v>3</v>
      </c>
      <c r="I55" s="1832" t="s">
        <v>77</v>
      </c>
      <c r="J55" s="1832">
        <v>11</v>
      </c>
      <c r="K55" s="1832">
        <v>20</v>
      </c>
      <c r="L55" s="1833">
        <v>41</v>
      </c>
      <c r="M55" s="1160">
        <f t="shared" si="1"/>
        <v>2001</v>
      </c>
      <c r="N55"/>
      <c r="O55"/>
      <c r="P55"/>
      <c r="Q55"/>
      <c r="R55"/>
      <c r="S55"/>
      <c r="T55"/>
      <c r="U55"/>
    </row>
    <row r="56" spans="1:21" ht="21" customHeight="1">
      <c r="A56" s="4210">
        <f t="shared" si="0"/>
        <v>2002</v>
      </c>
      <c r="B56" s="4177" t="s">
        <v>77</v>
      </c>
      <c r="C56" s="4173" t="s">
        <v>77</v>
      </c>
      <c r="D56" s="4173" t="s">
        <v>77</v>
      </c>
      <c r="E56" s="4173" t="s">
        <v>77</v>
      </c>
      <c r="F56" s="4173">
        <v>3</v>
      </c>
      <c r="G56" s="4173">
        <v>4</v>
      </c>
      <c r="H56" s="4173">
        <v>3</v>
      </c>
      <c r="I56" s="4173" t="s">
        <v>77</v>
      </c>
      <c r="J56" s="4173">
        <v>11</v>
      </c>
      <c r="K56" s="4173">
        <v>20</v>
      </c>
      <c r="L56" s="1415">
        <v>41</v>
      </c>
      <c r="M56" s="1566">
        <f t="shared" si="1"/>
        <v>2002</v>
      </c>
      <c r="N56"/>
      <c r="O56"/>
      <c r="P56"/>
      <c r="Q56"/>
      <c r="R56"/>
      <c r="S56"/>
      <c r="T56"/>
      <c r="U56"/>
    </row>
    <row r="57" spans="1:21" ht="21" customHeight="1">
      <c r="A57" s="4209">
        <f>A56+1</f>
        <v>2003</v>
      </c>
      <c r="B57" s="4175" t="s">
        <v>77</v>
      </c>
      <c r="C57" s="1832" t="s">
        <v>77</v>
      </c>
      <c r="D57" s="1832" t="s">
        <v>77</v>
      </c>
      <c r="E57" s="1832" t="s">
        <v>77</v>
      </c>
      <c r="F57" s="4163">
        <v>2</v>
      </c>
      <c r="G57" s="4163">
        <v>3</v>
      </c>
      <c r="H57" s="4163">
        <v>2</v>
      </c>
      <c r="I57" s="1832" t="s">
        <v>77</v>
      </c>
      <c r="J57" s="4163">
        <v>7</v>
      </c>
      <c r="K57" s="4163">
        <v>17</v>
      </c>
      <c r="L57" s="1553">
        <v>31</v>
      </c>
      <c r="M57" s="1160">
        <f>M56+1</f>
        <v>2003</v>
      </c>
      <c r="N57"/>
      <c r="O57"/>
      <c r="P57"/>
      <c r="Q57"/>
      <c r="R57"/>
      <c r="S57"/>
      <c r="T57"/>
      <c r="U57"/>
    </row>
    <row r="58" spans="1:21" s="1174" customFormat="1" ht="21" customHeight="1">
      <c r="A58" s="4210">
        <f t="shared" si="0"/>
        <v>2004</v>
      </c>
      <c r="B58" s="4177" t="s">
        <v>77</v>
      </c>
      <c r="C58" s="4173">
        <v>1</v>
      </c>
      <c r="D58" s="4173">
        <v>4</v>
      </c>
      <c r="E58" s="4173">
        <v>1</v>
      </c>
      <c r="F58" s="4173">
        <v>2</v>
      </c>
      <c r="G58" s="4173">
        <v>3</v>
      </c>
      <c r="H58" s="4173">
        <v>2</v>
      </c>
      <c r="I58" s="4173" t="s">
        <v>77</v>
      </c>
      <c r="J58" s="4173">
        <v>7</v>
      </c>
      <c r="K58" s="4173">
        <v>9</v>
      </c>
      <c r="L58" s="1415">
        <v>29</v>
      </c>
      <c r="M58" s="1566">
        <f t="shared" si="1"/>
        <v>2004</v>
      </c>
      <c r="N58"/>
      <c r="O58"/>
      <c r="P58"/>
      <c r="Q58"/>
      <c r="R58"/>
      <c r="S58"/>
      <c r="T58"/>
      <c r="U58" s="1792"/>
    </row>
    <row r="59" spans="1:21" s="1793" customFormat="1" ht="21" customHeight="1">
      <c r="A59" s="4209">
        <f>A58+1</f>
        <v>2005</v>
      </c>
      <c r="B59" s="4175" t="s">
        <v>77</v>
      </c>
      <c r="C59" s="4163">
        <v>1</v>
      </c>
      <c r="D59" s="4163">
        <v>7</v>
      </c>
      <c r="E59" s="4163">
        <v>1</v>
      </c>
      <c r="F59" s="1832">
        <v>2</v>
      </c>
      <c r="G59" s="1832">
        <v>3</v>
      </c>
      <c r="H59" s="1832">
        <v>2</v>
      </c>
      <c r="I59" s="1832" t="s">
        <v>77</v>
      </c>
      <c r="J59" s="1832">
        <v>7</v>
      </c>
      <c r="K59" s="1832">
        <v>8</v>
      </c>
      <c r="L59" s="1833">
        <v>31</v>
      </c>
      <c r="M59" s="1160">
        <f>M58+1</f>
        <v>2005</v>
      </c>
      <c r="N59"/>
      <c r="O59"/>
      <c r="P59"/>
      <c r="Q59"/>
      <c r="R59"/>
      <c r="S59"/>
      <c r="T59"/>
    </row>
    <row r="60" spans="1:21" ht="21" customHeight="1">
      <c r="A60" s="4210">
        <f t="shared" si="0"/>
        <v>2006</v>
      </c>
      <c r="B60" s="4177" t="s">
        <v>77</v>
      </c>
      <c r="C60" s="4173">
        <v>3</v>
      </c>
      <c r="D60" s="4173">
        <v>7</v>
      </c>
      <c r="E60" s="4173">
        <v>1</v>
      </c>
      <c r="F60" s="4173">
        <v>2</v>
      </c>
      <c r="G60" s="4173">
        <v>1</v>
      </c>
      <c r="H60" s="4173">
        <v>2</v>
      </c>
      <c r="I60" s="4173" t="s">
        <v>77</v>
      </c>
      <c r="J60" s="4173">
        <v>8</v>
      </c>
      <c r="K60" s="4173">
        <v>8</v>
      </c>
      <c r="L60" s="1415">
        <v>32</v>
      </c>
      <c r="M60" s="1566">
        <f>M59+1</f>
        <v>2006</v>
      </c>
      <c r="N60"/>
      <c r="O60"/>
      <c r="P60"/>
      <c r="Q60"/>
      <c r="R60"/>
      <c r="S60"/>
      <c r="T60"/>
    </row>
    <row r="61" spans="1:21" ht="21" customHeight="1">
      <c r="A61" s="4209">
        <f>A60+1</f>
        <v>2007</v>
      </c>
      <c r="B61" s="4175" t="s">
        <v>77</v>
      </c>
      <c r="C61" s="4163">
        <v>5</v>
      </c>
      <c r="D61" s="4163">
        <v>7</v>
      </c>
      <c r="E61" s="4163">
        <v>1</v>
      </c>
      <c r="F61" s="4163">
        <v>2</v>
      </c>
      <c r="G61" s="4163">
        <v>2</v>
      </c>
      <c r="H61" s="4163">
        <v>3</v>
      </c>
      <c r="I61" s="1832" t="s">
        <v>77</v>
      </c>
      <c r="J61" s="4163">
        <v>8</v>
      </c>
      <c r="K61" s="4163">
        <v>9</v>
      </c>
      <c r="L61" s="1553">
        <v>37</v>
      </c>
      <c r="M61" s="1160">
        <f>M60+1</f>
        <v>2007</v>
      </c>
      <c r="N61"/>
      <c r="O61"/>
      <c r="P61"/>
      <c r="Q61"/>
      <c r="R61"/>
      <c r="S61"/>
      <c r="T61"/>
    </row>
    <row r="62" spans="1:21" ht="21" customHeight="1">
      <c r="A62" s="4210">
        <v>2008</v>
      </c>
      <c r="B62" s="4177" t="s">
        <v>77</v>
      </c>
      <c r="C62" s="4173">
        <v>6</v>
      </c>
      <c r="D62" s="4173">
        <v>8</v>
      </c>
      <c r="E62" s="4173">
        <v>3</v>
      </c>
      <c r="F62" s="4173">
        <v>2</v>
      </c>
      <c r="G62" s="4173">
        <v>2</v>
      </c>
      <c r="H62" s="4173">
        <v>3</v>
      </c>
      <c r="I62" s="4173" t="s">
        <v>77</v>
      </c>
      <c r="J62" s="4173">
        <v>8</v>
      </c>
      <c r="K62" s="4173">
        <v>9</v>
      </c>
      <c r="L62" s="1415">
        <v>41</v>
      </c>
      <c r="M62" s="1566">
        <v>2008</v>
      </c>
      <c r="N62"/>
      <c r="O62"/>
      <c r="P62"/>
      <c r="Q62"/>
      <c r="R62"/>
      <c r="S62"/>
      <c r="T62"/>
    </row>
    <row r="63" spans="1:21" s="1174" customFormat="1" ht="21" customHeight="1">
      <c r="A63" s="4209">
        <v>2009</v>
      </c>
      <c r="B63" s="4175" t="s">
        <v>77</v>
      </c>
      <c r="C63" s="4163">
        <v>6</v>
      </c>
      <c r="D63" s="4163">
        <v>10</v>
      </c>
      <c r="E63" s="4163">
        <v>5</v>
      </c>
      <c r="F63" s="4163">
        <v>2</v>
      </c>
      <c r="G63" s="4163">
        <v>2</v>
      </c>
      <c r="H63" s="4163">
        <v>4</v>
      </c>
      <c r="I63" s="1832" t="s">
        <v>77</v>
      </c>
      <c r="J63" s="4163">
        <v>5</v>
      </c>
      <c r="K63" s="4163">
        <v>9</v>
      </c>
      <c r="L63" s="1553">
        <v>43</v>
      </c>
      <c r="M63" s="1160">
        <v>2009</v>
      </c>
      <c r="N63" s="1792"/>
      <c r="O63"/>
      <c r="P63"/>
      <c r="Q63"/>
      <c r="R63"/>
      <c r="S63"/>
      <c r="T63"/>
    </row>
    <row r="64" spans="1:21" s="1174" customFormat="1" ht="21" customHeight="1">
      <c r="A64" s="4210">
        <v>2010</v>
      </c>
      <c r="B64" s="4177" t="s">
        <v>77</v>
      </c>
      <c r="C64" s="4173">
        <v>7</v>
      </c>
      <c r="D64" s="4173">
        <v>11</v>
      </c>
      <c r="E64" s="4173">
        <v>5</v>
      </c>
      <c r="F64" s="4173">
        <v>2</v>
      </c>
      <c r="G64" s="4173">
        <v>2</v>
      </c>
      <c r="H64" s="4173">
        <v>6</v>
      </c>
      <c r="I64" s="4173">
        <v>1</v>
      </c>
      <c r="J64" s="4173">
        <v>5</v>
      </c>
      <c r="K64" s="4173">
        <v>9</v>
      </c>
      <c r="L64" s="1415">
        <v>48</v>
      </c>
      <c r="M64" s="1566">
        <v>2010</v>
      </c>
      <c r="N64" s="1792"/>
      <c r="O64"/>
      <c r="P64"/>
      <c r="Q64"/>
      <c r="R64"/>
      <c r="S64"/>
      <c r="T64"/>
    </row>
    <row r="65" spans="1:20" s="1174" customFormat="1" ht="21" customHeight="1">
      <c r="A65" s="4209">
        <v>2011</v>
      </c>
      <c r="B65" s="4175">
        <v>2</v>
      </c>
      <c r="C65" s="4163">
        <v>9</v>
      </c>
      <c r="D65" s="4163">
        <v>11</v>
      </c>
      <c r="E65" s="4163">
        <v>4</v>
      </c>
      <c r="F65" s="4163">
        <v>2</v>
      </c>
      <c r="G65" s="4163">
        <v>2</v>
      </c>
      <c r="H65" s="4163">
        <v>4</v>
      </c>
      <c r="I65" s="4163">
        <v>2</v>
      </c>
      <c r="J65" s="4163">
        <v>6</v>
      </c>
      <c r="K65" s="4163">
        <v>9</v>
      </c>
      <c r="L65" s="1553">
        <v>51</v>
      </c>
      <c r="M65" s="1160">
        <v>2011</v>
      </c>
      <c r="N65" s="1792"/>
      <c r="O65"/>
      <c r="P65"/>
      <c r="Q65"/>
      <c r="R65"/>
      <c r="S65"/>
      <c r="T65"/>
    </row>
    <row r="66" spans="1:20" s="1174" customFormat="1" ht="21" customHeight="1">
      <c r="A66" s="4210">
        <v>2012</v>
      </c>
      <c r="B66" s="4177">
        <v>3</v>
      </c>
      <c r="C66" s="4173">
        <v>11</v>
      </c>
      <c r="D66" s="4173">
        <v>12</v>
      </c>
      <c r="E66" s="4173">
        <v>4</v>
      </c>
      <c r="F66" s="4173">
        <v>2</v>
      </c>
      <c r="G66" s="4173">
        <v>2</v>
      </c>
      <c r="H66" s="4173">
        <v>4</v>
      </c>
      <c r="I66" s="4173">
        <v>2</v>
      </c>
      <c r="J66" s="4173">
        <v>6</v>
      </c>
      <c r="K66" s="4173">
        <v>9</v>
      </c>
      <c r="L66" s="1415">
        <v>55</v>
      </c>
      <c r="M66" s="1566">
        <v>2012</v>
      </c>
      <c r="N66" s="1792"/>
      <c r="O66"/>
      <c r="P66"/>
      <c r="Q66"/>
      <c r="R66"/>
      <c r="S66"/>
      <c r="T66"/>
    </row>
    <row r="67" spans="1:20" s="1174" customFormat="1" ht="21" customHeight="1">
      <c r="A67" s="4209">
        <v>2013</v>
      </c>
      <c r="B67" s="4175">
        <v>3</v>
      </c>
      <c r="C67" s="4163">
        <v>12</v>
      </c>
      <c r="D67" s="4163">
        <v>13</v>
      </c>
      <c r="E67" s="4163">
        <v>3</v>
      </c>
      <c r="F67" s="4163">
        <v>2</v>
      </c>
      <c r="G67" s="4163">
        <v>2</v>
      </c>
      <c r="H67" s="4163">
        <v>4</v>
      </c>
      <c r="I67" s="4163">
        <v>3</v>
      </c>
      <c r="J67" s="4163">
        <v>6</v>
      </c>
      <c r="K67" s="4163">
        <v>9</v>
      </c>
      <c r="L67" s="1553">
        <v>57</v>
      </c>
      <c r="M67" s="1160">
        <v>2013</v>
      </c>
      <c r="N67" s="1792"/>
      <c r="O67"/>
      <c r="P67"/>
      <c r="Q67"/>
      <c r="R67"/>
      <c r="S67"/>
      <c r="T67"/>
    </row>
    <row r="68" spans="1:20" s="1174" customFormat="1" ht="21" customHeight="1">
      <c r="A68" s="4210">
        <v>2014</v>
      </c>
      <c r="B68" s="4177">
        <v>5</v>
      </c>
      <c r="C68" s="4173">
        <v>14</v>
      </c>
      <c r="D68" s="4173">
        <v>13</v>
      </c>
      <c r="E68" s="4173">
        <v>3</v>
      </c>
      <c r="F68" s="4173">
        <v>2</v>
      </c>
      <c r="G68" s="4173">
        <v>2</v>
      </c>
      <c r="H68" s="4173" t="s">
        <v>77</v>
      </c>
      <c r="I68" s="4173">
        <v>3</v>
      </c>
      <c r="J68" s="4173">
        <v>6</v>
      </c>
      <c r="K68" s="4173">
        <v>9</v>
      </c>
      <c r="L68" s="1415">
        <v>57</v>
      </c>
      <c r="M68" s="1566">
        <v>2014</v>
      </c>
      <c r="N68" s="1792"/>
      <c r="O68"/>
      <c r="P68"/>
      <c r="Q68"/>
      <c r="R68"/>
      <c r="S68"/>
      <c r="T68"/>
    </row>
    <row r="69" spans="1:20" s="1174" customFormat="1" ht="21" customHeight="1">
      <c r="A69" s="4209">
        <v>2015</v>
      </c>
      <c r="B69" s="4175">
        <v>6</v>
      </c>
      <c r="C69" s="4163">
        <v>14</v>
      </c>
      <c r="D69" s="4163">
        <v>13</v>
      </c>
      <c r="E69" s="4163">
        <v>3</v>
      </c>
      <c r="F69" s="4163">
        <v>2</v>
      </c>
      <c r="G69" s="4163">
        <v>2</v>
      </c>
      <c r="H69" s="4163" t="s">
        <v>77</v>
      </c>
      <c r="I69" s="4163">
        <v>2</v>
      </c>
      <c r="J69" s="4163">
        <v>6</v>
      </c>
      <c r="K69" s="4163">
        <v>10</v>
      </c>
      <c r="L69" s="1553">
        <v>58</v>
      </c>
      <c r="M69" s="1160">
        <v>2015</v>
      </c>
      <c r="N69" s="1792"/>
      <c r="O69"/>
      <c r="P69"/>
      <c r="Q69"/>
      <c r="R69"/>
      <c r="S69"/>
      <c r="T69"/>
    </row>
    <row r="70" spans="1:20" s="1174" customFormat="1" ht="21" customHeight="1">
      <c r="A70" s="4210">
        <v>2016</v>
      </c>
      <c r="B70" s="4177">
        <v>7</v>
      </c>
      <c r="C70" s="4173">
        <v>14</v>
      </c>
      <c r="D70" s="4173">
        <v>14</v>
      </c>
      <c r="E70" s="4173">
        <v>3</v>
      </c>
      <c r="F70" s="4173">
        <v>2</v>
      </c>
      <c r="G70" s="4173">
        <v>2</v>
      </c>
      <c r="H70" s="4173" t="s">
        <v>77</v>
      </c>
      <c r="I70" s="4173">
        <v>2</v>
      </c>
      <c r="J70" s="4173">
        <v>6</v>
      </c>
      <c r="K70" s="4173">
        <v>11</v>
      </c>
      <c r="L70" s="1415">
        <v>61</v>
      </c>
      <c r="M70" s="1566">
        <v>2016</v>
      </c>
      <c r="N70" s="1792"/>
      <c r="O70"/>
      <c r="P70"/>
      <c r="Q70"/>
      <c r="R70"/>
      <c r="S70"/>
      <c r="T70"/>
    </row>
    <row r="71" spans="1:20" s="1174" customFormat="1" ht="21" customHeight="1">
      <c r="A71" s="4209">
        <v>2017</v>
      </c>
      <c r="B71" s="4175">
        <v>7</v>
      </c>
      <c r="C71" s="4163">
        <v>15</v>
      </c>
      <c r="D71" s="4163">
        <v>14</v>
      </c>
      <c r="E71" s="4163">
        <v>1</v>
      </c>
      <c r="F71" s="4163">
        <v>2</v>
      </c>
      <c r="G71" s="4163">
        <v>2</v>
      </c>
      <c r="H71" s="4163" t="s">
        <v>77</v>
      </c>
      <c r="I71" s="4163">
        <v>2</v>
      </c>
      <c r="J71" s="4163">
        <v>5</v>
      </c>
      <c r="K71" s="4163">
        <v>14</v>
      </c>
      <c r="L71" s="1553">
        <v>62</v>
      </c>
      <c r="M71" s="1160">
        <v>2017</v>
      </c>
      <c r="N71" s="1792"/>
      <c r="O71"/>
      <c r="P71"/>
      <c r="Q71"/>
      <c r="R71"/>
      <c r="S71"/>
      <c r="T71"/>
    </row>
    <row r="72" spans="1:20" s="1174" customFormat="1" ht="21" customHeight="1">
      <c r="A72" s="4210">
        <v>2018</v>
      </c>
      <c r="B72" s="4177">
        <v>10</v>
      </c>
      <c r="C72" s="4173">
        <v>15</v>
      </c>
      <c r="D72" s="4173">
        <v>14</v>
      </c>
      <c r="E72" s="4173">
        <v>1</v>
      </c>
      <c r="F72" s="4173">
        <v>2</v>
      </c>
      <c r="G72" s="4173">
        <v>2</v>
      </c>
      <c r="H72" s="4173" t="s">
        <v>77</v>
      </c>
      <c r="I72" s="4173" t="s">
        <v>77</v>
      </c>
      <c r="J72" s="4173">
        <v>4</v>
      </c>
      <c r="K72" s="4173">
        <v>14</v>
      </c>
      <c r="L72" s="1415">
        <v>62</v>
      </c>
      <c r="M72" s="1566">
        <v>2018</v>
      </c>
      <c r="N72" s="1792"/>
      <c r="O72"/>
      <c r="P72"/>
      <c r="Q72"/>
      <c r="R72"/>
      <c r="S72"/>
      <c r="T72"/>
    </row>
    <row r="73" spans="1:20" s="1174" customFormat="1" ht="21" customHeight="1">
      <c r="A73" s="4209">
        <v>2019</v>
      </c>
      <c r="B73" s="4175">
        <v>10</v>
      </c>
      <c r="C73" s="4163">
        <v>16</v>
      </c>
      <c r="D73" s="4163">
        <v>14</v>
      </c>
      <c r="E73" s="4163">
        <v>1</v>
      </c>
      <c r="F73" s="4163">
        <v>2</v>
      </c>
      <c r="G73" s="4163">
        <v>2</v>
      </c>
      <c r="H73" s="4163" t="s">
        <v>77</v>
      </c>
      <c r="I73" s="4163" t="s">
        <v>77</v>
      </c>
      <c r="J73" s="4163">
        <v>3</v>
      </c>
      <c r="K73" s="4163">
        <v>14</v>
      </c>
      <c r="L73" s="1553">
        <v>62</v>
      </c>
      <c r="M73" s="1160">
        <v>2019</v>
      </c>
      <c r="N73" s="1792"/>
      <c r="O73"/>
      <c r="P73"/>
      <c r="Q73"/>
      <c r="R73"/>
      <c r="S73"/>
      <c r="T73"/>
    </row>
    <row r="74" spans="1:20" s="1174" customFormat="1" ht="21" customHeight="1">
      <c r="A74" s="4309">
        <v>2020</v>
      </c>
      <c r="B74" s="4310">
        <v>10</v>
      </c>
      <c r="C74" s="4306">
        <v>16</v>
      </c>
      <c r="D74" s="4306">
        <v>14</v>
      </c>
      <c r="E74" s="4306">
        <v>1</v>
      </c>
      <c r="F74" s="4306">
        <v>2</v>
      </c>
      <c r="G74" s="4306">
        <v>2</v>
      </c>
      <c r="H74" s="4306" t="s">
        <v>77</v>
      </c>
      <c r="I74" s="4306" t="s">
        <v>77</v>
      </c>
      <c r="J74" s="4306">
        <v>3</v>
      </c>
      <c r="K74" s="4306">
        <v>14</v>
      </c>
      <c r="L74" s="4311">
        <v>62</v>
      </c>
      <c r="M74" s="4312">
        <v>2020</v>
      </c>
      <c r="N74" s="1792"/>
      <c r="O74"/>
      <c r="P74"/>
      <c r="Q74"/>
      <c r="R74"/>
      <c r="S74"/>
      <c r="T74"/>
    </row>
    <row r="75" spans="1:20" s="1174" customFormat="1" ht="6.95" customHeight="1">
      <c r="A75" s="1462"/>
      <c r="B75" s="1834"/>
      <c r="C75" s="1835"/>
      <c r="D75" s="1835"/>
      <c r="E75" s="1835"/>
      <c r="F75" s="1836"/>
      <c r="G75" s="1836"/>
      <c r="H75" s="1836"/>
      <c r="I75" s="1836"/>
      <c r="J75" s="1836"/>
      <c r="K75" s="1836"/>
      <c r="L75" s="1837"/>
      <c r="M75" s="4161"/>
      <c r="N75" s="1792"/>
      <c r="O75"/>
      <c r="P75"/>
      <c r="Q75"/>
      <c r="R75"/>
      <c r="S75"/>
      <c r="T75"/>
    </row>
    <row r="76" spans="1:20" s="1398" customFormat="1" ht="17.100000000000001" customHeight="1">
      <c r="A76" s="4159" t="s">
        <v>2907</v>
      </c>
      <c r="B76" s="1838"/>
      <c r="C76" s="1453"/>
      <c r="D76" s="1453"/>
      <c r="E76" s="1453"/>
      <c r="F76" s="1318"/>
      <c r="G76" s="1318"/>
      <c r="H76" s="1318"/>
      <c r="I76" s="1318"/>
      <c r="J76" s="1318"/>
      <c r="K76" s="1318"/>
      <c r="L76" s="1839"/>
      <c r="M76" s="4160" t="s">
        <v>2379</v>
      </c>
      <c r="N76"/>
      <c r="O76"/>
      <c r="P76"/>
      <c r="Q76"/>
      <c r="R76"/>
      <c r="S76"/>
      <c r="T76"/>
    </row>
    <row r="77" spans="1:20" s="1398" customFormat="1" ht="17.100000000000001" customHeight="1">
      <c r="A77" s="4159" t="s">
        <v>2908</v>
      </c>
      <c r="B77" s="1838"/>
      <c r="C77" s="1318"/>
      <c r="D77" s="1318"/>
      <c r="E77" s="1318"/>
      <c r="F77" s="1318"/>
      <c r="G77" s="1318"/>
      <c r="H77" s="1318"/>
      <c r="I77" s="1318"/>
      <c r="J77" s="1318"/>
      <c r="K77" s="1318"/>
      <c r="L77" s="1839"/>
      <c r="M77" s="1805" t="s">
        <v>2378</v>
      </c>
      <c r="N77"/>
      <c r="O77"/>
      <c r="P77"/>
      <c r="Q77"/>
      <c r="R77"/>
      <c r="S77"/>
      <c r="T77"/>
    </row>
    <row r="78" spans="1:20" s="1801" customFormat="1" ht="17.100000000000001" customHeight="1">
      <c r="A78" s="4159" t="s">
        <v>2909</v>
      </c>
      <c r="B78" s="1840"/>
      <c r="C78" s="1836"/>
      <c r="D78" s="1836"/>
      <c r="E78" s="1841"/>
      <c r="F78" s="1840"/>
      <c r="G78" s="1842"/>
      <c r="H78" s="1842"/>
      <c r="I78" s="1842"/>
      <c r="J78" s="1842"/>
      <c r="K78" s="1842"/>
      <c r="L78" s="1842"/>
      <c r="M78" s="4160" t="s">
        <v>2910</v>
      </c>
      <c r="N78"/>
      <c r="O78"/>
      <c r="P78"/>
      <c r="Q78"/>
      <c r="R78"/>
      <c r="S78"/>
      <c r="T78"/>
    </row>
    <row r="79" spans="1:20" s="1801" customFormat="1">
      <c r="C79" s="1803"/>
      <c r="D79" s="1803"/>
      <c r="E79" s="1803"/>
      <c r="F79" s="1803"/>
      <c r="G79" s="1804"/>
      <c r="H79" s="1804"/>
      <c r="J79"/>
      <c r="K79"/>
      <c r="L79"/>
    </row>
    <row r="80" spans="1:20" s="1801" customFormat="1" ht="36" customHeight="1">
      <c r="C80" s="1803"/>
      <c r="D80" s="1803"/>
      <c r="E80" s="1803"/>
      <c r="F80" s="1803"/>
      <c r="G80" s="1804"/>
      <c r="H80" s="1804"/>
      <c r="J80"/>
      <c r="K80"/>
      <c r="L80"/>
      <c r="M80" s="4158"/>
    </row>
    <row r="81" spans="1:13" s="1801" customFormat="1" ht="36" customHeight="1">
      <c r="C81" s="1803"/>
      <c r="D81" s="1803"/>
      <c r="E81" s="1803"/>
      <c r="F81" s="1803"/>
      <c r="G81" s="1804"/>
      <c r="H81" s="1804"/>
      <c r="J81"/>
      <c r="K81"/>
      <c r="L81"/>
      <c r="M81"/>
    </row>
    <row r="82" spans="1:13" s="1801" customFormat="1" ht="36" customHeight="1">
      <c r="C82" s="1803"/>
      <c r="D82" s="1803"/>
      <c r="E82" s="1803"/>
      <c r="F82" s="1803"/>
      <c r="G82" s="1804"/>
      <c r="H82" s="1804"/>
      <c r="J82"/>
      <c r="K82"/>
      <c r="L82"/>
      <c r="M82"/>
    </row>
    <row r="83" spans="1:13" s="1801" customFormat="1" ht="17.25" customHeight="1">
      <c r="C83" s="1807"/>
      <c r="D83" s="1807"/>
      <c r="E83" s="1807"/>
      <c r="F83" s="1807"/>
      <c r="H83" s="1804"/>
      <c r="J83"/>
      <c r="K83"/>
      <c r="L83"/>
      <c r="M83"/>
    </row>
    <row r="84" spans="1:13" s="1801" customFormat="1" ht="21" customHeight="1">
      <c r="C84" s="1807"/>
      <c r="D84" s="1807"/>
      <c r="E84" s="1807"/>
      <c r="F84" s="1807"/>
      <c r="H84" s="1804"/>
      <c r="J84"/>
      <c r="K84"/>
      <c r="L84"/>
      <c r="M84"/>
    </row>
    <row r="85" spans="1:13" s="1801" customFormat="1" ht="21" customHeight="1">
      <c r="C85" s="1807"/>
      <c r="D85" s="1807"/>
      <c r="E85" s="1807"/>
      <c r="F85" s="1807"/>
      <c r="H85" s="1804"/>
      <c r="J85"/>
      <c r="K85"/>
      <c r="L85"/>
      <c r="M85"/>
    </row>
    <row r="86" spans="1:13" s="1801" customFormat="1" ht="21" customHeight="1">
      <c r="C86" s="1807"/>
      <c r="D86" s="1807"/>
      <c r="E86" s="1807"/>
      <c r="F86" s="1807"/>
      <c r="H86" s="1804"/>
      <c r="J86"/>
      <c r="K86"/>
      <c r="L86"/>
      <c r="M86"/>
    </row>
    <row r="87" spans="1:13" s="1801" customFormat="1" ht="21" customHeight="1">
      <c r="C87" s="1807"/>
      <c r="D87" s="1807"/>
      <c r="E87" s="1807"/>
      <c r="F87" s="1807"/>
      <c r="H87" s="1804"/>
      <c r="J87"/>
      <c r="K87"/>
      <c r="L87"/>
      <c r="M87"/>
    </row>
    <row r="88" spans="1:13" s="1801" customFormat="1" ht="21" customHeight="1">
      <c r="C88" s="1807"/>
      <c r="D88" s="1807"/>
      <c r="E88" s="1807"/>
      <c r="F88" s="1807"/>
      <c r="H88" s="1804"/>
      <c r="J88"/>
      <c r="K88"/>
      <c r="L88"/>
      <c r="M88"/>
    </row>
    <row r="89" spans="1:13" s="1801" customFormat="1" ht="21" customHeight="1">
      <c r="C89" s="1807"/>
      <c r="D89" s="1807"/>
      <c r="E89" s="1807"/>
      <c r="F89" s="1807"/>
      <c r="H89" s="1804"/>
      <c r="J89"/>
      <c r="K89"/>
      <c r="L89"/>
      <c r="M89"/>
    </row>
    <row r="90" spans="1:13" s="1801" customFormat="1" ht="21" customHeight="1">
      <c r="C90" s="1807"/>
      <c r="D90" s="1807"/>
      <c r="E90" s="1807"/>
      <c r="F90" s="1807"/>
      <c r="H90" s="1804"/>
      <c r="J90"/>
      <c r="K90"/>
      <c r="L90"/>
      <c r="M90"/>
    </row>
    <row r="91" spans="1:13" s="1801" customFormat="1" ht="21" customHeight="1">
      <c r="C91" s="1807"/>
      <c r="D91" s="1807"/>
      <c r="E91" s="1807"/>
      <c r="F91" s="1807"/>
      <c r="H91" s="1804"/>
      <c r="J91"/>
      <c r="K91"/>
      <c r="L91"/>
      <c r="M91"/>
    </row>
    <row r="92" spans="1:13" s="1801" customFormat="1" ht="21" customHeight="1">
      <c r="C92" s="1807"/>
      <c r="D92" s="1807"/>
      <c r="E92" s="1807"/>
      <c r="F92" s="1807"/>
      <c r="H92" s="1804"/>
      <c r="J92"/>
      <c r="K92"/>
      <c r="L92"/>
      <c r="M92"/>
    </row>
    <row r="93" spans="1:13" s="1801" customFormat="1" ht="21" customHeight="1">
      <c r="A93" s="1804"/>
      <c r="C93" s="1807"/>
      <c r="D93" s="1807"/>
      <c r="E93" s="1807"/>
      <c r="F93" s="1807"/>
      <c r="H93" s="1804"/>
      <c r="J93"/>
      <c r="K93"/>
      <c r="L93"/>
      <c r="M93"/>
    </row>
    <row r="94" spans="1:13" s="1801" customFormat="1" ht="21" customHeight="1">
      <c r="A94" s="1804"/>
      <c r="C94" s="1807"/>
      <c r="D94" s="1807"/>
      <c r="E94" s="1807"/>
      <c r="F94" s="1807"/>
      <c r="H94" s="1804"/>
      <c r="J94"/>
      <c r="K94"/>
      <c r="L94"/>
      <c r="M94"/>
    </row>
    <row r="95" spans="1:13" s="1801" customFormat="1" ht="21" customHeight="1">
      <c r="A95" s="1804"/>
      <c r="C95" s="1807"/>
      <c r="D95" s="1807"/>
      <c r="E95" s="1807"/>
      <c r="F95" s="1807"/>
      <c r="H95" s="1804"/>
      <c r="J95"/>
      <c r="K95"/>
      <c r="L95"/>
      <c r="M95"/>
    </row>
    <row r="96" spans="1:13" s="1801" customFormat="1" ht="21" customHeight="1">
      <c r="A96" s="1804"/>
      <c r="C96" s="1807"/>
      <c r="D96" s="1807"/>
      <c r="E96" s="1807"/>
      <c r="F96" s="1807"/>
      <c r="H96" s="1804"/>
      <c r="J96"/>
      <c r="K96"/>
      <c r="L96"/>
      <c r="M96"/>
    </row>
    <row r="97" spans="1:13" s="1801" customFormat="1" ht="21" customHeight="1">
      <c r="A97" s="1804"/>
      <c r="C97" s="1807"/>
      <c r="D97" s="1807"/>
      <c r="E97" s="1807"/>
      <c r="F97" s="1807"/>
      <c r="H97" s="1804"/>
      <c r="J97"/>
      <c r="K97"/>
      <c r="L97"/>
      <c r="M97"/>
    </row>
    <row r="98" spans="1:13" s="1801" customFormat="1" ht="21" customHeight="1">
      <c r="A98" s="1804"/>
      <c r="C98" s="1807"/>
      <c r="D98" s="1807"/>
      <c r="E98" s="1807"/>
      <c r="F98" s="1807"/>
      <c r="H98" s="1804"/>
      <c r="J98"/>
      <c r="K98"/>
      <c r="L98"/>
      <c r="M98"/>
    </row>
    <row r="99" spans="1:13" s="1801" customFormat="1" ht="21" customHeight="1">
      <c r="A99" s="1804"/>
      <c r="C99" s="1807"/>
      <c r="D99" s="1807"/>
      <c r="E99" s="1807"/>
      <c r="F99" s="1807"/>
      <c r="H99" s="1804"/>
      <c r="J99"/>
      <c r="K99"/>
      <c r="L99"/>
      <c r="M99"/>
    </row>
    <row r="100" spans="1:13" s="1801" customFormat="1" ht="21" customHeight="1">
      <c r="A100" s="1804"/>
      <c r="C100" s="1807"/>
      <c r="D100" s="1807"/>
      <c r="E100" s="1807"/>
      <c r="F100" s="1807"/>
      <c r="H100" s="1804"/>
      <c r="J100"/>
      <c r="K100"/>
      <c r="L100"/>
      <c r="M100"/>
    </row>
    <row r="101" spans="1:13" s="1801" customFormat="1" ht="21" customHeight="1">
      <c r="A101" s="1804"/>
      <c r="C101" s="1807"/>
      <c r="D101" s="1807"/>
      <c r="E101" s="1807"/>
      <c r="F101" s="1807"/>
      <c r="H101" s="1804"/>
      <c r="J101"/>
      <c r="K101"/>
      <c r="L101"/>
      <c r="M101"/>
    </row>
    <row r="102" spans="1:13" s="1801" customFormat="1" ht="21" customHeight="1">
      <c r="A102" s="1804"/>
      <c r="C102" s="1807"/>
      <c r="D102" s="1807"/>
      <c r="E102" s="1807"/>
      <c r="F102" s="1807"/>
      <c r="H102" s="1804"/>
      <c r="J102"/>
      <c r="K102"/>
      <c r="L102"/>
      <c r="M102"/>
    </row>
    <row r="103" spans="1:13" s="1801" customFormat="1" ht="21" customHeight="1">
      <c r="A103" s="1804"/>
      <c r="C103" s="1807"/>
      <c r="D103" s="1807"/>
      <c r="E103" s="1807"/>
      <c r="F103" s="1807"/>
      <c r="H103" s="1804"/>
      <c r="J103"/>
      <c r="K103"/>
      <c r="L103"/>
      <c r="M103"/>
    </row>
    <row r="104" spans="1:13" s="1801" customFormat="1" ht="21" customHeight="1">
      <c r="A104" s="1804"/>
      <c r="C104" s="1807"/>
      <c r="D104" s="1807"/>
      <c r="E104" s="1807"/>
      <c r="F104" s="1807"/>
      <c r="H104" s="1804"/>
      <c r="J104"/>
      <c r="K104"/>
      <c r="L104"/>
      <c r="M104"/>
    </row>
    <row r="105" spans="1:13" s="1801" customFormat="1" ht="21" customHeight="1">
      <c r="A105" s="1804"/>
      <c r="C105" s="1807"/>
      <c r="D105" s="1807"/>
      <c r="E105" s="1807"/>
      <c r="F105" s="1807"/>
      <c r="H105" s="1804"/>
      <c r="J105"/>
      <c r="K105"/>
      <c r="L105"/>
      <c r="M105"/>
    </row>
    <row r="106" spans="1:13" s="1801" customFormat="1" ht="21" customHeight="1">
      <c r="A106" s="1804"/>
      <c r="C106" s="1807"/>
      <c r="D106" s="1807"/>
      <c r="E106" s="1807"/>
      <c r="F106" s="1807"/>
      <c r="H106" s="1804"/>
      <c r="J106"/>
      <c r="K106"/>
      <c r="L106"/>
      <c r="M106"/>
    </row>
    <row r="107" spans="1:13" s="1801" customFormat="1" ht="21" customHeight="1">
      <c r="A107" s="1804"/>
      <c r="C107" s="1807"/>
      <c r="D107" s="1807"/>
      <c r="E107" s="1807"/>
      <c r="F107" s="1807"/>
      <c r="H107" s="1804"/>
      <c r="J107"/>
      <c r="K107"/>
      <c r="L107"/>
      <c r="M107"/>
    </row>
    <row r="108" spans="1:13" s="1801" customFormat="1" ht="21" customHeight="1">
      <c r="A108" s="1804"/>
      <c r="C108" s="1807"/>
      <c r="D108" s="1807"/>
      <c r="E108" s="1807"/>
      <c r="F108" s="1807"/>
      <c r="H108" s="1804"/>
      <c r="J108"/>
      <c r="K108"/>
      <c r="L108"/>
      <c r="M108"/>
    </row>
    <row r="109" spans="1:13" s="1801" customFormat="1" ht="21" customHeight="1">
      <c r="A109" s="1804"/>
      <c r="C109" s="1807"/>
      <c r="D109" s="1807"/>
      <c r="E109" s="1807"/>
      <c r="F109" s="1807"/>
      <c r="H109" s="1804"/>
      <c r="J109"/>
      <c r="K109"/>
      <c r="L109"/>
      <c r="M109"/>
    </row>
    <row r="110" spans="1:13" s="1801" customFormat="1" ht="21" customHeight="1">
      <c r="A110" s="1804"/>
      <c r="C110" s="1807"/>
      <c r="D110" s="1807"/>
      <c r="E110" s="1807"/>
      <c r="F110" s="1807"/>
      <c r="H110" s="1804"/>
      <c r="J110"/>
      <c r="K110"/>
      <c r="L110"/>
      <c r="M110"/>
    </row>
    <row r="111" spans="1:13" s="1801" customFormat="1" ht="21" customHeight="1">
      <c r="A111" s="1804"/>
      <c r="C111" s="1807"/>
      <c r="D111" s="1807"/>
      <c r="E111" s="1807"/>
      <c r="F111" s="1807"/>
      <c r="H111" s="1804"/>
      <c r="J111"/>
      <c r="K111"/>
      <c r="L111"/>
      <c r="M111"/>
    </row>
    <row r="112" spans="1:13" s="1801" customFormat="1" ht="21" customHeight="1">
      <c r="A112" s="1804"/>
      <c r="C112" s="1807"/>
      <c r="D112" s="1807"/>
      <c r="E112" s="1807"/>
      <c r="F112" s="1807"/>
      <c r="H112" s="1804"/>
      <c r="J112"/>
      <c r="K112"/>
      <c r="L112"/>
      <c r="M112"/>
    </row>
    <row r="113" spans="1:13" s="1801" customFormat="1" ht="21" customHeight="1">
      <c r="A113" s="1804"/>
      <c r="C113" s="1807"/>
      <c r="D113" s="1807"/>
      <c r="E113" s="1807"/>
      <c r="F113" s="1807"/>
      <c r="H113" s="1804"/>
      <c r="J113"/>
      <c r="K113"/>
      <c r="L113"/>
      <c r="M113"/>
    </row>
    <row r="114" spans="1:13" s="1801" customFormat="1" ht="21" customHeight="1">
      <c r="A114" s="1804"/>
      <c r="C114" s="1807"/>
      <c r="D114" s="1807"/>
      <c r="E114" s="1807"/>
      <c r="F114" s="1807"/>
      <c r="H114" s="1804"/>
      <c r="J114"/>
      <c r="K114"/>
      <c r="L114"/>
      <c r="M114"/>
    </row>
    <row r="115" spans="1:13" s="1801" customFormat="1" ht="21" customHeight="1">
      <c r="A115" s="1804"/>
      <c r="C115" s="1807"/>
      <c r="D115" s="1807"/>
      <c r="E115" s="1807"/>
      <c r="F115" s="1807"/>
      <c r="H115" s="1804"/>
      <c r="J115"/>
      <c r="K115"/>
      <c r="L115"/>
      <c r="M115"/>
    </row>
    <row r="116" spans="1:13" s="1801" customFormat="1" ht="21" customHeight="1">
      <c r="A116" s="1804"/>
      <c r="C116" s="1807"/>
      <c r="D116" s="1807"/>
      <c r="E116" s="1807"/>
      <c r="F116" s="1807"/>
      <c r="H116" s="1804"/>
      <c r="J116"/>
      <c r="K116"/>
      <c r="L116"/>
      <c r="M116"/>
    </row>
    <row r="117" spans="1:13" s="1801" customFormat="1" ht="21" customHeight="1">
      <c r="A117" s="1804"/>
      <c r="C117" s="1807"/>
      <c r="D117" s="1807"/>
      <c r="E117" s="1807"/>
      <c r="F117" s="1807"/>
      <c r="H117" s="1804"/>
      <c r="J117"/>
      <c r="K117"/>
      <c r="L117"/>
      <c r="M117"/>
    </row>
    <row r="118" spans="1:13" s="1801" customFormat="1" ht="21" customHeight="1">
      <c r="A118" s="1804"/>
      <c r="C118" s="1807"/>
      <c r="D118" s="1807"/>
      <c r="E118" s="1807"/>
      <c r="F118" s="1807"/>
      <c r="H118" s="1804"/>
      <c r="J118"/>
      <c r="K118"/>
      <c r="L118"/>
      <c r="M118"/>
    </row>
    <row r="119" spans="1:13" s="1801" customFormat="1" ht="21" customHeight="1">
      <c r="A119" s="1804"/>
      <c r="C119" s="1807"/>
      <c r="D119" s="1807"/>
      <c r="E119" s="1807"/>
      <c r="F119" s="1807"/>
      <c r="H119" s="1804"/>
      <c r="J119"/>
      <c r="K119"/>
      <c r="L119"/>
      <c r="M119"/>
    </row>
    <row r="120" spans="1:13" s="1801" customFormat="1" ht="21" customHeight="1">
      <c r="A120" s="1804"/>
      <c r="C120" s="1807"/>
      <c r="D120" s="1807"/>
      <c r="E120" s="1807"/>
      <c r="F120" s="1807"/>
      <c r="H120" s="1804"/>
      <c r="J120"/>
      <c r="K120"/>
      <c r="L120"/>
      <c r="M120"/>
    </row>
    <row r="121" spans="1:13" s="1801" customFormat="1" ht="21" customHeight="1">
      <c r="A121" s="1804"/>
      <c r="C121" s="1807"/>
      <c r="D121" s="1807"/>
      <c r="E121" s="1807"/>
      <c r="F121" s="1807"/>
      <c r="H121" s="1804"/>
      <c r="J121"/>
      <c r="K121"/>
      <c r="L121"/>
      <c r="M121"/>
    </row>
    <row r="122" spans="1:13" s="1801" customFormat="1" ht="21" customHeight="1">
      <c r="A122" s="1804"/>
      <c r="C122" s="1807"/>
      <c r="D122" s="1807"/>
      <c r="E122" s="1807"/>
      <c r="F122" s="1807"/>
      <c r="H122" s="1804"/>
      <c r="J122"/>
      <c r="K122"/>
      <c r="L122"/>
      <c r="M122"/>
    </row>
    <row r="123" spans="1:13" s="1801" customFormat="1" ht="6" customHeight="1">
      <c r="A123" s="1804"/>
      <c r="C123" s="1807"/>
      <c r="D123" s="1807"/>
      <c r="E123" s="1807"/>
      <c r="F123" s="1807"/>
      <c r="H123" s="1804"/>
      <c r="J123"/>
      <c r="K123"/>
      <c r="L123"/>
      <c r="M123"/>
    </row>
    <row r="124" spans="1:13" s="1801" customFormat="1" ht="6" customHeight="1">
      <c r="H124" s="1808"/>
      <c r="J124"/>
      <c r="K124"/>
      <c r="L124"/>
      <c r="M124"/>
    </row>
    <row r="125" spans="1:13" s="1801" customFormat="1">
      <c r="G125" s="1810"/>
      <c r="H125" s="1811"/>
      <c r="J125"/>
      <c r="K125"/>
      <c r="L125"/>
      <c r="M125"/>
    </row>
    <row r="126" spans="1:13" s="1801" customFormat="1">
      <c r="G126" s="1810"/>
      <c r="H126" s="1811"/>
      <c r="J126"/>
      <c r="K126"/>
      <c r="L126"/>
      <c r="M126"/>
    </row>
    <row r="127" spans="1:13" s="1801" customFormat="1">
      <c r="G127" s="1810"/>
      <c r="H127" s="1811"/>
      <c r="J127"/>
      <c r="K127"/>
      <c r="L127"/>
      <c r="M127"/>
    </row>
    <row r="128" spans="1:13" s="1801" customFormat="1">
      <c r="G128" s="1810"/>
      <c r="H128" s="1811"/>
      <c r="J128"/>
      <c r="K128"/>
      <c r="L128"/>
      <c r="M128"/>
    </row>
    <row r="129" spans="3:13" s="1801" customFormat="1">
      <c r="G129" s="1810"/>
      <c r="H129" s="1811"/>
      <c r="J129"/>
      <c r="K129"/>
      <c r="L129"/>
      <c r="M129"/>
    </row>
    <row r="130" spans="3:13" s="1801" customFormat="1">
      <c r="G130" s="1812"/>
      <c r="J130"/>
      <c r="K130"/>
      <c r="L130"/>
      <c r="M130"/>
    </row>
    <row r="131" spans="3:13" s="1801" customFormat="1">
      <c r="G131" s="1310"/>
      <c r="H131" s="1310"/>
      <c r="J131"/>
      <c r="K131"/>
      <c r="L131"/>
      <c r="M131"/>
    </row>
    <row r="132" spans="3:13" s="1801" customFormat="1">
      <c r="C132" s="1812"/>
      <c r="D132" s="1810"/>
      <c r="E132" s="1810"/>
      <c r="G132" s="1310"/>
      <c r="H132" s="1310"/>
      <c r="J132"/>
      <c r="K132"/>
      <c r="L132"/>
      <c r="M132"/>
    </row>
    <row r="133" spans="3:13" s="1801" customFormat="1">
      <c r="C133" s="1310"/>
      <c r="D133" s="1310"/>
      <c r="E133" s="1310"/>
      <c r="G133" s="1310"/>
      <c r="H133" s="1310"/>
      <c r="J133"/>
      <c r="K133"/>
      <c r="L133"/>
      <c r="M133"/>
    </row>
    <row r="134" spans="3:13" s="1801" customFormat="1">
      <c r="H134" s="1808"/>
      <c r="J134"/>
      <c r="K134"/>
      <c r="L134"/>
      <c r="M134"/>
    </row>
    <row r="135" spans="3:13" s="1801" customFormat="1">
      <c r="H135" s="1808"/>
      <c r="J135"/>
      <c r="K135"/>
      <c r="L135"/>
      <c r="M135"/>
    </row>
    <row r="136" spans="3:13" s="1801" customFormat="1">
      <c r="H136" s="1808"/>
      <c r="J136"/>
      <c r="K136"/>
      <c r="L136"/>
      <c r="M136"/>
    </row>
    <row r="137" spans="3:13" s="1801" customFormat="1">
      <c r="H137" s="1808"/>
      <c r="J137"/>
      <c r="K137"/>
      <c r="L137"/>
      <c r="M137"/>
    </row>
    <row r="138" spans="3:13" s="1801" customFormat="1">
      <c r="H138" s="1808"/>
      <c r="J138"/>
      <c r="K138"/>
      <c r="L138"/>
      <c r="M138"/>
    </row>
    <row r="139" spans="3:13" s="1801" customFormat="1">
      <c r="H139" s="1808"/>
      <c r="J139"/>
      <c r="K139"/>
      <c r="L139"/>
      <c r="M139"/>
    </row>
    <row r="140" spans="3:13" s="1801" customFormat="1">
      <c r="H140" s="1808"/>
      <c r="J140"/>
      <c r="K140"/>
      <c r="L140"/>
      <c r="M140"/>
    </row>
    <row r="141" spans="3:13" s="1801" customFormat="1">
      <c r="H141" s="1808"/>
      <c r="J141"/>
      <c r="K141"/>
      <c r="L141"/>
      <c r="M141"/>
    </row>
    <row r="142" spans="3:13" s="1801" customFormat="1">
      <c r="H142" s="1808"/>
      <c r="J142"/>
      <c r="K142"/>
      <c r="L142"/>
      <c r="M142"/>
    </row>
    <row r="143" spans="3:13" s="1801" customFormat="1">
      <c r="H143" s="1808"/>
      <c r="J143"/>
      <c r="K143"/>
      <c r="L143"/>
      <c r="M143"/>
    </row>
    <row r="144" spans="3:13" s="1801" customFormat="1">
      <c r="H144" s="1808"/>
      <c r="J144"/>
      <c r="K144"/>
      <c r="L144"/>
      <c r="M144"/>
    </row>
    <row r="145" spans="8:13" s="1801" customFormat="1">
      <c r="H145" s="1808"/>
      <c r="J145"/>
      <c r="K145"/>
      <c r="L145"/>
      <c r="M145"/>
    </row>
    <row r="146" spans="8:13" s="1801" customFormat="1">
      <c r="H146" s="1808"/>
      <c r="J146"/>
      <c r="K146"/>
      <c r="L146"/>
      <c r="M146"/>
    </row>
    <row r="147" spans="8:13" s="1801" customFormat="1">
      <c r="H147" s="1808"/>
      <c r="J147"/>
      <c r="K147"/>
      <c r="L147"/>
      <c r="M147"/>
    </row>
    <row r="148" spans="8:13" s="1801" customFormat="1">
      <c r="H148" s="1808"/>
      <c r="J148"/>
      <c r="K148"/>
      <c r="L148"/>
      <c r="M148"/>
    </row>
    <row r="149" spans="8:13" s="1801" customFormat="1">
      <c r="H149" s="1808"/>
      <c r="J149"/>
      <c r="K149"/>
      <c r="L149"/>
      <c r="M149"/>
    </row>
    <row r="150" spans="8:13" s="1801" customFormat="1">
      <c r="H150" s="1808"/>
      <c r="J150"/>
      <c r="K150"/>
      <c r="L150"/>
      <c r="M150"/>
    </row>
    <row r="151" spans="8:13" s="1801" customFormat="1">
      <c r="H151" s="1808"/>
      <c r="J151"/>
      <c r="K151"/>
      <c r="L151"/>
      <c r="M151"/>
    </row>
    <row r="152" spans="8:13" s="1801" customFormat="1">
      <c r="H152" s="1808"/>
      <c r="J152"/>
      <c r="K152"/>
      <c r="L152"/>
      <c r="M152"/>
    </row>
    <row r="153" spans="8:13" s="1801" customFormat="1">
      <c r="H153" s="1808"/>
      <c r="J153"/>
      <c r="K153"/>
      <c r="L153"/>
      <c r="M153"/>
    </row>
    <row r="154" spans="8:13" s="1801" customFormat="1">
      <c r="H154" s="1808"/>
      <c r="J154"/>
      <c r="K154"/>
      <c r="L154"/>
      <c r="M154"/>
    </row>
    <row r="155" spans="8:13" s="1801" customFormat="1">
      <c r="H155" s="1808"/>
      <c r="J155"/>
      <c r="K155"/>
      <c r="L155"/>
      <c r="M155"/>
    </row>
    <row r="156" spans="8:13" s="1801" customFormat="1">
      <c r="H156" s="1808"/>
      <c r="J156"/>
      <c r="K156"/>
      <c r="L156"/>
      <c r="M156"/>
    </row>
    <row r="157" spans="8:13" s="1801" customFormat="1">
      <c r="H157" s="1808"/>
      <c r="J157"/>
      <c r="K157"/>
      <c r="L157"/>
      <c r="M157"/>
    </row>
    <row r="158" spans="8:13" s="1801" customFormat="1">
      <c r="H158" s="1808"/>
      <c r="J158"/>
      <c r="K158"/>
      <c r="L158"/>
      <c r="M158"/>
    </row>
    <row r="159" spans="8:13" s="1801" customFormat="1">
      <c r="H159" s="1808"/>
      <c r="J159"/>
      <c r="K159"/>
      <c r="L159"/>
      <c r="M159"/>
    </row>
    <row r="160" spans="8:13" s="1801" customFormat="1">
      <c r="H160" s="1808"/>
      <c r="J160"/>
      <c r="K160"/>
      <c r="L160"/>
      <c r="M160"/>
    </row>
    <row r="161" spans="8:13" s="1801" customFormat="1">
      <c r="H161" s="1808"/>
      <c r="J161"/>
      <c r="K161"/>
      <c r="L161"/>
      <c r="M161"/>
    </row>
    <row r="162" spans="8:13" s="1801" customFormat="1">
      <c r="H162" s="1808"/>
      <c r="J162"/>
      <c r="K162"/>
      <c r="L162"/>
      <c r="M162"/>
    </row>
    <row r="163" spans="8:13" s="1801" customFormat="1">
      <c r="H163" s="1808"/>
      <c r="J163"/>
      <c r="K163"/>
      <c r="L163"/>
      <c r="M163"/>
    </row>
    <row r="164" spans="8:13" s="1801" customFormat="1">
      <c r="H164" s="1808"/>
      <c r="J164"/>
      <c r="K164"/>
      <c r="L164"/>
      <c r="M164"/>
    </row>
    <row r="165" spans="8:13" s="1801" customFormat="1">
      <c r="H165" s="1808"/>
      <c r="J165"/>
      <c r="K165"/>
      <c r="L165"/>
      <c r="M165"/>
    </row>
    <row r="166" spans="8:13" s="1801" customFormat="1">
      <c r="H166" s="1808"/>
      <c r="J166"/>
      <c r="K166"/>
      <c r="L166"/>
      <c r="M166"/>
    </row>
    <row r="167" spans="8:13" s="1801" customFormat="1">
      <c r="H167" s="1808"/>
      <c r="J167"/>
      <c r="K167"/>
      <c r="L167"/>
      <c r="M167"/>
    </row>
    <row r="168" spans="8:13" s="1801" customFormat="1">
      <c r="H168" s="1808"/>
      <c r="J168"/>
      <c r="K168"/>
      <c r="L168"/>
      <c r="M168"/>
    </row>
    <row r="169" spans="8:13" s="1801" customFormat="1">
      <c r="H169" s="1808"/>
      <c r="J169"/>
      <c r="K169"/>
      <c r="L169"/>
      <c r="M169"/>
    </row>
    <row r="170" spans="8:13" s="1801" customFormat="1">
      <c r="H170" s="1808"/>
      <c r="J170"/>
      <c r="K170"/>
      <c r="L170"/>
      <c r="M170"/>
    </row>
    <row r="171" spans="8:13" s="1801" customFormat="1">
      <c r="H171" s="1808"/>
      <c r="J171"/>
      <c r="K171"/>
      <c r="L171"/>
      <c r="M171"/>
    </row>
    <row r="172" spans="8:13" s="1801" customFormat="1">
      <c r="H172" s="1808"/>
      <c r="J172"/>
      <c r="K172"/>
      <c r="L172"/>
      <c r="M172"/>
    </row>
    <row r="173" spans="8:13" s="1801" customFormat="1">
      <c r="H173" s="1808"/>
      <c r="J173"/>
      <c r="K173"/>
      <c r="L173"/>
      <c r="M173"/>
    </row>
    <row r="174" spans="8:13" s="1801" customFormat="1">
      <c r="H174" s="1808"/>
      <c r="J174"/>
      <c r="K174"/>
      <c r="L174"/>
      <c r="M174"/>
    </row>
    <row r="175" spans="8:13" s="1801" customFormat="1">
      <c r="H175" s="1808"/>
      <c r="J175"/>
      <c r="K175"/>
      <c r="L175"/>
      <c r="M175"/>
    </row>
    <row r="176" spans="8:13" s="1801" customFormat="1">
      <c r="H176" s="1808"/>
      <c r="J176"/>
      <c r="K176"/>
      <c r="L176"/>
      <c r="M176"/>
    </row>
    <row r="177" spans="8:13" s="1801" customFormat="1">
      <c r="H177" s="1808"/>
      <c r="J177"/>
      <c r="K177"/>
      <c r="L177"/>
      <c r="M177"/>
    </row>
    <row r="178" spans="8:13" s="1801" customFormat="1">
      <c r="H178" s="1808"/>
      <c r="J178"/>
      <c r="K178"/>
      <c r="L178"/>
      <c r="M178"/>
    </row>
    <row r="179" spans="8:13" s="1801" customFormat="1">
      <c r="H179" s="1808"/>
      <c r="J179"/>
      <c r="K179"/>
      <c r="L179"/>
      <c r="M179"/>
    </row>
    <row r="180" spans="8:13" s="1801" customFormat="1">
      <c r="H180" s="1808"/>
      <c r="J180"/>
      <c r="K180"/>
      <c r="L180"/>
      <c r="M180"/>
    </row>
    <row r="181" spans="8:13" s="1801" customFormat="1">
      <c r="H181" s="1808"/>
      <c r="J181"/>
      <c r="K181"/>
      <c r="L181"/>
      <c r="M181"/>
    </row>
    <row r="182" spans="8:13" s="1801" customFormat="1">
      <c r="H182" s="1808"/>
      <c r="J182"/>
      <c r="K182"/>
      <c r="L182"/>
      <c r="M182"/>
    </row>
    <row r="183" spans="8:13" s="1801" customFormat="1">
      <c r="H183" s="1808"/>
      <c r="J183"/>
      <c r="K183"/>
      <c r="L183"/>
      <c r="M183"/>
    </row>
    <row r="184" spans="8:13" s="1801" customFormat="1">
      <c r="H184" s="1808"/>
      <c r="J184"/>
      <c r="K184"/>
      <c r="L184"/>
      <c r="M184"/>
    </row>
    <row r="185" spans="8:13" s="1801" customFormat="1">
      <c r="H185" s="1808"/>
      <c r="J185"/>
      <c r="K185"/>
      <c r="L185"/>
      <c r="M185"/>
    </row>
    <row r="186" spans="8:13" s="1801" customFormat="1">
      <c r="H186" s="1808"/>
      <c r="J186"/>
      <c r="K186"/>
      <c r="L186"/>
      <c r="M186"/>
    </row>
    <row r="187" spans="8:13" s="1801" customFormat="1">
      <c r="H187" s="1808"/>
      <c r="J187"/>
      <c r="K187"/>
      <c r="L187"/>
      <c r="M187"/>
    </row>
    <row r="188" spans="8:13" s="1801" customFormat="1">
      <c r="H188" s="1808"/>
      <c r="J188"/>
      <c r="K188"/>
      <c r="L188"/>
      <c r="M188"/>
    </row>
    <row r="189" spans="8:13" s="1801" customFormat="1">
      <c r="H189" s="1808"/>
      <c r="J189"/>
      <c r="K189"/>
      <c r="L189"/>
      <c r="M189"/>
    </row>
    <row r="190" spans="8:13" s="1801" customFormat="1">
      <c r="H190" s="1808"/>
      <c r="J190"/>
      <c r="K190"/>
      <c r="L190"/>
      <c r="M190"/>
    </row>
    <row r="191" spans="8:13" s="1801" customFormat="1">
      <c r="H191" s="1808"/>
      <c r="J191"/>
      <c r="K191"/>
      <c r="L191"/>
      <c r="M191"/>
    </row>
    <row r="192" spans="8:13" s="1801" customFormat="1">
      <c r="H192" s="1808"/>
      <c r="J192"/>
      <c r="K192"/>
      <c r="L192"/>
      <c r="M192"/>
    </row>
    <row r="193" spans="8:13" s="1801" customFormat="1">
      <c r="H193" s="1808"/>
      <c r="J193"/>
      <c r="K193"/>
      <c r="L193"/>
      <c r="M193"/>
    </row>
    <row r="194" spans="8:13" s="1801" customFormat="1">
      <c r="H194" s="1808"/>
      <c r="J194"/>
      <c r="K194"/>
      <c r="L194"/>
      <c r="M194"/>
    </row>
    <row r="195" spans="8:13" s="1801" customFormat="1">
      <c r="H195" s="1808"/>
      <c r="J195"/>
      <c r="K195"/>
      <c r="L195"/>
      <c r="M195"/>
    </row>
    <row r="196" spans="8:13" s="1801" customFormat="1">
      <c r="H196" s="1808"/>
      <c r="J196"/>
      <c r="K196"/>
      <c r="L196"/>
      <c r="M196"/>
    </row>
    <row r="197" spans="8:13" s="1801" customFormat="1">
      <c r="H197" s="1808"/>
      <c r="J197"/>
      <c r="K197"/>
      <c r="L197"/>
      <c r="M197"/>
    </row>
    <row r="198" spans="8:13" s="1801" customFormat="1">
      <c r="H198" s="1808"/>
      <c r="J198"/>
      <c r="K198"/>
      <c r="L198"/>
      <c r="M198"/>
    </row>
    <row r="199" spans="8:13" s="1801" customFormat="1">
      <c r="H199" s="1808"/>
      <c r="J199"/>
      <c r="K199"/>
      <c r="L199"/>
      <c r="M199"/>
    </row>
    <row r="200" spans="8:13" s="1801" customFormat="1">
      <c r="H200" s="1808"/>
      <c r="J200"/>
      <c r="K200"/>
      <c r="L200"/>
      <c r="M200"/>
    </row>
    <row r="201" spans="8:13" s="1801" customFormat="1">
      <c r="H201" s="1808"/>
      <c r="J201"/>
      <c r="K201"/>
      <c r="L201"/>
      <c r="M201"/>
    </row>
    <row r="202" spans="8:13" s="1801" customFormat="1">
      <c r="H202" s="1808"/>
      <c r="J202"/>
      <c r="K202"/>
      <c r="L202"/>
      <c r="M202"/>
    </row>
    <row r="203" spans="8:13" s="1801" customFormat="1">
      <c r="H203" s="1808"/>
      <c r="J203"/>
      <c r="K203"/>
      <c r="L203"/>
      <c r="M203"/>
    </row>
    <row r="204" spans="8:13" s="1801" customFormat="1">
      <c r="H204" s="1808"/>
      <c r="J204"/>
      <c r="K204"/>
      <c r="L204"/>
      <c r="M204"/>
    </row>
    <row r="205" spans="8:13" s="1801" customFormat="1">
      <c r="H205" s="1808"/>
      <c r="J205"/>
      <c r="K205"/>
      <c r="L205"/>
      <c r="M205"/>
    </row>
    <row r="206" spans="8:13" s="1801" customFormat="1">
      <c r="H206" s="1808"/>
      <c r="J206"/>
      <c r="K206"/>
      <c r="L206"/>
      <c r="M206"/>
    </row>
    <row r="207" spans="8:13" s="1801" customFormat="1">
      <c r="H207" s="1808"/>
      <c r="J207"/>
      <c r="K207"/>
      <c r="L207"/>
      <c r="M207"/>
    </row>
    <row r="208" spans="8:13" s="1801" customFormat="1">
      <c r="H208" s="1808"/>
      <c r="J208"/>
      <c r="K208"/>
      <c r="L208"/>
      <c r="M208"/>
    </row>
    <row r="209" spans="8:13" s="1801" customFormat="1">
      <c r="H209" s="1808"/>
      <c r="J209"/>
      <c r="K209"/>
      <c r="L209"/>
      <c r="M209"/>
    </row>
    <row r="210" spans="8:13" s="1801" customFormat="1">
      <c r="H210" s="1808"/>
      <c r="J210"/>
      <c r="K210"/>
      <c r="L210"/>
      <c r="M210"/>
    </row>
    <row r="211" spans="8:13" s="1801" customFormat="1">
      <c r="H211" s="1808"/>
      <c r="J211"/>
      <c r="K211"/>
      <c r="L211"/>
      <c r="M211"/>
    </row>
    <row r="212" spans="8:13" s="1801" customFormat="1">
      <c r="H212" s="1808"/>
      <c r="J212"/>
      <c r="K212"/>
      <c r="L212"/>
      <c r="M212"/>
    </row>
    <row r="213" spans="8:13" s="1801" customFormat="1">
      <c r="H213" s="1808"/>
      <c r="J213"/>
      <c r="K213"/>
      <c r="L213"/>
      <c r="M213"/>
    </row>
    <row r="214" spans="8:13" s="1801" customFormat="1">
      <c r="H214" s="1808"/>
      <c r="J214"/>
      <c r="K214"/>
      <c r="L214"/>
      <c r="M214"/>
    </row>
    <row r="215" spans="8:13" s="1801" customFormat="1">
      <c r="H215" s="1808"/>
      <c r="J215"/>
      <c r="K215"/>
      <c r="L215"/>
      <c r="M215"/>
    </row>
    <row r="216" spans="8:13" s="1801" customFormat="1">
      <c r="H216" s="1808"/>
      <c r="J216"/>
      <c r="K216"/>
      <c r="L216"/>
      <c r="M216"/>
    </row>
    <row r="217" spans="8:13" s="1801" customFormat="1">
      <c r="H217" s="1808"/>
      <c r="J217"/>
      <c r="K217"/>
      <c r="L217"/>
      <c r="M217"/>
    </row>
    <row r="218" spans="8:13" s="1801" customFormat="1">
      <c r="H218" s="1808"/>
      <c r="J218"/>
      <c r="K218"/>
      <c r="L218"/>
      <c r="M218"/>
    </row>
    <row r="219" spans="8:13" s="1801" customFormat="1">
      <c r="H219" s="1808"/>
      <c r="J219"/>
      <c r="K219"/>
      <c r="L219"/>
      <c r="M219"/>
    </row>
    <row r="220" spans="8:13" s="1801" customFormat="1">
      <c r="H220" s="1808"/>
      <c r="J220"/>
      <c r="K220"/>
      <c r="L220"/>
      <c r="M220"/>
    </row>
    <row r="221" spans="8:13" s="1801" customFormat="1">
      <c r="H221" s="1808"/>
      <c r="J221"/>
      <c r="K221"/>
      <c r="L221"/>
      <c r="M221"/>
    </row>
    <row r="222" spans="8:13" s="1801" customFormat="1">
      <c r="H222" s="1808"/>
      <c r="J222"/>
      <c r="K222"/>
      <c r="L222"/>
      <c r="M222"/>
    </row>
    <row r="223" spans="8:13" s="1801" customFormat="1">
      <c r="H223" s="1808"/>
      <c r="J223"/>
      <c r="K223"/>
      <c r="L223"/>
      <c r="M223"/>
    </row>
    <row r="224" spans="8:13" s="1801" customFormat="1">
      <c r="H224" s="1808"/>
      <c r="J224"/>
      <c r="K224"/>
      <c r="L224"/>
      <c r="M224"/>
    </row>
    <row r="225" spans="8:13" s="1801" customFormat="1">
      <c r="H225" s="1808"/>
      <c r="J225"/>
      <c r="K225"/>
      <c r="L225"/>
      <c r="M225"/>
    </row>
    <row r="226" spans="8:13" s="1801" customFormat="1">
      <c r="H226" s="1808"/>
      <c r="J226"/>
      <c r="K226"/>
      <c r="L226"/>
      <c r="M226"/>
    </row>
    <row r="227" spans="8:13" s="1801" customFormat="1">
      <c r="H227" s="1808"/>
      <c r="J227"/>
      <c r="K227"/>
      <c r="L227"/>
      <c r="M227"/>
    </row>
    <row r="228" spans="8:13" s="1801" customFormat="1">
      <c r="H228" s="1808"/>
      <c r="J228"/>
      <c r="K228"/>
      <c r="L228"/>
      <c r="M228"/>
    </row>
    <row r="229" spans="8:13" s="1801" customFormat="1">
      <c r="H229" s="1808"/>
      <c r="J229"/>
      <c r="K229"/>
      <c r="L229"/>
      <c r="M229"/>
    </row>
    <row r="230" spans="8:13" s="1801" customFormat="1">
      <c r="H230" s="1808"/>
      <c r="J230"/>
      <c r="K230"/>
      <c r="L230"/>
      <c r="M230"/>
    </row>
    <row r="231" spans="8:13" s="1801" customFormat="1">
      <c r="H231" s="1808"/>
      <c r="J231"/>
      <c r="K231"/>
      <c r="L231"/>
      <c r="M231"/>
    </row>
    <row r="232" spans="8:13" s="1801" customFormat="1">
      <c r="H232" s="1808"/>
      <c r="J232"/>
      <c r="K232"/>
      <c r="L232"/>
      <c r="M232"/>
    </row>
    <row r="233" spans="8:13" s="1801" customFormat="1">
      <c r="H233" s="1808"/>
      <c r="J233"/>
      <c r="K233"/>
      <c r="L233"/>
      <c r="M233"/>
    </row>
    <row r="234" spans="8:13" s="1801" customFormat="1">
      <c r="H234" s="1808"/>
      <c r="J234"/>
      <c r="K234"/>
      <c r="L234"/>
      <c r="M234"/>
    </row>
    <row r="235" spans="8:13" s="1801" customFormat="1">
      <c r="H235" s="1808"/>
      <c r="J235"/>
      <c r="K235"/>
      <c r="L235"/>
      <c r="M235"/>
    </row>
    <row r="236" spans="8:13" s="1801" customFormat="1">
      <c r="H236" s="1808"/>
      <c r="J236"/>
      <c r="K236"/>
      <c r="L236"/>
      <c r="M236"/>
    </row>
    <row r="237" spans="8:13" s="1801" customFormat="1">
      <c r="H237" s="1808"/>
      <c r="J237"/>
      <c r="K237"/>
      <c r="L237"/>
      <c r="M237"/>
    </row>
    <row r="238" spans="8:13" s="1801" customFormat="1">
      <c r="H238" s="1808"/>
      <c r="J238"/>
      <c r="K238"/>
      <c r="L238"/>
      <c r="M238"/>
    </row>
    <row r="239" spans="8:13" s="1801" customFormat="1">
      <c r="H239" s="1808"/>
      <c r="J239"/>
      <c r="K239"/>
      <c r="L239"/>
      <c r="M239"/>
    </row>
    <row r="240" spans="8:13" s="1801" customFormat="1">
      <c r="H240" s="1808"/>
      <c r="J240"/>
      <c r="K240"/>
      <c r="L240"/>
      <c r="M240"/>
    </row>
    <row r="241" spans="8:13" s="1801" customFormat="1">
      <c r="H241" s="1808"/>
      <c r="J241"/>
      <c r="K241"/>
      <c r="L241"/>
      <c r="M241"/>
    </row>
    <row r="242" spans="8:13" s="1801" customFormat="1">
      <c r="H242" s="1808"/>
      <c r="J242"/>
      <c r="K242"/>
      <c r="L242"/>
      <c r="M242"/>
    </row>
    <row r="243" spans="8:13" s="1801" customFormat="1">
      <c r="H243" s="1808"/>
      <c r="J243"/>
      <c r="K243"/>
      <c r="L243"/>
      <c r="M243"/>
    </row>
    <row r="244" spans="8:13" s="1801" customFormat="1">
      <c r="H244" s="1808"/>
      <c r="J244"/>
      <c r="K244"/>
      <c r="L244"/>
      <c r="M244"/>
    </row>
    <row r="245" spans="8:13" s="1801" customFormat="1">
      <c r="H245" s="1808"/>
      <c r="J245"/>
      <c r="K245"/>
      <c r="L245"/>
      <c r="M245"/>
    </row>
    <row r="246" spans="8:13" s="1801" customFormat="1">
      <c r="H246" s="1808"/>
      <c r="J246"/>
      <c r="K246"/>
      <c r="L246"/>
      <c r="M246"/>
    </row>
    <row r="247" spans="8:13" s="1801" customFormat="1">
      <c r="H247" s="1808"/>
      <c r="J247"/>
      <c r="K247"/>
      <c r="L247"/>
      <c r="M247"/>
    </row>
    <row r="248" spans="8:13" s="1801" customFormat="1">
      <c r="H248" s="1808"/>
      <c r="J248"/>
      <c r="K248"/>
      <c r="L248"/>
      <c r="M248"/>
    </row>
    <row r="249" spans="8:13" s="1801" customFormat="1">
      <c r="H249" s="1808"/>
      <c r="J249"/>
      <c r="K249"/>
      <c r="L249"/>
      <c r="M249"/>
    </row>
    <row r="250" spans="8:13" s="1801" customFormat="1">
      <c r="H250" s="1808"/>
      <c r="J250"/>
      <c r="K250"/>
      <c r="L250"/>
      <c r="M250"/>
    </row>
    <row r="251" spans="8:13" s="1801" customFormat="1">
      <c r="H251" s="1808"/>
      <c r="J251"/>
      <c r="K251"/>
      <c r="L251"/>
      <c r="M251"/>
    </row>
    <row r="252" spans="8:13" s="1801" customFormat="1">
      <c r="H252" s="1808"/>
      <c r="J252"/>
      <c r="K252"/>
      <c r="L252"/>
      <c r="M252"/>
    </row>
    <row r="253" spans="8:13" s="1801" customFormat="1">
      <c r="H253" s="1808"/>
      <c r="J253"/>
      <c r="K253"/>
      <c r="L253"/>
      <c r="M253"/>
    </row>
    <row r="254" spans="8:13" s="1801" customFormat="1">
      <c r="H254" s="1808"/>
      <c r="J254"/>
      <c r="K254"/>
      <c r="L254"/>
      <c r="M254"/>
    </row>
    <row r="255" spans="8:13" s="1801" customFormat="1">
      <c r="H255" s="1808"/>
      <c r="J255"/>
      <c r="K255"/>
      <c r="L255"/>
      <c r="M255"/>
    </row>
    <row r="256" spans="8:13" s="1801" customFormat="1">
      <c r="H256" s="1808"/>
      <c r="J256"/>
      <c r="K256"/>
      <c r="L256"/>
      <c r="M256"/>
    </row>
    <row r="257" spans="8:13" s="1801" customFormat="1">
      <c r="H257" s="1808"/>
      <c r="J257"/>
      <c r="K257"/>
      <c r="L257"/>
      <c r="M257"/>
    </row>
    <row r="258" spans="8:13" s="1801" customFormat="1">
      <c r="H258" s="1808"/>
      <c r="J258"/>
      <c r="K258"/>
      <c r="L258"/>
      <c r="M258"/>
    </row>
    <row r="259" spans="8:13" s="1801" customFormat="1">
      <c r="H259" s="1808"/>
      <c r="J259"/>
      <c r="K259"/>
      <c r="L259"/>
      <c r="M259"/>
    </row>
    <row r="260" spans="8:13" s="1801" customFormat="1">
      <c r="H260" s="1808"/>
      <c r="J260"/>
      <c r="K260"/>
      <c r="L260"/>
      <c r="M260"/>
    </row>
    <row r="261" spans="8:13" s="1801" customFormat="1">
      <c r="H261" s="1808"/>
      <c r="J261"/>
      <c r="K261"/>
      <c r="L261"/>
      <c r="M261"/>
    </row>
    <row r="262" spans="8:13" s="1801" customFormat="1">
      <c r="H262" s="1808"/>
      <c r="J262"/>
      <c r="K262"/>
      <c r="L262"/>
      <c r="M262"/>
    </row>
    <row r="263" spans="8:13" s="1801" customFormat="1">
      <c r="H263" s="1808"/>
      <c r="J263"/>
      <c r="K263"/>
      <c r="L263"/>
      <c r="M263"/>
    </row>
    <row r="264" spans="8:13" s="1801" customFormat="1">
      <c r="H264" s="1808"/>
      <c r="J264"/>
      <c r="K264"/>
      <c r="L264"/>
      <c r="M264"/>
    </row>
    <row r="265" spans="8:13" s="1801" customFormat="1">
      <c r="H265" s="1808"/>
      <c r="J265"/>
      <c r="K265"/>
      <c r="L265"/>
      <c r="M265"/>
    </row>
    <row r="266" spans="8:13" s="1801" customFormat="1">
      <c r="H266" s="1808"/>
      <c r="J266"/>
      <c r="K266"/>
      <c r="L266"/>
      <c r="M266"/>
    </row>
    <row r="267" spans="8:13" s="1801" customFormat="1">
      <c r="H267" s="1808"/>
      <c r="J267"/>
      <c r="K267"/>
      <c r="L267"/>
      <c r="M267"/>
    </row>
    <row r="268" spans="8:13" s="1801" customFormat="1">
      <c r="H268" s="1808"/>
      <c r="J268"/>
      <c r="K268"/>
      <c r="L268"/>
      <c r="M268"/>
    </row>
    <row r="269" spans="8:13" s="1801" customFormat="1">
      <c r="H269" s="1808"/>
      <c r="J269"/>
      <c r="K269"/>
      <c r="L269"/>
      <c r="M269"/>
    </row>
    <row r="270" spans="8:13" s="1801" customFormat="1">
      <c r="H270" s="1808"/>
      <c r="J270"/>
      <c r="K270"/>
      <c r="L270"/>
      <c r="M270"/>
    </row>
    <row r="271" spans="8:13" s="1801" customFormat="1">
      <c r="H271" s="1808"/>
      <c r="J271"/>
      <c r="K271"/>
      <c r="L271"/>
      <c r="M271"/>
    </row>
    <row r="272" spans="8:13" s="1801" customFormat="1">
      <c r="H272" s="1808"/>
      <c r="J272"/>
      <c r="K272"/>
      <c r="L272"/>
      <c r="M272"/>
    </row>
    <row r="273" spans="8:13" s="1801" customFormat="1">
      <c r="H273" s="1808"/>
      <c r="J273"/>
      <c r="K273"/>
      <c r="L273"/>
      <c r="M273"/>
    </row>
    <row r="274" spans="8:13" s="1801" customFormat="1">
      <c r="H274" s="1808"/>
      <c r="J274"/>
      <c r="K274"/>
      <c r="L274"/>
      <c r="M274"/>
    </row>
    <row r="275" spans="8:13" s="1801" customFormat="1">
      <c r="H275" s="1808"/>
      <c r="J275"/>
      <c r="K275"/>
      <c r="L275"/>
      <c r="M275"/>
    </row>
    <row r="276" spans="8:13" s="1801" customFormat="1">
      <c r="H276" s="1808"/>
      <c r="J276"/>
      <c r="K276"/>
      <c r="L276"/>
      <c r="M276"/>
    </row>
    <row r="277" spans="8:13" s="1801" customFormat="1">
      <c r="H277" s="1808"/>
      <c r="J277"/>
      <c r="K277"/>
      <c r="L277"/>
      <c r="M277"/>
    </row>
    <row r="278" spans="8:13" s="1801" customFormat="1">
      <c r="H278" s="1808"/>
      <c r="J278"/>
      <c r="K278"/>
      <c r="L278"/>
      <c r="M278"/>
    </row>
    <row r="279" spans="8:13" s="1801" customFormat="1">
      <c r="H279" s="1808"/>
      <c r="J279"/>
      <c r="K279"/>
      <c r="L279"/>
      <c r="M279"/>
    </row>
    <row r="280" spans="8:13" s="1801" customFormat="1">
      <c r="H280" s="1808"/>
      <c r="J280"/>
      <c r="K280"/>
      <c r="L280"/>
      <c r="M280"/>
    </row>
    <row r="281" spans="8:13" s="1801" customFormat="1">
      <c r="H281" s="1808"/>
      <c r="J281"/>
      <c r="K281"/>
      <c r="L281"/>
      <c r="M281"/>
    </row>
    <row r="282" spans="8:13" s="1801" customFormat="1">
      <c r="H282" s="1808"/>
      <c r="J282"/>
      <c r="K282"/>
      <c r="L282"/>
      <c r="M282"/>
    </row>
    <row r="283" spans="8:13" s="1801" customFormat="1">
      <c r="H283" s="1808"/>
      <c r="J283"/>
      <c r="K283"/>
      <c r="L283"/>
      <c r="M283"/>
    </row>
    <row r="284" spans="8:13" s="1801" customFormat="1">
      <c r="H284" s="1808"/>
      <c r="J284"/>
      <c r="K284"/>
      <c r="L284"/>
      <c r="M284"/>
    </row>
    <row r="285" spans="8:13" s="1801" customFormat="1">
      <c r="H285" s="1808"/>
      <c r="J285"/>
      <c r="K285"/>
      <c r="L285"/>
      <c r="M285"/>
    </row>
    <row r="286" spans="8:13" s="1801" customFormat="1">
      <c r="H286" s="1808"/>
      <c r="J286"/>
      <c r="K286"/>
      <c r="L286"/>
      <c r="M286"/>
    </row>
    <row r="287" spans="8:13" s="1801" customFormat="1">
      <c r="H287" s="1808"/>
      <c r="J287"/>
      <c r="K287"/>
      <c r="L287"/>
      <c r="M287"/>
    </row>
    <row r="288" spans="8:13" s="1801" customFormat="1">
      <c r="H288" s="1808"/>
      <c r="J288"/>
      <c r="K288"/>
      <c r="L288"/>
      <c r="M288"/>
    </row>
    <row r="289" spans="8:13" s="1801" customFormat="1">
      <c r="H289" s="1808"/>
      <c r="J289"/>
      <c r="K289"/>
      <c r="L289"/>
      <c r="M289"/>
    </row>
    <row r="290" spans="8:13" s="1801" customFormat="1">
      <c r="H290" s="1808"/>
      <c r="J290"/>
      <c r="K290"/>
      <c r="L290"/>
      <c r="M290"/>
    </row>
    <row r="291" spans="8:13" s="1801" customFormat="1">
      <c r="H291" s="1808"/>
      <c r="J291"/>
      <c r="K291"/>
      <c r="L291"/>
      <c r="M291"/>
    </row>
    <row r="292" spans="8:13" s="1801" customFormat="1">
      <c r="H292" s="1808"/>
      <c r="J292"/>
      <c r="K292"/>
      <c r="L292"/>
      <c r="M292"/>
    </row>
    <row r="293" spans="8:13" s="1801" customFormat="1">
      <c r="H293" s="1808"/>
      <c r="J293"/>
      <c r="K293"/>
      <c r="L293"/>
      <c r="M293"/>
    </row>
    <row r="294" spans="8:13" s="1801" customFormat="1">
      <c r="H294" s="1808"/>
      <c r="J294"/>
      <c r="K294"/>
      <c r="L294"/>
      <c r="M294"/>
    </row>
    <row r="295" spans="8:13" s="1801" customFormat="1">
      <c r="H295" s="1808"/>
      <c r="J295"/>
      <c r="K295"/>
      <c r="L295"/>
      <c r="M295"/>
    </row>
    <row r="296" spans="8:13" s="1801" customFormat="1">
      <c r="H296" s="1808"/>
      <c r="J296"/>
      <c r="K296"/>
      <c r="L296"/>
      <c r="M296"/>
    </row>
    <row r="297" spans="8:13" s="1801" customFormat="1">
      <c r="H297" s="1808"/>
      <c r="J297"/>
      <c r="K297"/>
      <c r="L297"/>
      <c r="M297"/>
    </row>
  </sheetData>
  <mergeCells count="12">
    <mergeCell ref="A3:F3"/>
    <mergeCell ref="G3:M3"/>
    <mergeCell ref="A4:F4"/>
    <mergeCell ref="G4:M4"/>
    <mergeCell ref="A6:A16"/>
    <mergeCell ref="G6:H6"/>
    <mergeCell ref="I6:K6"/>
    <mergeCell ref="M6:M16"/>
    <mergeCell ref="C7:F7"/>
    <mergeCell ref="G7:K7"/>
    <mergeCell ref="C8:F8"/>
    <mergeCell ref="G8:K8"/>
  </mergeCells>
  <printOptions horizontalCentered="1"/>
  <pageMargins left="0.62992125984251968" right="0.55118110236220474" top="0.78740157480314965" bottom="0.78740157480314965" header="0" footer="0.51181102362204722"/>
  <pageSetup paperSize="9" scale="52" orientation="portrait" r:id="rId1"/>
  <headerFooter alignWithMargins="0">
    <oddFooter>&amp;C&amp;"Times New Roman (Arabic),Regular"&amp;22-5-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116"/>
  <sheetViews>
    <sheetView topLeftCell="A89" zoomScale="50" zoomScaleNormal="50" workbookViewId="0">
      <selection activeCell="O110" sqref="O110:S110"/>
    </sheetView>
  </sheetViews>
  <sheetFormatPr defaultColWidth="11.42578125" defaultRowHeight="20.25"/>
  <cols>
    <col min="1" max="1" width="18.85546875" style="1174" customWidth="1"/>
    <col min="2" max="2" width="16.85546875" style="1174" customWidth="1"/>
    <col min="3" max="3" width="6.42578125" style="1793" customWidth="1"/>
    <col min="4" max="4" width="16.42578125" style="1192" customWidth="1"/>
    <col min="5" max="11" width="21.28515625" style="1192" customWidth="1"/>
    <col min="12" max="12" width="24.28515625" style="1192" customWidth="1"/>
    <col min="13" max="13" width="20.7109375" style="1192" customWidth="1"/>
    <col min="14" max="14" width="22.28515625" style="1192" customWidth="1"/>
    <col min="15" max="16" width="24.140625" style="1192" customWidth="1"/>
    <col min="17" max="17" width="24.28515625" style="1192" customWidth="1"/>
    <col min="18" max="18" width="16.5703125" style="1192" customWidth="1"/>
    <col min="19" max="19" width="8.7109375" style="1192" customWidth="1"/>
    <col min="20" max="16384" width="11.42578125" style="1174"/>
  </cols>
  <sheetData>
    <row r="1" spans="3:27" ht="28.35" customHeight="1">
      <c r="C1" s="1192"/>
      <c r="E1" s="1760"/>
      <c r="F1" s="1760"/>
      <c r="G1" s="1760"/>
      <c r="H1" s="1760"/>
      <c r="I1" s="1760"/>
      <c r="J1" s="2724"/>
      <c r="K1" s="1760"/>
      <c r="L1" s="1760"/>
      <c r="M1" s="1760"/>
      <c r="N1" s="1760"/>
      <c r="O1" s="1760"/>
      <c r="P1" s="1760"/>
      <c r="Q1" s="1760"/>
      <c r="R1" s="1760"/>
      <c r="S1" s="1760"/>
    </row>
    <row r="2" spans="3:27" ht="28.35" customHeight="1">
      <c r="C2" s="1192"/>
      <c r="E2" s="1760"/>
      <c r="F2" s="1760"/>
      <c r="G2" s="3239"/>
      <c r="I2" s="2724"/>
      <c r="K2" s="1760"/>
      <c r="L2" s="1760"/>
      <c r="M2" s="1760"/>
      <c r="N2" s="2724"/>
      <c r="O2" s="1760"/>
      <c r="P2" s="1760"/>
      <c r="Q2" s="1760"/>
      <c r="R2" s="1760"/>
      <c r="S2" s="1760"/>
    </row>
    <row r="3" spans="3:27" s="1845" customFormat="1" ht="28.35" customHeight="1">
      <c r="C3" s="5005" t="s">
        <v>2930</v>
      </c>
      <c r="D3" s="5005"/>
      <c r="E3" s="5005"/>
      <c r="F3" s="5005"/>
      <c r="G3" s="5005"/>
      <c r="H3" s="5005"/>
      <c r="I3" s="5005"/>
      <c r="J3" s="5005"/>
      <c r="K3" s="5005" t="s">
        <v>2931</v>
      </c>
      <c r="L3" s="5005"/>
      <c r="M3" s="5005"/>
      <c r="N3" s="5005"/>
      <c r="O3" s="5005"/>
      <c r="P3" s="5005"/>
      <c r="Q3" s="5005"/>
      <c r="R3" s="5005"/>
      <c r="S3" s="5005"/>
      <c r="V3" s="2725"/>
      <c r="W3" s="2725"/>
      <c r="X3" s="2725"/>
      <c r="Y3" s="2725"/>
      <c r="Z3" s="2725"/>
      <c r="AA3" s="2725"/>
    </row>
    <row r="4" spans="3:27" s="2498" customFormat="1" ht="28.35" customHeight="1">
      <c r="C4" s="5006" t="s">
        <v>2932</v>
      </c>
      <c r="D4" s="5006"/>
      <c r="E4" s="5006"/>
      <c r="F4" s="5006"/>
      <c r="G4" s="5006"/>
      <c r="H4" s="5006"/>
      <c r="I4" s="5006"/>
      <c r="J4" s="5006"/>
      <c r="K4" s="5006" t="s">
        <v>2933</v>
      </c>
      <c r="L4" s="5006"/>
      <c r="M4" s="5006"/>
      <c r="N4" s="5006"/>
      <c r="O4" s="5006"/>
      <c r="P4" s="5006"/>
      <c r="Q4" s="5006"/>
      <c r="R4" s="5006"/>
      <c r="S4" s="5006"/>
      <c r="T4" s="3563"/>
      <c r="U4" s="3563"/>
    </row>
    <row r="5" spans="3:27" s="2498" customFormat="1" ht="4.3499999999999996" customHeight="1">
      <c r="C5" s="3564"/>
      <c r="D5" s="3564"/>
      <c r="E5" s="3565"/>
      <c r="F5" s="3565"/>
      <c r="G5" s="3565"/>
      <c r="H5" s="3565"/>
      <c r="I5" s="3566"/>
      <c r="J5" s="3565"/>
      <c r="K5" s="3564"/>
      <c r="L5" s="3564"/>
      <c r="M5" s="2212"/>
      <c r="N5" s="3567"/>
      <c r="O5" s="3567"/>
      <c r="P5" s="3568"/>
      <c r="Q5" s="3568"/>
      <c r="R5" s="3568"/>
      <c r="S5" s="2212"/>
    </row>
    <row r="6" spans="3:27" s="1857" customFormat="1" ht="24.75" customHeight="1">
      <c r="C6" s="1323" t="s">
        <v>90</v>
      </c>
      <c r="D6" s="1850"/>
      <c r="E6" s="1850"/>
      <c r="F6" s="1850"/>
      <c r="G6" s="1850"/>
      <c r="H6" s="1850"/>
      <c r="I6" s="1852"/>
      <c r="J6" s="1852"/>
      <c r="K6" s="1852"/>
      <c r="L6" s="1852"/>
      <c r="M6" s="1852"/>
      <c r="N6" s="1852"/>
      <c r="O6" s="1852"/>
      <c r="P6" s="1852"/>
      <c r="Q6" s="1852"/>
      <c r="R6" s="1852"/>
      <c r="S6" s="1989" t="s">
        <v>91</v>
      </c>
    </row>
    <row r="7" spans="3:27" s="1801" customFormat="1" ht="18.75" customHeight="1">
      <c r="C7" s="4399"/>
      <c r="D7" s="4386"/>
      <c r="E7" s="4402"/>
      <c r="F7" s="4402"/>
      <c r="G7" s="4402"/>
      <c r="H7" s="4402"/>
      <c r="I7" s="4402"/>
      <c r="J7" s="4405"/>
      <c r="K7" s="4406"/>
      <c r="L7" s="4402"/>
      <c r="M7" s="2589"/>
      <c r="N7" s="2589"/>
      <c r="O7" s="2589"/>
      <c r="P7" s="2589"/>
      <c r="Q7" s="4387"/>
      <c r="R7" s="4406"/>
      <c r="S7" s="2133"/>
    </row>
    <row r="8" spans="3:27" ht="18.95" customHeight="1">
      <c r="C8" s="4400"/>
      <c r="D8" s="4388"/>
      <c r="E8" s="1242" t="s">
        <v>1597</v>
      </c>
      <c r="F8" s="1242" t="s">
        <v>1597</v>
      </c>
      <c r="G8" s="1242" t="s">
        <v>1597</v>
      </c>
      <c r="H8" s="4382"/>
      <c r="I8" s="4382"/>
      <c r="J8" s="4388"/>
      <c r="K8" s="4388"/>
      <c r="L8" s="4382" t="s">
        <v>1598</v>
      </c>
      <c r="M8" s="4382"/>
      <c r="N8" s="4382"/>
      <c r="O8" s="4382"/>
      <c r="P8" s="4382"/>
      <c r="Q8" s="4383"/>
      <c r="R8" s="4394"/>
      <c r="S8" s="1294"/>
      <c r="T8" s="1801"/>
      <c r="V8" s="1801"/>
    </row>
    <row r="9" spans="3:27" ht="18.95" customHeight="1">
      <c r="C9" s="2316"/>
      <c r="D9" s="1283"/>
      <c r="E9" s="1242" t="s">
        <v>1599</v>
      </c>
      <c r="F9" s="1242" t="s">
        <v>1600</v>
      </c>
      <c r="G9" s="1242" t="s">
        <v>1600</v>
      </c>
      <c r="H9" s="4382"/>
      <c r="I9" s="1242"/>
      <c r="J9" s="4388" t="s">
        <v>663</v>
      </c>
      <c r="K9" s="4416"/>
      <c r="L9" s="4382" t="s">
        <v>1601</v>
      </c>
      <c r="M9" s="4382"/>
      <c r="N9" s="4382"/>
      <c r="O9" s="4382"/>
      <c r="P9" s="4382"/>
      <c r="Q9" s="4383" t="s">
        <v>673</v>
      </c>
      <c r="R9" s="4394"/>
      <c r="S9" s="1294"/>
      <c r="T9" s="1801"/>
      <c r="V9" s="1801"/>
    </row>
    <row r="10" spans="3:27" ht="18.95" customHeight="1">
      <c r="C10" s="2316"/>
      <c r="D10" s="1283"/>
      <c r="E10" s="1242" t="s">
        <v>1602</v>
      </c>
      <c r="F10" s="1242" t="s">
        <v>1602</v>
      </c>
      <c r="G10" s="1242" t="s">
        <v>1602</v>
      </c>
      <c r="H10" s="4382"/>
      <c r="I10" s="4382"/>
      <c r="J10" s="4388" t="s">
        <v>1603</v>
      </c>
      <c r="K10" s="4388" t="s">
        <v>668</v>
      </c>
      <c r="L10" s="4382" t="s">
        <v>1604</v>
      </c>
      <c r="M10" s="4382"/>
      <c r="N10" s="4382"/>
      <c r="O10" s="4382"/>
      <c r="P10" s="4382"/>
      <c r="Q10" s="4383" t="s">
        <v>1605</v>
      </c>
      <c r="R10" s="4394"/>
      <c r="S10" s="1294"/>
      <c r="T10" s="1801"/>
      <c r="V10" s="1801"/>
    </row>
    <row r="11" spans="3:27" ht="18.95" customHeight="1">
      <c r="C11" s="4407"/>
      <c r="D11" s="4394"/>
      <c r="E11" s="1242" t="s">
        <v>1606</v>
      </c>
      <c r="F11" s="1242" t="s">
        <v>1606</v>
      </c>
      <c r="G11" s="1242" t="s">
        <v>1606</v>
      </c>
      <c r="H11" s="4382"/>
      <c r="I11" s="4382" t="s">
        <v>1607</v>
      </c>
      <c r="J11" s="4388" t="s">
        <v>1608</v>
      </c>
      <c r="K11" s="4388" t="s">
        <v>1609</v>
      </c>
      <c r="L11" s="4382" t="s">
        <v>667</v>
      </c>
      <c r="M11" s="4382"/>
      <c r="N11" s="4382" t="s">
        <v>1610</v>
      </c>
      <c r="O11" s="4382" t="s">
        <v>1611</v>
      </c>
      <c r="P11" s="4382" t="s">
        <v>672</v>
      </c>
      <c r="Q11" s="4383" t="s">
        <v>1612</v>
      </c>
      <c r="R11" s="4394"/>
      <c r="S11" s="4395"/>
      <c r="T11" s="1801"/>
      <c r="V11" s="1801"/>
    </row>
    <row r="12" spans="3:27" ht="18.95" customHeight="1">
      <c r="C12" s="4774"/>
      <c r="D12" s="4672"/>
      <c r="E12" s="1242" t="s">
        <v>1613</v>
      </c>
      <c r="F12" s="1242" t="s">
        <v>1613</v>
      </c>
      <c r="G12" s="1242" t="s">
        <v>1614</v>
      </c>
      <c r="H12" s="4382" t="s">
        <v>663</v>
      </c>
      <c r="I12" s="4382" t="s">
        <v>1615</v>
      </c>
      <c r="J12" s="4388" t="s">
        <v>1616</v>
      </c>
      <c r="K12" s="4388" t="s">
        <v>1617</v>
      </c>
      <c r="L12" s="4382" t="s">
        <v>662</v>
      </c>
      <c r="M12" s="4382" t="s">
        <v>669</v>
      </c>
      <c r="N12" s="4382" t="s">
        <v>1618</v>
      </c>
      <c r="O12" s="4382" t="s">
        <v>1619</v>
      </c>
      <c r="P12" s="4382" t="s">
        <v>1620</v>
      </c>
      <c r="Q12" s="4383" t="s">
        <v>1621</v>
      </c>
      <c r="R12" s="4750"/>
      <c r="S12" s="4751"/>
      <c r="T12" s="1801"/>
    </row>
    <row r="13" spans="3:27" ht="18.95" customHeight="1">
      <c r="C13" s="2316"/>
      <c r="D13" s="1283"/>
      <c r="E13" s="1242" t="s">
        <v>1622</v>
      </c>
      <c r="F13" s="1242" t="s">
        <v>1623</v>
      </c>
      <c r="G13" s="1242" t="s">
        <v>872</v>
      </c>
      <c r="H13" s="4382" t="s">
        <v>1624</v>
      </c>
      <c r="I13" s="4382" t="s">
        <v>111</v>
      </c>
      <c r="J13" s="4388" t="s">
        <v>1625</v>
      </c>
      <c r="K13" s="4388"/>
      <c r="L13" s="4382"/>
      <c r="M13" s="4382"/>
      <c r="N13" s="4382"/>
      <c r="O13" s="4382"/>
      <c r="P13" s="4382"/>
      <c r="Q13" s="4383"/>
      <c r="R13" s="4394"/>
      <c r="S13" s="1294"/>
      <c r="T13" s="1801"/>
    </row>
    <row r="14" spans="3:27" ht="18.95" customHeight="1">
      <c r="C14" s="4774"/>
      <c r="D14" s="4672"/>
      <c r="E14" s="1242"/>
      <c r="F14" s="1242"/>
      <c r="G14" s="1242"/>
      <c r="H14" s="4382"/>
      <c r="I14" s="4382"/>
      <c r="J14" s="4388" t="s">
        <v>1626</v>
      </c>
      <c r="K14" s="4388"/>
      <c r="L14" s="4382" t="s">
        <v>1627</v>
      </c>
      <c r="M14" s="4382"/>
      <c r="N14" s="4382"/>
      <c r="O14" s="4382"/>
      <c r="P14" s="4382"/>
      <c r="Q14" s="4383"/>
      <c r="R14" s="4750"/>
      <c r="S14" s="4751"/>
      <c r="T14" s="1801"/>
    </row>
    <row r="15" spans="3:27" ht="18.95" customHeight="1">
      <c r="C15" s="4407"/>
      <c r="D15" s="4394"/>
      <c r="E15" s="1242" t="s">
        <v>1628</v>
      </c>
      <c r="F15" s="1242" t="s">
        <v>1629</v>
      </c>
      <c r="G15" s="1242" t="s">
        <v>1629</v>
      </c>
      <c r="H15" s="4382"/>
      <c r="I15" s="4382"/>
      <c r="J15" s="4388" t="s">
        <v>1630</v>
      </c>
      <c r="K15" s="4388" t="s">
        <v>1631</v>
      </c>
      <c r="L15" s="4382" t="s">
        <v>1632</v>
      </c>
      <c r="M15" s="4382"/>
      <c r="N15" s="4382"/>
      <c r="O15" s="4382"/>
      <c r="P15" s="4382"/>
      <c r="Q15" s="4383" t="s">
        <v>1633</v>
      </c>
      <c r="R15" s="4394"/>
      <c r="S15" s="4395"/>
      <c r="T15" s="1801"/>
    </row>
    <row r="16" spans="3:27" ht="18.95" customHeight="1">
      <c r="C16" s="2316"/>
      <c r="D16" s="1283"/>
      <c r="E16" s="1242" t="s">
        <v>1634</v>
      </c>
      <c r="F16" s="1242" t="s">
        <v>1634</v>
      </c>
      <c r="G16" s="1242" t="s">
        <v>1634</v>
      </c>
      <c r="H16" s="4382"/>
      <c r="I16" s="4382" t="s">
        <v>1635</v>
      </c>
      <c r="J16" s="4388" t="s">
        <v>1636</v>
      </c>
      <c r="K16" s="4388" t="s">
        <v>1637</v>
      </c>
      <c r="L16" s="4382" t="s">
        <v>1638</v>
      </c>
      <c r="M16" s="4382"/>
      <c r="N16" s="4382" t="s">
        <v>1639</v>
      </c>
      <c r="O16" s="4382"/>
      <c r="P16" s="4382" t="s">
        <v>694</v>
      </c>
      <c r="Q16" s="4383" t="s">
        <v>1640</v>
      </c>
      <c r="R16" s="4394"/>
      <c r="S16" s="1294"/>
      <c r="T16" s="1801"/>
    </row>
    <row r="17" spans="3:20" ht="18.95" customHeight="1">
      <c r="C17" s="4407"/>
      <c r="D17" s="4394"/>
      <c r="E17" s="1242" t="s">
        <v>1641</v>
      </c>
      <c r="F17" s="1242" t="s">
        <v>1641</v>
      </c>
      <c r="G17" s="1242" t="s">
        <v>1642</v>
      </c>
      <c r="H17" s="4382" t="s">
        <v>119</v>
      </c>
      <c r="I17" s="4382" t="s">
        <v>1643</v>
      </c>
      <c r="J17" s="4388" t="s">
        <v>1644</v>
      </c>
      <c r="K17" s="4388" t="s">
        <v>1645</v>
      </c>
      <c r="L17" s="4382" t="s">
        <v>1646</v>
      </c>
      <c r="M17" s="4382"/>
      <c r="N17" s="4382" t="s">
        <v>127</v>
      </c>
      <c r="O17" s="4382"/>
      <c r="P17" s="4382" t="s">
        <v>127</v>
      </c>
      <c r="Q17" s="4383" t="s">
        <v>127</v>
      </c>
      <c r="R17" s="4394"/>
      <c r="S17" s="4395"/>
      <c r="T17" s="1801"/>
    </row>
    <row r="18" spans="3:20" ht="18.95" customHeight="1">
      <c r="C18" s="4445"/>
      <c r="D18" s="4446"/>
      <c r="E18" s="4447" t="s">
        <v>1647</v>
      </c>
      <c r="F18" s="4447" t="s">
        <v>1648</v>
      </c>
      <c r="G18" s="4447" t="s">
        <v>1649</v>
      </c>
      <c r="H18" s="4448" t="s">
        <v>1650</v>
      </c>
      <c r="I18" s="4448" t="s">
        <v>703</v>
      </c>
      <c r="J18" s="4449" t="s">
        <v>703</v>
      </c>
      <c r="K18" s="4449" t="s">
        <v>1651</v>
      </c>
      <c r="L18" s="4448" t="s">
        <v>1652</v>
      </c>
      <c r="M18" s="4448" t="s">
        <v>705</v>
      </c>
      <c r="N18" s="4448" t="s">
        <v>1653</v>
      </c>
      <c r="O18" s="4448" t="s">
        <v>1654</v>
      </c>
      <c r="P18" s="4448" t="s">
        <v>1655</v>
      </c>
      <c r="Q18" s="4450" t="s">
        <v>1656</v>
      </c>
      <c r="R18" s="4451"/>
      <c r="S18" s="4452"/>
      <c r="T18" s="1801"/>
    </row>
    <row r="19" spans="3:20" s="2771" customFormat="1" ht="23.25" customHeight="1">
      <c r="C19" s="3569"/>
      <c r="D19" s="2906">
        <v>1964</v>
      </c>
      <c r="E19" s="1138">
        <v>203</v>
      </c>
      <c r="F19" s="1139">
        <v>200.8</v>
      </c>
      <c r="G19" s="1139">
        <f t="shared" ref="G19:G41" si="0">H19+I19+J19+K19+L19+M19+N19+O19+P19+Q19</f>
        <v>186.60000000000005</v>
      </c>
      <c r="H19" s="4426">
        <f>4.7+2.1+0.5-1.1</f>
        <v>6.2000000000000011</v>
      </c>
      <c r="I19" s="4427">
        <v>22.1</v>
      </c>
      <c r="J19" s="4426">
        <v>54.9</v>
      </c>
      <c r="K19" s="1194">
        <v>15.9</v>
      </c>
      <c r="L19" s="3570">
        <v>25.2</v>
      </c>
      <c r="M19" s="3570">
        <v>7.8</v>
      </c>
      <c r="N19" s="3570">
        <v>1</v>
      </c>
      <c r="O19" s="3570">
        <v>19.8</v>
      </c>
      <c r="P19" s="3570">
        <v>1.8</v>
      </c>
      <c r="Q19" s="2013">
        <v>31.9</v>
      </c>
      <c r="R19" s="1616">
        <v>1964</v>
      </c>
      <c r="S19" s="1617"/>
    </row>
    <row r="20" spans="3:20" s="2771" customFormat="1" ht="23.25" customHeight="1">
      <c r="C20" s="4413"/>
      <c r="D20" s="1196">
        <v>1965</v>
      </c>
      <c r="E20" s="4441">
        <v>217.2</v>
      </c>
      <c r="F20" s="4442">
        <v>214.2</v>
      </c>
      <c r="G20" s="4442">
        <f t="shared" si="0"/>
        <v>196.3</v>
      </c>
      <c r="H20" s="4391">
        <f>5.2+2.2+0.6-1.3</f>
        <v>6.7</v>
      </c>
      <c r="I20" s="4392">
        <v>23.6</v>
      </c>
      <c r="J20" s="4391">
        <v>52.8</v>
      </c>
      <c r="K20" s="1197">
        <v>17.899999999999999</v>
      </c>
      <c r="L20" s="1198">
        <v>27.1</v>
      </c>
      <c r="M20" s="1198">
        <v>10.3</v>
      </c>
      <c r="N20" s="1198">
        <v>1.7</v>
      </c>
      <c r="O20" s="1198">
        <v>23.3</v>
      </c>
      <c r="P20" s="1198">
        <v>2.6</v>
      </c>
      <c r="Q20" s="1172">
        <v>30.3</v>
      </c>
      <c r="R20" s="1173">
        <v>1965</v>
      </c>
      <c r="S20" s="1524"/>
    </row>
    <row r="21" spans="3:20" s="2771" customFormat="1" ht="23.25" customHeight="1">
      <c r="C21" s="3569"/>
      <c r="D21" s="2906">
        <v>1966</v>
      </c>
      <c r="E21" s="1138">
        <v>239.2</v>
      </c>
      <c r="F21" s="1139">
        <v>235</v>
      </c>
      <c r="G21" s="1139">
        <f t="shared" si="0"/>
        <v>214.2</v>
      </c>
      <c r="H21" s="4426">
        <f>5.3+2.4+0.6-1.6</f>
        <v>6.6999999999999993</v>
      </c>
      <c r="I21" s="4427">
        <v>32</v>
      </c>
      <c r="J21" s="4426">
        <v>58.9</v>
      </c>
      <c r="K21" s="1194">
        <v>20.2</v>
      </c>
      <c r="L21" s="3570">
        <v>29.5</v>
      </c>
      <c r="M21" s="3570">
        <v>10.6</v>
      </c>
      <c r="N21" s="3570">
        <v>2</v>
      </c>
      <c r="O21" s="3570">
        <v>28.1</v>
      </c>
      <c r="P21" s="3570">
        <v>2.6</v>
      </c>
      <c r="Q21" s="2013">
        <v>23.6</v>
      </c>
      <c r="R21" s="1616">
        <v>1966</v>
      </c>
      <c r="S21" s="1617"/>
    </row>
    <row r="22" spans="3:20" s="2771" customFormat="1" ht="23.25" customHeight="1">
      <c r="C22" s="4413"/>
      <c r="D22" s="1196">
        <v>1967</v>
      </c>
      <c r="E22" s="4441">
        <v>229.9</v>
      </c>
      <c r="F22" s="4442">
        <v>225.6</v>
      </c>
      <c r="G22" s="4442">
        <f t="shared" si="0"/>
        <v>209.7</v>
      </c>
      <c r="H22" s="4391">
        <f>3.3+2.5+0.5+-1.4</f>
        <v>4.9000000000000004</v>
      </c>
      <c r="I22" s="4392">
        <v>29</v>
      </c>
      <c r="J22" s="4391">
        <v>63.4</v>
      </c>
      <c r="K22" s="1197">
        <v>17</v>
      </c>
      <c r="L22" s="1198">
        <v>25.5</v>
      </c>
      <c r="M22" s="1198">
        <v>9.9</v>
      </c>
      <c r="N22" s="1198">
        <v>1.2</v>
      </c>
      <c r="O22" s="1198">
        <v>21.2</v>
      </c>
      <c r="P22" s="1198">
        <v>2.1</v>
      </c>
      <c r="Q22" s="1172">
        <v>35.5</v>
      </c>
      <c r="R22" s="1173">
        <v>1967</v>
      </c>
      <c r="S22" s="1524"/>
    </row>
    <row r="23" spans="3:20" s="2771" customFormat="1" ht="23.25" customHeight="1">
      <c r="C23" s="3569"/>
      <c r="D23" s="2906">
        <v>1968</v>
      </c>
      <c r="E23" s="1138">
        <v>205.7</v>
      </c>
      <c r="F23" s="1139">
        <v>200.4</v>
      </c>
      <c r="G23" s="1139">
        <f t="shared" si="0"/>
        <v>183.5</v>
      </c>
      <c r="H23" s="4426">
        <f>3.5+1.6+0.6-2.1</f>
        <v>3.5999999999999992</v>
      </c>
      <c r="I23" s="4427">
        <v>37.4</v>
      </c>
      <c r="J23" s="4426">
        <v>38.4</v>
      </c>
      <c r="K23" s="1194">
        <v>17.2</v>
      </c>
      <c r="L23" s="3570">
        <v>24.3</v>
      </c>
      <c r="M23" s="3570">
        <v>13.7</v>
      </c>
      <c r="N23" s="3570">
        <v>1.5</v>
      </c>
      <c r="O23" s="3570">
        <v>25.6</v>
      </c>
      <c r="P23" s="3570">
        <v>2.4</v>
      </c>
      <c r="Q23" s="2013">
        <v>19.399999999999999</v>
      </c>
      <c r="R23" s="1616">
        <v>1968</v>
      </c>
      <c r="S23" s="1617"/>
    </row>
    <row r="24" spans="3:20" s="2771" customFormat="1" ht="23.25" customHeight="1">
      <c r="C24" s="4413"/>
      <c r="D24" s="1196">
        <v>1969</v>
      </c>
      <c r="E24" s="4441">
        <v>256.3</v>
      </c>
      <c r="F24" s="4442">
        <v>249.6</v>
      </c>
      <c r="G24" s="4442">
        <f t="shared" si="0"/>
        <v>229.29999999999998</v>
      </c>
      <c r="H24" s="4391">
        <f>3.8+1.8+0.6-3.1</f>
        <v>3.0999999999999992</v>
      </c>
      <c r="I24" s="4392">
        <v>42.8</v>
      </c>
      <c r="J24" s="4391">
        <v>56</v>
      </c>
      <c r="K24" s="1197">
        <v>19.7</v>
      </c>
      <c r="L24" s="1198">
        <v>29.6</v>
      </c>
      <c r="M24" s="1198">
        <v>12.7</v>
      </c>
      <c r="N24" s="1198">
        <v>1.6</v>
      </c>
      <c r="O24" s="1198">
        <v>30</v>
      </c>
      <c r="P24" s="1198">
        <v>2.6</v>
      </c>
      <c r="Q24" s="1172">
        <v>31.2</v>
      </c>
      <c r="R24" s="1173">
        <v>1969</v>
      </c>
      <c r="S24" s="1524"/>
    </row>
    <row r="25" spans="3:20" s="2771" customFormat="1" ht="23.25" customHeight="1">
      <c r="C25" s="3569"/>
      <c r="D25" s="2906">
        <v>1970</v>
      </c>
      <c r="E25" s="1138">
        <v>235.1</v>
      </c>
      <c r="F25" s="1139">
        <v>228.4</v>
      </c>
      <c r="G25" s="1139">
        <f t="shared" si="0"/>
        <v>207.10000000000002</v>
      </c>
      <c r="H25" s="4426"/>
      <c r="I25" s="4427">
        <v>40.200000000000003</v>
      </c>
      <c r="J25" s="4426">
        <v>59.3</v>
      </c>
      <c r="K25" s="1194">
        <v>17.2</v>
      </c>
      <c r="L25" s="3570">
        <v>25.7</v>
      </c>
      <c r="M25" s="3570">
        <v>10.5</v>
      </c>
      <c r="N25" s="3570">
        <v>1.9</v>
      </c>
      <c r="O25" s="3570">
        <v>23.9</v>
      </c>
      <c r="P25" s="3570">
        <v>3.8</v>
      </c>
      <c r="Q25" s="2013">
        <v>24.6</v>
      </c>
      <c r="R25" s="1616">
        <v>1970</v>
      </c>
      <c r="S25" s="1617"/>
    </row>
    <row r="26" spans="3:20" s="2771" customFormat="1" ht="23.25" customHeight="1">
      <c r="C26" s="4413"/>
      <c r="D26" s="1196">
        <v>1971</v>
      </c>
      <c r="E26" s="4441">
        <v>247.5</v>
      </c>
      <c r="F26" s="4442">
        <v>242.2</v>
      </c>
      <c r="G26" s="4442">
        <f t="shared" si="0"/>
        <v>224.8</v>
      </c>
      <c r="H26" s="4391">
        <f>4.3+2.6+0.6-2.3</f>
        <v>5.2</v>
      </c>
      <c r="I26" s="4392">
        <v>40.200000000000003</v>
      </c>
      <c r="J26" s="4391">
        <v>62.1</v>
      </c>
      <c r="K26" s="1197">
        <v>19.399999999999999</v>
      </c>
      <c r="L26" s="1198">
        <v>28.3</v>
      </c>
      <c r="M26" s="1198">
        <v>9.6999999999999993</v>
      </c>
      <c r="N26" s="1198">
        <v>2.2000000000000002</v>
      </c>
      <c r="O26" s="1198">
        <v>25.3</v>
      </c>
      <c r="P26" s="1198">
        <v>2.4</v>
      </c>
      <c r="Q26" s="1172">
        <v>30</v>
      </c>
      <c r="R26" s="1173">
        <v>1971</v>
      </c>
      <c r="S26" s="1524"/>
    </row>
    <row r="27" spans="3:20" s="2771" customFormat="1" ht="23.25" customHeight="1">
      <c r="C27" s="3569"/>
      <c r="D27" s="2906">
        <v>1972</v>
      </c>
      <c r="E27" s="1138">
        <v>285.7</v>
      </c>
      <c r="F27" s="1139">
        <v>281.60000000000002</v>
      </c>
      <c r="G27" s="1139">
        <f t="shared" si="0"/>
        <v>261</v>
      </c>
      <c r="H27" s="4426">
        <f>4.6+2.8+0.6-2.2</f>
        <v>5.7999999999999989</v>
      </c>
      <c r="I27" s="4427">
        <v>43.7</v>
      </c>
      <c r="J27" s="4426">
        <v>68.099999999999994</v>
      </c>
      <c r="K27" s="1194">
        <v>23.2</v>
      </c>
      <c r="L27" s="3570">
        <v>33.5</v>
      </c>
      <c r="M27" s="3570">
        <v>17.3</v>
      </c>
      <c r="N27" s="3570">
        <v>2.5</v>
      </c>
      <c r="O27" s="3570">
        <v>28.8</v>
      </c>
      <c r="P27" s="3570">
        <v>3.4</v>
      </c>
      <c r="Q27" s="2013">
        <v>34.700000000000003</v>
      </c>
      <c r="R27" s="1616">
        <v>1972</v>
      </c>
      <c r="S27" s="1617"/>
    </row>
    <row r="28" spans="3:20" s="2771" customFormat="1" ht="23.25" customHeight="1">
      <c r="C28" s="4413"/>
      <c r="D28" s="1196">
        <v>1973</v>
      </c>
      <c r="E28" s="4441">
        <v>316.7</v>
      </c>
      <c r="F28" s="4442">
        <v>310.10000000000002</v>
      </c>
      <c r="G28" s="4442">
        <f t="shared" si="0"/>
        <v>284.8</v>
      </c>
      <c r="H28" s="4391">
        <f>4.8+3.2+0.6-2</f>
        <v>6.6</v>
      </c>
      <c r="I28" s="4392">
        <v>49.3</v>
      </c>
      <c r="J28" s="4391">
        <v>72.400000000000006</v>
      </c>
      <c r="K28" s="1197">
        <v>25.6</v>
      </c>
      <c r="L28" s="1198">
        <v>36.9</v>
      </c>
      <c r="M28" s="1198">
        <v>26.1</v>
      </c>
      <c r="N28" s="1198">
        <v>2.8</v>
      </c>
      <c r="O28" s="1198">
        <v>36</v>
      </c>
      <c r="P28" s="1198">
        <v>4.0999999999999996</v>
      </c>
      <c r="Q28" s="1172">
        <v>25</v>
      </c>
      <c r="R28" s="1173">
        <v>1973</v>
      </c>
      <c r="S28" s="1524"/>
    </row>
    <row r="29" spans="3:20" s="2771" customFormat="1" ht="23.25" customHeight="1">
      <c r="C29" s="3569"/>
      <c r="D29" s="2906">
        <v>1974</v>
      </c>
      <c r="E29" s="1138">
        <v>394.8</v>
      </c>
      <c r="F29" s="1139">
        <v>385.7</v>
      </c>
      <c r="G29" s="1139">
        <f t="shared" si="0"/>
        <v>347.49999999999994</v>
      </c>
      <c r="H29" s="4426">
        <f>5.7+4+0.7-2.8</f>
        <v>7.5999999999999988</v>
      </c>
      <c r="I29" s="4427">
        <v>65.3</v>
      </c>
      <c r="J29" s="4426">
        <v>78.5</v>
      </c>
      <c r="K29" s="1194">
        <v>33.5</v>
      </c>
      <c r="L29" s="3570">
        <v>42.7</v>
      </c>
      <c r="M29" s="3570">
        <v>21.7</v>
      </c>
      <c r="N29" s="3570">
        <v>3</v>
      </c>
      <c r="O29" s="3570">
        <v>26.8</v>
      </c>
      <c r="P29" s="3570">
        <v>11.2</v>
      </c>
      <c r="Q29" s="2013">
        <v>57.2</v>
      </c>
      <c r="R29" s="1616">
        <v>1974</v>
      </c>
      <c r="S29" s="1617"/>
    </row>
    <row r="30" spans="3:20" s="2771" customFormat="1" ht="23.25" customHeight="1">
      <c r="C30" s="4413"/>
      <c r="D30" s="1196">
        <v>1975</v>
      </c>
      <c r="E30" s="4441">
        <v>449.5</v>
      </c>
      <c r="F30" s="4442">
        <v>435.9</v>
      </c>
      <c r="G30" s="4442">
        <f t="shared" si="0"/>
        <v>382.2</v>
      </c>
      <c r="H30" s="4391">
        <f>6.3+4.8+0.7-3.1</f>
        <v>8.6999999999999993</v>
      </c>
      <c r="I30" s="4392">
        <v>77.400000000000006</v>
      </c>
      <c r="J30" s="4391">
        <v>84.7</v>
      </c>
      <c r="K30" s="1197">
        <v>42.8</v>
      </c>
      <c r="L30" s="1198">
        <v>47.9</v>
      </c>
      <c r="M30" s="1198">
        <v>36.5</v>
      </c>
      <c r="N30" s="1198">
        <v>3.1</v>
      </c>
      <c r="O30" s="1198">
        <v>34</v>
      </c>
      <c r="P30" s="1198">
        <v>16.899999999999999</v>
      </c>
      <c r="Q30" s="1172">
        <v>30.2</v>
      </c>
      <c r="R30" s="1173">
        <v>1975</v>
      </c>
      <c r="S30" s="1524"/>
    </row>
    <row r="31" spans="3:20" s="2771" customFormat="1" ht="23.25" customHeight="1">
      <c r="C31" s="3569"/>
      <c r="D31" s="2906">
        <v>1976</v>
      </c>
      <c r="E31" s="1138">
        <v>589.29999999999995</v>
      </c>
      <c r="F31" s="1139">
        <v>567.29999999999995</v>
      </c>
      <c r="G31" s="1139">
        <v>509</v>
      </c>
      <c r="H31" s="4426">
        <v>7.2</v>
      </c>
      <c r="I31" s="4427">
        <v>112.7</v>
      </c>
      <c r="J31" s="4426">
        <v>100.6</v>
      </c>
      <c r="K31" s="1194">
        <v>60.8</v>
      </c>
      <c r="L31" s="3570">
        <v>72.400000000000006</v>
      </c>
      <c r="M31" s="3570">
        <v>44.4</v>
      </c>
      <c r="N31" s="3570">
        <v>3.6</v>
      </c>
      <c r="O31" s="3570">
        <v>48.6</v>
      </c>
      <c r="P31" s="3570">
        <v>16.2</v>
      </c>
      <c r="Q31" s="2013">
        <v>42.4</v>
      </c>
      <c r="R31" s="1616">
        <v>1976</v>
      </c>
      <c r="S31" s="1617"/>
    </row>
    <row r="32" spans="3:20" s="2771" customFormat="1" ht="23.25" customHeight="1">
      <c r="C32" s="4413"/>
      <c r="D32" s="1196">
        <v>1977</v>
      </c>
      <c r="E32" s="4441">
        <v>712.3</v>
      </c>
      <c r="F32" s="4442">
        <v>690.4</v>
      </c>
      <c r="G32" s="4442">
        <v>607.4</v>
      </c>
      <c r="H32" s="4391">
        <v>12.7</v>
      </c>
      <c r="I32" s="4392">
        <v>116.3</v>
      </c>
      <c r="J32" s="4391">
        <v>117.5</v>
      </c>
      <c r="K32" s="1197">
        <v>78.3</v>
      </c>
      <c r="L32" s="1198">
        <v>90.1</v>
      </c>
      <c r="M32" s="1198">
        <v>55.4</v>
      </c>
      <c r="N32" s="1198">
        <v>4.0999999999999996</v>
      </c>
      <c r="O32" s="1198">
        <v>60.8</v>
      </c>
      <c r="P32" s="1198">
        <v>19.399999999999999</v>
      </c>
      <c r="Q32" s="1172">
        <v>52.7</v>
      </c>
      <c r="R32" s="1173">
        <v>1977</v>
      </c>
      <c r="S32" s="1524"/>
    </row>
    <row r="33" spans="2:19" s="2771" customFormat="1" ht="23.25" customHeight="1">
      <c r="C33" s="3569"/>
      <c r="D33" s="2906">
        <v>1978</v>
      </c>
      <c r="E33" s="1138">
        <v>818.5</v>
      </c>
      <c r="F33" s="1139">
        <v>795.4</v>
      </c>
      <c r="G33" s="1139">
        <v>712.4</v>
      </c>
      <c r="H33" s="4426">
        <v>14.2</v>
      </c>
      <c r="I33" s="4427">
        <v>132.69999999999999</v>
      </c>
      <c r="J33" s="4426">
        <v>139.19999999999999</v>
      </c>
      <c r="K33" s="1194">
        <v>91.8</v>
      </c>
      <c r="L33" s="3570">
        <v>95.1</v>
      </c>
      <c r="M33" s="3570">
        <v>66.599999999999994</v>
      </c>
      <c r="N33" s="3570">
        <v>7.4</v>
      </c>
      <c r="O33" s="3570">
        <v>67.5</v>
      </c>
      <c r="P33" s="3570">
        <v>20.8</v>
      </c>
      <c r="Q33" s="2013">
        <v>77</v>
      </c>
      <c r="R33" s="1616">
        <v>1978</v>
      </c>
      <c r="S33" s="1617"/>
    </row>
    <row r="34" spans="2:19" s="2771" customFormat="1" ht="23.25" customHeight="1">
      <c r="C34" s="4413"/>
      <c r="D34" s="1196">
        <v>1979</v>
      </c>
      <c r="E34" s="4441">
        <v>1009.7</v>
      </c>
      <c r="F34" s="4442">
        <v>982.5</v>
      </c>
      <c r="G34" s="4442">
        <v>901.1</v>
      </c>
      <c r="H34" s="4391">
        <v>19</v>
      </c>
      <c r="I34" s="4392">
        <v>171.7</v>
      </c>
      <c r="J34" s="4391">
        <v>197.1</v>
      </c>
      <c r="K34" s="1197">
        <v>110.1</v>
      </c>
      <c r="L34" s="1198">
        <v>123.6</v>
      </c>
      <c r="M34" s="1198">
        <v>87.1</v>
      </c>
      <c r="N34" s="1198">
        <v>10.3</v>
      </c>
      <c r="O34" s="1198">
        <v>91.8</v>
      </c>
      <c r="P34" s="1198">
        <v>28.8</v>
      </c>
      <c r="Q34" s="1172">
        <v>61.6</v>
      </c>
      <c r="R34" s="1173">
        <v>1979</v>
      </c>
      <c r="S34" s="1524"/>
    </row>
    <row r="35" spans="2:19" s="2771" customFormat="1" ht="23.25" customHeight="1">
      <c r="C35" s="3569"/>
      <c r="D35" s="2906">
        <v>1980</v>
      </c>
      <c r="E35" s="1138">
        <v>1198.2</v>
      </c>
      <c r="F35" s="1139">
        <v>1164.8</v>
      </c>
      <c r="G35" s="1139">
        <v>1058.7</v>
      </c>
      <c r="H35" s="4426">
        <v>25.1</v>
      </c>
      <c r="I35" s="4427">
        <v>186.5</v>
      </c>
      <c r="J35" s="4426">
        <v>221.7</v>
      </c>
      <c r="K35" s="1194">
        <v>132.19999999999999</v>
      </c>
      <c r="L35" s="3570">
        <v>143.6</v>
      </c>
      <c r="M35" s="3570">
        <v>104.2</v>
      </c>
      <c r="N35" s="3570">
        <v>17.2</v>
      </c>
      <c r="O35" s="3570">
        <v>104.6</v>
      </c>
      <c r="P35" s="3570">
        <v>40.299999999999997</v>
      </c>
      <c r="Q35" s="2013">
        <v>83.2</v>
      </c>
      <c r="R35" s="1616">
        <v>1980</v>
      </c>
      <c r="S35" s="1617"/>
    </row>
    <row r="36" spans="2:19" s="2771" customFormat="1" ht="23.25" customHeight="1">
      <c r="C36" s="4413"/>
      <c r="D36" s="1196">
        <v>1981</v>
      </c>
      <c r="E36" s="4441">
        <v>1506.2</v>
      </c>
      <c r="F36" s="4442">
        <v>1448.7</v>
      </c>
      <c r="G36" s="4442">
        <f t="shared" si="0"/>
        <v>1312.2</v>
      </c>
      <c r="H36" s="4391">
        <v>28.5</v>
      </c>
      <c r="I36" s="4392">
        <v>225.2</v>
      </c>
      <c r="J36" s="4391">
        <v>239.5</v>
      </c>
      <c r="K36" s="1197">
        <v>177.4</v>
      </c>
      <c r="L36" s="1198">
        <v>193.8</v>
      </c>
      <c r="M36" s="1198">
        <v>133.5</v>
      </c>
      <c r="N36" s="1198">
        <v>23.7</v>
      </c>
      <c r="O36" s="1198">
        <v>167.1</v>
      </c>
      <c r="P36" s="1198">
        <v>43.7</v>
      </c>
      <c r="Q36" s="1172">
        <v>79.8</v>
      </c>
      <c r="R36" s="1173">
        <v>1981</v>
      </c>
      <c r="S36" s="1524"/>
    </row>
    <row r="37" spans="2:19" s="2771" customFormat="1" ht="23.25" customHeight="1">
      <c r="C37" s="3569"/>
      <c r="D37" s="2906">
        <v>1982</v>
      </c>
      <c r="E37" s="1138">
        <v>1714.3</v>
      </c>
      <c r="F37" s="1139">
        <v>1649.9</v>
      </c>
      <c r="G37" s="1139">
        <v>1506.7</v>
      </c>
      <c r="H37" s="4426">
        <v>27.6</v>
      </c>
      <c r="I37" s="4427">
        <v>255.1</v>
      </c>
      <c r="J37" s="4426">
        <v>276.10000000000002</v>
      </c>
      <c r="K37" s="1194">
        <v>211.9</v>
      </c>
      <c r="L37" s="3570">
        <v>211.4</v>
      </c>
      <c r="M37" s="3570">
        <v>174.8</v>
      </c>
      <c r="N37" s="3570">
        <v>29.1</v>
      </c>
      <c r="O37" s="3570">
        <v>181.3</v>
      </c>
      <c r="P37" s="3570">
        <v>46.5</v>
      </c>
      <c r="Q37" s="2013">
        <v>92.9</v>
      </c>
      <c r="R37" s="1616">
        <v>1982</v>
      </c>
      <c r="S37" s="1617"/>
    </row>
    <row r="38" spans="2:19" s="2771" customFormat="1" ht="23.25" customHeight="1">
      <c r="C38" s="4413"/>
      <c r="D38" s="1196">
        <v>1983</v>
      </c>
      <c r="E38" s="4441">
        <v>1835.8</v>
      </c>
      <c r="F38" s="4442">
        <v>1786.6</v>
      </c>
      <c r="G38" s="4442">
        <f t="shared" si="0"/>
        <v>1601.4</v>
      </c>
      <c r="H38" s="4391">
        <v>24.1</v>
      </c>
      <c r="I38" s="4392">
        <v>275.10000000000002</v>
      </c>
      <c r="J38" s="4391">
        <v>310</v>
      </c>
      <c r="K38" s="1197">
        <v>236.1</v>
      </c>
      <c r="L38" s="1198">
        <v>204</v>
      </c>
      <c r="M38" s="1198">
        <v>187.1</v>
      </c>
      <c r="N38" s="1198">
        <v>22.2</v>
      </c>
      <c r="O38" s="1198">
        <v>189.3</v>
      </c>
      <c r="P38" s="1198">
        <v>43.6</v>
      </c>
      <c r="Q38" s="1172">
        <v>109.9</v>
      </c>
      <c r="R38" s="1173">
        <v>1983</v>
      </c>
      <c r="S38" s="1524"/>
    </row>
    <row r="39" spans="2:19" s="2771" customFormat="1" ht="23.25" customHeight="1">
      <c r="C39" s="3569"/>
      <c r="D39" s="2906">
        <v>1984</v>
      </c>
      <c r="E39" s="1138">
        <v>1923.3</v>
      </c>
      <c r="F39" s="1139">
        <v>1909.7</v>
      </c>
      <c r="G39" s="1139">
        <v>1730.6</v>
      </c>
      <c r="H39" s="4426">
        <v>27.3</v>
      </c>
      <c r="I39" s="4427">
        <v>299.5</v>
      </c>
      <c r="J39" s="4426">
        <v>354.4</v>
      </c>
      <c r="K39" s="1194">
        <v>238.8</v>
      </c>
      <c r="L39" s="3570">
        <v>224.9</v>
      </c>
      <c r="M39" s="3570">
        <v>185.7</v>
      </c>
      <c r="N39" s="3570">
        <v>32.1</v>
      </c>
      <c r="O39" s="3570">
        <v>205.6</v>
      </c>
      <c r="P39" s="3570">
        <v>64.5</v>
      </c>
      <c r="Q39" s="2013">
        <v>97.7</v>
      </c>
      <c r="R39" s="1616">
        <v>1984</v>
      </c>
      <c r="S39" s="1617"/>
    </row>
    <row r="40" spans="2:19" s="2771" customFormat="1" ht="23.25" customHeight="1">
      <c r="C40" s="4413"/>
      <c r="D40" s="1196">
        <v>1985</v>
      </c>
      <c r="E40" s="4441">
        <v>1965.8</v>
      </c>
      <c r="F40" s="4442">
        <v>1970.5</v>
      </c>
      <c r="G40" s="4442">
        <v>1767.7</v>
      </c>
      <c r="H40" s="4391">
        <v>31.1</v>
      </c>
      <c r="I40" s="4392">
        <v>328.3</v>
      </c>
      <c r="J40" s="4391">
        <v>375.8</v>
      </c>
      <c r="K40" s="1197">
        <v>274.39999999999998</v>
      </c>
      <c r="L40" s="1198">
        <v>217.1</v>
      </c>
      <c r="M40" s="1198">
        <v>149.19999999999999</v>
      </c>
      <c r="N40" s="1198">
        <v>40.1</v>
      </c>
      <c r="O40" s="1198">
        <v>189.2</v>
      </c>
      <c r="P40" s="1198">
        <v>65.7</v>
      </c>
      <c r="Q40" s="1172">
        <v>96.9</v>
      </c>
      <c r="R40" s="1173">
        <v>1985</v>
      </c>
      <c r="S40" s="1524"/>
    </row>
    <row r="41" spans="2:19" s="2771" customFormat="1" ht="23.25" customHeight="1">
      <c r="C41" s="3569"/>
      <c r="D41" s="2906">
        <v>1986</v>
      </c>
      <c r="E41" s="1138">
        <v>2223.1999999999998</v>
      </c>
      <c r="F41" s="1139">
        <v>2240.5</v>
      </c>
      <c r="G41" s="1139">
        <f t="shared" si="0"/>
        <v>1937.2</v>
      </c>
      <c r="H41" s="4426">
        <v>30.5</v>
      </c>
      <c r="I41" s="4427">
        <v>369.7</v>
      </c>
      <c r="J41" s="4426">
        <v>382.2</v>
      </c>
      <c r="K41" s="1194">
        <v>284.10000000000002</v>
      </c>
      <c r="L41" s="3570">
        <v>231.2</v>
      </c>
      <c r="M41" s="3570">
        <v>138.19999999999999</v>
      </c>
      <c r="N41" s="3570">
        <v>44.2</v>
      </c>
      <c r="O41" s="3570">
        <v>274.39999999999998</v>
      </c>
      <c r="P41" s="3570">
        <v>68.400000000000006</v>
      </c>
      <c r="Q41" s="2013">
        <v>114.3</v>
      </c>
      <c r="R41" s="1616">
        <v>1986</v>
      </c>
      <c r="S41" s="1617"/>
    </row>
    <row r="42" spans="2:19" s="2771" customFormat="1" ht="23.25" customHeight="1">
      <c r="C42" s="4413"/>
      <c r="D42" s="1196">
        <v>1987</v>
      </c>
      <c r="E42" s="4441">
        <v>2236.5</v>
      </c>
      <c r="F42" s="4442">
        <v>2286.6999999999998</v>
      </c>
      <c r="G42" s="4442">
        <v>1999.9</v>
      </c>
      <c r="H42" s="4391">
        <v>32.1</v>
      </c>
      <c r="I42" s="4392">
        <v>388</v>
      </c>
      <c r="J42" s="4391">
        <v>397</v>
      </c>
      <c r="K42" s="1197">
        <v>287.2</v>
      </c>
      <c r="L42" s="1198">
        <v>225.4</v>
      </c>
      <c r="M42" s="1198">
        <v>121</v>
      </c>
      <c r="N42" s="1198">
        <v>48.6</v>
      </c>
      <c r="O42" s="1198">
        <v>293.2</v>
      </c>
      <c r="P42" s="1198">
        <v>72.599999999999994</v>
      </c>
      <c r="Q42" s="1172">
        <v>134.69999999999999</v>
      </c>
      <c r="R42" s="1173">
        <v>1987</v>
      </c>
      <c r="S42" s="1524"/>
    </row>
    <row r="43" spans="2:19" s="2771" customFormat="1" ht="23.25" customHeight="1">
      <c r="C43" s="3569"/>
      <c r="D43" s="2906">
        <v>1988</v>
      </c>
      <c r="E43" s="1138">
        <v>2261</v>
      </c>
      <c r="F43" s="1139">
        <v>2349.5</v>
      </c>
      <c r="G43" s="1139">
        <v>2062.8000000000002</v>
      </c>
      <c r="H43" s="4426">
        <v>29.1</v>
      </c>
      <c r="I43" s="4427">
        <v>418.9</v>
      </c>
      <c r="J43" s="4426">
        <v>446.3</v>
      </c>
      <c r="K43" s="1194">
        <v>305.5</v>
      </c>
      <c r="L43" s="3570">
        <v>218.1</v>
      </c>
      <c r="M43" s="3570">
        <v>114.3</v>
      </c>
      <c r="N43" s="3570">
        <v>50.7</v>
      </c>
      <c r="O43" s="3570">
        <v>259.8</v>
      </c>
      <c r="P43" s="3570">
        <v>82.6</v>
      </c>
      <c r="Q43" s="2013">
        <v>137.6</v>
      </c>
      <c r="R43" s="1616">
        <v>1988</v>
      </c>
      <c r="S43" s="1617"/>
    </row>
    <row r="44" spans="2:19" s="2771" customFormat="1" ht="23.25" customHeight="1">
      <c r="C44" s="4413"/>
      <c r="D44" s="1196">
        <v>1989</v>
      </c>
      <c r="E44" s="4441">
        <v>2234</v>
      </c>
      <c r="F44" s="4442">
        <v>2425.4</v>
      </c>
      <c r="G44" s="4442">
        <v>2199.4</v>
      </c>
      <c r="H44" s="4391">
        <v>27.2</v>
      </c>
      <c r="I44" s="4392">
        <v>431.4</v>
      </c>
      <c r="J44" s="4391">
        <v>489.6</v>
      </c>
      <c r="K44" s="1197">
        <v>369.9</v>
      </c>
      <c r="L44" s="1198">
        <v>177.2</v>
      </c>
      <c r="M44" s="1198">
        <v>102.9</v>
      </c>
      <c r="N44" s="1198">
        <v>52.8</v>
      </c>
      <c r="O44" s="1198">
        <v>261.2</v>
      </c>
      <c r="P44" s="1198">
        <v>154.69999999999999</v>
      </c>
      <c r="Q44" s="1172">
        <v>132.69999999999999</v>
      </c>
      <c r="R44" s="1173">
        <v>1989</v>
      </c>
      <c r="S44" s="1524"/>
    </row>
    <row r="45" spans="2:19" s="2771" customFormat="1" ht="23.25" customHeight="1">
      <c r="C45" s="3569"/>
      <c r="D45" s="2906">
        <v>1990</v>
      </c>
      <c r="E45" s="1138">
        <v>2521.4</v>
      </c>
      <c r="F45" s="1139">
        <v>2760.9</v>
      </c>
      <c r="G45" s="1139">
        <v>2463.6999999999998</v>
      </c>
      <c r="H45" s="4426">
        <v>54.7</v>
      </c>
      <c r="I45" s="4427">
        <v>449.1</v>
      </c>
      <c r="J45" s="4426">
        <v>490.4</v>
      </c>
      <c r="K45" s="1194">
        <v>369.6</v>
      </c>
      <c r="L45" s="3570">
        <v>247</v>
      </c>
      <c r="M45" s="3570">
        <v>107.1</v>
      </c>
      <c r="N45" s="3570">
        <v>54.3</v>
      </c>
      <c r="O45" s="3570">
        <v>352.5</v>
      </c>
      <c r="P45" s="3570">
        <v>149.1</v>
      </c>
      <c r="Q45" s="2013">
        <v>190</v>
      </c>
      <c r="R45" s="1616">
        <v>1990</v>
      </c>
      <c r="S45" s="1617"/>
    </row>
    <row r="46" spans="2:19" s="2771" customFormat="1" ht="23.25" customHeight="1">
      <c r="C46" s="4413"/>
      <c r="D46" s="1196">
        <v>1991</v>
      </c>
      <c r="E46" s="4441">
        <v>2736.9</v>
      </c>
      <c r="F46" s="4442">
        <v>2958</v>
      </c>
      <c r="G46" s="4442">
        <v>2632.6</v>
      </c>
      <c r="H46" s="4391">
        <v>58.8</v>
      </c>
      <c r="I46" s="4392">
        <v>474.4</v>
      </c>
      <c r="J46" s="4391">
        <v>571.5</v>
      </c>
      <c r="K46" s="1197">
        <v>390.8</v>
      </c>
      <c r="L46" s="1198">
        <v>260.7</v>
      </c>
      <c r="M46" s="1198">
        <v>127</v>
      </c>
      <c r="N46" s="1198">
        <v>62.4</v>
      </c>
      <c r="O46" s="1198">
        <v>347.4</v>
      </c>
      <c r="P46" s="1198">
        <v>125.4</v>
      </c>
      <c r="Q46" s="1172">
        <v>214.3</v>
      </c>
      <c r="R46" s="1173">
        <v>1991</v>
      </c>
      <c r="S46" s="1524"/>
    </row>
    <row r="47" spans="2:19" s="1807" customFormat="1" ht="23.25" customHeight="1">
      <c r="C47" s="3569"/>
      <c r="D47" s="2906">
        <v>1992</v>
      </c>
      <c r="E47" s="1138">
        <v>3424.3</v>
      </c>
      <c r="F47" s="1139">
        <v>3610.5</v>
      </c>
      <c r="G47" s="1139">
        <v>3128.9</v>
      </c>
      <c r="H47" s="4426">
        <v>92.8</v>
      </c>
      <c r="I47" s="4427">
        <v>554.79999999999995</v>
      </c>
      <c r="J47" s="4426">
        <v>621</v>
      </c>
      <c r="K47" s="1194">
        <v>456.8</v>
      </c>
      <c r="L47" s="3570">
        <v>297</v>
      </c>
      <c r="M47" s="3570">
        <v>217.1</v>
      </c>
      <c r="N47" s="3570">
        <v>67</v>
      </c>
      <c r="O47" s="3570">
        <v>444.6</v>
      </c>
      <c r="P47" s="3570">
        <v>130.80000000000001</v>
      </c>
      <c r="Q47" s="2013">
        <v>247</v>
      </c>
      <c r="R47" s="1616">
        <v>1992</v>
      </c>
      <c r="S47" s="1617"/>
    </row>
    <row r="48" spans="2:19" s="1807" customFormat="1" ht="23.25" customHeight="1">
      <c r="B48" s="1937"/>
      <c r="C48" s="4413"/>
      <c r="D48" s="1196">
        <v>1993</v>
      </c>
      <c r="E48" s="4441">
        <v>3735.2</v>
      </c>
      <c r="F48" s="4442">
        <v>3884.2</v>
      </c>
      <c r="G48" s="4442">
        <v>3334.4</v>
      </c>
      <c r="H48" s="4391">
        <v>70.099999999999994</v>
      </c>
      <c r="I48" s="4392">
        <v>619.20000000000005</v>
      </c>
      <c r="J48" s="4391">
        <v>703.3</v>
      </c>
      <c r="K48" s="1197">
        <v>495.9</v>
      </c>
      <c r="L48" s="1198">
        <v>331.6</v>
      </c>
      <c r="M48" s="1198">
        <v>285.60000000000002</v>
      </c>
      <c r="N48" s="1198">
        <v>79.099999999999994</v>
      </c>
      <c r="O48" s="1198">
        <v>443.3</v>
      </c>
      <c r="P48" s="1198">
        <v>107.2</v>
      </c>
      <c r="Q48" s="1172">
        <v>199.2</v>
      </c>
      <c r="R48" s="1173">
        <v>1993</v>
      </c>
      <c r="S48" s="1524"/>
    </row>
    <row r="49" spans="3:22" s="1807" customFormat="1" ht="23.25" customHeight="1">
      <c r="C49" s="3571"/>
      <c r="D49" s="1474">
        <v>1994</v>
      </c>
      <c r="E49" s="1154">
        <v>4206.8999999999996</v>
      </c>
      <c r="F49" s="1155">
        <v>4357.3999999999996</v>
      </c>
      <c r="G49" s="1155">
        <v>3690.4</v>
      </c>
      <c r="H49" s="4424">
        <v>86.2</v>
      </c>
      <c r="I49" s="1577">
        <v>667.3</v>
      </c>
      <c r="J49" s="4424">
        <v>749.3</v>
      </c>
      <c r="K49" s="3572">
        <v>533.4</v>
      </c>
      <c r="L49" s="3573">
        <v>386</v>
      </c>
      <c r="M49" s="3573">
        <v>301.8</v>
      </c>
      <c r="N49" s="3573">
        <v>84.9</v>
      </c>
      <c r="O49" s="3573">
        <v>585.79999999999995</v>
      </c>
      <c r="P49" s="3573">
        <v>102.7</v>
      </c>
      <c r="Q49" s="2404">
        <v>192.9</v>
      </c>
      <c r="R49" s="1527">
        <v>1994</v>
      </c>
      <c r="S49" s="1526"/>
    </row>
    <row r="50" spans="3:22" s="1807" customFormat="1" ht="23.25" customHeight="1">
      <c r="C50" s="4413"/>
      <c r="D50" s="1196">
        <v>1995</v>
      </c>
      <c r="E50" s="4441">
        <v>4597.8999999999996</v>
      </c>
      <c r="F50" s="4442">
        <v>4714.7</v>
      </c>
      <c r="G50" s="4442">
        <v>4019.2</v>
      </c>
      <c r="H50" s="4391">
        <v>109.6</v>
      </c>
      <c r="I50" s="4392">
        <v>756.6</v>
      </c>
      <c r="J50" s="4391">
        <v>828.6</v>
      </c>
      <c r="K50" s="1197">
        <v>581.9</v>
      </c>
      <c r="L50" s="1198">
        <v>406.3</v>
      </c>
      <c r="M50" s="1198">
        <v>300.10000000000002</v>
      </c>
      <c r="N50" s="1198">
        <v>98.4</v>
      </c>
      <c r="O50" s="1198">
        <v>606.79999999999995</v>
      </c>
      <c r="P50" s="1198">
        <v>157.19999999999999</v>
      </c>
      <c r="Q50" s="1172">
        <v>173.8</v>
      </c>
      <c r="R50" s="1173">
        <v>1995</v>
      </c>
      <c r="S50" s="1524"/>
    </row>
    <row r="51" spans="3:22" s="1807" customFormat="1" ht="23.25" customHeight="1">
      <c r="C51" s="3569"/>
      <c r="D51" s="2906">
        <v>1996</v>
      </c>
      <c r="E51" s="1138">
        <v>4799.1000000000004</v>
      </c>
      <c r="F51" s="1139">
        <v>4911.3</v>
      </c>
      <c r="G51" s="1139">
        <v>4142.6000000000004</v>
      </c>
      <c r="H51" s="4426">
        <v>123</v>
      </c>
      <c r="I51" s="4427">
        <v>827.4</v>
      </c>
      <c r="J51" s="4426">
        <v>882.3</v>
      </c>
      <c r="K51" s="1194">
        <v>642.70000000000005</v>
      </c>
      <c r="L51" s="3570">
        <v>425.9</v>
      </c>
      <c r="M51" s="3570">
        <v>254.8</v>
      </c>
      <c r="N51" s="3570">
        <v>104.4</v>
      </c>
      <c r="O51" s="3570">
        <v>570</v>
      </c>
      <c r="P51" s="3570">
        <v>153.69999999999999</v>
      </c>
      <c r="Q51" s="2013">
        <v>158.6</v>
      </c>
      <c r="R51" s="1616">
        <v>1996</v>
      </c>
      <c r="S51" s="1617"/>
    </row>
    <row r="52" spans="3:22" s="1807" customFormat="1" ht="23.25" customHeight="1">
      <c r="C52" s="4413"/>
      <c r="D52" s="1196">
        <v>1997</v>
      </c>
      <c r="E52" s="4441">
        <v>5090</v>
      </c>
      <c r="F52" s="4442">
        <v>5137.3999999999996</v>
      </c>
      <c r="G52" s="4442">
        <v>4451.2</v>
      </c>
      <c r="H52" s="4391">
        <v>155.4</v>
      </c>
      <c r="I52" s="4392">
        <v>896.1</v>
      </c>
      <c r="J52" s="4391">
        <v>918.5</v>
      </c>
      <c r="K52" s="1197">
        <v>672.7</v>
      </c>
      <c r="L52" s="1198">
        <v>510.2</v>
      </c>
      <c r="M52" s="1198">
        <v>240.5</v>
      </c>
      <c r="N52" s="1198">
        <v>117.8</v>
      </c>
      <c r="O52" s="1198">
        <v>621.6</v>
      </c>
      <c r="P52" s="1198">
        <v>169.9</v>
      </c>
      <c r="Q52" s="1172">
        <v>148.30000000000001</v>
      </c>
      <c r="R52" s="1173">
        <v>1997</v>
      </c>
      <c r="S52" s="1524"/>
    </row>
    <row r="53" spans="3:22" s="1807" customFormat="1" ht="23.25" customHeight="1">
      <c r="C53" s="3569"/>
      <c r="D53" s="2906">
        <v>1998</v>
      </c>
      <c r="E53" s="1138">
        <v>5604</v>
      </c>
      <c r="F53" s="1139">
        <v>5609.9</v>
      </c>
      <c r="G53" s="1139">
        <v>4720.2</v>
      </c>
      <c r="H53" s="4426">
        <v>155.4</v>
      </c>
      <c r="I53" s="4427">
        <v>943.2</v>
      </c>
      <c r="J53" s="4426">
        <v>979.1</v>
      </c>
      <c r="K53" s="1194">
        <v>717.1</v>
      </c>
      <c r="L53" s="3570">
        <v>532.4</v>
      </c>
      <c r="M53" s="3570">
        <v>214.6</v>
      </c>
      <c r="N53" s="3570">
        <v>121.2</v>
      </c>
      <c r="O53" s="3570">
        <v>742</v>
      </c>
      <c r="P53" s="3570">
        <v>170.4</v>
      </c>
      <c r="Q53" s="2013">
        <v>144.69999999999999</v>
      </c>
      <c r="R53" s="1616">
        <v>1998</v>
      </c>
      <c r="S53" s="1617"/>
    </row>
    <row r="54" spans="3:22" s="1807" customFormat="1" ht="23.25" customHeight="1">
      <c r="C54" s="4413"/>
      <c r="D54" s="1196">
        <v>1999</v>
      </c>
      <c r="E54" s="4441">
        <v>5769.4</v>
      </c>
      <c r="F54" s="4442">
        <v>5778.1</v>
      </c>
      <c r="G54" s="4442">
        <v>4864.8999999999996</v>
      </c>
      <c r="H54" s="4391">
        <v>196.1</v>
      </c>
      <c r="I54" s="4392">
        <v>995.7</v>
      </c>
      <c r="J54" s="4391">
        <v>990.9</v>
      </c>
      <c r="K54" s="1197">
        <v>762.2</v>
      </c>
      <c r="L54" s="1198">
        <v>543.20000000000005</v>
      </c>
      <c r="M54" s="1198">
        <v>207.1</v>
      </c>
      <c r="N54" s="1198">
        <v>129.30000000000001</v>
      </c>
      <c r="O54" s="1198">
        <v>760.7</v>
      </c>
      <c r="P54" s="1198">
        <v>163.80000000000001</v>
      </c>
      <c r="Q54" s="1172">
        <v>115.9</v>
      </c>
      <c r="R54" s="1173">
        <v>1999</v>
      </c>
      <c r="S54" s="1524"/>
      <c r="T54" s="1174"/>
      <c r="U54" s="1174"/>
      <c r="V54" s="1174"/>
    </row>
    <row r="55" spans="3:22" s="1807" customFormat="1" ht="23.25" customHeight="1">
      <c r="C55" s="3569"/>
      <c r="D55" s="2906">
        <v>2000</v>
      </c>
      <c r="E55" s="1138">
        <v>6069.7</v>
      </c>
      <c r="F55" s="1139">
        <v>5998.6</v>
      </c>
      <c r="G55" s="1139">
        <v>5153.6000000000004</v>
      </c>
      <c r="H55" s="4426">
        <v>193.5</v>
      </c>
      <c r="I55" s="4427">
        <v>1042.2</v>
      </c>
      <c r="J55" s="4426">
        <v>1072.0999999999999</v>
      </c>
      <c r="K55" s="1194">
        <v>819.7</v>
      </c>
      <c r="L55" s="3570">
        <v>588.9</v>
      </c>
      <c r="M55" s="3570">
        <v>203.3</v>
      </c>
      <c r="N55" s="3570">
        <v>134.4</v>
      </c>
      <c r="O55" s="3570">
        <v>807.2</v>
      </c>
      <c r="P55" s="3570">
        <v>171.5</v>
      </c>
      <c r="Q55" s="2013">
        <v>120.9</v>
      </c>
      <c r="R55" s="1616">
        <v>2000</v>
      </c>
      <c r="S55" s="1617"/>
      <c r="T55" s="1174"/>
      <c r="U55" s="1174"/>
      <c r="V55" s="1174"/>
    </row>
    <row r="56" spans="3:22" s="1807" customFormat="1" ht="23.25" customHeight="1">
      <c r="C56" s="4413"/>
      <c r="D56" s="1196">
        <v>2001</v>
      </c>
      <c r="E56" s="4441">
        <v>6478.4</v>
      </c>
      <c r="F56" s="4442">
        <v>6363.7</v>
      </c>
      <c r="G56" s="4442">
        <v>5470</v>
      </c>
      <c r="H56" s="4391">
        <v>197.5</v>
      </c>
      <c r="I56" s="4392">
        <v>1077.0999999999999</v>
      </c>
      <c r="J56" s="4391">
        <v>1136.3</v>
      </c>
      <c r="K56" s="1197">
        <v>907.2</v>
      </c>
      <c r="L56" s="1198">
        <v>618.6</v>
      </c>
      <c r="M56" s="1198">
        <v>231</v>
      </c>
      <c r="N56" s="1198">
        <v>140.6</v>
      </c>
      <c r="O56" s="1198">
        <v>861.2</v>
      </c>
      <c r="P56" s="1198">
        <v>176.4</v>
      </c>
      <c r="Q56" s="1172">
        <v>124.3</v>
      </c>
      <c r="R56" s="1173">
        <v>2001</v>
      </c>
      <c r="S56" s="1524"/>
      <c r="T56" s="1174"/>
      <c r="U56" s="1174"/>
      <c r="V56" s="1174"/>
    </row>
    <row r="57" spans="3:22" s="1807" customFormat="1" ht="23.25" customHeight="1">
      <c r="C57" s="3574"/>
      <c r="D57" s="2906">
        <v>2002</v>
      </c>
      <c r="E57" s="1138">
        <v>6842.9</v>
      </c>
      <c r="F57" s="1139">
        <v>6794</v>
      </c>
      <c r="G57" s="1139">
        <v>5849.4</v>
      </c>
      <c r="H57" s="4426">
        <v>168.3</v>
      </c>
      <c r="I57" s="4427">
        <v>1141.4000000000001</v>
      </c>
      <c r="J57" s="4426">
        <v>1236.3</v>
      </c>
      <c r="K57" s="1194">
        <v>934.9</v>
      </c>
      <c r="L57" s="3570">
        <v>635</v>
      </c>
      <c r="M57" s="3570">
        <v>251.7</v>
      </c>
      <c r="N57" s="3570">
        <v>156.6</v>
      </c>
      <c r="O57" s="3570">
        <v>987.7</v>
      </c>
      <c r="P57" s="3570">
        <v>188.7</v>
      </c>
      <c r="Q57" s="2013">
        <v>148.9</v>
      </c>
      <c r="R57" s="1616">
        <v>2002</v>
      </c>
      <c r="S57" s="1617"/>
      <c r="T57" s="1174"/>
      <c r="U57" s="1174"/>
      <c r="V57" s="1174"/>
    </row>
    <row r="58" spans="3:22" s="1807" customFormat="1" ht="23.25" customHeight="1">
      <c r="C58" s="4413"/>
      <c r="D58" s="1196">
        <v>2003</v>
      </c>
      <c r="E58" s="4441">
        <v>7320.8</v>
      </c>
      <c r="F58" s="4442">
        <v>7228.8</v>
      </c>
      <c r="G58" s="4442">
        <f>H58+I58+J58+K58+L58+M58+N58+O58+P58+Q58</f>
        <v>6301.3</v>
      </c>
      <c r="H58" s="4391">
        <v>183.29999999999995</v>
      </c>
      <c r="I58" s="4392">
        <v>1255.9000000000001</v>
      </c>
      <c r="J58" s="4391">
        <v>1311.3</v>
      </c>
      <c r="K58" s="1197">
        <v>1015.6</v>
      </c>
      <c r="L58" s="1198">
        <v>652.70000000000005</v>
      </c>
      <c r="M58" s="1198">
        <v>268.3</v>
      </c>
      <c r="N58" s="1198">
        <v>161.19999999999999</v>
      </c>
      <c r="O58" s="1198">
        <v>1082.5999999999999</v>
      </c>
      <c r="P58" s="1198">
        <v>192.1</v>
      </c>
      <c r="Q58" s="1172">
        <v>178.3</v>
      </c>
      <c r="R58" s="1173">
        <v>2003</v>
      </c>
      <c r="S58" s="1524"/>
      <c r="T58" s="1174"/>
      <c r="U58" s="1174"/>
      <c r="V58" s="1174"/>
    </row>
    <row r="59" spans="3:22" s="1807" customFormat="1" ht="23.25" customHeight="1">
      <c r="C59" s="3574"/>
      <c r="D59" s="2906">
        <v>2004</v>
      </c>
      <c r="E59" s="3575">
        <v>8254.7000000000007</v>
      </c>
      <c r="F59" s="1155">
        <v>8090.7</v>
      </c>
      <c r="G59" s="1155">
        <v>7195</v>
      </c>
      <c r="H59" s="4424">
        <v>217</v>
      </c>
      <c r="I59" s="4424">
        <v>1338.6</v>
      </c>
      <c r="J59" s="4424">
        <v>1444.4</v>
      </c>
      <c r="K59" s="3572">
        <v>1188.5</v>
      </c>
      <c r="L59" s="3572">
        <v>746.5</v>
      </c>
      <c r="M59" s="3572">
        <v>324.39999999999998</v>
      </c>
      <c r="N59" s="3572">
        <v>189.4</v>
      </c>
      <c r="O59" s="3572">
        <v>1313.6</v>
      </c>
      <c r="P59" s="3572">
        <v>230.4</v>
      </c>
      <c r="Q59" s="2404">
        <v>202.1</v>
      </c>
      <c r="R59" s="1616">
        <v>2004</v>
      </c>
      <c r="S59" s="1617"/>
      <c r="T59" s="1174"/>
      <c r="U59" s="1174"/>
      <c r="V59" s="1174"/>
    </row>
    <row r="60" spans="3:22" s="1807" customFormat="1" ht="23.25" customHeight="1">
      <c r="C60" s="4413"/>
      <c r="D60" s="1196">
        <v>2005</v>
      </c>
      <c r="E60" s="4441">
        <v>9108</v>
      </c>
      <c r="F60" s="4442">
        <v>8925.4</v>
      </c>
      <c r="G60" s="4442">
        <v>7963.6</v>
      </c>
      <c r="H60" s="4391">
        <v>174.5</v>
      </c>
      <c r="I60" s="4392">
        <v>1424.4</v>
      </c>
      <c r="J60" s="4391">
        <v>1747.6</v>
      </c>
      <c r="K60" s="1197">
        <v>1256.5</v>
      </c>
      <c r="L60" s="1198">
        <v>835.9</v>
      </c>
      <c r="M60" s="1198">
        <v>382.1</v>
      </c>
      <c r="N60" s="1198">
        <v>190.2</v>
      </c>
      <c r="O60" s="1198">
        <v>1426.3</v>
      </c>
      <c r="P60" s="1198">
        <v>279.89999999999998</v>
      </c>
      <c r="Q60" s="1172">
        <v>246.2</v>
      </c>
      <c r="R60" s="1173">
        <v>2005</v>
      </c>
      <c r="S60" s="1524"/>
      <c r="T60" s="1801"/>
      <c r="U60" s="1801"/>
      <c r="V60" s="1801"/>
    </row>
    <row r="61" spans="3:22" s="1807" customFormat="1" ht="23.25" customHeight="1">
      <c r="C61" s="3574"/>
      <c r="D61" s="2906">
        <v>2006</v>
      </c>
      <c r="E61" s="3575">
        <v>10933.2</v>
      </c>
      <c r="F61" s="1155">
        <v>10675.4</v>
      </c>
      <c r="G61" s="1155">
        <v>9362.7999999999993</v>
      </c>
      <c r="H61" s="4424">
        <v>186</v>
      </c>
      <c r="I61" s="4424">
        <v>1776.4</v>
      </c>
      <c r="J61" s="4424">
        <v>1920.3</v>
      </c>
      <c r="K61" s="3572">
        <v>1465.3</v>
      </c>
      <c r="L61" s="3572">
        <v>1025.5999999999999</v>
      </c>
      <c r="M61" s="3572">
        <v>429</v>
      </c>
      <c r="N61" s="3572">
        <v>205.6</v>
      </c>
      <c r="O61" s="3572">
        <v>1814.8</v>
      </c>
      <c r="P61" s="3572">
        <v>264</v>
      </c>
      <c r="Q61" s="2404">
        <v>275.8</v>
      </c>
      <c r="R61" s="1616">
        <v>2006</v>
      </c>
      <c r="S61" s="1617"/>
      <c r="T61" s="1174"/>
      <c r="U61" s="1174"/>
      <c r="V61" s="1174"/>
    </row>
    <row r="62" spans="3:22" s="1807" customFormat="1" ht="23.25" customHeight="1">
      <c r="C62" s="4413"/>
      <c r="D62" s="1196">
        <v>2007</v>
      </c>
      <c r="E62" s="4441">
        <v>12539.6</v>
      </c>
      <c r="F62" s="4442">
        <v>12131.4</v>
      </c>
      <c r="G62" s="4442">
        <f>H62+I62+J62+K62+L62+M62+N62+O62+P62+Q62</f>
        <v>10805.099999999999</v>
      </c>
      <c r="H62" s="4391">
        <v>148.69999999999999</v>
      </c>
      <c r="I62" s="4392">
        <v>2021.3</v>
      </c>
      <c r="J62" s="4391">
        <v>2157.4</v>
      </c>
      <c r="K62" s="1197">
        <v>1553</v>
      </c>
      <c r="L62" s="1198">
        <v>1201.4000000000001</v>
      </c>
      <c r="M62" s="1198">
        <v>544.79999999999995</v>
      </c>
      <c r="N62" s="1198">
        <v>238</v>
      </c>
      <c r="O62" s="1198">
        <v>2294.5</v>
      </c>
      <c r="P62" s="1198">
        <v>338.9</v>
      </c>
      <c r="Q62" s="1172">
        <v>307.10000000000002</v>
      </c>
      <c r="R62" s="1173">
        <v>2007</v>
      </c>
      <c r="S62" s="1524"/>
      <c r="T62" s="1801"/>
      <c r="U62" s="1801"/>
      <c r="V62" s="1801"/>
    </row>
    <row r="63" spans="3:22" s="1807" customFormat="1" ht="23.25" customHeight="1">
      <c r="C63" s="3574"/>
      <c r="D63" s="2906">
        <v>2008</v>
      </c>
      <c r="E63" s="3575">
        <v>15885.5</v>
      </c>
      <c r="F63" s="1155">
        <v>15593.4</v>
      </c>
      <c r="G63" s="1155">
        <v>13971.2</v>
      </c>
      <c r="H63" s="4424">
        <v>-33.4</v>
      </c>
      <c r="I63" s="4424">
        <v>2909.2</v>
      </c>
      <c r="J63" s="4424">
        <v>2639.2</v>
      </c>
      <c r="K63" s="3572">
        <v>1848.2</v>
      </c>
      <c r="L63" s="3572">
        <v>1503.2</v>
      </c>
      <c r="M63" s="3572">
        <v>697.9</v>
      </c>
      <c r="N63" s="3572">
        <v>254.2</v>
      </c>
      <c r="O63" s="3572">
        <v>2933</v>
      </c>
      <c r="P63" s="3572">
        <v>843</v>
      </c>
      <c r="Q63" s="2404">
        <v>376.8</v>
      </c>
      <c r="R63" s="1616">
        <v>2008</v>
      </c>
      <c r="S63" s="1617"/>
      <c r="T63" s="1174"/>
      <c r="U63" s="1174"/>
      <c r="V63" s="1174"/>
    </row>
    <row r="64" spans="3:22" s="1807" customFormat="1" ht="23.25" customHeight="1">
      <c r="C64" s="4413"/>
      <c r="D64" s="1196">
        <v>2009</v>
      </c>
      <c r="E64" s="4441">
        <v>17178.8</v>
      </c>
      <c r="F64" s="4442">
        <v>16912.2</v>
      </c>
      <c r="G64" s="4442">
        <v>15044.5</v>
      </c>
      <c r="H64" s="4391">
        <v>-75.3</v>
      </c>
      <c r="I64" s="4392">
        <v>3471.1</v>
      </c>
      <c r="J64" s="4391">
        <v>2735.6</v>
      </c>
      <c r="K64" s="1197">
        <v>2014.8</v>
      </c>
      <c r="L64" s="1198">
        <v>1612.9</v>
      </c>
      <c r="M64" s="1198">
        <v>887.9</v>
      </c>
      <c r="N64" s="1198">
        <v>355.9</v>
      </c>
      <c r="O64" s="1198">
        <v>3026.3</v>
      </c>
      <c r="P64" s="1198">
        <v>556.29999999999995</v>
      </c>
      <c r="Q64" s="1172">
        <v>459.2</v>
      </c>
      <c r="R64" s="1173">
        <v>2009</v>
      </c>
      <c r="S64" s="1524"/>
      <c r="T64" s="1801"/>
      <c r="U64" s="1801"/>
      <c r="V64" s="1801"/>
    </row>
    <row r="65" spans="3:27" s="1807" customFormat="1" ht="23.25" customHeight="1">
      <c r="C65" s="3574"/>
      <c r="D65" s="2906">
        <v>2010</v>
      </c>
      <c r="E65" s="3575">
        <v>18609.599999999999</v>
      </c>
      <c r="F65" s="1155">
        <v>18762</v>
      </c>
      <c r="G65" s="1155">
        <v>16417.2</v>
      </c>
      <c r="H65" s="4424">
        <v>-67.599999999999994</v>
      </c>
      <c r="I65" s="4424">
        <v>3735.4</v>
      </c>
      <c r="J65" s="4424">
        <v>3135.3</v>
      </c>
      <c r="K65" s="3572">
        <v>2285.1999999999998</v>
      </c>
      <c r="L65" s="3572">
        <v>1723.9</v>
      </c>
      <c r="M65" s="3572">
        <v>896.2</v>
      </c>
      <c r="N65" s="3572">
        <v>380</v>
      </c>
      <c r="O65" s="3572">
        <v>3146.1</v>
      </c>
      <c r="P65" s="3572">
        <v>621.79999999999995</v>
      </c>
      <c r="Q65" s="2404">
        <v>560.9</v>
      </c>
      <c r="R65" s="1616">
        <v>2010</v>
      </c>
      <c r="S65" s="1617"/>
      <c r="T65" s="1174"/>
      <c r="U65" s="1174"/>
      <c r="V65" s="1174"/>
    </row>
    <row r="66" spans="3:27" s="1807" customFormat="1" ht="23.25" customHeight="1">
      <c r="C66" s="4413"/>
      <c r="D66" s="1196">
        <v>2011</v>
      </c>
      <c r="E66" s="4441">
        <v>20288.8</v>
      </c>
      <c r="F66" s="4442">
        <v>20476.599999999999</v>
      </c>
      <c r="G66" s="4442">
        <v>17987.7</v>
      </c>
      <c r="H66" s="4391">
        <v>-81.5</v>
      </c>
      <c r="I66" s="4392">
        <v>4121.3</v>
      </c>
      <c r="J66" s="4391">
        <v>3483.9</v>
      </c>
      <c r="K66" s="1197">
        <v>2426.1</v>
      </c>
      <c r="L66" s="1198">
        <v>1845.3</v>
      </c>
      <c r="M66" s="1198">
        <v>888</v>
      </c>
      <c r="N66" s="1198">
        <v>417.5</v>
      </c>
      <c r="O66" s="1198">
        <v>3485.3</v>
      </c>
      <c r="P66" s="1198">
        <v>803.5</v>
      </c>
      <c r="Q66" s="1172">
        <v>598.29999999999995</v>
      </c>
      <c r="R66" s="1173">
        <v>2011</v>
      </c>
      <c r="S66" s="1524"/>
      <c r="T66" s="1801"/>
      <c r="U66" s="1801"/>
      <c r="V66" s="1801"/>
    </row>
    <row r="67" spans="3:27" s="1807" customFormat="1" ht="23.25" customHeight="1">
      <c r="C67" s="3574"/>
      <c r="D67" s="2906">
        <v>2012</v>
      </c>
      <c r="E67" s="3575">
        <v>21690</v>
      </c>
      <c r="F67" s="1155">
        <v>21965.5</v>
      </c>
      <c r="G67" s="1155">
        <v>19298.3</v>
      </c>
      <c r="H67" s="4424">
        <v>-125</v>
      </c>
      <c r="I67" s="4424">
        <v>4485.6000000000004</v>
      </c>
      <c r="J67" s="4424">
        <v>3838.4</v>
      </c>
      <c r="K67" s="3572">
        <v>2637.4</v>
      </c>
      <c r="L67" s="3572">
        <v>2055.9</v>
      </c>
      <c r="M67" s="3572">
        <v>961.7</v>
      </c>
      <c r="N67" s="3572">
        <v>482.8</v>
      </c>
      <c r="O67" s="3572">
        <v>3633.4</v>
      </c>
      <c r="P67" s="3572">
        <v>723.6</v>
      </c>
      <c r="Q67" s="2404">
        <v>604.5</v>
      </c>
      <c r="R67" s="1616">
        <v>2012</v>
      </c>
      <c r="S67" s="1617"/>
      <c r="T67" s="1174"/>
      <c r="U67" s="1174"/>
      <c r="V67" s="1174"/>
    </row>
    <row r="68" spans="3:27" s="1807" customFormat="1" ht="23.25" customHeight="1">
      <c r="C68" s="4413"/>
      <c r="D68" s="1196">
        <v>2013</v>
      </c>
      <c r="E68" s="4441">
        <v>23611.200000000001</v>
      </c>
      <c r="F68" s="4442">
        <v>23851.599999999999</v>
      </c>
      <c r="G68" s="4442">
        <v>20981.4</v>
      </c>
      <c r="H68" s="4391">
        <v>-168.1</v>
      </c>
      <c r="I68" s="4392">
        <v>4831.6000000000004</v>
      </c>
      <c r="J68" s="4391">
        <v>4205.3</v>
      </c>
      <c r="K68" s="1197">
        <v>2889.2</v>
      </c>
      <c r="L68" s="1198">
        <v>2279.9</v>
      </c>
      <c r="M68" s="1198">
        <v>1060.5999999999999</v>
      </c>
      <c r="N68" s="1198">
        <v>531</v>
      </c>
      <c r="O68" s="1198">
        <v>4074.4</v>
      </c>
      <c r="P68" s="1198">
        <v>563.9</v>
      </c>
      <c r="Q68" s="1172">
        <v>713.7</v>
      </c>
      <c r="R68" s="1173">
        <v>2013</v>
      </c>
      <c r="S68" s="1524"/>
      <c r="T68" s="1801"/>
      <c r="U68" s="1801"/>
      <c r="V68" s="1801"/>
    </row>
    <row r="69" spans="3:27" s="1807" customFormat="1" ht="23.25" customHeight="1">
      <c r="C69" s="3574"/>
      <c r="D69" s="2906">
        <v>2014</v>
      </c>
      <c r="E69" s="3575">
        <v>25141.200000000001</v>
      </c>
      <c r="F69" s="1155">
        <v>25437.1</v>
      </c>
      <c r="G69" s="1155">
        <v>22365.9</v>
      </c>
      <c r="H69" s="4424">
        <v>-142</v>
      </c>
      <c r="I69" s="4424">
        <v>5080.3</v>
      </c>
      <c r="J69" s="4424">
        <v>4514.7</v>
      </c>
      <c r="K69" s="3572">
        <v>2975.5</v>
      </c>
      <c r="L69" s="3572">
        <v>2428.1999999999998</v>
      </c>
      <c r="M69" s="3572">
        <v>1140</v>
      </c>
      <c r="N69" s="3572">
        <v>592.5</v>
      </c>
      <c r="O69" s="3572">
        <v>4254.5</v>
      </c>
      <c r="P69" s="3572">
        <v>676.8</v>
      </c>
      <c r="Q69" s="2404">
        <v>845.4</v>
      </c>
      <c r="R69" s="1616">
        <v>2014</v>
      </c>
      <c r="S69" s="1617"/>
      <c r="T69" s="1174"/>
      <c r="U69" s="1174"/>
      <c r="V69" s="1174"/>
    </row>
    <row r="70" spans="3:27" s="1807" customFormat="1" ht="23.25" customHeight="1">
      <c r="C70" s="4413"/>
      <c r="D70" s="1196">
        <v>2015</v>
      </c>
      <c r="E70" s="4441">
        <v>26330.3</v>
      </c>
      <c r="F70" s="4442">
        <v>26637.4</v>
      </c>
      <c r="G70" s="4442">
        <v>23475.8</v>
      </c>
      <c r="H70" s="4391">
        <v>-133.79999999999859</v>
      </c>
      <c r="I70" s="4392">
        <v>5269.4</v>
      </c>
      <c r="J70" s="4391">
        <v>4800.3999999999996</v>
      </c>
      <c r="K70" s="1197">
        <v>3122.3</v>
      </c>
      <c r="L70" s="1198">
        <v>2479.1999999999998</v>
      </c>
      <c r="M70" s="1198">
        <v>1159.5999999999999</v>
      </c>
      <c r="N70" s="1198">
        <v>685.7</v>
      </c>
      <c r="O70" s="1198">
        <v>4335.3</v>
      </c>
      <c r="P70" s="1198">
        <v>777.8</v>
      </c>
      <c r="Q70" s="1172">
        <v>979.90000000000009</v>
      </c>
      <c r="R70" s="1173">
        <v>2015</v>
      </c>
      <c r="S70" s="1524"/>
      <c r="T70" s="1801"/>
      <c r="U70" s="1801"/>
      <c r="V70" s="1801"/>
    </row>
    <row r="71" spans="3:27" s="1807" customFormat="1" ht="23.25" customHeight="1">
      <c r="C71" s="3574"/>
      <c r="D71" s="2906">
        <v>2016</v>
      </c>
      <c r="E71" s="3575">
        <v>27228.799999999999</v>
      </c>
      <c r="F71" s="1155">
        <v>27444.799999999999</v>
      </c>
      <c r="G71" s="1155">
        <v>24188.1</v>
      </c>
      <c r="H71" s="4424">
        <v>-134.5</v>
      </c>
      <c r="I71" s="4424">
        <v>5384.6</v>
      </c>
      <c r="J71" s="4424">
        <v>5084.2</v>
      </c>
      <c r="K71" s="3572">
        <v>3270.8</v>
      </c>
      <c r="L71" s="3572">
        <v>2543.6</v>
      </c>
      <c r="M71" s="3572">
        <v>1195.8</v>
      </c>
      <c r="N71" s="3572">
        <v>758.6</v>
      </c>
      <c r="O71" s="3572">
        <v>4395.6000000000004</v>
      </c>
      <c r="P71" s="3572">
        <v>650.20000000000005</v>
      </c>
      <c r="Q71" s="2404">
        <v>1039.3</v>
      </c>
      <c r="R71" s="1616">
        <v>2016</v>
      </c>
      <c r="S71" s="1617"/>
      <c r="T71" s="1174"/>
      <c r="U71" s="1174"/>
      <c r="V71" s="1174"/>
    </row>
    <row r="72" spans="3:27" s="1807" customFormat="1" ht="23.25" customHeight="1">
      <c r="C72" s="1640"/>
      <c r="D72" s="1659">
        <v>2017</v>
      </c>
      <c r="E72" s="4439">
        <v>28302.799999999999</v>
      </c>
      <c r="F72" s="4440">
        <v>28448.5</v>
      </c>
      <c r="G72" s="4440">
        <v>25089.599999999999</v>
      </c>
      <c r="H72" s="4428">
        <v>-132.10000000000446</v>
      </c>
      <c r="I72" s="4428">
        <v>5483.2</v>
      </c>
      <c r="J72" s="4428">
        <v>5306.5</v>
      </c>
      <c r="K72" s="1666">
        <v>3449.2</v>
      </c>
      <c r="L72" s="1666">
        <v>2608.1999999999998</v>
      </c>
      <c r="M72" s="1666">
        <v>1202.8</v>
      </c>
      <c r="N72" s="1666">
        <v>798.8</v>
      </c>
      <c r="O72" s="1666">
        <v>4573.6000000000004</v>
      </c>
      <c r="P72" s="1666">
        <v>659.2</v>
      </c>
      <c r="Q72" s="1207">
        <v>1140.2</v>
      </c>
      <c r="R72" s="1662">
        <v>2017</v>
      </c>
      <c r="S72" s="1661"/>
      <c r="T72" s="1801"/>
      <c r="U72" s="1801"/>
      <c r="V72" s="1801"/>
    </row>
    <row r="73" spans="3:27" s="1807" customFormat="1" ht="23.25" customHeight="1">
      <c r="V73" s="1801"/>
    </row>
    <row r="74" spans="3:27" s="1845" customFormat="1" ht="28.35" customHeight="1">
      <c r="C74" s="5005" t="s">
        <v>2934</v>
      </c>
      <c r="D74" s="5005"/>
      <c r="E74" s="5005"/>
      <c r="F74" s="5005"/>
      <c r="G74" s="5005"/>
      <c r="H74" s="5005"/>
      <c r="I74" s="5005"/>
      <c r="J74" s="5005"/>
      <c r="K74" s="5005" t="s">
        <v>2935</v>
      </c>
      <c r="L74" s="5005"/>
      <c r="M74" s="5005"/>
      <c r="N74" s="5005"/>
      <c r="O74" s="5005"/>
      <c r="P74" s="5005"/>
      <c r="Q74" s="5005"/>
      <c r="R74" s="5005"/>
      <c r="S74" s="5005"/>
      <c r="V74" s="2725"/>
      <c r="W74" s="2725"/>
      <c r="X74" s="2725"/>
      <c r="Y74" s="2725"/>
      <c r="Z74" s="2725"/>
      <c r="AA74" s="2725"/>
    </row>
    <row r="75" spans="3:27" s="2498" customFormat="1" ht="28.35" customHeight="1">
      <c r="C75" s="5006" t="s">
        <v>2936</v>
      </c>
      <c r="D75" s="5006"/>
      <c r="E75" s="5006"/>
      <c r="F75" s="5006"/>
      <c r="G75" s="5006"/>
      <c r="H75" s="5006"/>
      <c r="I75" s="5006"/>
      <c r="J75" s="5006"/>
      <c r="K75" s="5006" t="s">
        <v>2937</v>
      </c>
      <c r="L75" s="5006"/>
      <c r="M75" s="5006"/>
      <c r="N75" s="5006"/>
      <c r="O75" s="5006"/>
      <c r="P75" s="5006"/>
      <c r="Q75" s="5006"/>
      <c r="R75" s="5006"/>
      <c r="S75" s="5006"/>
      <c r="T75" s="3563"/>
      <c r="U75" s="3563"/>
    </row>
    <row r="76" spans="3:27" s="1857" customFormat="1" ht="24.75" customHeight="1">
      <c r="C76" s="1323" t="s">
        <v>90</v>
      </c>
      <c r="D76" s="1850"/>
      <c r="E76" s="1850"/>
      <c r="F76" s="1850"/>
      <c r="G76" s="1850"/>
      <c r="H76" s="1850"/>
      <c r="I76" s="1852"/>
      <c r="J76" s="1852"/>
      <c r="K76" s="1852"/>
      <c r="L76" s="1852"/>
      <c r="M76" s="1852"/>
      <c r="N76" s="1852"/>
      <c r="O76" s="1852"/>
      <c r="P76" s="1852"/>
      <c r="Q76" s="1852"/>
      <c r="R76" s="1852"/>
      <c r="S76" s="1989" t="s">
        <v>91</v>
      </c>
    </row>
    <row r="77" spans="3:27" s="1801" customFormat="1" ht="18.75" customHeight="1">
      <c r="C77" s="4399"/>
      <c r="D77" s="4386"/>
      <c r="E77" s="4402"/>
      <c r="F77" s="4402"/>
      <c r="G77" s="4402"/>
      <c r="H77" s="4402"/>
      <c r="I77" s="4402"/>
      <c r="J77" s="4405"/>
      <c r="K77" s="4406"/>
      <c r="L77" s="4402"/>
      <c r="M77" s="2589"/>
      <c r="N77" s="2589"/>
      <c r="O77" s="2589"/>
      <c r="P77" s="2589"/>
      <c r="Q77" s="4387"/>
      <c r="R77" s="4406"/>
      <c r="S77" s="2133"/>
    </row>
    <row r="78" spans="3:27" ht="18.95" customHeight="1">
      <c r="C78" s="4400"/>
      <c r="D78" s="4388"/>
      <c r="E78" s="1242" t="s">
        <v>1597</v>
      </c>
      <c r="F78" s="1242" t="s">
        <v>1597</v>
      </c>
      <c r="G78" s="1242" t="s">
        <v>1597</v>
      </c>
      <c r="H78" s="4382"/>
      <c r="I78" s="4382"/>
      <c r="J78" s="4388"/>
      <c r="K78" s="4388"/>
      <c r="L78" s="4382" t="s">
        <v>1598</v>
      </c>
      <c r="M78" s="4382"/>
      <c r="N78" s="4382"/>
      <c r="O78" s="4382"/>
      <c r="P78" s="4382"/>
      <c r="Q78" s="4383"/>
      <c r="R78" s="4394"/>
      <c r="S78" s="1294"/>
      <c r="T78" s="1801"/>
      <c r="V78" s="1801"/>
    </row>
    <row r="79" spans="3:27" ht="18.95" customHeight="1">
      <c r="C79" s="2316"/>
      <c r="D79" s="1283"/>
      <c r="E79" s="1242" t="s">
        <v>1599</v>
      </c>
      <c r="F79" s="1242" t="s">
        <v>1600</v>
      </c>
      <c r="G79" s="1242" t="s">
        <v>1600</v>
      </c>
      <c r="H79" s="4382"/>
      <c r="I79" s="1242"/>
      <c r="J79" s="4388" t="s">
        <v>663</v>
      </c>
      <c r="K79" s="4416"/>
      <c r="L79" s="4382" t="s">
        <v>1601</v>
      </c>
      <c r="M79" s="4382"/>
      <c r="N79" s="4382"/>
      <c r="O79" s="4382"/>
      <c r="P79" s="4382"/>
      <c r="Q79" s="4383" t="s">
        <v>673</v>
      </c>
      <c r="R79" s="4394"/>
      <c r="S79" s="1294"/>
      <c r="T79" s="1801"/>
      <c r="V79" s="1801"/>
    </row>
    <row r="80" spans="3:27" ht="18.95" customHeight="1">
      <c r="C80" s="2316"/>
      <c r="D80" s="1283"/>
      <c r="E80" s="1242" t="s">
        <v>1602</v>
      </c>
      <c r="F80" s="1242" t="s">
        <v>1602</v>
      </c>
      <c r="G80" s="1242" t="s">
        <v>1602</v>
      </c>
      <c r="H80" s="4382"/>
      <c r="I80" s="4382"/>
      <c r="J80" s="4388" t="s">
        <v>1603</v>
      </c>
      <c r="K80" s="4388" t="s">
        <v>668</v>
      </c>
      <c r="L80" s="4382" t="s">
        <v>1604</v>
      </c>
      <c r="M80" s="4382"/>
      <c r="N80" s="4382"/>
      <c r="O80" s="4382"/>
      <c r="P80" s="4382"/>
      <c r="Q80" s="4383" t="s">
        <v>1605</v>
      </c>
      <c r="R80" s="4394"/>
      <c r="S80" s="1294"/>
      <c r="T80" s="1801"/>
      <c r="V80" s="1801"/>
    </row>
    <row r="81" spans="3:22" ht="18.95" customHeight="1">
      <c r="C81" s="4407"/>
      <c r="D81" s="4394"/>
      <c r="E81" s="1242" t="s">
        <v>1606</v>
      </c>
      <c r="F81" s="1242" t="s">
        <v>1606</v>
      </c>
      <c r="G81" s="1242" t="s">
        <v>1606</v>
      </c>
      <c r="H81" s="4382"/>
      <c r="I81" s="4382" t="s">
        <v>1607</v>
      </c>
      <c r="J81" s="4388" t="s">
        <v>1608</v>
      </c>
      <c r="K81" s="4388" t="s">
        <v>1609</v>
      </c>
      <c r="L81" s="4382" t="s">
        <v>667</v>
      </c>
      <c r="M81" s="4382"/>
      <c r="N81" s="4382" t="s">
        <v>1610</v>
      </c>
      <c r="O81" s="4382" t="s">
        <v>1611</v>
      </c>
      <c r="P81" s="4382" t="s">
        <v>672</v>
      </c>
      <c r="Q81" s="4383" t="s">
        <v>1612</v>
      </c>
      <c r="R81" s="4394"/>
      <c r="S81" s="4395"/>
      <c r="T81" s="1801"/>
      <c r="V81" s="1801"/>
    </row>
    <row r="82" spans="3:22" ht="18.95" customHeight="1">
      <c r="C82" s="4774"/>
      <c r="D82" s="4672"/>
      <c r="E82" s="1242" t="s">
        <v>1613</v>
      </c>
      <c r="F82" s="1242" t="s">
        <v>1613</v>
      </c>
      <c r="G82" s="1242" t="s">
        <v>1614</v>
      </c>
      <c r="H82" s="4382" t="s">
        <v>663</v>
      </c>
      <c r="I82" s="4382" t="s">
        <v>1615</v>
      </c>
      <c r="J82" s="4388" t="s">
        <v>1616</v>
      </c>
      <c r="K82" s="4388" t="s">
        <v>1617</v>
      </c>
      <c r="L82" s="4382" t="s">
        <v>662</v>
      </c>
      <c r="M82" s="4382" t="s">
        <v>669</v>
      </c>
      <c r="N82" s="4382" t="s">
        <v>1618</v>
      </c>
      <c r="O82" s="4382" t="s">
        <v>1619</v>
      </c>
      <c r="P82" s="4382" t="s">
        <v>1620</v>
      </c>
      <c r="Q82" s="4383" t="s">
        <v>1621</v>
      </c>
      <c r="R82" s="4750"/>
      <c r="S82" s="4751"/>
      <c r="T82" s="1801"/>
    </row>
    <row r="83" spans="3:22" ht="18.95" customHeight="1">
      <c r="C83" s="2316"/>
      <c r="D83" s="1283"/>
      <c r="E83" s="1242" t="s">
        <v>1622</v>
      </c>
      <c r="F83" s="1242" t="s">
        <v>1623</v>
      </c>
      <c r="G83" s="1242" t="s">
        <v>872</v>
      </c>
      <c r="H83" s="4382" t="s">
        <v>1624</v>
      </c>
      <c r="I83" s="4382" t="s">
        <v>111</v>
      </c>
      <c r="J83" s="4388" t="s">
        <v>1625</v>
      </c>
      <c r="K83" s="4388"/>
      <c r="L83" s="4382"/>
      <c r="M83" s="4382"/>
      <c r="N83" s="4382"/>
      <c r="O83" s="4382"/>
      <c r="P83" s="4382"/>
      <c r="Q83" s="4383"/>
      <c r="R83" s="4394"/>
      <c r="S83" s="1294"/>
      <c r="T83" s="1801"/>
    </row>
    <row r="84" spans="3:22" ht="18.95" customHeight="1">
      <c r="C84" s="4774"/>
      <c r="D84" s="4672"/>
      <c r="E84" s="1242"/>
      <c r="F84" s="1242"/>
      <c r="G84" s="1242"/>
      <c r="H84" s="4382"/>
      <c r="I84" s="4382"/>
      <c r="J84" s="4388" t="s">
        <v>1626</v>
      </c>
      <c r="K84" s="4388"/>
      <c r="L84" s="4382" t="s">
        <v>1627</v>
      </c>
      <c r="M84" s="4382"/>
      <c r="N84" s="4382"/>
      <c r="O84" s="4382"/>
      <c r="P84" s="4382"/>
      <c r="Q84" s="4383"/>
      <c r="R84" s="4750"/>
      <c r="S84" s="4751"/>
      <c r="T84" s="1801"/>
    </row>
    <row r="85" spans="3:22" ht="18.95" customHeight="1">
      <c r="C85" s="4407"/>
      <c r="D85" s="4394"/>
      <c r="E85" s="1242" t="s">
        <v>1628</v>
      </c>
      <c r="F85" s="1242" t="s">
        <v>1629</v>
      </c>
      <c r="G85" s="1242" t="s">
        <v>1629</v>
      </c>
      <c r="H85" s="4382"/>
      <c r="I85" s="4382"/>
      <c r="J85" s="4388" t="s">
        <v>1630</v>
      </c>
      <c r="K85" s="4388" t="s">
        <v>1631</v>
      </c>
      <c r="L85" s="4382" t="s">
        <v>1632</v>
      </c>
      <c r="M85" s="4382"/>
      <c r="N85" s="4382"/>
      <c r="O85" s="4382"/>
      <c r="P85" s="4382"/>
      <c r="Q85" s="4383" t="s">
        <v>1633</v>
      </c>
      <c r="R85" s="4394"/>
      <c r="S85" s="4395"/>
      <c r="T85" s="1801"/>
    </row>
    <row r="86" spans="3:22" ht="18.95" customHeight="1">
      <c r="C86" s="2316"/>
      <c r="D86" s="1283"/>
      <c r="E86" s="1242" t="s">
        <v>1634</v>
      </c>
      <c r="F86" s="1242" t="s">
        <v>1634</v>
      </c>
      <c r="G86" s="1242" t="s">
        <v>1634</v>
      </c>
      <c r="H86" s="4382"/>
      <c r="I86" s="4382" t="s">
        <v>1635</v>
      </c>
      <c r="J86" s="4388" t="s">
        <v>1636</v>
      </c>
      <c r="K86" s="4388" t="s">
        <v>1637</v>
      </c>
      <c r="L86" s="4382" t="s">
        <v>1638</v>
      </c>
      <c r="M86" s="4382"/>
      <c r="N86" s="4382" t="s">
        <v>1639</v>
      </c>
      <c r="O86" s="4382"/>
      <c r="P86" s="4382" t="s">
        <v>694</v>
      </c>
      <c r="Q86" s="4383" t="s">
        <v>1640</v>
      </c>
      <c r="R86" s="4394"/>
      <c r="S86" s="1294"/>
      <c r="T86" s="1801"/>
    </row>
    <row r="87" spans="3:22" ht="18.95" customHeight="1">
      <c r="C87" s="4407"/>
      <c r="D87" s="4394"/>
      <c r="E87" s="1242" t="s">
        <v>1641</v>
      </c>
      <c r="F87" s="1242" t="s">
        <v>1641</v>
      </c>
      <c r="G87" s="1242" t="s">
        <v>1642</v>
      </c>
      <c r="H87" s="4382" t="s">
        <v>119</v>
      </c>
      <c r="I87" s="4382" t="s">
        <v>1643</v>
      </c>
      <c r="J87" s="4388" t="s">
        <v>1644</v>
      </c>
      <c r="K87" s="4388" t="s">
        <v>1645</v>
      </c>
      <c r="L87" s="4382" t="s">
        <v>1646</v>
      </c>
      <c r="M87" s="4382"/>
      <c r="N87" s="4382" t="s">
        <v>127</v>
      </c>
      <c r="O87" s="4382"/>
      <c r="P87" s="4382" t="s">
        <v>127</v>
      </c>
      <c r="Q87" s="4383" t="s">
        <v>127</v>
      </c>
      <c r="R87" s="4394"/>
      <c r="S87" s="4395"/>
      <c r="T87" s="1801"/>
    </row>
    <row r="88" spans="3:22" ht="18.95" customHeight="1">
      <c r="C88" s="4445"/>
      <c r="D88" s="4446"/>
      <c r="E88" s="4447" t="s">
        <v>1647</v>
      </c>
      <c r="F88" s="4447" t="s">
        <v>1648</v>
      </c>
      <c r="G88" s="4447" t="s">
        <v>1649</v>
      </c>
      <c r="H88" s="4448" t="s">
        <v>1650</v>
      </c>
      <c r="I88" s="4448" t="s">
        <v>703</v>
      </c>
      <c r="J88" s="4449" t="s">
        <v>703</v>
      </c>
      <c r="K88" s="4449" t="s">
        <v>1651</v>
      </c>
      <c r="L88" s="4448" t="s">
        <v>1652</v>
      </c>
      <c r="M88" s="4448" t="s">
        <v>705</v>
      </c>
      <c r="N88" s="4448" t="s">
        <v>1653</v>
      </c>
      <c r="O88" s="4448" t="s">
        <v>1654</v>
      </c>
      <c r="P88" s="4448" t="s">
        <v>1655</v>
      </c>
      <c r="Q88" s="4450" t="s">
        <v>1656</v>
      </c>
      <c r="R88" s="4451"/>
      <c r="S88" s="4452"/>
      <c r="T88" s="1801"/>
    </row>
    <row r="89" spans="3:22" s="1807" customFormat="1" ht="23.25" customHeight="1">
      <c r="C89" s="3574"/>
      <c r="D89" s="1193">
        <v>2008</v>
      </c>
      <c r="E89" s="1154">
        <v>16372.243001699822</v>
      </c>
      <c r="F89" s="1155">
        <v>16080.143001699822</v>
      </c>
      <c r="G89" s="1155">
        <v>14264.510107041648</v>
      </c>
      <c r="H89" s="4424">
        <v>1167.9093141437424</v>
      </c>
      <c r="I89" s="4424">
        <v>2279.2777148551827</v>
      </c>
      <c r="J89" s="4424">
        <v>2646.2608943264631</v>
      </c>
      <c r="K89" s="3572">
        <v>1339.4823146244303</v>
      </c>
      <c r="L89" s="3572">
        <v>1601.9496287836434</v>
      </c>
      <c r="M89" s="3572">
        <v>498.35503818450218</v>
      </c>
      <c r="N89" s="3572">
        <v>197.64777063343246</v>
      </c>
      <c r="O89" s="3572">
        <v>3401.751412569326</v>
      </c>
      <c r="P89" s="3572">
        <v>669.20212484073249</v>
      </c>
      <c r="Q89" s="2404">
        <v>462.67389408019187</v>
      </c>
      <c r="R89" s="1616">
        <v>2008</v>
      </c>
      <c r="S89" s="1617"/>
      <c r="T89" s="1801"/>
      <c r="U89" s="1801"/>
      <c r="V89" s="1801"/>
    </row>
    <row r="90" spans="3:22" s="1807" customFormat="1" ht="23.25" customHeight="1">
      <c r="C90" s="4413"/>
      <c r="D90" s="1196">
        <v>2009</v>
      </c>
      <c r="E90" s="4441">
        <v>17688.492047818545</v>
      </c>
      <c r="F90" s="4442">
        <v>17421.892047818546</v>
      </c>
      <c r="G90" s="4442">
        <v>15331.500613910019</v>
      </c>
      <c r="H90" s="4392">
        <v>1266.7939924602042</v>
      </c>
      <c r="I90" s="4392">
        <v>2715.2862506706097</v>
      </c>
      <c r="J90" s="4391">
        <v>2771.2866111495659</v>
      </c>
      <c r="K90" s="1197">
        <v>1459.7983215413078</v>
      </c>
      <c r="L90" s="1198">
        <v>1718.2362513403464</v>
      </c>
      <c r="M90" s="1198">
        <v>636.17183904828153</v>
      </c>
      <c r="N90" s="1198">
        <v>250.58639142697143</v>
      </c>
      <c r="O90" s="1198">
        <v>3506.7282147146807</v>
      </c>
      <c r="P90" s="1198">
        <v>442.71660314847026</v>
      </c>
      <c r="Q90" s="1172">
        <v>563.896138409581</v>
      </c>
      <c r="R90" s="1173">
        <v>2009</v>
      </c>
      <c r="S90" s="1524"/>
      <c r="T90" s="1801"/>
      <c r="U90" s="1801"/>
      <c r="V90" s="1801"/>
    </row>
    <row r="91" spans="3:22" s="3576" customFormat="1" ht="23.25" customHeight="1">
      <c r="C91" s="1534"/>
      <c r="D91" s="1193">
        <v>2010</v>
      </c>
      <c r="E91" s="4437">
        <v>19112.601013500527</v>
      </c>
      <c r="F91" s="4438">
        <v>19265.001013500525</v>
      </c>
      <c r="G91" s="4438">
        <v>16640.589137610576</v>
      </c>
      <c r="H91" s="4390">
        <v>1338.6834984795694</v>
      </c>
      <c r="I91" s="4390">
        <v>2923.4475528354942</v>
      </c>
      <c r="J91" s="4390">
        <v>3135.3997864356743</v>
      </c>
      <c r="K91" s="1194">
        <v>1657.3902342041706</v>
      </c>
      <c r="L91" s="1194">
        <v>1836.6021226849612</v>
      </c>
      <c r="M91" s="1194">
        <v>642.1147256289961</v>
      </c>
      <c r="N91" s="1194">
        <v>276.05121734171087</v>
      </c>
      <c r="O91" s="1194">
        <v>3646.2</v>
      </c>
      <c r="P91" s="1194">
        <v>495.9</v>
      </c>
      <c r="Q91" s="1195">
        <v>688.8</v>
      </c>
      <c r="R91" s="1616">
        <v>2010</v>
      </c>
      <c r="S91" s="1617"/>
      <c r="T91" s="2127"/>
      <c r="U91" s="2127"/>
      <c r="V91" s="2127"/>
    </row>
    <row r="92" spans="3:22" s="1807" customFormat="1" ht="23.25" customHeight="1">
      <c r="C92" s="4413"/>
      <c r="D92" s="1196">
        <v>2011</v>
      </c>
      <c r="E92" s="4441">
        <v>20774.345907078583</v>
      </c>
      <c r="F92" s="4442">
        <v>20962.145907078582</v>
      </c>
      <c r="G92" s="4442">
        <v>18176.452968288177</v>
      </c>
      <c r="H92" s="4392">
        <v>1395.4805399538893</v>
      </c>
      <c r="I92" s="4392">
        <v>3231.304733891774</v>
      </c>
      <c r="J92" s="4391">
        <v>3464.7953562432749</v>
      </c>
      <c r="K92" s="1197">
        <v>1767.353892926028</v>
      </c>
      <c r="L92" s="1198">
        <v>1966.015668428448</v>
      </c>
      <c r="M92" s="1198">
        <v>637.95850403680561</v>
      </c>
      <c r="N92" s="1198">
        <v>293.7442728079555</v>
      </c>
      <c r="O92" s="1198">
        <v>4047.5</v>
      </c>
      <c r="P92" s="1198">
        <v>637.6</v>
      </c>
      <c r="Q92" s="1172">
        <v>734.7</v>
      </c>
      <c r="R92" s="1173">
        <v>2011</v>
      </c>
      <c r="S92" s="1524"/>
    </row>
    <row r="93" spans="3:22" s="1807" customFormat="1" ht="23.25" customHeight="1">
      <c r="C93" s="1534"/>
      <c r="D93" s="1193">
        <v>2012</v>
      </c>
      <c r="E93" s="4437">
        <v>22185.038786009332</v>
      </c>
      <c r="F93" s="4438">
        <v>22460.538786009332</v>
      </c>
      <c r="G93" s="4438">
        <v>19475.198072458199</v>
      </c>
      <c r="H93" s="4390">
        <v>1510.9616713630207</v>
      </c>
      <c r="I93" s="4390">
        <v>3522.555662545763</v>
      </c>
      <c r="J93" s="4390">
        <v>3787.5541122913482</v>
      </c>
      <c r="K93" s="1194">
        <v>1924.9045378297214</v>
      </c>
      <c r="L93" s="1194">
        <v>2190.3028469620426</v>
      </c>
      <c r="M93" s="1194">
        <v>687.77278719069113</v>
      </c>
      <c r="N93" s="1194">
        <v>314.82825822526127</v>
      </c>
      <c r="O93" s="1194">
        <v>4220.0819950845271</v>
      </c>
      <c r="P93" s="1194">
        <v>573.88874055405518</v>
      </c>
      <c r="Q93" s="1195">
        <v>742.34746041176959</v>
      </c>
      <c r="R93" s="1616">
        <v>2012</v>
      </c>
      <c r="S93" s="1617"/>
    </row>
    <row r="94" spans="3:22" s="1807" customFormat="1" ht="23.25" customHeight="1">
      <c r="C94" s="4413"/>
      <c r="D94" s="1196">
        <v>2013</v>
      </c>
      <c r="E94" s="4441">
        <v>24222.252528267316</v>
      </c>
      <c r="F94" s="4442">
        <v>24462.652528267317</v>
      </c>
      <c r="G94" s="4442">
        <v>21250.233487367757</v>
      </c>
      <c r="H94" s="4391">
        <v>1640</v>
      </c>
      <c r="I94" s="4391">
        <v>3800.3751992579037</v>
      </c>
      <c r="J94" s="4391">
        <v>4116.3215676633208</v>
      </c>
      <c r="K94" s="1197">
        <v>2116.1462920791687</v>
      </c>
      <c r="L94" s="1197">
        <v>2428.5556548524246</v>
      </c>
      <c r="M94" s="1197">
        <v>759.00946992560193</v>
      </c>
      <c r="N94" s="1197">
        <v>350.21590749186089</v>
      </c>
      <c r="O94" s="1197">
        <v>4715.6000000000004</v>
      </c>
      <c r="P94" s="1197">
        <v>447.6</v>
      </c>
      <c r="Q94" s="1172">
        <v>876.5</v>
      </c>
      <c r="R94" s="1173">
        <v>2013</v>
      </c>
      <c r="S94" s="1524"/>
    </row>
    <row r="95" spans="3:22" s="1807" customFormat="1" ht="23.25" customHeight="1">
      <c r="C95" s="1534"/>
      <c r="D95" s="1193">
        <v>2014</v>
      </c>
      <c r="E95" s="4437">
        <v>25865.926946939187</v>
      </c>
      <c r="F95" s="4438">
        <v>26161.826946939189</v>
      </c>
      <c r="G95" s="4438">
        <v>22724.435533019077</v>
      </c>
      <c r="H95" s="4390">
        <v>1806.549072397409</v>
      </c>
      <c r="I95" s="4390">
        <v>3991.6249038579008</v>
      </c>
      <c r="J95" s="4390">
        <v>4443.6049030271579</v>
      </c>
      <c r="K95" s="1194">
        <v>2184.5832651014916</v>
      </c>
      <c r="L95" s="1194">
        <v>2586.288754821443</v>
      </c>
      <c r="M95" s="1194">
        <v>814.68850000943894</v>
      </c>
      <c r="N95" s="1194">
        <v>392.09110036342327</v>
      </c>
      <c r="O95" s="1194">
        <v>4930.9649834226611</v>
      </c>
      <c r="P95" s="1194">
        <v>535.8224610011373</v>
      </c>
      <c r="Q95" s="1195">
        <v>1038.2175890170147</v>
      </c>
      <c r="R95" s="1616">
        <v>2014</v>
      </c>
      <c r="S95" s="1617"/>
    </row>
    <row r="96" spans="3:22" s="1807" customFormat="1" ht="23.25" customHeight="1">
      <c r="C96" s="4413"/>
      <c r="D96" s="1196">
        <v>2015</v>
      </c>
      <c r="E96" s="4441">
        <v>27089.482740478023</v>
      </c>
      <c r="F96" s="4442">
        <v>27396.782740478026</v>
      </c>
      <c r="G96" s="4442">
        <v>23858.222582758608</v>
      </c>
      <c r="H96" s="4391">
        <v>1934.0849654815015</v>
      </c>
      <c r="I96" s="4391">
        <v>4137.8208198375014</v>
      </c>
      <c r="J96" s="4391">
        <v>4746.1463848642406</v>
      </c>
      <c r="K96" s="1197">
        <v>2283.7700444439488</v>
      </c>
      <c r="L96" s="1197">
        <v>2640.0830867033706</v>
      </c>
      <c r="M96" s="1197">
        <v>829.90774910077698</v>
      </c>
      <c r="N96" s="1197">
        <v>436.68535042741684</v>
      </c>
      <c r="O96" s="1197">
        <v>5030.4932102308921</v>
      </c>
      <c r="P96" s="1197">
        <v>615.89068742555787</v>
      </c>
      <c r="Q96" s="1172">
        <v>1203.3402842434011</v>
      </c>
      <c r="R96" s="1173">
        <v>2015</v>
      </c>
      <c r="S96" s="1524"/>
    </row>
    <row r="97" spans="3:19" s="1807" customFormat="1" ht="23.25" customHeight="1">
      <c r="C97" s="1534"/>
      <c r="D97" s="1193">
        <v>2016</v>
      </c>
      <c r="E97" s="4437">
        <v>28106.711315669429</v>
      </c>
      <c r="F97" s="4438">
        <v>28323.711315669429</v>
      </c>
      <c r="G97" s="4438">
        <v>24678.666318478427</v>
      </c>
      <c r="H97" s="4390">
        <v>2289.9749164988625</v>
      </c>
      <c r="I97" s="4390">
        <v>4002.9188317428889</v>
      </c>
      <c r="J97" s="4390">
        <v>5017.3891218315803</v>
      </c>
      <c r="K97" s="1194">
        <v>2396.5143933519457</v>
      </c>
      <c r="L97" s="1194">
        <v>2708.241193744921</v>
      </c>
      <c r="M97" s="1194">
        <v>852.75288836458117</v>
      </c>
      <c r="N97" s="1194">
        <v>520.88252098721318</v>
      </c>
      <c r="O97" s="1194">
        <v>5099.8268381879361</v>
      </c>
      <c r="P97" s="1194">
        <v>513.80259705099445</v>
      </c>
      <c r="Q97" s="1195">
        <v>1276.3630167175015</v>
      </c>
      <c r="R97" s="1616">
        <v>2016</v>
      </c>
      <c r="S97" s="1617"/>
    </row>
    <row r="98" spans="3:19" s="1807" customFormat="1" ht="23.25" customHeight="1">
      <c r="C98" s="4413"/>
      <c r="D98" s="1196">
        <v>2017</v>
      </c>
      <c r="E98" s="4441">
        <v>29395.200000000001</v>
      </c>
      <c r="F98" s="4442">
        <v>29542</v>
      </c>
      <c r="G98" s="4442">
        <v>25570.9</v>
      </c>
      <c r="H98" s="4391">
        <v>2457.7000000000016</v>
      </c>
      <c r="I98" s="4391">
        <v>4023.2</v>
      </c>
      <c r="J98" s="4391">
        <v>5294</v>
      </c>
      <c r="K98" s="1197">
        <v>2425.8000000000002</v>
      </c>
      <c r="L98" s="1197">
        <v>2816</v>
      </c>
      <c r="M98" s="1197">
        <v>862</v>
      </c>
      <c r="N98" s="1197">
        <v>515.9</v>
      </c>
      <c r="O98" s="1197">
        <v>5317</v>
      </c>
      <c r="P98" s="1197">
        <v>547</v>
      </c>
      <c r="Q98" s="1172">
        <v>1312.3</v>
      </c>
      <c r="R98" s="1173">
        <v>2017</v>
      </c>
      <c r="S98" s="1524"/>
    </row>
    <row r="99" spans="3:19" s="1807" customFormat="1" ht="23.25" customHeight="1">
      <c r="C99" s="1534"/>
      <c r="D99" s="1193">
        <v>2018</v>
      </c>
      <c r="E99" s="4437">
        <v>30651.599999999999</v>
      </c>
      <c r="F99" s="4438">
        <v>30793.3</v>
      </c>
      <c r="G99" s="4438">
        <v>26548.799999999999</v>
      </c>
      <c r="H99" s="4390">
        <v>2623.8999999999978</v>
      </c>
      <c r="I99" s="4390">
        <v>4230.2</v>
      </c>
      <c r="J99" s="4390">
        <v>5566.6</v>
      </c>
      <c r="K99" s="1194">
        <v>2509.1999999999998</v>
      </c>
      <c r="L99" s="1194">
        <v>2855.5</v>
      </c>
      <c r="M99" s="1194">
        <v>870.7</v>
      </c>
      <c r="N99" s="1194">
        <v>499.2</v>
      </c>
      <c r="O99" s="1194">
        <v>5447.2</v>
      </c>
      <c r="P99" s="1194">
        <v>597.29999999999995</v>
      </c>
      <c r="Q99" s="1195">
        <v>1349</v>
      </c>
      <c r="R99" s="1616">
        <v>2018</v>
      </c>
      <c r="S99" s="1617"/>
    </row>
    <row r="100" spans="3:19" s="1807" customFormat="1" ht="23.25" customHeight="1">
      <c r="C100" s="4790" t="s">
        <v>3030</v>
      </c>
      <c r="D100" s="5011"/>
      <c r="E100" s="4571">
        <v>31602.799999999999</v>
      </c>
      <c r="F100" s="4442">
        <v>31597.1</v>
      </c>
      <c r="G100" s="4442">
        <v>27474.7</v>
      </c>
      <c r="H100" s="4391">
        <v>2818.0000000000014</v>
      </c>
      <c r="I100" s="4391">
        <v>4275.3</v>
      </c>
      <c r="J100" s="4391">
        <v>5848.2</v>
      </c>
      <c r="K100" s="1197">
        <v>2573</v>
      </c>
      <c r="L100" s="1197">
        <v>2930.9</v>
      </c>
      <c r="M100" s="1197">
        <v>877</v>
      </c>
      <c r="N100" s="1197">
        <v>507</v>
      </c>
      <c r="O100" s="1197">
        <v>5580</v>
      </c>
      <c r="P100" s="1197">
        <v>683.9</v>
      </c>
      <c r="Q100" s="4574">
        <v>1381.4</v>
      </c>
      <c r="R100" s="5008" t="s">
        <v>3031</v>
      </c>
      <c r="S100" s="5009"/>
    </row>
    <row r="101" spans="3:19" s="1807" customFormat="1" ht="23.25" customHeight="1">
      <c r="C101" s="4780" t="s">
        <v>3043</v>
      </c>
      <c r="D101" s="5014"/>
      <c r="E101" s="4572">
        <v>30939.341999999997</v>
      </c>
      <c r="F101" s="4532">
        <v>31027.271999999997</v>
      </c>
      <c r="G101" s="4532">
        <v>27081.260799999996</v>
      </c>
      <c r="H101" s="4518">
        <v>2669.3974999999969</v>
      </c>
      <c r="I101" s="4518">
        <v>4466.4937</v>
      </c>
      <c r="J101" s="4518">
        <v>5989.9269999999997</v>
      </c>
      <c r="K101" s="1194">
        <v>2350.9874</v>
      </c>
      <c r="L101" s="1194">
        <v>2854.6451999999999</v>
      </c>
      <c r="M101" s="1194">
        <v>826.96340000000009</v>
      </c>
      <c r="N101" s="1194">
        <v>495.88020000000006</v>
      </c>
      <c r="O101" s="1194">
        <v>5320.3090000000002</v>
      </c>
      <c r="P101" s="1194">
        <v>664.95209999999997</v>
      </c>
      <c r="Q101" s="4575">
        <v>1441.7053000000001</v>
      </c>
      <c r="R101" s="4694" t="s">
        <v>3044</v>
      </c>
      <c r="S101" s="4695"/>
    </row>
    <row r="102" spans="3:19" s="1807" customFormat="1" ht="23.25" customHeight="1">
      <c r="C102" s="5010" t="s">
        <v>3120</v>
      </c>
      <c r="D102" s="5011"/>
      <c r="E102" s="4571">
        <v>32705.731100000001</v>
      </c>
      <c r="F102" s="4531">
        <v>32870.231100000005</v>
      </c>
      <c r="G102" s="4531">
        <v>28331.506699999994</v>
      </c>
      <c r="H102" s="4517">
        <v>2781.6085999999937</v>
      </c>
      <c r="I102" s="4517">
        <v>4617.6840000000002</v>
      </c>
      <c r="J102" s="4517">
        <v>6167.4700999999986</v>
      </c>
      <c r="K102" s="1197">
        <v>2498.3068000000003</v>
      </c>
      <c r="L102" s="1197">
        <v>2994.6730000000002</v>
      </c>
      <c r="M102" s="1197">
        <v>880.78069999999991</v>
      </c>
      <c r="N102" s="1197">
        <v>501.68399999999997</v>
      </c>
      <c r="O102" s="1197">
        <v>5556.1982000000007</v>
      </c>
      <c r="P102" s="1197">
        <v>759.68460000000005</v>
      </c>
      <c r="Q102" s="4574">
        <v>1573.4167000000002</v>
      </c>
      <c r="R102" s="5007" t="s">
        <v>3118</v>
      </c>
      <c r="S102" s="4692"/>
    </row>
    <row r="103" spans="3:19" s="1807" customFormat="1" ht="23.25" customHeight="1">
      <c r="C103" s="5012" t="s">
        <v>3121</v>
      </c>
      <c r="D103" s="5013"/>
      <c r="E103" s="4573">
        <v>34184.801064254229</v>
      </c>
      <c r="F103" s="4302">
        <v>34543.901064254227</v>
      </c>
      <c r="G103" s="4302">
        <v>29793.012916265299</v>
      </c>
      <c r="H103" s="4519">
        <v>2821.2155661055895</v>
      </c>
      <c r="I103" s="4519">
        <v>4755.3794352954164</v>
      </c>
      <c r="J103" s="4519">
        <v>6432.3515999217343</v>
      </c>
      <c r="K103" s="4454">
        <v>2663.0894806296787</v>
      </c>
      <c r="L103" s="4454">
        <v>3185.7275248044375</v>
      </c>
      <c r="M103" s="4454">
        <v>944.0427204045701</v>
      </c>
      <c r="N103" s="4454">
        <v>521.97594623678799</v>
      </c>
      <c r="O103" s="4454">
        <v>5928.1188158842951</v>
      </c>
      <c r="P103" s="4454">
        <v>878.53291800384454</v>
      </c>
      <c r="Q103" s="4576">
        <v>1662.5789089789459</v>
      </c>
      <c r="R103" s="4757" t="s">
        <v>3119</v>
      </c>
      <c r="S103" s="4758"/>
    </row>
    <row r="104" spans="3:19" s="1191" customFormat="1" ht="18.95" customHeight="1">
      <c r="C104" s="2159" t="s">
        <v>1361</v>
      </c>
      <c r="D104" s="2159"/>
      <c r="E104" s="1646"/>
      <c r="F104" s="1397"/>
      <c r="G104" s="1760"/>
      <c r="H104" s="2151"/>
      <c r="I104" s="1646"/>
      <c r="J104" s="2075"/>
      <c r="K104" s="2075"/>
      <c r="L104" s="2075"/>
      <c r="M104" s="2075"/>
      <c r="N104" s="2075"/>
      <c r="O104" s="1318"/>
      <c r="P104" s="1318"/>
      <c r="Q104" s="3577"/>
      <c r="R104" s="3577"/>
      <c r="S104" s="3577" t="s">
        <v>1657</v>
      </c>
    </row>
    <row r="105" spans="3:19" s="1191" customFormat="1" ht="18.95" customHeight="1">
      <c r="C105" s="2159" t="s">
        <v>1658</v>
      </c>
      <c r="D105" s="2159"/>
      <c r="E105" s="1645"/>
      <c r="F105" s="1397"/>
      <c r="G105" s="2151"/>
      <c r="H105" s="3578"/>
      <c r="I105" s="1646"/>
      <c r="J105" s="2075"/>
      <c r="K105" s="2075"/>
      <c r="L105" s="2075"/>
      <c r="M105" s="2075"/>
      <c r="N105" s="4936" t="s">
        <v>1659</v>
      </c>
      <c r="O105" s="4936"/>
      <c r="P105" s="4936"/>
      <c r="Q105" s="4936"/>
      <c r="R105" s="4936"/>
      <c r="S105" s="4936"/>
    </row>
    <row r="106" spans="3:19" s="1191" customFormat="1" ht="18.95" customHeight="1">
      <c r="C106" s="2159" t="s">
        <v>1660</v>
      </c>
      <c r="D106" s="2159"/>
      <c r="E106" s="1646"/>
      <c r="F106" s="1397"/>
      <c r="G106" s="2151"/>
      <c r="H106" s="2151"/>
      <c r="I106" s="1646"/>
      <c r="J106" s="2075"/>
      <c r="K106" s="2075"/>
      <c r="L106" s="2075"/>
      <c r="M106" s="2075"/>
      <c r="N106" s="2075"/>
      <c r="O106" s="1318"/>
      <c r="P106" s="1318"/>
      <c r="Q106" s="3577"/>
      <c r="R106" s="3577"/>
      <c r="S106" s="3577" t="s">
        <v>1661</v>
      </c>
    </row>
    <row r="107" spans="3:19" s="1191" customFormat="1" ht="18.95" customHeight="1">
      <c r="C107" s="1453" t="s">
        <v>1662</v>
      </c>
      <c r="D107" s="1453"/>
      <c r="E107" s="1645"/>
      <c r="F107" s="1397"/>
      <c r="G107" s="2151"/>
      <c r="H107" s="3579" t="s">
        <v>8</v>
      </c>
      <c r="I107" s="1646"/>
      <c r="J107" s="2075"/>
      <c r="K107" s="2075"/>
      <c r="L107" s="2075"/>
      <c r="M107" s="2075"/>
      <c r="N107" s="3580"/>
      <c r="O107" s="4936" t="s">
        <v>1663</v>
      </c>
      <c r="P107" s="4936"/>
      <c r="Q107" s="4936"/>
      <c r="R107" s="4936"/>
      <c r="S107" s="4936"/>
    </row>
    <row r="108" spans="3:19" s="1191" customFormat="1" ht="18.95" customHeight="1">
      <c r="C108" s="4380" t="s">
        <v>1664</v>
      </c>
      <c r="D108" s="4380"/>
      <c r="E108" s="1645"/>
      <c r="F108" s="1397"/>
      <c r="G108" s="1397"/>
      <c r="H108" s="1397"/>
      <c r="I108" s="1646"/>
      <c r="J108" s="2075"/>
      <c r="K108" s="2075"/>
      <c r="L108" s="2075"/>
      <c r="M108" s="5004" t="s">
        <v>1665</v>
      </c>
      <c r="N108" s="5004"/>
      <c r="O108" s="5004"/>
      <c r="P108" s="5004"/>
      <c r="Q108" s="5004"/>
      <c r="R108" s="5004"/>
      <c r="S108" s="5004"/>
    </row>
    <row r="109" spans="3:19" s="1191" customFormat="1" ht="18.95" customHeight="1">
      <c r="C109" s="1265" t="s">
        <v>1666</v>
      </c>
      <c r="D109" s="1265"/>
      <c r="E109" s="1647"/>
      <c r="F109" s="1462"/>
      <c r="G109" s="2151"/>
      <c r="H109" s="2151"/>
      <c r="I109" s="1646"/>
      <c r="J109" s="2075"/>
      <c r="K109" s="2075"/>
      <c r="L109" s="2075"/>
      <c r="M109" s="2075"/>
      <c r="N109" s="2075"/>
      <c r="O109" s="5004" t="s">
        <v>1667</v>
      </c>
      <c r="P109" s="5004"/>
      <c r="Q109" s="5004"/>
      <c r="R109" s="5004"/>
      <c r="S109" s="5004"/>
    </row>
    <row r="110" spans="3:19" s="1191" customFormat="1" ht="18.95" customHeight="1">
      <c r="C110" s="1453" t="s">
        <v>3131</v>
      </c>
      <c r="D110" s="1265"/>
      <c r="E110" s="1647"/>
      <c r="F110" s="1462"/>
      <c r="G110" s="2151"/>
      <c r="H110" s="2151"/>
      <c r="I110" s="1646"/>
      <c r="J110" s="2075"/>
      <c r="K110" s="2075"/>
      <c r="L110" s="2075"/>
      <c r="M110" s="2075"/>
      <c r="N110" s="2075"/>
      <c r="O110" s="5405" t="s">
        <v>3130</v>
      </c>
      <c r="P110" s="5405"/>
      <c r="Q110" s="5405"/>
      <c r="R110" s="5405"/>
      <c r="S110" s="5405"/>
    </row>
    <row r="111" spans="3:19">
      <c r="E111" s="1760"/>
      <c r="F111" s="1760"/>
      <c r="G111" s="1760"/>
      <c r="H111" s="1760"/>
      <c r="I111" s="1760"/>
      <c r="J111" s="1760"/>
      <c r="K111" s="1760"/>
      <c r="L111" s="1760"/>
      <c r="M111" s="1760"/>
      <c r="N111" s="1760"/>
      <c r="O111" s="1760"/>
      <c r="P111" s="1760"/>
      <c r="Q111" s="1760"/>
      <c r="R111" s="1760"/>
      <c r="S111" s="1760"/>
    </row>
    <row r="112" spans="3:19">
      <c r="E112" s="1760"/>
      <c r="F112" s="1760"/>
      <c r="G112" s="1760"/>
      <c r="H112" s="1760"/>
      <c r="I112" s="1760"/>
      <c r="J112" s="1760"/>
      <c r="K112" s="1760"/>
      <c r="L112" s="1760"/>
      <c r="M112" s="1760"/>
      <c r="N112" s="1760"/>
      <c r="O112" s="1760"/>
      <c r="P112" s="1760"/>
      <c r="Q112" s="1760"/>
      <c r="R112" s="1760"/>
      <c r="S112" s="1760"/>
    </row>
    <row r="113" spans="5:19">
      <c r="E113" s="1760"/>
      <c r="F113" s="1760"/>
      <c r="G113" s="1760"/>
      <c r="H113" s="1760"/>
      <c r="I113" s="1760"/>
      <c r="J113" s="1760"/>
      <c r="K113" s="1760"/>
      <c r="L113" s="1760"/>
      <c r="M113" s="1760"/>
      <c r="N113" s="1760"/>
      <c r="O113" s="1760"/>
      <c r="P113" s="1760"/>
      <c r="Q113" s="1760"/>
      <c r="R113" s="1760"/>
      <c r="S113" s="1760"/>
    </row>
    <row r="114" spans="5:19">
      <c r="E114" s="1760"/>
      <c r="F114" s="1760"/>
      <c r="G114" s="1760"/>
      <c r="H114" s="1760"/>
      <c r="I114" s="1760"/>
      <c r="J114" s="1760"/>
      <c r="K114" s="1760"/>
      <c r="L114" s="1760"/>
      <c r="M114" s="1760"/>
      <c r="N114" s="1760"/>
      <c r="O114" s="1760"/>
      <c r="P114" s="1760"/>
      <c r="Q114" s="1760"/>
      <c r="R114" s="1760"/>
      <c r="S114" s="1760"/>
    </row>
    <row r="115" spans="5:19">
      <c r="E115" s="1760"/>
      <c r="F115" s="1760"/>
      <c r="G115" s="1760"/>
      <c r="H115" s="1760"/>
      <c r="I115" s="1760"/>
      <c r="J115" s="1760"/>
      <c r="K115" s="1760"/>
      <c r="L115" s="1760"/>
      <c r="M115" s="1760"/>
      <c r="N115" s="1760"/>
      <c r="O115" s="1760"/>
      <c r="P115" s="1760"/>
      <c r="Q115" s="1760"/>
      <c r="R115" s="1760"/>
      <c r="S115" s="1760"/>
    </row>
    <row r="116" spans="5:19">
      <c r="E116" s="1760"/>
      <c r="F116" s="1760"/>
      <c r="G116" s="1760"/>
      <c r="H116" s="1760"/>
      <c r="I116" s="1760"/>
      <c r="J116" s="1760"/>
      <c r="K116" s="1760"/>
      <c r="L116" s="1760"/>
      <c r="M116" s="1760"/>
      <c r="N116" s="1760"/>
      <c r="O116" s="1760"/>
      <c r="P116" s="1760"/>
      <c r="Q116" s="1760"/>
      <c r="R116" s="1760"/>
      <c r="S116" s="1760"/>
    </row>
  </sheetData>
  <dataConsolidate/>
  <mergeCells count="29">
    <mergeCell ref="O110:S110"/>
    <mergeCell ref="C84:D84"/>
    <mergeCell ref="R84:S84"/>
    <mergeCell ref="R101:S101"/>
    <mergeCell ref="N105:S105"/>
    <mergeCell ref="O107:S107"/>
    <mergeCell ref="R102:S102"/>
    <mergeCell ref="R103:S103"/>
    <mergeCell ref="R100:S100"/>
    <mergeCell ref="C102:D102"/>
    <mergeCell ref="C103:D103"/>
    <mergeCell ref="C100:D100"/>
    <mergeCell ref="C101:D101"/>
    <mergeCell ref="M108:S108"/>
    <mergeCell ref="O109:S109"/>
    <mergeCell ref="C82:D82"/>
    <mergeCell ref="R82:S82"/>
    <mergeCell ref="C3:J3"/>
    <mergeCell ref="K3:S3"/>
    <mergeCell ref="C4:J4"/>
    <mergeCell ref="K4:S4"/>
    <mergeCell ref="C12:D12"/>
    <mergeCell ref="R12:S12"/>
    <mergeCell ref="C14:D14"/>
    <mergeCell ref="R14:S14"/>
    <mergeCell ref="C74:J74"/>
    <mergeCell ref="K74:S74"/>
    <mergeCell ref="C75:J75"/>
    <mergeCell ref="K75:S75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6" orientation="portrait" r:id="rId1"/>
  <headerFooter alignWithMargins="0">
    <oddFooter>&amp;C&amp;"+,Regular"&amp;22-61-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D102"/>
  <sheetViews>
    <sheetView tabSelected="1" topLeftCell="A83" zoomScale="50" zoomScaleNormal="50" zoomScalePageLayoutView="70" workbookViewId="0">
      <selection activeCell="J95" sqref="J95"/>
    </sheetView>
  </sheetViews>
  <sheetFormatPr defaultColWidth="11.42578125" defaultRowHeight="20.25"/>
  <cols>
    <col min="1" max="1" width="18.85546875" style="1174" customWidth="1"/>
    <col min="2" max="2" width="16.85546875" style="1174" customWidth="1"/>
    <col min="3" max="3" width="2.140625" style="1793" customWidth="1"/>
    <col min="4" max="4" width="17.28515625" style="1192" customWidth="1"/>
    <col min="5" max="5" width="30.7109375" style="1192" customWidth="1"/>
    <col min="6" max="6" width="27.140625" style="1192" customWidth="1"/>
    <col min="7" max="7" width="24.28515625" style="1192" customWidth="1"/>
    <col min="8" max="8" width="26.7109375" style="1192" customWidth="1"/>
    <col min="9" max="9" width="26.42578125" style="1192" customWidth="1"/>
    <col min="10" max="10" width="22.28515625" style="1192" customWidth="1"/>
    <col min="11" max="11" width="30.7109375" style="1192" customWidth="1"/>
    <col min="12" max="12" width="24.85546875" style="1192" customWidth="1"/>
    <col min="13" max="13" width="27.5703125" style="1192" customWidth="1"/>
    <col min="14" max="15" width="30.7109375" style="1192" customWidth="1"/>
    <col min="16" max="16" width="25.7109375" style="1192" customWidth="1"/>
    <col min="17" max="17" width="24.85546875" style="1192" customWidth="1"/>
    <col min="18" max="18" width="27.85546875" style="1192" customWidth="1"/>
    <col min="19" max="19" width="28.7109375" style="1192" customWidth="1"/>
    <col min="20" max="20" width="27" style="1192" customWidth="1"/>
    <col min="21" max="21" width="15" style="1192" customWidth="1"/>
    <col min="22" max="22" width="3" style="1192" customWidth="1"/>
    <col min="23" max="16384" width="11.42578125" style="1174"/>
  </cols>
  <sheetData>
    <row r="1" spans="3:30" ht="35.1" customHeight="1">
      <c r="H1" s="1760"/>
      <c r="I1" s="1760"/>
      <c r="J1" s="1760"/>
      <c r="K1" s="1760"/>
      <c r="L1" s="1760"/>
      <c r="M1" s="2724"/>
      <c r="N1" s="1760"/>
      <c r="O1" s="1760"/>
      <c r="P1" s="1760"/>
      <c r="Q1" s="1760"/>
      <c r="R1" s="1760"/>
      <c r="S1" s="1760"/>
      <c r="T1" s="1760"/>
      <c r="U1" s="1760"/>
      <c r="V1" s="1760"/>
    </row>
    <row r="2" spans="3:30" ht="35.1" customHeight="1">
      <c r="C2" s="1192"/>
      <c r="H2" s="2724"/>
      <c r="I2" s="2724"/>
      <c r="J2" s="2724"/>
      <c r="K2" s="2724"/>
      <c r="L2" s="2724"/>
      <c r="N2" s="1760"/>
      <c r="O2" s="1760"/>
      <c r="P2" s="1760"/>
      <c r="Q2" s="2724"/>
      <c r="R2" s="1760"/>
      <c r="S2" s="1760"/>
      <c r="T2" s="1760"/>
      <c r="U2" s="1760"/>
      <c r="V2" s="1760"/>
    </row>
    <row r="3" spans="3:30" s="2721" customFormat="1" ht="35.1" customHeight="1">
      <c r="C3" s="5023" t="s">
        <v>2938</v>
      </c>
      <c r="D3" s="5023"/>
      <c r="E3" s="5023"/>
      <c r="F3" s="5023"/>
      <c r="G3" s="5023"/>
      <c r="H3" s="5023"/>
      <c r="I3" s="5023"/>
      <c r="J3" s="5023"/>
      <c r="K3" s="5023"/>
      <c r="L3" s="5023"/>
      <c r="M3" s="5024" t="s">
        <v>2939</v>
      </c>
      <c r="N3" s="5024"/>
      <c r="O3" s="5024"/>
      <c r="P3" s="5024"/>
      <c r="Q3" s="5024"/>
      <c r="R3" s="5024"/>
      <c r="S3" s="5024"/>
      <c r="T3" s="5024"/>
      <c r="U3" s="5024"/>
      <c r="V3" s="5024"/>
      <c r="Y3" s="3582"/>
      <c r="Z3" s="3582"/>
      <c r="AA3" s="3582"/>
      <c r="AB3" s="3582"/>
      <c r="AC3" s="3582"/>
      <c r="AD3" s="3582"/>
    </row>
    <row r="4" spans="3:30" s="2498" customFormat="1" ht="35.1" customHeight="1">
      <c r="C4" s="5025" t="s">
        <v>2940</v>
      </c>
      <c r="D4" s="5025"/>
      <c r="E4" s="5025"/>
      <c r="F4" s="5025"/>
      <c r="G4" s="5025"/>
      <c r="H4" s="5025"/>
      <c r="I4" s="5025"/>
      <c r="J4" s="5025"/>
      <c r="K4" s="5025"/>
      <c r="L4" s="5025"/>
      <c r="M4" s="5026" t="s">
        <v>2941</v>
      </c>
      <c r="N4" s="5026"/>
      <c r="O4" s="5026"/>
      <c r="P4" s="5026"/>
      <c r="Q4" s="5026"/>
      <c r="R4" s="5026"/>
      <c r="S4" s="5026"/>
      <c r="T4" s="5026"/>
      <c r="U4" s="5026"/>
      <c r="V4" s="5026"/>
      <c r="W4" s="3563"/>
      <c r="X4" s="3563"/>
    </row>
    <row r="5" spans="3:30" s="1857" customFormat="1" ht="18" customHeight="1">
      <c r="C5" s="2640" t="s">
        <v>90</v>
      </c>
      <c r="D5" s="3583"/>
      <c r="E5" s="3583"/>
      <c r="F5" s="3583"/>
      <c r="G5" s="3583"/>
      <c r="H5" s="3584"/>
      <c r="I5" s="3584"/>
      <c r="J5" s="3584"/>
      <c r="K5" s="3584"/>
      <c r="L5" s="3584"/>
      <c r="M5" s="1852"/>
      <c r="N5" s="1852"/>
      <c r="O5" s="1852"/>
      <c r="P5" s="1852"/>
      <c r="Q5" s="1852"/>
      <c r="R5" s="1852"/>
      <c r="S5" s="1852"/>
      <c r="T5" s="1852"/>
      <c r="U5" s="1852"/>
      <c r="V5" s="1989" t="s">
        <v>91</v>
      </c>
    </row>
    <row r="6" spans="3:30" ht="6" customHeight="1">
      <c r="H6" s="3585"/>
      <c r="I6" s="3585"/>
      <c r="J6" s="3585"/>
      <c r="K6" s="3585"/>
      <c r="L6" s="3585"/>
      <c r="M6" s="1858"/>
      <c r="N6" s="1858"/>
      <c r="O6" s="1858"/>
      <c r="P6" s="1858"/>
      <c r="Q6" s="1858"/>
      <c r="R6" s="2727"/>
      <c r="S6" s="1858"/>
      <c r="T6" s="1858"/>
      <c r="U6" s="1858"/>
      <c r="V6" s="2314"/>
      <c r="W6" s="1801"/>
    </row>
    <row r="7" spans="3:30" s="1801" customFormat="1" ht="28.5" customHeight="1">
      <c r="C7" s="3586"/>
      <c r="D7" s="3587"/>
      <c r="E7" s="3588"/>
      <c r="F7" s="3589"/>
      <c r="G7" s="3589"/>
      <c r="H7" s="3590"/>
      <c r="I7" s="3590"/>
      <c r="J7" s="3590"/>
      <c r="K7" s="3590"/>
      <c r="L7" s="3591"/>
      <c r="M7" s="3592"/>
      <c r="N7" s="3593"/>
      <c r="O7" s="3593"/>
      <c r="P7" s="3593"/>
      <c r="Q7" s="3593"/>
      <c r="R7" s="3594"/>
      <c r="S7" s="3593"/>
      <c r="T7" s="3593"/>
      <c r="U7" s="3595"/>
      <c r="V7" s="3596"/>
    </row>
    <row r="8" spans="3:30" ht="28.5" customHeight="1">
      <c r="C8" s="3597"/>
      <c r="D8" s="3598"/>
      <c r="E8" s="3599" t="s">
        <v>1668</v>
      </c>
      <c r="F8" s="3600"/>
      <c r="G8" s="3600" t="s">
        <v>1668</v>
      </c>
      <c r="H8" s="3601"/>
      <c r="I8" s="3601"/>
      <c r="J8" s="3600"/>
      <c r="K8" s="3600"/>
      <c r="L8" s="3602"/>
      <c r="M8" s="4432" t="s">
        <v>663</v>
      </c>
      <c r="N8" s="3603"/>
      <c r="O8" s="3604" t="s">
        <v>1598</v>
      </c>
      <c r="P8" s="3605"/>
      <c r="Q8" s="3605"/>
      <c r="R8" s="3603"/>
      <c r="S8" s="3603"/>
      <c r="T8" s="3604"/>
      <c r="U8" s="4432"/>
      <c r="V8" s="3606"/>
      <c r="W8" s="1801"/>
      <c r="Y8" s="1801"/>
    </row>
    <row r="9" spans="3:30" ht="28.5" customHeight="1">
      <c r="C9" s="3597"/>
      <c r="D9" s="3598"/>
      <c r="E9" s="3599" t="s">
        <v>1600</v>
      </c>
      <c r="F9" s="3600"/>
      <c r="G9" s="3600" t="s">
        <v>1600</v>
      </c>
      <c r="H9" s="3607"/>
      <c r="I9" s="3607"/>
      <c r="J9" s="3600"/>
      <c r="K9" s="3600" t="s">
        <v>1669</v>
      </c>
      <c r="L9" s="3608"/>
      <c r="M9" s="4432" t="s">
        <v>1603</v>
      </c>
      <c r="N9" s="3604"/>
      <c r="O9" s="3604" t="s">
        <v>1601</v>
      </c>
      <c r="P9" s="3609"/>
      <c r="Q9" s="3604"/>
      <c r="R9" s="3604"/>
      <c r="S9" s="3604"/>
      <c r="T9" s="3604" t="s">
        <v>673</v>
      </c>
      <c r="U9" s="4432"/>
      <c r="V9" s="3606"/>
      <c r="W9" s="1801"/>
      <c r="Y9" s="1801"/>
    </row>
    <row r="10" spans="3:30" ht="28.5" customHeight="1">
      <c r="C10" s="3597"/>
      <c r="D10" s="3598"/>
      <c r="E10" s="3610" t="s">
        <v>1602</v>
      </c>
      <c r="F10" s="3600" t="s">
        <v>1670</v>
      </c>
      <c r="G10" s="3600" t="s">
        <v>1602</v>
      </c>
      <c r="H10" s="3607" t="s">
        <v>1607</v>
      </c>
      <c r="I10" s="3607" t="s">
        <v>1671</v>
      </c>
      <c r="J10" s="3600"/>
      <c r="K10" s="3600" t="s">
        <v>1672</v>
      </c>
      <c r="L10" s="3608" t="s">
        <v>663</v>
      </c>
      <c r="M10" s="4432" t="s">
        <v>1608</v>
      </c>
      <c r="N10" s="3604" t="s">
        <v>668</v>
      </c>
      <c r="O10" s="3604" t="s">
        <v>1604</v>
      </c>
      <c r="P10" s="3604"/>
      <c r="Q10" s="3604"/>
      <c r="R10" s="3604"/>
      <c r="S10" s="3604"/>
      <c r="T10" s="3604" t="s">
        <v>1605</v>
      </c>
      <c r="U10" s="4432"/>
      <c r="V10" s="3606"/>
      <c r="W10" s="1801"/>
      <c r="Y10" s="1801"/>
    </row>
    <row r="11" spans="3:30" ht="28.5" customHeight="1">
      <c r="C11" s="3611"/>
      <c r="D11" s="3608"/>
      <c r="E11" s="3610" t="s">
        <v>1673</v>
      </c>
      <c r="F11" s="3600" t="s">
        <v>1674</v>
      </c>
      <c r="G11" s="3600" t="s">
        <v>1673</v>
      </c>
      <c r="H11" s="3607" t="s">
        <v>1615</v>
      </c>
      <c r="I11" s="3607" t="s">
        <v>1675</v>
      </c>
      <c r="J11" s="3607"/>
      <c r="K11" s="3607" t="s">
        <v>1676</v>
      </c>
      <c r="L11" s="3608" t="s">
        <v>1677</v>
      </c>
      <c r="M11" s="4432" t="s">
        <v>1616</v>
      </c>
      <c r="N11" s="3604" t="s">
        <v>1609</v>
      </c>
      <c r="O11" s="3604" t="s">
        <v>667</v>
      </c>
      <c r="P11" s="3604"/>
      <c r="Q11" s="3604" t="s">
        <v>1610</v>
      </c>
      <c r="R11" s="3604" t="s">
        <v>1611</v>
      </c>
      <c r="S11" s="3604" t="s">
        <v>672</v>
      </c>
      <c r="T11" s="3604" t="s">
        <v>1612</v>
      </c>
      <c r="U11" s="4432"/>
      <c r="V11" s="4431"/>
      <c r="W11" s="1801"/>
      <c r="Y11" s="1801"/>
    </row>
    <row r="12" spans="3:30" ht="28.5" customHeight="1">
      <c r="C12" s="3611"/>
      <c r="D12" s="3612"/>
      <c r="E12" s="3599" t="s">
        <v>1678</v>
      </c>
      <c r="F12" s="3600" t="s">
        <v>1679</v>
      </c>
      <c r="G12" s="3607" t="s">
        <v>1680</v>
      </c>
      <c r="H12" s="3607" t="s">
        <v>111</v>
      </c>
      <c r="I12" s="3607" t="s">
        <v>1681</v>
      </c>
      <c r="J12" s="3607" t="s">
        <v>1682</v>
      </c>
      <c r="K12" s="3607" t="s">
        <v>1683</v>
      </c>
      <c r="L12" s="3608" t="s">
        <v>1684</v>
      </c>
      <c r="M12" s="3613" t="s">
        <v>1625</v>
      </c>
      <c r="N12" s="3604" t="s">
        <v>1617</v>
      </c>
      <c r="O12" s="3604" t="s">
        <v>662</v>
      </c>
      <c r="P12" s="3604" t="s">
        <v>669</v>
      </c>
      <c r="Q12" s="3604" t="s">
        <v>1618</v>
      </c>
      <c r="R12" s="3604" t="s">
        <v>1619</v>
      </c>
      <c r="S12" s="3604" t="s">
        <v>1620</v>
      </c>
      <c r="T12" s="3604" t="s">
        <v>1621</v>
      </c>
      <c r="U12" s="5027"/>
      <c r="V12" s="5028"/>
      <c r="W12" s="1801"/>
    </row>
    <row r="13" spans="3:30" ht="28.5" customHeight="1">
      <c r="C13" s="3597"/>
      <c r="D13" s="3598"/>
      <c r="E13" s="3601"/>
      <c r="F13" s="3614"/>
      <c r="G13" s="3614"/>
      <c r="H13" s="3607"/>
      <c r="I13" s="3607"/>
      <c r="J13" s="3607"/>
      <c r="K13" s="3607"/>
      <c r="L13" s="3608"/>
      <c r="M13" s="4432"/>
      <c r="N13" s="3609"/>
      <c r="O13" s="3604"/>
      <c r="P13" s="3604"/>
      <c r="Q13" s="3604"/>
      <c r="R13" s="3604"/>
      <c r="S13" s="3604"/>
      <c r="T13" s="3604"/>
      <c r="U13" s="4432"/>
      <c r="V13" s="3606"/>
      <c r="W13" s="1801"/>
    </row>
    <row r="14" spans="3:30" ht="28.5" customHeight="1">
      <c r="C14" s="3611"/>
      <c r="D14" s="3608"/>
      <c r="E14" s="3599"/>
      <c r="F14" s="3607"/>
      <c r="G14" s="3607"/>
      <c r="H14" s="3607"/>
      <c r="I14" s="3607"/>
      <c r="J14" s="3607"/>
      <c r="K14" s="3600" t="s">
        <v>1685</v>
      </c>
      <c r="L14" s="3608"/>
      <c r="M14" s="4432" t="s">
        <v>1626</v>
      </c>
      <c r="N14" s="3609"/>
      <c r="O14" s="3604" t="s">
        <v>1627</v>
      </c>
      <c r="P14" s="3609"/>
      <c r="Q14" s="3609"/>
      <c r="R14" s="3604"/>
      <c r="S14" s="3604"/>
      <c r="T14" s="3604"/>
      <c r="U14" s="5029"/>
      <c r="V14" s="5028"/>
      <c r="W14" s="1801"/>
    </row>
    <row r="15" spans="3:30" ht="28.5" customHeight="1">
      <c r="C15" s="3611"/>
      <c r="D15" s="3608"/>
      <c r="E15" s="3599"/>
      <c r="F15" s="3607"/>
      <c r="G15" s="3607"/>
      <c r="H15" s="3614"/>
      <c r="I15" s="3614"/>
      <c r="J15" s="3614"/>
      <c r="K15" s="3600" t="s">
        <v>1686</v>
      </c>
      <c r="L15" s="3608" t="s">
        <v>1687</v>
      </c>
      <c r="M15" s="4432" t="s">
        <v>1630</v>
      </c>
      <c r="N15" s="3604" t="s">
        <v>1631</v>
      </c>
      <c r="O15" s="3604" t="s">
        <v>1632</v>
      </c>
      <c r="P15" s="3604"/>
      <c r="Q15" s="3604"/>
      <c r="R15" s="3604"/>
      <c r="S15" s="3609"/>
      <c r="T15" s="3604" t="s">
        <v>1633</v>
      </c>
      <c r="U15" s="4432"/>
      <c r="V15" s="4431"/>
      <c r="W15" s="1801"/>
    </row>
    <row r="16" spans="3:30" ht="28.5" customHeight="1">
      <c r="C16" s="3597"/>
      <c r="D16" s="3598"/>
      <c r="E16" s="3599" t="s">
        <v>1688</v>
      </c>
      <c r="F16" s="3614"/>
      <c r="G16" s="3607" t="s">
        <v>1688</v>
      </c>
      <c r="H16" s="3607" t="s">
        <v>1689</v>
      </c>
      <c r="I16" s="3607" t="s">
        <v>1690</v>
      </c>
      <c r="J16" s="3607" t="s">
        <v>457</v>
      </c>
      <c r="K16" s="3607" t="s">
        <v>1691</v>
      </c>
      <c r="L16" s="3608" t="s">
        <v>1692</v>
      </c>
      <c r="M16" s="4432" t="s">
        <v>1636</v>
      </c>
      <c r="N16" s="3604" t="s">
        <v>1637</v>
      </c>
      <c r="O16" s="3604" t="s">
        <v>1638</v>
      </c>
      <c r="P16" s="3609"/>
      <c r="Q16" s="3604" t="s">
        <v>1639</v>
      </c>
      <c r="R16" s="3609"/>
      <c r="S16" s="3604" t="s">
        <v>694</v>
      </c>
      <c r="T16" s="3604" t="s">
        <v>1640</v>
      </c>
      <c r="U16" s="4432"/>
      <c r="V16" s="3606"/>
      <c r="W16" s="1801"/>
    </row>
    <row r="17" spans="3:23" ht="28.5" customHeight="1">
      <c r="C17" s="3597"/>
      <c r="D17" s="3598"/>
      <c r="E17" s="3599" t="s">
        <v>1641</v>
      </c>
      <c r="F17" s="3607" t="s">
        <v>1693</v>
      </c>
      <c r="G17" s="3607" t="s">
        <v>1694</v>
      </c>
      <c r="H17" s="3607" t="s">
        <v>522</v>
      </c>
      <c r="I17" s="3607" t="s">
        <v>1695</v>
      </c>
      <c r="J17" s="3607" t="s">
        <v>1696</v>
      </c>
      <c r="K17" s="3607" t="s">
        <v>1697</v>
      </c>
      <c r="L17" s="3608" t="s">
        <v>1698</v>
      </c>
      <c r="M17" s="4432" t="s">
        <v>1644</v>
      </c>
      <c r="N17" s="3604" t="s">
        <v>1645</v>
      </c>
      <c r="O17" s="3604" t="s">
        <v>1646</v>
      </c>
      <c r="P17" s="3604"/>
      <c r="Q17" s="3604" t="s">
        <v>127</v>
      </c>
      <c r="R17" s="3604"/>
      <c r="S17" s="3604" t="s">
        <v>127</v>
      </c>
      <c r="T17" s="3604" t="s">
        <v>127</v>
      </c>
      <c r="U17" s="4432"/>
      <c r="V17" s="3606"/>
      <c r="W17" s="1801"/>
    </row>
    <row r="18" spans="3:23" ht="28.5" customHeight="1">
      <c r="C18" s="3615"/>
      <c r="D18" s="3616"/>
      <c r="E18" s="3617" t="s">
        <v>1699</v>
      </c>
      <c r="F18" s="3618" t="s">
        <v>1700</v>
      </c>
      <c r="G18" s="3618" t="s">
        <v>1649</v>
      </c>
      <c r="H18" s="3618" t="s">
        <v>703</v>
      </c>
      <c r="I18" s="3618" t="s">
        <v>1701</v>
      </c>
      <c r="J18" s="3618" t="s">
        <v>703</v>
      </c>
      <c r="K18" s="3618" t="s">
        <v>1702</v>
      </c>
      <c r="L18" s="3619" t="s">
        <v>703</v>
      </c>
      <c r="M18" s="3620" t="s">
        <v>703</v>
      </c>
      <c r="N18" s="3621" t="s">
        <v>1651</v>
      </c>
      <c r="O18" s="3621" t="s">
        <v>1652</v>
      </c>
      <c r="P18" s="3621" t="s">
        <v>705</v>
      </c>
      <c r="Q18" s="3621" t="s">
        <v>1653</v>
      </c>
      <c r="R18" s="3621" t="s">
        <v>1654</v>
      </c>
      <c r="S18" s="3621" t="s">
        <v>1655</v>
      </c>
      <c r="T18" s="3621" t="s">
        <v>1656</v>
      </c>
      <c r="U18" s="3620"/>
      <c r="V18" s="3622"/>
      <c r="W18" s="1801"/>
    </row>
    <row r="19" spans="3:23" s="2771" customFormat="1" ht="39.950000000000003" customHeight="1">
      <c r="C19" s="5015">
        <v>1976</v>
      </c>
      <c r="D19" s="5016"/>
      <c r="E19" s="1199">
        <v>1689.4</v>
      </c>
      <c r="F19" s="1200">
        <v>201</v>
      </c>
      <c r="G19" s="3623">
        <v>1488.3</v>
      </c>
      <c r="H19" s="3623">
        <v>267.10000000000002</v>
      </c>
      <c r="I19" s="3623">
        <v>-22.8</v>
      </c>
      <c r="J19" s="3623">
        <v>4.3</v>
      </c>
      <c r="K19" s="3623">
        <v>17.7</v>
      </c>
      <c r="L19" s="1200">
        <v>54.5</v>
      </c>
      <c r="M19" s="1201">
        <v>318.89999999999998</v>
      </c>
      <c r="N19" s="3624">
        <v>152</v>
      </c>
      <c r="O19" s="3624">
        <v>266.8</v>
      </c>
      <c r="P19" s="3624">
        <v>142.19999999999999</v>
      </c>
      <c r="Q19" s="3624">
        <v>11.5</v>
      </c>
      <c r="R19" s="3624">
        <v>129.9</v>
      </c>
      <c r="S19" s="3624">
        <v>39.1</v>
      </c>
      <c r="T19" s="3625">
        <v>107.1</v>
      </c>
      <c r="U19" s="5017">
        <v>1976</v>
      </c>
      <c r="V19" s="5018"/>
    </row>
    <row r="20" spans="3:23" s="2771" customFormat="1" ht="39.950000000000003" customHeight="1">
      <c r="C20" s="5019">
        <v>1977</v>
      </c>
      <c r="D20" s="5020"/>
      <c r="E20" s="1203">
        <v>1829.6</v>
      </c>
      <c r="F20" s="1204">
        <v>242.6</v>
      </c>
      <c r="G20" s="3626">
        <v>1586.9</v>
      </c>
      <c r="H20" s="3626">
        <v>261.2</v>
      </c>
      <c r="I20" s="3626">
        <v>-25.4</v>
      </c>
      <c r="J20" s="3626">
        <v>5.4</v>
      </c>
      <c r="K20" s="3626">
        <v>22.1</v>
      </c>
      <c r="L20" s="1204">
        <v>68.099999999999994</v>
      </c>
      <c r="M20" s="1205">
        <v>329.5</v>
      </c>
      <c r="N20" s="3627">
        <v>149.5</v>
      </c>
      <c r="O20" s="3627">
        <v>305.39999999999998</v>
      </c>
      <c r="P20" s="3627">
        <v>168.2</v>
      </c>
      <c r="Q20" s="3627">
        <v>14.5</v>
      </c>
      <c r="R20" s="3627">
        <v>133.19999999999999</v>
      </c>
      <c r="S20" s="3627">
        <v>40.700000000000003</v>
      </c>
      <c r="T20" s="1206">
        <v>114.8</v>
      </c>
      <c r="U20" s="5021">
        <v>1977</v>
      </c>
      <c r="V20" s="5022"/>
    </row>
    <row r="21" spans="3:23" s="2771" customFormat="1" ht="39.950000000000003" customHeight="1">
      <c r="C21" s="5015">
        <v>1978</v>
      </c>
      <c r="D21" s="5016">
        <v>1978</v>
      </c>
      <c r="E21" s="1199">
        <v>2098.1</v>
      </c>
      <c r="F21" s="1200">
        <v>278.7</v>
      </c>
      <c r="G21" s="3623">
        <v>1819.4</v>
      </c>
      <c r="H21" s="3623">
        <v>287.89999999999998</v>
      </c>
      <c r="I21" s="3623">
        <v>-32.799999999999997</v>
      </c>
      <c r="J21" s="3623">
        <v>6.1</v>
      </c>
      <c r="K21" s="3623">
        <v>24.9</v>
      </c>
      <c r="L21" s="1200">
        <v>76.7</v>
      </c>
      <c r="M21" s="1201">
        <v>356</v>
      </c>
      <c r="N21" s="3624">
        <v>180</v>
      </c>
      <c r="O21" s="3624">
        <v>363.3</v>
      </c>
      <c r="P21" s="3624">
        <v>187.6</v>
      </c>
      <c r="Q21" s="3624">
        <v>14.1</v>
      </c>
      <c r="R21" s="3624">
        <v>159.5</v>
      </c>
      <c r="S21" s="3624">
        <v>53.4</v>
      </c>
      <c r="T21" s="3625">
        <v>142.6</v>
      </c>
      <c r="U21" s="5017">
        <v>1978</v>
      </c>
      <c r="V21" s="5018"/>
    </row>
    <row r="22" spans="3:23" s="2771" customFormat="1" ht="39.950000000000003" customHeight="1">
      <c r="C22" s="5019">
        <v>1979</v>
      </c>
      <c r="D22" s="5020">
        <v>1979</v>
      </c>
      <c r="E22" s="1203">
        <v>2534.6</v>
      </c>
      <c r="F22" s="1204">
        <v>348.8</v>
      </c>
      <c r="G22" s="3626">
        <v>2185.8000000000002</v>
      </c>
      <c r="H22" s="3626">
        <v>341</v>
      </c>
      <c r="I22" s="3626">
        <v>-25.6</v>
      </c>
      <c r="J22" s="3626">
        <v>5.2</v>
      </c>
      <c r="K22" s="3626">
        <v>21.3</v>
      </c>
      <c r="L22" s="1204">
        <v>65.8</v>
      </c>
      <c r="M22" s="1205">
        <v>409</v>
      </c>
      <c r="N22" s="3627">
        <v>244.7</v>
      </c>
      <c r="O22" s="3627">
        <v>467.7</v>
      </c>
      <c r="P22" s="3627">
        <v>224.6</v>
      </c>
      <c r="Q22" s="3627">
        <v>19.5</v>
      </c>
      <c r="R22" s="3627">
        <v>212.3</v>
      </c>
      <c r="S22" s="3627">
        <v>65.099999999999994</v>
      </c>
      <c r="T22" s="1206">
        <v>135.30000000000001</v>
      </c>
      <c r="U22" s="5021">
        <v>1979</v>
      </c>
      <c r="V22" s="5022"/>
    </row>
    <row r="23" spans="3:23" s="2771" customFormat="1" ht="39.950000000000003" customHeight="1">
      <c r="C23" s="5015">
        <v>1980</v>
      </c>
      <c r="D23" s="5016">
        <v>1980</v>
      </c>
      <c r="E23" s="1199">
        <v>2818.1</v>
      </c>
      <c r="F23" s="1200">
        <v>370.7</v>
      </c>
      <c r="G23" s="3623">
        <v>2447.4</v>
      </c>
      <c r="H23" s="3623">
        <v>395.8</v>
      </c>
      <c r="I23" s="3623">
        <v>-24.5</v>
      </c>
      <c r="J23" s="3623">
        <v>5.3</v>
      </c>
      <c r="K23" s="3623">
        <v>21.7</v>
      </c>
      <c r="L23" s="1200">
        <v>67</v>
      </c>
      <c r="M23" s="1201">
        <v>436.4</v>
      </c>
      <c r="N23" s="3624">
        <v>285.5</v>
      </c>
      <c r="O23" s="3624">
        <v>534.70000000000005</v>
      </c>
      <c r="P23" s="3624">
        <v>221.8</v>
      </c>
      <c r="Q23" s="3624">
        <v>21.2</v>
      </c>
      <c r="R23" s="3624">
        <v>255.7</v>
      </c>
      <c r="S23" s="3624">
        <v>90</v>
      </c>
      <c r="T23" s="3625">
        <v>136.6</v>
      </c>
      <c r="U23" s="5017">
        <v>1980</v>
      </c>
      <c r="V23" s="5018"/>
    </row>
    <row r="24" spans="3:23" s="2771" customFormat="1" ht="39.950000000000003" customHeight="1">
      <c r="C24" s="5019">
        <v>1981</v>
      </c>
      <c r="D24" s="5020">
        <v>1981</v>
      </c>
      <c r="E24" s="1203">
        <v>3302.2</v>
      </c>
      <c r="F24" s="1204">
        <v>452</v>
      </c>
      <c r="G24" s="3626">
        <v>2850.2</v>
      </c>
      <c r="H24" s="3626">
        <v>449</v>
      </c>
      <c r="I24" s="3626">
        <v>-25.8</v>
      </c>
      <c r="J24" s="3626">
        <v>5.7</v>
      </c>
      <c r="K24" s="3626">
        <v>23.2</v>
      </c>
      <c r="L24" s="1204">
        <v>71.400000000000006</v>
      </c>
      <c r="M24" s="1205">
        <v>440.7</v>
      </c>
      <c r="N24" s="3627">
        <v>401.2</v>
      </c>
      <c r="O24" s="3627">
        <v>685</v>
      </c>
      <c r="P24" s="3627">
        <v>276</v>
      </c>
      <c r="Q24" s="3627">
        <v>19.8</v>
      </c>
      <c r="R24" s="3627">
        <v>276.8</v>
      </c>
      <c r="S24" s="3627">
        <v>97.7</v>
      </c>
      <c r="T24" s="1206">
        <v>129.4</v>
      </c>
      <c r="U24" s="5021">
        <v>1981</v>
      </c>
      <c r="V24" s="5022"/>
    </row>
    <row r="25" spans="3:23" s="2771" customFormat="1" ht="39.950000000000003" customHeight="1">
      <c r="C25" s="5015">
        <v>1982</v>
      </c>
      <c r="D25" s="5016">
        <v>1982</v>
      </c>
      <c r="E25" s="1199">
        <v>3534.2</v>
      </c>
      <c r="F25" s="1200">
        <v>473.5</v>
      </c>
      <c r="G25" s="3623">
        <v>3060.7</v>
      </c>
      <c r="H25" s="3623">
        <v>445.9</v>
      </c>
      <c r="I25" s="3623">
        <v>-33</v>
      </c>
      <c r="J25" s="3623">
        <v>5.8</v>
      </c>
      <c r="K25" s="3623">
        <v>23.7</v>
      </c>
      <c r="L25" s="1200">
        <v>72.900000000000006</v>
      </c>
      <c r="M25" s="1201">
        <v>478.6</v>
      </c>
      <c r="N25" s="3624">
        <v>494.3</v>
      </c>
      <c r="O25" s="3624">
        <v>650.9</v>
      </c>
      <c r="P25" s="3624">
        <v>363.6</v>
      </c>
      <c r="Q25" s="3624">
        <v>27.6</v>
      </c>
      <c r="R25" s="3624">
        <v>276.39999999999998</v>
      </c>
      <c r="S25" s="3624">
        <v>101.1</v>
      </c>
      <c r="T25" s="3625">
        <v>152.80000000000001</v>
      </c>
      <c r="U25" s="5017">
        <v>1982</v>
      </c>
      <c r="V25" s="5018"/>
    </row>
    <row r="26" spans="3:23" s="2771" customFormat="1" ht="39.950000000000003" customHeight="1">
      <c r="C26" s="5019">
        <v>1983</v>
      </c>
      <c r="D26" s="5020">
        <v>1983</v>
      </c>
      <c r="E26" s="1203">
        <v>3455.8</v>
      </c>
      <c r="F26" s="1204">
        <v>464.4</v>
      </c>
      <c r="G26" s="3626">
        <v>2991.4</v>
      </c>
      <c r="H26" s="3626">
        <v>442</v>
      </c>
      <c r="I26" s="3626">
        <v>-54.9</v>
      </c>
      <c r="J26" s="3626">
        <v>7.1</v>
      </c>
      <c r="K26" s="3626">
        <v>28.8</v>
      </c>
      <c r="L26" s="1204">
        <v>88.8</v>
      </c>
      <c r="M26" s="1205">
        <v>498.3</v>
      </c>
      <c r="N26" s="3627">
        <v>485.4</v>
      </c>
      <c r="O26" s="3627">
        <v>554</v>
      </c>
      <c r="P26" s="3627">
        <v>381.9</v>
      </c>
      <c r="Q26" s="3627">
        <v>32.4</v>
      </c>
      <c r="R26" s="3627">
        <v>269.89999999999998</v>
      </c>
      <c r="S26" s="3627">
        <v>109.2</v>
      </c>
      <c r="T26" s="1206">
        <v>148.5</v>
      </c>
      <c r="U26" s="5021">
        <v>1983</v>
      </c>
      <c r="V26" s="5022"/>
    </row>
    <row r="27" spans="3:23" s="2771" customFormat="1" ht="39.950000000000003" customHeight="1">
      <c r="C27" s="5015">
        <v>1984</v>
      </c>
      <c r="D27" s="5016">
        <v>1984</v>
      </c>
      <c r="E27" s="1199">
        <v>3604.1</v>
      </c>
      <c r="F27" s="1200">
        <v>442.3</v>
      </c>
      <c r="G27" s="3623">
        <v>3161.7</v>
      </c>
      <c r="H27" s="3623">
        <v>466.4</v>
      </c>
      <c r="I27" s="3623">
        <v>-57.3</v>
      </c>
      <c r="J27" s="3623">
        <v>7.8</v>
      </c>
      <c r="K27" s="3623">
        <v>31.9</v>
      </c>
      <c r="L27" s="1200">
        <v>98.2</v>
      </c>
      <c r="M27" s="1201">
        <v>526.20000000000005</v>
      </c>
      <c r="N27" s="3624">
        <v>459.2</v>
      </c>
      <c r="O27" s="3624">
        <v>613.79999999999995</v>
      </c>
      <c r="P27" s="3624">
        <v>374.3</v>
      </c>
      <c r="Q27" s="3624">
        <v>36.9</v>
      </c>
      <c r="R27" s="3624">
        <v>322.10000000000002</v>
      </c>
      <c r="S27" s="3624">
        <v>143</v>
      </c>
      <c r="T27" s="3625">
        <v>139.19999999999999</v>
      </c>
      <c r="U27" s="5017">
        <v>1984</v>
      </c>
      <c r="V27" s="5018"/>
    </row>
    <row r="28" spans="3:23" s="2771" customFormat="1" ht="39.950000000000003" customHeight="1">
      <c r="C28" s="5019">
        <v>1985</v>
      </c>
      <c r="D28" s="5020">
        <v>1985</v>
      </c>
      <c r="E28" s="1203">
        <v>3506.5</v>
      </c>
      <c r="F28" s="1204">
        <v>438.7</v>
      </c>
      <c r="G28" s="3626">
        <v>3067.8</v>
      </c>
      <c r="H28" s="3626">
        <v>477.9</v>
      </c>
      <c r="I28" s="3626">
        <v>-59.1</v>
      </c>
      <c r="J28" s="3626">
        <v>8.1999999999999993</v>
      </c>
      <c r="K28" s="3626">
        <v>33.4</v>
      </c>
      <c r="L28" s="1204">
        <v>102.8</v>
      </c>
      <c r="M28" s="1205">
        <v>536.29999999999995</v>
      </c>
      <c r="N28" s="3627">
        <v>475</v>
      </c>
      <c r="O28" s="3627">
        <v>590.4</v>
      </c>
      <c r="P28" s="3627">
        <v>228.3</v>
      </c>
      <c r="Q28" s="3627">
        <v>57</v>
      </c>
      <c r="R28" s="3627">
        <v>333.1</v>
      </c>
      <c r="S28" s="3627">
        <v>139.69999999999999</v>
      </c>
      <c r="T28" s="1206">
        <v>145</v>
      </c>
      <c r="U28" s="5021">
        <v>1985</v>
      </c>
      <c r="V28" s="5022"/>
    </row>
    <row r="29" spans="3:23" s="2771" customFormat="1" ht="39.950000000000003" customHeight="1">
      <c r="C29" s="5015">
        <v>1986</v>
      </c>
      <c r="D29" s="5016">
        <v>1986</v>
      </c>
      <c r="E29" s="1199">
        <v>3699.5</v>
      </c>
      <c r="F29" s="1200">
        <v>454.7</v>
      </c>
      <c r="G29" s="3623">
        <v>3244.9</v>
      </c>
      <c r="H29" s="3623">
        <v>515</v>
      </c>
      <c r="I29" s="3623">
        <v>-66.2</v>
      </c>
      <c r="J29" s="3623">
        <v>9.6999999999999993</v>
      </c>
      <c r="K29" s="3623">
        <v>33</v>
      </c>
      <c r="L29" s="1200">
        <v>99.5</v>
      </c>
      <c r="M29" s="1201">
        <v>560.79999999999995</v>
      </c>
      <c r="N29" s="3624">
        <v>492.3</v>
      </c>
      <c r="O29" s="3624">
        <v>699.5</v>
      </c>
      <c r="P29" s="3624">
        <v>217.3</v>
      </c>
      <c r="Q29" s="3624">
        <v>70.900000000000006</v>
      </c>
      <c r="R29" s="3624">
        <v>318.5</v>
      </c>
      <c r="S29" s="3624">
        <v>146.5</v>
      </c>
      <c r="T29" s="3625">
        <v>148.19999999999999</v>
      </c>
      <c r="U29" s="5017">
        <v>1986</v>
      </c>
      <c r="V29" s="5018"/>
    </row>
    <row r="30" spans="3:23" s="2771" customFormat="1" ht="39.950000000000003" customHeight="1">
      <c r="C30" s="5019">
        <v>1987</v>
      </c>
      <c r="D30" s="5020">
        <v>1987</v>
      </c>
      <c r="E30" s="1203">
        <v>3785.5</v>
      </c>
      <c r="F30" s="1204">
        <v>475.3</v>
      </c>
      <c r="G30" s="3626">
        <v>3310.2</v>
      </c>
      <c r="H30" s="3626">
        <v>554.79999999999995</v>
      </c>
      <c r="I30" s="3626">
        <v>-66.099999999999994</v>
      </c>
      <c r="J30" s="3626">
        <v>10</v>
      </c>
      <c r="K30" s="3626">
        <v>34.4</v>
      </c>
      <c r="L30" s="1204">
        <v>98.9</v>
      </c>
      <c r="M30" s="1205">
        <v>576</v>
      </c>
      <c r="N30" s="3627">
        <v>519.70000000000005</v>
      </c>
      <c r="O30" s="3627">
        <v>648.29999999999995</v>
      </c>
      <c r="P30" s="3627">
        <v>204.8</v>
      </c>
      <c r="Q30" s="3627">
        <v>69.7</v>
      </c>
      <c r="R30" s="3627">
        <v>326.39999999999998</v>
      </c>
      <c r="S30" s="3627">
        <v>153.30000000000001</v>
      </c>
      <c r="T30" s="1206">
        <v>179.9</v>
      </c>
      <c r="U30" s="5021">
        <v>1987</v>
      </c>
      <c r="V30" s="5022"/>
    </row>
    <row r="31" spans="3:23" s="2771" customFormat="1" ht="39.950000000000003" customHeight="1">
      <c r="C31" s="5015">
        <v>1988</v>
      </c>
      <c r="D31" s="5016">
        <v>1988</v>
      </c>
      <c r="E31" s="1199">
        <v>3840.8</v>
      </c>
      <c r="F31" s="1200">
        <v>503.9</v>
      </c>
      <c r="G31" s="3623">
        <v>3337</v>
      </c>
      <c r="H31" s="3623">
        <v>589.70000000000005</v>
      </c>
      <c r="I31" s="3623">
        <v>-77.900000000000006</v>
      </c>
      <c r="J31" s="3623">
        <v>8.8000000000000007</v>
      </c>
      <c r="K31" s="3623">
        <v>34.9</v>
      </c>
      <c r="L31" s="1200">
        <v>102.1</v>
      </c>
      <c r="M31" s="1201">
        <v>635.9</v>
      </c>
      <c r="N31" s="3624">
        <v>516.9</v>
      </c>
      <c r="O31" s="3624">
        <v>644.70000000000005</v>
      </c>
      <c r="P31" s="3624">
        <v>167.8</v>
      </c>
      <c r="Q31" s="3624">
        <v>70.2</v>
      </c>
      <c r="R31" s="3624">
        <v>292.10000000000002</v>
      </c>
      <c r="S31" s="3624">
        <v>143.9</v>
      </c>
      <c r="T31" s="3625">
        <v>207.8</v>
      </c>
      <c r="U31" s="5017">
        <v>1988</v>
      </c>
      <c r="V31" s="5018"/>
    </row>
    <row r="32" spans="3:23" s="2771" customFormat="1" ht="39.950000000000003" customHeight="1">
      <c r="C32" s="5019">
        <v>1989</v>
      </c>
      <c r="D32" s="5020">
        <v>1989</v>
      </c>
      <c r="E32" s="1203">
        <v>3428.6999999999994</v>
      </c>
      <c r="F32" s="1204">
        <v>453.7</v>
      </c>
      <c r="G32" s="3626">
        <v>2975.1</v>
      </c>
      <c r="H32" s="3626">
        <v>565.1</v>
      </c>
      <c r="I32" s="3626">
        <v>-69.3</v>
      </c>
      <c r="J32" s="3626">
        <v>6.7</v>
      </c>
      <c r="K32" s="3626">
        <v>33.799999999999997</v>
      </c>
      <c r="L32" s="1204">
        <v>75.2</v>
      </c>
      <c r="M32" s="1205">
        <v>619.29999999999995</v>
      </c>
      <c r="N32" s="3627">
        <v>500.9</v>
      </c>
      <c r="O32" s="3627">
        <v>386.7</v>
      </c>
      <c r="P32" s="3627">
        <v>133.5</v>
      </c>
      <c r="Q32" s="3627">
        <v>73.2</v>
      </c>
      <c r="R32" s="3627">
        <v>354.8</v>
      </c>
      <c r="S32" s="3627">
        <v>144.5</v>
      </c>
      <c r="T32" s="1206">
        <v>150.6</v>
      </c>
      <c r="U32" s="5021">
        <v>1989</v>
      </c>
      <c r="V32" s="5022"/>
    </row>
    <row r="33" spans="2:25" s="2771" customFormat="1" ht="39.950000000000003" customHeight="1">
      <c r="C33" s="5015">
        <v>1990</v>
      </c>
      <c r="D33" s="5016">
        <v>1990</v>
      </c>
      <c r="E33" s="1199">
        <v>3419.3</v>
      </c>
      <c r="F33" s="1200">
        <v>450.9</v>
      </c>
      <c r="G33" s="3623">
        <v>2968.4</v>
      </c>
      <c r="H33" s="3623">
        <v>562.1</v>
      </c>
      <c r="I33" s="3623">
        <v>-44.6</v>
      </c>
      <c r="J33" s="3623">
        <v>6</v>
      </c>
      <c r="K33" s="3623">
        <v>36.9</v>
      </c>
      <c r="L33" s="1200">
        <v>75.900000000000006</v>
      </c>
      <c r="M33" s="1201">
        <v>572.6</v>
      </c>
      <c r="N33" s="3624">
        <v>483.6</v>
      </c>
      <c r="O33" s="3624">
        <v>405.6</v>
      </c>
      <c r="P33" s="3624">
        <v>125.2</v>
      </c>
      <c r="Q33" s="3624">
        <v>56.3</v>
      </c>
      <c r="R33" s="3624">
        <v>364.5</v>
      </c>
      <c r="S33" s="3624">
        <v>113.4</v>
      </c>
      <c r="T33" s="3625">
        <v>210.7</v>
      </c>
      <c r="U33" s="5017">
        <v>1990</v>
      </c>
      <c r="V33" s="5018"/>
    </row>
    <row r="34" spans="2:25" s="2771" customFormat="1" ht="39.950000000000003" customHeight="1">
      <c r="C34" s="5019">
        <v>1991</v>
      </c>
      <c r="D34" s="5020">
        <v>1991</v>
      </c>
      <c r="E34" s="1203">
        <v>3474.3</v>
      </c>
      <c r="F34" s="1204">
        <v>438.4</v>
      </c>
      <c r="G34" s="3626">
        <v>3035.9</v>
      </c>
      <c r="H34" s="3626">
        <v>571.70000000000005</v>
      </c>
      <c r="I34" s="3626">
        <v>-57.6</v>
      </c>
      <c r="J34" s="3626">
        <v>5.2</v>
      </c>
      <c r="K34" s="3626">
        <v>38.700000000000003</v>
      </c>
      <c r="L34" s="1204">
        <v>91.6</v>
      </c>
      <c r="M34" s="1205">
        <v>634.5</v>
      </c>
      <c r="N34" s="3627">
        <v>456.6</v>
      </c>
      <c r="O34" s="3627">
        <v>393.9</v>
      </c>
      <c r="P34" s="3627">
        <v>137.9</v>
      </c>
      <c r="Q34" s="3627">
        <v>63</v>
      </c>
      <c r="R34" s="3627">
        <v>366.5</v>
      </c>
      <c r="S34" s="3627">
        <v>111.6</v>
      </c>
      <c r="T34" s="1206">
        <v>222.4</v>
      </c>
      <c r="U34" s="5021">
        <v>1991</v>
      </c>
      <c r="V34" s="5022"/>
    </row>
    <row r="35" spans="2:25" s="1807" customFormat="1" ht="39.950000000000003" customHeight="1">
      <c r="C35" s="5015">
        <v>1992</v>
      </c>
      <c r="D35" s="5016">
        <v>1992</v>
      </c>
      <c r="E35" s="1199">
        <v>3972.8</v>
      </c>
      <c r="F35" s="1200">
        <v>574.70000000000005</v>
      </c>
      <c r="G35" s="3623">
        <v>3398.1</v>
      </c>
      <c r="H35" s="3623">
        <v>604.5</v>
      </c>
      <c r="I35" s="3623">
        <v>-43.5</v>
      </c>
      <c r="J35" s="3623">
        <v>7</v>
      </c>
      <c r="K35" s="3623">
        <v>42.4</v>
      </c>
      <c r="L35" s="1200">
        <v>95.2</v>
      </c>
      <c r="M35" s="1201">
        <v>649.4</v>
      </c>
      <c r="N35" s="3624">
        <v>498.4</v>
      </c>
      <c r="O35" s="3624">
        <v>370.3</v>
      </c>
      <c r="P35" s="3624">
        <v>213.9</v>
      </c>
      <c r="Q35" s="3624">
        <v>71.5</v>
      </c>
      <c r="R35" s="3624">
        <v>493.4</v>
      </c>
      <c r="S35" s="3624">
        <v>105.6</v>
      </c>
      <c r="T35" s="3625">
        <v>290</v>
      </c>
      <c r="U35" s="5017">
        <v>1992</v>
      </c>
      <c r="V35" s="5018"/>
    </row>
    <row r="36" spans="2:25" s="1807" customFormat="1" ht="39.950000000000003" customHeight="1">
      <c r="B36" s="1937"/>
      <c r="C36" s="5019">
        <v>1993</v>
      </c>
      <c r="D36" s="5020">
        <v>1993</v>
      </c>
      <c r="E36" s="1203">
        <v>4151.0999999999995</v>
      </c>
      <c r="F36" s="1204">
        <v>634.4</v>
      </c>
      <c r="G36" s="3626">
        <v>3516.6999999999994</v>
      </c>
      <c r="H36" s="3626">
        <v>643.5</v>
      </c>
      <c r="I36" s="3626">
        <v>-67.400000000000006</v>
      </c>
      <c r="J36" s="3626">
        <v>7.2</v>
      </c>
      <c r="K36" s="3626">
        <v>41</v>
      </c>
      <c r="L36" s="1204">
        <v>95.3</v>
      </c>
      <c r="M36" s="1205">
        <v>709.3</v>
      </c>
      <c r="N36" s="3627">
        <v>516</v>
      </c>
      <c r="O36" s="3627">
        <v>388</v>
      </c>
      <c r="P36" s="3627">
        <v>281.2</v>
      </c>
      <c r="Q36" s="3627">
        <v>79.599999999999994</v>
      </c>
      <c r="R36" s="3627">
        <v>499.2</v>
      </c>
      <c r="S36" s="3627">
        <v>99.6</v>
      </c>
      <c r="T36" s="1206">
        <v>224.2</v>
      </c>
      <c r="U36" s="5021">
        <v>1993</v>
      </c>
      <c r="V36" s="5022"/>
    </row>
    <row r="37" spans="2:25" s="1807" customFormat="1" ht="39.950000000000003" customHeight="1">
      <c r="C37" s="5015">
        <v>1994</v>
      </c>
      <c r="D37" s="5016">
        <v>1994</v>
      </c>
      <c r="E37" s="3628">
        <v>4357.4000000000005</v>
      </c>
      <c r="F37" s="3629">
        <v>667.1</v>
      </c>
      <c r="G37" s="3630">
        <v>3690.4</v>
      </c>
      <c r="H37" s="3630">
        <v>667.3</v>
      </c>
      <c r="I37" s="3630">
        <v>-73.900000000000006</v>
      </c>
      <c r="J37" s="3630">
        <v>6</v>
      </c>
      <c r="K37" s="3630">
        <v>46.4</v>
      </c>
      <c r="L37" s="3629">
        <v>107.7</v>
      </c>
      <c r="M37" s="3631">
        <v>749.3</v>
      </c>
      <c r="N37" s="3632">
        <v>533.4</v>
      </c>
      <c r="O37" s="3632">
        <v>386</v>
      </c>
      <c r="P37" s="3632">
        <v>301.8</v>
      </c>
      <c r="Q37" s="3632">
        <v>84.9</v>
      </c>
      <c r="R37" s="3632">
        <v>585.79999999999995</v>
      </c>
      <c r="S37" s="3632">
        <v>102.7</v>
      </c>
      <c r="T37" s="3633">
        <v>192.9</v>
      </c>
      <c r="U37" s="5017">
        <v>1994</v>
      </c>
      <c r="V37" s="5018"/>
    </row>
    <row r="38" spans="2:25" s="1807" customFormat="1" ht="39.950000000000003" customHeight="1">
      <c r="C38" s="5019">
        <v>1995</v>
      </c>
      <c r="D38" s="5020">
        <v>1995</v>
      </c>
      <c r="E38" s="1203">
        <v>4627.6000000000004</v>
      </c>
      <c r="F38" s="1204">
        <v>669.5</v>
      </c>
      <c r="G38" s="3626">
        <v>3958.2</v>
      </c>
      <c r="H38" s="3626">
        <v>687.4</v>
      </c>
      <c r="I38" s="3626">
        <v>-73.900000000000006</v>
      </c>
      <c r="J38" s="3626">
        <v>5.9</v>
      </c>
      <c r="K38" s="3626">
        <v>49.7</v>
      </c>
      <c r="L38" s="1204">
        <v>121.3</v>
      </c>
      <c r="M38" s="1205">
        <v>800.7</v>
      </c>
      <c r="N38" s="3627">
        <v>555.79999999999995</v>
      </c>
      <c r="O38" s="3627">
        <v>508.8</v>
      </c>
      <c r="P38" s="3627">
        <v>296.60000000000002</v>
      </c>
      <c r="Q38" s="3627">
        <v>98.5</v>
      </c>
      <c r="R38" s="3627">
        <v>593.20000000000005</v>
      </c>
      <c r="S38" s="3627">
        <v>118.1</v>
      </c>
      <c r="T38" s="1206">
        <v>196</v>
      </c>
      <c r="U38" s="5021">
        <v>1995</v>
      </c>
      <c r="V38" s="5022"/>
    </row>
    <row r="39" spans="2:25" s="1807" customFormat="1" ht="39.950000000000003" customHeight="1">
      <c r="C39" s="5015">
        <v>1996</v>
      </c>
      <c r="D39" s="5016">
        <v>1996</v>
      </c>
      <c r="E39" s="1199">
        <v>4724.2</v>
      </c>
      <c r="F39" s="1200">
        <v>689</v>
      </c>
      <c r="G39" s="3623">
        <v>4035.2</v>
      </c>
      <c r="H39" s="3623">
        <v>706.2</v>
      </c>
      <c r="I39" s="3623">
        <v>-74</v>
      </c>
      <c r="J39" s="3623">
        <v>5.7</v>
      </c>
      <c r="K39" s="3623">
        <v>50.7</v>
      </c>
      <c r="L39" s="1200">
        <v>123.6</v>
      </c>
      <c r="M39" s="1201">
        <v>822.6</v>
      </c>
      <c r="N39" s="3624">
        <v>605.4</v>
      </c>
      <c r="O39" s="3624">
        <v>536.6</v>
      </c>
      <c r="P39" s="3624">
        <v>285.5</v>
      </c>
      <c r="Q39" s="3624">
        <v>103.7</v>
      </c>
      <c r="R39" s="3624">
        <v>546.6</v>
      </c>
      <c r="S39" s="3624">
        <v>119.7</v>
      </c>
      <c r="T39" s="3625">
        <v>202.9</v>
      </c>
      <c r="U39" s="5017">
        <v>1996</v>
      </c>
      <c r="V39" s="5018"/>
    </row>
    <row r="40" spans="2:25" s="1807" customFormat="1" ht="39.950000000000003" customHeight="1">
      <c r="C40" s="5019">
        <v>1997</v>
      </c>
      <c r="D40" s="5020">
        <v>1997</v>
      </c>
      <c r="E40" s="1203">
        <v>4880.5</v>
      </c>
      <c r="F40" s="1204">
        <v>700.2</v>
      </c>
      <c r="G40" s="3626">
        <v>4180.3</v>
      </c>
      <c r="H40" s="3626">
        <v>728.53</v>
      </c>
      <c r="I40" s="3626">
        <v>-74.900000000000006</v>
      </c>
      <c r="J40" s="3626">
        <v>5.0999999999999996</v>
      </c>
      <c r="K40" s="3626">
        <v>49.6</v>
      </c>
      <c r="L40" s="1204">
        <v>149.5</v>
      </c>
      <c r="M40" s="1205">
        <v>843.9</v>
      </c>
      <c r="N40" s="3627">
        <v>615.1</v>
      </c>
      <c r="O40" s="3627">
        <v>564.5</v>
      </c>
      <c r="P40" s="3627">
        <v>262.89999999999998</v>
      </c>
      <c r="Q40" s="3627">
        <v>109.4</v>
      </c>
      <c r="R40" s="3627">
        <v>605.6</v>
      </c>
      <c r="S40" s="3627">
        <v>135.4</v>
      </c>
      <c r="T40" s="1206">
        <v>185.7</v>
      </c>
      <c r="U40" s="5021">
        <v>1997</v>
      </c>
      <c r="V40" s="5022"/>
    </row>
    <row r="41" spans="2:25" s="1807" customFormat="1" ht="39.950000000000003" customHeight="1">
      <c r="C41" s="5015">
        <v>1998</v>
      </c>
      <c r="D41" s="5016">
        <v>1998</v>
      </c>
      <c r="E41" s="1199">
        <v>5027.5</v>
      </c>
      <c r="F41" s="1200">
        <v>717.6</v>
      </c>
      <c r="G41" s="3623">
        <v>4310</v>
      </c>
      <c r="H41" s="3623">
        <v>742.7</v>
      </c>
      <c r="I41" s="3623">
        <v>-99.5</v>
      </c>
      <c r="J41" s="3623">
        <v>6.5</v>
      </c>
      <c r="K41" s="3623">
        <v>51.2</v>
      </c>
      <c r="L41" s="1200">
        <v>165.5</v>
      </c>
      <c r="M41" s="1201">
        <v>888.6</v>
      </c>
      <c r="N41" s="3624">
        <v>730.9</v>
      </c>
      <c r="O41" s="3624">
        <v>483.8</v>
      </c>
      <c r="P41" s="3624">
        <v>218.3</v>
      </c>
      <c r="Q41" s="3624">
        <v>112.5</v>
      </c>
      <c r="R41" s="3624">
        <v>661.8</v>
      </c>
      <c r="S41" s="3624">
        <v>137.80000000000001</v>
      </c>
      <c r="T41" s="3625">
        <v>209.8</v>
      </c>
      <c r="U41" s="5017">
        <v>1998</v>
      </c>
      <c r="V41" s="5018"/>
    </row>
    <row r="42" spans="2:25" s="1807" customFormat="1" ht="39.950000000000003" customHeight="1">
      <c r="C42" s="5019">
        <v>1999</v>
      </c>
      <c r="D42" s="5020">
        <v>1999</v>
      </c>
      <c r="E42" s="1203">
        <v>5198</v>
      </c>
      <c r="F42" s="1204">
        <v>751</v>
      </c>
      <c r="G42" s="3626">
        <v>4446.8999999999996</v>
      </c>
      <c r="H42" s="3626">
        <v>767.1</v>
      </c>
      <c r="I42" s="3626">
        <v>-88</v>
      </c>
      <c r="J42" s="3626">
        <v>7.8</v>
      </c>
      <c r="K42" s="3626">
        <v>52.4</v>
      </c>
      <c r="L42" s="1204">
        <v>178.6</v>
      </c>
      <c r="M42" s="1205">
        <v>889.6</v>
      </c>
      <c r="N42" s="3627">
        <v>777.7</v>
      </c>
      <c r="O42" s="3627">
        <v>507.8</v>
      </c>
      <c r="P42" s="3627">
        <v>233.6</v>
      </c>
      <c r="Q42" s="3627">
        <v>119.9</v>
      </c>
      <c r="R42" s="3627">
        <v>710.6</v>
      </c>
      <c r="S42" s="3627">
        <v>141.6</v>
      </c>
      <c r="T42" s="1206">
        <v>148.30000000000001</v>
      </c>
      <c r="U42" s="5021">
        <v>1999</v>
      </c>
      <c r="V42" s="5022"/>
      <c r="W42" s="1174"/>
      <c r="X42" s="1174"/>
      <c r="Y42" s="1174"/>
    </row>
    <row r="43" spans="2:25" s="1807" customFormat="1" ht="39.950000000000003" customHeight="1">
      <c r="C43" s="5015">
        <v>2000</v>
      </c>
      <c r="D43" s="5016">
        <v>2000</v>
      </c>
      <c r="E43" s="1199">
        <v>5418.6</v>
      </c>
      <c r="F43" s="1200">
        <v>758.5</v>
      </c>
      <c r="G43" s="3623">
        <v>4660.0999999999995</v>
      </c>
      <c r="H43" s="3623">
        <v>817.3</v>
      </c>
      <c r="I43" s="3623">
        <v>-104</v>
      </c>
      <c r="J43" s="3623">
        <v>8.6</v>
      </c>
      <c r="K43" s="3623">
        <v>54.2</v>
      </c>
      <c r="L43" s="1200">
        <v>177.1</v>
      </c>
      <c r="M43" s="1201">
        <v>929</v>
      </c>
      <c r="N43" s="3624">
        <v>814.5</v>
      </c>
      <c r="O43" s="3624">
        <v>552</v>
      </c>
      <c r="P43" s="3624">
        <v>236.2</v>
      </c>
      <c r="Q43" s="3624">
        <v>126.1</v>
      </c>
      <c r="R43" s="3624">
        <v>758.6</v>
      </c>
      <c r="S43" s="3624">
        <v>134.19999999999999</v>
      </c>
      <c r="T43" s="3625">
        <v>156.30000000000001</v>
      </c>
      <c r="U43" s="5017">
        <v>2000</v>
      </c>
      <c r="V43" s="5018"/>
      <c r="W43" s="1174"/>
      <c r="X43" s="1174"/>
      <c r="Y43" s="1174"/>
    </row>
    <row r="44" spans="2:25" s="1807" customFormat="1" ht="39.950000000000003" customHeight="1">
      <c r="C44" s="5019">
        <v>2001</v>
      </c>
      <c r="D44" s="5020">
        <v>2001</v>
      </c>
      <c r="E44" s="1203">
        <v>5704.2</v>
      </c>
      <c r="F44" s="1204">
        <v>774.2</v>
      </c>
      <c r="G44" s="3626">
        <v>4930</v>
      </c>
      <c r="H44" s="3626">
        <v>843.5</v>
      </c>
      <c r="I44" s="3626">
        <v>-113.9</v>
      </c>
      <c r="J44" s="3626">
        <v>10.199999999999999</v>
      </c>
      <c r="K44" s="3626">
        <v>52.4</v>
      </c>
      <c r="L44" s="1204">
        <v>186</v>
      </c>
      <c r="M44" s="1205">
        <v>968</v>
      </c>
      <c r="N44" s="3627">
        <v>895.1</v>
      </c>
      <c r="O44" s="3627">
        <v>566</v>
      </c>
      <c r="P44" s="3627">
        <v>265.7</v>
      </c>
      <c r="Q44" s="3627">
        <v>133.69999999999999</v>
      </c>
      <c r="R44" s="3627">
        <v>822.5</v>
      </c>
      <c r="S44" s="3627">
        <v>141.69999999999999</v>
      </c>
      <c r="T44" s="1206">
        <v>159</v>
      </c>
      <c r="U44" s="5021">
        <v>2001</v>
      </c>
      <c r="V44" s="5022"/>
      <c r="W44" s="1174"/>
      <c r="X44" s="1174"/>
      <c r="Y44" s="1174"/>
    </row>
    <row r="45" spans="2:25" s="1807" customFormat="1" ht="39.950000000000003" customHeight="1">
      <c r="C45" s="5015">
        <v>2002</v>
      </c>
      <c r="D45" s="5016">
        <v>2002</v>
      </c>
      <c r="E45" s="1199">
        <v>6034.1</v>
      </c>
      <c r="F45" s="1200">
        <v>782.8</v>
      </c>
      <c r="G45" s="3623">
        <v>5251.3</v>
      </c>
      <c r="H45" s="3623">
        <v>868.9</v>
      </c>
      <c r="I45" s="3623">
        <v>-185.3</v>
      </c>
      <c r="J45" s="3623">
        <v>11.1</v>
      </c>
      <c r="K45" s="3623">
        <v>56.6</v>
      </c>
      <c r="L45" s="1200">
        <v>211.1</v>
      </c>
      <c r="M45" s="1201">
        <v>1043.3</v>
      </c>
      <c r="N45" s="3624">
        <v>902</v>
      </c>
      <c r="O45" s="3624">
        <v>577.9</v>
      </c>
      <c r="P45" s="3624">
        <v>289.10000000000002</v>
      </c>
      <c r="Q45" s="3624">
        <v>134.69999999999999</v>
      </c>
      <c r="R45" s="3624">
        <v>981.5</v>
      </c>
      <c r="S45" s="3624">
        <v>161.69999999999999</v>
      </c>
      <c r="T45" s="3625">
        <v>198.7</v>
      </c>
      <c r="U45" s="5017">
        <v>2002</v>
      </c>
      <c r="V45" s="5018"/>
      <c r="W45" s="1174"/>
      <c r="X45" s="1174"/>
      <c r="Y45" s="1174"/>
    </row>
    <row r="46" spans="2:25" s="1807" customFormat="1" ht="39.950000000000003" customHeight="1">
      <c r="C46" s="5019">
        <v>2003</v>
      </c>
      <c r="D46" s="5020">
        <v>2003</v>
      </c>
      <c r="E46" s="1203">
        <v>6285.2</v>
      </c>
      <c r="F46" s="1204">
        <v>808.7</v>
      </c>
      <c r="G46" s="3626">
        <v>5476.5000000000009</v>
      </c>
      <c r="H46" s="3626">
        <v>908.2</v>
      </c>
      <c r="I46" s="3626">
        <v>-181.5</v>
      </c>
      <c r="J46" s="3626">
        <v>12.3</v>
      </c>
      <c r="K46" s="3626">
        <v>56.3</v>
      </c>
      <c r="L46" s="1204">
        <v>215.8</v>
      </c>
      <c r="M46" s="1205">
        <v>1073.7</v>
      </c>
      <c r="N46" s="3627">
        <v>969.9</v>
      </c>
      <c r="O46" s="3627">
        <v>603.9</v>
      </c>
      <c r="P46" s="3627">
        <v>289.3</v>
      </c>
      <c r="Q46" s="3627">
        <v>139.80000000000001</v>
      </c>
      <c r="R46" s="3627">
        <v>1009.3</v>
      </c>
      <c r="S46" s="3627">
        <v>157.5</v>
      </c>
      <c r="T46" s="1206">
        <v>222</v>
      </c>
      <c r="U46" s="5021">
        <v>2003</v>
      </c>
      <c r="V46" s="5022"/>
      <c r="W46" s="1174"/>
      <c r="X46" s="1174"/>
      <c r="Y46" s="1174"/>
    </row>
    <row r="47" spans="2:25" s="1807" customFormat="1" ht="39.950000000000003" customHeight="1">
      <c r="C47" s="5015">
        <v>2004</v>
      </c>
      <c r="D47" s="5016">
        <v>2004</v>
      </c>
      <c r="E47" s="1199">
        <v>6823.7</v>
      </c>
      <c r="F47" s="1200">
        <v>871.2</v>
      </c>
      <c r="G47" s="3629">
        <v>5952.5</v>
      </c>
      <c r="H47" s="3629">
        <v>938</v>
      </c>
      <c r="I47" s="3629">
        <v>-199.5</v>
      </c>
      <c r="J47" s="3629">
        <v>12.9</v>
      </c>
      <c r="K47" s="3629">
        <v>61.8</v>
      </c>
      <c r="L47" s="3629">
        <v>230.7</v>
      </c>
      <c r="M47" s="3631">
        <v>1143.3</v>
      </c>
      <c r="N47" s="3631">
        <v>1076.3</v>
      </c>
      <c r="O47" s="3631">
        <v>638.6</v>
      </c>
      <c r="P47" s="3631">
        <v>324</v>
      </c>
      <c r="Q47" s="3631">
        <v>146.5</v>
      </c>
      <c r="R47" s="3631">
        <v>1180.0999999999999</v>
      </c>
      <c r="S47" s="3631">
        <v>152.9</v>
      </c>
      <c r="T47" s="3633">
        <v>246.9</v>
      </c>
      <c r="U47" s="5017">
        <v>2004</v>
      </c>
      <c r="V47" s="5018"/>
      <c r="W47" s="1174"/>
      <c r="X47" s="1174"/>
      <c r="Y47" s="1174"/>
    </row>
    <row r="48" spans="2:25" s="1807" customFormat="1" ht="39.950000000000003" customHeight="1">
      <c r="C48" s="5019">
        <v>2005</v>
      </c>
      <c r="D48" s="5020">
        <v>2005</v>
      </c>
      <c r="E48" s="1203">
        <v>7379.6</v>
      </c>
      <c r="F48" s="1204">
        <v>975.5</v>
      </c>
      <c r="G48" s="3626">
        <v>6404.2</v>
      </c>
      <c r="H48" s="3626">
        <v>981.9</v>
      </c>
      <c r="I48" s="3626">
        <v>-290.8</v>
      </c>
      <c r="J48" s="3626">
        <v>25</v>
      </c>
      <c r="K48" s="3626">
        <v>61.2</v>
      </c>
      <c r="L48" s="1204">
        <v>250.4</v>
      </c>
      <c r="M48" s="1205">
        <v>1345.3</v>
      </c>
      <c r="N48" s="3627">
        <v>1143.0999999999999</v>
      </c>
      <c r="O48" s="3627">
        <v>708.3</v>
      </c>
      <c r="P48" s="3627">
        <v>362.9</v>
      </c>
      <c r="Q48" s="3627">
        <v>153.6</v>
      </c>
      <c r="R48" s="3627">
        <v>1271.8</v>
      </c>
      <c r="S48" s="3627">
        <v>143.9</v>
      </c>
      <c r="T48" s="1206">
        <v>247.6</v>
      </c>
      <c r="U48" s="5021">
        <v>2005</v>
      </c>
      <c r="V48" s="5022"/>
      <c r="W48" s="1801"/>
      <c r="X48" s="1801"/>
      <c r="Y48" s="1801"/>
    </row>
    <row r="49" spans="2:30" s="1807" customFormat="1" ht="39.950000000000003" customHeight="1">
      <c r="C49" s="5015">
        <v>2006</v>
      </c>
      <c r="D49" s="5016"/>
      <c r="E49" s="1199">
        <v>7976.8</v>
      </c>
      <c r="F49" s="1200">
        <v>1057.3</v>
      </c>
      <c r="G49" s="3629">
        <v>6919.6</v>
      </c>
      <c r="H49" s="3629">
        <v>1034.9000000000001</v>
      </c>
      <c r="I49" s="3629">
        <v>-287.5</v>
      </c>
      <c r="J49" s="3629">
        <v>38.1</v>
      </c>
      <c r="K49" s="3629">
        <v>50.2</v>
      </c>
      <c r="L49" s="3629">
        <v>284.39999999999998</v>
      </c>
      <c r="M49" s="3631">
        <v>1428.1</v>
      </c>
      <c r="N49" s="3631">
        <v>1181.9000000000001</v>
      </c>
      <c r="O49" s="3631">
        <v>789.8</v>
      </c>
      <c r="P49" s="3631">
        <v>380.6</v>
      </c>
      <c r="Q49" s="3631">
        <v>169.3</v>
      </c>
      <c r="R49" s="3631">
        <v>1414.9</v>
      </c>
      <c r="S49" s="3631">
        <v>155</v>
      </c>
      <c r="T49" s="3633">
        <v>279.89999999999998</v>
      </c>
      <c r="U49" s="5017">
        <v>2006</v>
      </c>
      <c r="V49" s="5018"/>
      <c r="W49" s="1801"/>
      <c r="X49" s="1801"/>
      <c r="Y49" s="1801"/>
    </row>
    <row r="50" spans="2:30" s="1807" customFormat="1" ht="39.950000000000003" customHeight="1">
      <c r="B50" s="1937"/>
      <c r="C50" s="5019">
        <v>2007</v>
      </c>
      <c r="D50" s="5020"/>
      <c r="E50" s="1203">
        <v>8629</v>
      </c>
      <c r="F50" s="1204">
        <v>1209.2</v>
      </c>
      <c r="G50" s="1204">
        <v>7419.9</v>
      </c>
      <c r="H50" s="1204">
        <v>1050.4000000000001</v>
      </c>
      <c r="I50" s="1204">
        <v>-333</v>
      </c>
      <c r="J50" s="1204">
        <v>41.3</v>
      </c>
      <c r="K50" s="1204">
        <v>52.4</v>
      </c>
      <c r="L50" s="1204">
        <v>327.10000000000002</v>
      </c>
      <c r="M50" s="1205">
        <v>1548.8</v>
      </c>
      <c r="N50" s="1205">
        <v>1292.3</v>
      </c>
      <c r="O50" s="1205">
        <v>845.3</v>
      </c>
      <c r="P50" s="1205">
        <v>401.3</v>
      </c>
      <c r="Q50" s="1205">
        <v>190.7</v>
      </c>
      <c r="R50" s="1205">
        <v>1544.6</v>
      </c>
      <c r="S50" s="1205">
        <v>175.3</v>
      </c>
      <c r="T50" s="1206">
        <v>283.39999999999998</v>
      </c>
      <c r="U50" s="5021">
        <v>2007</v>
      </c>
      <c r="V50" s="5022"/>
      <c r="W50" s="1801"/>
      <c r="X50" s="1801"/>
      <c r="Y50" s="1801"/>
    </row>
    <row r="51" spans="2:30" s="1807" customFormat="1" ht="39.950000000000003" customHeight="1">
      <c r="C51" s="5015">
        <v>2008</v>
      </c>
      <c r="D51" s="5016"/>
      <c r="E51" s="1199">
        <v>9252.1</v>
      </c>
      <c r="F51" s="1200">
        <v>1338.8</v>
      </c>
      <c r="G51" s="3629">
        <v>7913.3</v>
      </c>
      <c r="H51" s="3629">
        <v>1073.5999999999999</v>
      </c>
      <c r="I51" s="3629">
        <v>-419.4</v>
      </c>
      <c r="J51" s="3629">
        <v>43.9</v>
      </c>
      <c r="K51" s="3629">
        <v>46.5</v>
      </c>
      <c r="L51" s="3629">
        <v>358.1</v>
      </c>
      <c r="M51" s="3631">
        <v>1753.8</v>
      </c>
      <c r="N51" s="3631">
        <v>1322.3</v>
      </c>
      <c r="O51" s="3631">
        <v>929.4</v>
      </c>
      <c r="P51" s="3631">
        <v>455.1</v>
      </c>
      <c r="Q51" s="3631">
        <v>180.4</v>
      </c>
      <c r="R51" s="3631">
        <v>1623.8</v>
      </c>
      <c r="S51" s="3631">
        <v>238.1</v>
      </c>
      <c r="T51" s="3633">
        <v>307.8</v>
      </c>
      <c r="U51" s="5017">
        <v>2008</v>
      </c>
      <c r="V51" s="5018"/>
      <c r="W51" s="1801"/>
      <c r="X51" s="1801"/>
      <c r="Y51" s="1801"/>
    </row>
    <row r="52" spans="2:30" s="1807" customFormat="1" ht="39.950000000000003" customHeight="1">
      <c r="B52" s="1937"/>
      <c r="C52" s="5019">
        <v>2009</v>
      </c>
      <c r="D52" s="5020"/>
      <c r="E52" s="1203">
        <v>9759.9</v>
      </c>
      <c r="F52" s="1204">
        <v>1676.5</v>
      </c>
      <c r="G52" s="1204">
        <v>8083.4</v>
      </c>
      <c r="H52" s="1204">
        <v>1093.0999999999999</v>
      </c>
      <c r="I52" s="1204">
        <v>-463.6</v>
      </c>
      <c r="J52" s="1204">
        <v>47.3</v>
      </c>
      <c r="K52" s="1204">
        <v>49.3</v>
      </c>
      <c r="L52" s="1204">
        <v>394.6</v>
      </c>
      <c r="M52" s="1205">
        <v>1795</v>
      </c>
      <c r="N52" s="1205">
        <v>1347.1</v>
      </c>
      <c r="O52" s="1205">
        <v>965.6</v>
      </c>
      <c r="P52" s="1205">
        <v>515.1</v>
      </c>
      <c r="Q52" s="1205">
        <v>208</v>
      </c>
      <c r="R52" s="1205">
        <v>1656.1</v>
      </c>
      <c r="S52" s="1205">
        <v>128.5</v>
      </c>
      <c r="T52" s="1206">
        <v>347.3</v>
      </c>
      <c r="U52" s="5021">
        <v>2009</v>
      </c>
      <c r="V52" s="5022"/>
      <c r="W52" s="1801"/>
      <c r="X52" s="1801"/>
      <c r="Y52" s="1801"/>
    </row>
    <row r="53" spans="2:30" s="1807" customFormat="1" ht="39.950000000000003" customHeight="1">
      <c r="C53" s="5015">
        <v>2010</v>
      </c>
      <c r="D53" s="5016"/>
      <c r="E53" s="1199">
        <v>9985.5</v>
      </c>
      <c r="F53" s="1200">
        <v>1627.3</v>
      </c>
      <c r="G53" s="3629">
        <v>8358.2000000000007</v>
      </c>
      <c r="H53" s="3629">
        <v>1136.4000000000001</v>
      </c>
      <c r="I53" s="3629">
        <v>-484.3</v>
      </c>
      <c r="J53" s="3629">
        <v>49.7</v>
      </c>
      <c r="K53" s="3629">
        <v>49.9</v>
      </c>
      <c r="L53" s="3629">
        <v>411.5</v>
      </c>
      <c r="M53" s="3631">
        <v>1920.4</v>
      </c>
      <c r="N53" s="3631">
        <v>1417.2</v>
      </c>
      <c r="O53" s="3631">
        <v>948.8</v>
      </c>
      <c r="P53" s="3631">
        <v>491.4</v>
      </c>
      <c r="Q53" s="3631">
        <v>202.9</v>
      </c>
      <c r="R53" s="3631">
        <v>1689.5</v>
      </c>
      <c r="S53" s="3631">
        <v>153.5</v>
      </c>
      <c r="T53" s="3633">
        <v>371.3</v>
      </c>
      <c r="U53" s="5017">
        <v>2010</v>
      </c>
      <c r="V53" s="5018"/>
      <c r="W53" s="1801"/>
      <c r="X53" s="1801"/>
      <c r="Y53" s="1801"/>
    </row>
    <row r="54" spans="2:30" s="1807" customFormat="1" ht="39.950000000000003" customHeight="1">
      <c r="B54" s="1937"/>
      <c r="C54" s="5019">
        <v>2011</v>
      </c>
      <c r="D54" s="5020"/>
      <c r="E54" s="1203">
        <v>10243.799999999999</v>
      </c>
      <c r="F54" s="1204">
        <v>1608.6</v>
      </c>
      <c r="G54" s="1204">
        <v>8635.1999999999989</v>
      </c>
      <c r="H54" s="1204">
        <v>1174.0999999999999</v>
      </c>
      <c r="I54" s="1204">
        <v>-502.7</v>
      </c>
      <c r="J54" s="1204">
        <v>51.7</v>
      </c>
      <c r="K54" s="1204">
        <v>49.8</v>
      </c>
      <c r="L54" s="1204">
        <v>419.9</v>
      </c>
      <c r="M54" s="1205">
        <v>1985.8</v>
      </c>
      <c r="N54" s="1205">
        <v>1464.5</v>
      </c>
      <c r="O54" s="1205">
        <v>984.2</v>
      </c>
      <c r="P54" s="1205">
        <v>470.5</v>
      </c>
      <c r="Q54" s="1205">
        <v>213.2</v>
      </c>
      <c r="R54" s="1205">
        <v>1757.7</v>
      </c>
      <c r="S54" s="1205">
        <v>180.6</v>
      </c>
      <c r="T54" s="1206">
        <v>385.9</v>
      </c>
      <c r="U54" s="5021">
        <v>2011</v>
      </c>
      <c r="V54" s="5022"/>
      <c r="W54" s="1801"/>
      <c r="X54" s="1801"/>
      <c r="Y54" s="1801"/>
    </row>
    <row r="55" spans="2:30" s="1807" customFormat="1" ht="39.950000000000003" customHeight="1">
      <c r="C55" s="5015">
        <v>2012</v>
      </c>
      <c r="D55" s="5016"/>
      <c r="E55" s="1199">
        <v>10515.3</v>
      </c>
      <c r="F55" s="1200">
        <v>1660.7</v>
      </c>
      <c r="G55" s="3629">
        <v>8854.6</v>
      </c>
      <c r="H55" s="3629">
        <v>1209.5999999999999</v>
      </c>
      <c r="I55" s="3629">
        <v>-558.79999999999995</v>
      </c>
      <c r="J55" s="3629">
        <v>52</v>
      </c>
      <c r="K55" s="3629">
        <v>51.4</v>
      </c>
      <c r="L55" s="3629">
        <v>444.5</v>
      </c>
      <c r="M55" s="3631">
        <v>2088.1999999999998</v>
      </c>
      <c r="N55" s="3631">
        <v>1524.8</v>
      </c>
      <c r="O55" s="3631">
        <v>1051.0999999999999</v>
      </c>
      <c r="P55" s="3631">
        <v>466.1</v>
      </c>
      <c r="Q55" s="3631">
        <v>227.4</v>
      </c>
      <c r="R55" s="3631">
        <v>1798.9</v>
      </c>
      <c r="S55" s="3631">
        <v>149.69999999999999</v>
      </c>
      <c r="T55" s="3633">
        <v>349.8</v>
      </c>
      <c r="U55" s="5017">
        <v>2012</v>
      </c>
      <c r="V55" s="5018"/>
      <c r="W55" s="1801"/>
      <c r="X55" s="1801"/>
      <c r="Y55" s="1801"/>
    </row>
    <row r="56" spans="2:30" s="1807" customFormat="1" ht="39.950000000000003" customHeight="1">
      <c r="B56" s="1937"/>
      <c r="C56" s="5019">
        <v>2013</v>
      </c>
      <c r="D56" s="5020"/>
      <c r="E56" s="1203">
        <v>10812.8</v>
      </c>
      <c r="F56" s="1204">
        <v>1714.2</v>
      </c>
      <c r="G56" s="1204">
        <v>9098.6</v>
      </c>
      <c r="H56" s="1204">
        <v>1239</v>
      </c>
      <c r="I56" s="1204">
        <v>-597.5</v>
      </c>
      <c r="J56" s="1204">
        <v>52</v>
      </c>
      <c r="K56" s="1204">
        <v>54.6</v>
      </c>
      <c r="L56" s="1204">
        <v>469.8</v>
      </c>
      <c r="M56" s="1205">
        <v>2171</v>
      </c>
      <c r="N56" s="1205">
        <v>1585</v>
      </c>
      <c r="O56" s="1205">
        <v>1084.5</v>
      </c>
      <c r="P56" s="1205">
        <v>506.5</v>
      </c>
      <c r="Q56" s="1205">
        <v>229.2</v>
      </c>
      <c r="R56" s="1205">
        <v>1833.6</v>
      </c>
      <c r="S56" s="1205">
        <v>133.30000000000001</v>
      </c>
      <c r="T56" s="1206">
        <v>337.5</v>
      </c>
      <c r="U56" s="5021">
        <v>2013</v>
      </c>
      <c r="V56" s="5022"/>
      <c r="W56" s="1801"/>
      <c r="X56" s="1801"/>
      <c r="Y56" s="1801"/>
    </row>
    <row r="57" spans="2:30" s="1807" customFormat="1" ht="39.950000000000003" customHeight="1">
      <c r="C57" s="5015">
        <v>2014</v>
      </c>
      <c r="D57" s="5016"/>
      <c r="E57" s="1199">
        <v>11147.6</v>
      </c>
      <c r="F57" s="1200">
        <v>1755.1</v>
      </c>
      <c r="G57" s="3629">
        <v>9392.5</v>
      </c>
      <c r="H57" s="3629">
        <v>1267.4000000000001</v>
      </c>
      <c r="I57" s="3629">
        <v>-608.79999999999995</v>
      </c>
      <c r="J57" s="3629">
        <v>52.1</v>
      </c>
      <c r="K57" s="3629">
        <v>58.4</v>
      </c>
      <c r="L57" s="3629">
        <v>492.1</v>
      </c>
      <c r="M57" s="3631">
        <v>2224.6999999999998</v>
      </c>
      <c r="N57" s="3631">
        <v>1609.8</v>
      </c>
      <c r="O57" s="3631">
        <v>1125.2</v>
      </c>
      <c r="P57" s="3631">
        <v>540.79999999999995</v>
      </c>
      <c r="Q57" s="3631">
        <v>236.8</v>
      </c>
      <c r="R57" s="3631">
        <v>1861</v>
      </c>
      <c r="S57" s="3631">
        <v>170.2</v>
      </c>
      <c r="T57" s="3633">
        <v>362.9</v>
      </c>
      <c r="U57" s="5017">
        <v>2014</v>
      </c>
      <c r="V57" s="5018"/>
      <c r="W57" s="1801"/>
      <c r="X57" s="1801"/>
      <c r="Y57" s="1801"/>
    </row>
    <row r="58" spans="2:30" s="1807" customFormat="1" ht="39.950000000000003" customHeight="1">
      <c r="B58" s="1937"/>
      <c r="C58" s="5019">
        <v>2015</v>
      </c>
      <c r="D58" s="5020"/>
      <c r="E58" s="1203">
        <v>11413.2</v>
      </c>
      <c r="F58" s="1204">
        <v>1775.6000000000001</v>
      </c>
      <c r="G58" s="1204">
        <v>9638.6</v>
      </c>
      <c r="H58" s="1204">
        <v>1296</v>
      </c>
      <c r="I58" s="1204">
        <v>-630.1</v>
      </c>
      <c r="J58" s="1204">
        <v>52.2</v>
      </c>
      <c r="K58" s="1204">
        <v>61.800000000000004</v>
      </c>
      <c r="L58" s="1204">
        <v>511.9</v>
      </c>
      <c r="M58" s="1205">
        <v>2300.4</v>
      </c>
      <c r="N58" s="1205">
        <v>1660.1000000000001</v>
      </c>
      <c r="O58" s="1205">
        <v>1133.3</v>
      </c>
      <c r="P58" s="1205">
        <v>533.79999999999995</v>
      </c>
      <c r="Q58" s="1205">
        <v>262.7</v>
      </c>
      <c r="R58" s="1205">
        <v>1885.8</v>
      </c>
      <c r="S58" s="1205">
        <v>188.9</v>
      </c>
      <c r="T58" s="1206">
        <v>380.9</v>
      </c>
      <c r="U58" s="5021">
        <v>2015</v>
      </c>
      <c r="V58" s="5022"/>
      <c r="W58" s="1801"/>
      <c r="X58" s="1801"/>
      <c r="Y58" s="1801"/>
    </row>
    <row r="59" spans="2:30" s="1807" customFormat="1" ht="39.950000000000003" customHeight="1">
      <c r="C59" s="5015">
        <v>2016</v>
      </c>
      <c r="D59" s="5016"/>
      <c r="E59" s="1199">
        <v>11642.9</v>
      </c>
      <c r="F59" s="1200">
        <v>1795.2</v>
      </c>
      <c r="G59" s="3629">
        <v>9847.7000000000007</v>
      </c>
      <c r="H59" s="3629">
        <v>1311.3</v>
      </c>
      <c r="I59" s="3629">
        <v>-652.29999999999995</v>
      </c>
      <c r="J59" s="3629">
        <v>52.2</v>
      </c>
      <c r="K59" s="3629">
        <v>64.3</v>
      </c>
      <c r="L59" s="3629">
        <v>531.5</v>
      </c>
      <c r="M59" s="3631">
        <v>2386.5</v>
      </c>
      <c r="N59" s="3631">
        <v>1712</v>
      </c>
      <c r="O59" s="3631">
        <v>1147.5</v>
      </c>
      <c r="P59" s="3631">
        <v>539.6</v>
      </c>
      <c r="Q59" s="3631">
        <v>286</v>
      </c>
      <c r="R59" s="3631">
        <v>1907.4</v>
      </c>
      <c r="S59" s="3631">
        <v>166.1</v>
      </c>
      <c r="T59" s="3633">
        <v>395.5</v>
      </c>
      <c r="U59" s="5017">
        <v>2016</v>
      </c>
      <c r="V59" s="5018"/>
      <c r="W59" s="1801"/>
      <c r="X59" s="1801"/>
      <c r="Y59" s="1801"/>
    </row>
    <row r="60" spans="2:30" s="1807" customFormat="1" ht="39.950000000000003" customHeight="1">
      <c r="B60" s="1937"/>
      <c r="C60" s="5030">
        <v>2017</v>
      </c>
      <c r="D60" s="5031"/>
      <c r="E60" s="1667">
        <v>11872.3</v>
      </c>
      <c r="F60" s="1668">
        <v>1816.1</v>
      </c>
      <c r="G60" s="1668">
        <v>10056.200000000001</v>
      </c>
      <c r="H60" s="1668">
        <v>1322.5</v>
      </c>
      <c r="I60" s="1668">
        <v>-673.2</v>
      </c>
      <c r="J60" s="1668">
        <v>52.3</v>
      </c>
      <c r="K60" s="1668">
        <v>66.8</v>
      </c>
      <c r="L60" s="1668">
        <v>551.70000000000005</v>
      </c>
      <c r="M60" s="1669">
        <v>2457.9</v>
      </c>
      <c r="N60" s="1669">
        <v>1758.2</v>
      </c>
      <c r="O60" s="1669">
        <v>1164.5999999999999</v>
      </c>
      <c r="P60" s="1669">
        <v>533.4</v>
      </c>
      <c r="Q60" s="1669">
        <v>293.10000000000002</v>
      </c>
      <c r="R60" s="1669">
        <v>1926.9</v>
      </c>
      <c r="S60" s="1669">
        <v>187.6</v>
      </c>
      <c r="T60" s="1670">
        <v>414.4</v>
      </c>
      <c r="U60" s="5032">
        <v>2017</v>
      </c>
      <c r="V60" s="5033"/>
      <c r="W60" s="1801"/>
      <c r="X60" s="1801"/>
      <c r="Y60" s="1801"/>
    </row>
    <row r="61" spans="2:30" s="1807" customFormat="1" ht="39.950000000000003" customHeight="1"/>
    <row r="62" spans="2:30" s="2721" customFormat="1" ht="35.1" customHeight="1">
      <c r="C62" s="5023" t="s">
        <v>2942</v>
      </c>
      <c r="D62" s="5023"/>
      <c r="E62" s="5023"/>
      <c r="F62" s="5023"/>
      <c r="G62" s="5023"/>
      <c r="H62" s="5023"/>
      <c r="I62" s="5023"/>
      <c r="J62" s="5023"/>
      <c r="K62" s="5023"/>
      <c r="L62" s="5023"/>
      <c r="M62" s="5024" t="s">
        <v>2943</v>
      </c>
      <c r="N62" s="5024"/>
      <c r="O62" s="5024"/>
      <c r="P62" s="5024"/>
      <c r="Q62" s="5024"/>
      <c r="R62" s="5024"/>
      <c r="S62" s="5024"/>
      <c r="T62" s="5024"/>
      <c r="U62" s="5024"/>
      <c r="V62" s="5024"/>
      <c r="Y62" s="3582"/>
      <c r="Z62" s="3582"/>
      <c r="AA62" s="3582"/>
      <c r="AB62" s="3582"/>
      <c r="AC62" s="3582"/>
      <c r="AD62" s="3582"/>
    </row>
    <row r="63" spans="2:30" s="2498" customFormat="1" ht="35.1" customHeight="1">
      <c r="C63" s="5025" t="s">
        <v>2944</v>
      </c>
      <c r="D63" s="5025"/>
      <c r="E63" s="5025"/>
      <c r="F63" s="5025"/>
      <c r="G63" s="5025"/>
      <c r="H63" s="5025"/>
      <c r="I63" s="5025"/>
      <c r="J63" s="5025"/>
      <c r="K63" s="5025"/>
      <c r="L63" s="5025"/>
      <c r="M63" s="5026" t="s">
        <v>2945</v>
      </c>
      <c r="N63" s="5026"/>
      <c r="O63" s="5026"/>
      <c r="P63" s="5026"/>
      <c r="Q63" s="5026"/>
      <c r="R63" s="5026"/>
      <c r="S63" s="5026"/>
      <c r="T63" s="5026"/>
      <c r="U63" s="5026"/>
      <c r="V63" s="5026"/>
      <c r="W63" s="3563"/>
      <c r="X63" s="3563"/>
    </row>
    <row r="64" spans="2:30" s="1857" customFormat="1" ht="18" customHeight="1">
      <c r="C64" s="2640" t="s">
        <v>90</v>
      </c>
      <c r="D64" s="3583"/>
      <c r="E64" s="3583"/>
      <c r="F64" s="3583"/>
      <c r="G64" s="3583"/>
      <c r="H64" s="3584"/>
      <c r="I64" s="3584"/>
      <c r="J64" s="3584"/>
      <c r="K64" s="3584"/>
      <c r="L64" s="3584"/>
      <c r="M64" s="1852"/>
      <c r="N64" s="1852"/>
      <c r="O64" s="1852"/>
      <c r="P64" s="1852"/>
      <c r="Q64" s="1852"/>
      <c r="R64" s="1852"/>
      <c r="S64" s="1852"/>
      <c r="T64" s="1852"/>
      <c r="U64" s="1852"/>
      <c r="V64" s="1989" t="s">
        <v>91</v>
      </c>
    </row>
    <row r="65" spans="2:28" s="1801" customFormat="1" ht="28.5" customHeight="1">
      <c r="C65" s="3586"/>
      <c r="D65" s="3587"/>
      <c r="E65" s="3588"/>
      <c r="F65" s="3589"/>
      <c r="G65" s="3589"/>
      <c r="H65" s="3590"/>
      <c r="I65" s="3590"/>
      <c r="J65" s="3590"/>
      <c r="K65" s="3590"/>
      <c r="L65" s="3591"/>
      <c r="M65" s="3592"/>
      <c r="N65" s="3593"/>
      <c r="O65" s="3593"/>
      <c r="P65" s="3593"/>
      <c r="Q65" s="3593"/>
      <c r="R65" s="3594"/>
      <c r="S65" s="3593"/>
      <c r="T65" s="3593"/>
      <c r="U65" s="3595"/>
      <c r="V65" s="3596"/>
    </row>
    <row r="66" spans="2:28" ht="28.5" customHeight="1">
      <c r="C66" s="3597"/>
      <c r="D66" s="3598"/>
      <c r="E66" s="3599" t="s">
        <v>1668</v>
      </c>
      <c r="F66" s="3600"/>
      <c r="G66" s="3600" t="s">
        <v>1668</v>
      </c>
      <c r="H66" s="3601"/>
      <c r="I66" s="3601"/>
      <c r="J66" s="3600"/>
      <c r="K66" s="3600"/>
      <c r="L66" s="3602"/>
      <c r="M66" s="4432" t="s">
        <v>663</v>
      </c>
      <c r="N66" s="3603"/>
      <c r="O66" s="3604" t="s">
        <v>1598</v>
      </c>
      <c r="P66" s="3605"/>
      <c r="Q66" s="3605"/>
      <c r="R66" s="3603"/>
      <c r="S66" s="3603"/>
      <c r="T66" s="3604"/>
      <c r="U66" s="4432"/>
      <c r="V66" s="3606"/>
      <c r="W66" s="1801"/>
      <c r="Y66" s="1801"/>
    </row>
    <row r="67" spans="2:28" ht="28.5" customHeight="1">
      <c r="C67" s="3597"/>
      <c r="D67" s="3598"/>
      <c r="E67" s="3599" t="s">
        <v>1600</v>
      </c>
      <c r="F67" s="3600"/>
      <c r="G67" s="3600" t="s">
        <v>1600</v>
      </c>
      <c r="H67" s="3607"/>
      <c r="I67" s="3607"/>
      <c r="J67" s="3600"/>
      <c r="K67" s="3600" t="s">
        <v>1669</v>
      </c>
      <c r="L67" s="3608"/>
      <c r="M67" s="4432" t="s">
        <v>1603</v>
      </c>
      <c r="N67" s="3604"/>
      <c r="O67" s="3604" t="s">
        <v>1601</v>
      </c>
      <c r="P67" s="3609"/>
      <c r="Q67" s="3604"/>
      <c r="R67" s="3604"/>
      <c r="S67" s="3604"/>
      <c r="T67" s="3604" t="s">
        <v>673</v>
      </c>
      <c r="U67" s="4432"/>
      <c r="V67" s="3606"/>
      <c r="W67" s="1801"/>
      <c r="Y67" s="1801"/>
    </row>
    <row r="68" spans="2:28" ht="28.5" customHeight="1">
      <c r="C68" s="3597"/>
      <c r="D68" s="3598"/>
      <c r="E68" s="3610" t="s">
        <v>1602</v>
      </c>
      <c r="F68" s="3600" t="s">
        <v>1670</v>
      </c>
      <c r="G68" s="3600" t="s">
        <v>1602</v>
      </c>
      <c r="H68" s="3607" t="s">
        <v>1607</v>
      </c>
      <c r="I68" s="3607" t="s">
        <v>1671</v>
      </c>
      <c r="J68" s="3600"/>
      <c r="K68" s="3600" t="s">
        <v>1672</v>
      </c>
      <c r="L68" s="3608" t="s">
        <v>663</v>
      </c>
      <c r="M68" s="4432" t="s">
        <v>1608</v>
      </c>
      <c r="N68" s="3604" t="s">
        <v>668</v>
      </c>
      <c r="O68" s="3604" t="s">
        <v>1604</v>
      </c>
      <c r="P68" s="3604"/>
      <c r="Q68" s="3604"/>
      <c r="R68" s="3604"/>
      <c r="S68" s="3604"/>
      <c r="T68" s="3604" t="s">
        <v>1605</v>
      </c>
      <c r="U68" s="4432"/>
      <c r="V68" s="3606"/>
      <c r="W68" s="1801"/>
      <c r="Y68" s="1801"/>
    </row>
    <row r="69" spans="2:28" ht="28.5" customHeight="1">
      <c r="C69" s="3611"/>
      <c r="D69" s="3608"/>
      <c r="E69" s="3610" t="s">
        <v>1673</v>
      </c>
      <c r="F69" s="3600" t="s">
        <v>1674</v>
      </c>
      <c r="G69" s="3600" t="s">
        <v>1673</v>
      </c>
      <c r="H69" s="3607" t="s">
        <v>1615</v>
      </c>
      <c r="I69" s="3607" t="s">
        <v>1675</v>
      </c>
      <c r="J69" s="3607"/>
      <c r="K69" s="3607" t="s">
        <v>1676</v>
      </c>
      <c r="L69" s="3608" t="s">
        <v>1677</v>
      </c>
      <c r="M69" s="4432" t="s">
        <v>1616</v>
      </c>
      <c r="N69" s="3604" t="s">
        <v>1609</v>
      </c>
      <c r="O69" s="3604" t="s">
        <v>667</v>
      </c>
      <c r="P69" s="3604"/>
      <c r="Q69" s="3604" t="s">
        <v>1610</v>
      </c>
      <c r="R69" s="3604" t="s">
        <v>1611</v>
      </c>
      <c r="S69" s="3604" t="s">
        <v>672</v>
      </c>
      <c r="T69" s="3604" t="s">
        <v>1612</v>
      </c>
      <c r="U69" s="4432"/>
      <c r="V69" s="4431"/>
      <c r="W69" s="1801"/>
      <c r="Y69" s="1801"/>
    </row>
    <row r="70" spans="2:28" ht="28.5" customHeight="1">
      <c r="C70" s="3611"/>
      <c r="D70" s="3612"/>
      <c r="E70" s="3599" t="s">
        <v>1678</v>
      </c>
      <c r="F70" s="3600" t="s">
        <v>1679</v>
      </c>
      <c r="G70" s="3607" t="s">
        <v>1680</v>
      </c>
      <c r="H70" s="3607" t="s">
        <v>111</v>
      </c>
      <c r="I70" s="3607" t="s">
        <v>1681</v>
      </c>
      <c r="J70" s="3607" t="s">
        <v>1682</v>
      </c>
      <c r="K70" s="3607" t="s">
        <v>1683</v>
      </c>
      <c r="L70" s="3608" t="s">
        <v>1684</v>
      </c>
      <c r="M70" s="3613" t="s">
        <v>1625</v>
      </c>
      <c r="N70" s="3604" t="s">
        <v>1617</v>
      </c>
      <c r="O70" s="3604" t="s">
        <v>662</v>
      </c>
      <c r="P70" s="3604" t="s">
        <v>669</v>
      </c>
      <c r="Q70" s="3604" t="s">
        <v>1618</v>
      </c>
      <c r="R70" s="3604" t="s">
        <v>1619</v>
      </c>
      <c r="S70" s="3604" t="s">
        <v>1620</v>
      </c>
      <c r="T70" s="3604" t="s">
        <v>1621</v>
      </c>
      <c r="U70" s="5027"/>
      <c r="V70" s="5028"/>
      <c r="W70" s="1801"/>
    </row>
    <row r="71" spans="2:28" ht="28.5" customHeight="1">
      <c r="C71" s="3597"/>
      <c r="D71" s="3598"/>
      <c r="E71" s="3601"/>
      <c r="F71" s="3614"/>
      <c r="G71" s="3614"/>
      <c r="H71" s="3607"/>
      <c r="I71" s="3607"/>
      <c r="J71" s="3607"/>
      <c r="K71" s="3607"/>
      <c r="L71" s="3608"/>
      <c r="M71" s="4432"/>
      <c r="N71" s="3609"/>
      <c r="O71" s="3604"/>
      <c r="P71" s="3604"/>
      <c r="Q71" s="3604"/>
      <c r="R71" s="3604"/>
      <c r="S71" s="3604"/>
      <c r="T71" s="3604"/>
      <c r="U71" s="4432"/>
      <c r="V71" s="3606"/>
      <c r="W71" s="1801"/>
    </row>
    <row r="72" spans="2:28" ht="28.5" customHeight="1">
      <c r="C72" s="3611"/>
      <c r="D72" s="3608"/>
      <c r="E72" s="3599"/>
      <c r="F72" s="3607"/>
      <c r="G72" s="3607"/>
      <c r="H72" s="3607"/>
      <c r="I72" s="3607"/>
      <c r="J72" s="3607"/>
      <c r="K72" s="3600" t="s">
        <v>1685</v>
      </c>
      <c r="L72" s="3608"/>
      <c r="M72" s="4432" t="s">
        <v>1626</v>
      </c>
      <c r="N72" s="3609"/>
      <c r="O72" s="3604" t="s">
        <v>1627</v>
      </c>
      <c r="P72" s="3609"/>
      <c r="Q72" s="3609"/>
      <c r="R72" s="3604"/>
      <c r="S72" s="3604"/>
      <c r="T72" s="3604"/>
      <c r="U72" s="5029"/>
      <c r="V72" s="5028"/>
      <c r="W72" s="1801"/>
    </row>
    <row r="73" spans="2:28" ht="28.5" customHeight="1">
      <c r="C73" s="3611"/>
      <c r="D73" s="3608"/>
      <c r="E73" s="3599"/>
      <c r="F73" s="3607"/>
      <c r="G73" s="3607"/>
      <c r="H73" s="3614"/>
      <c r="I73" s="3614"/>
      <c r="J73" s="3614"/>
      <c r="K73" s="3600" t="s">
        <v>1686</v>
      </c>
      <c r="L73" s="3608" t="s">
        <v>1687</v>
      </c>
      <c r="M73" s="4432" t="s">
        <v>1630</v>
      </c>
      <c r="N73" s="3604" t="s">
        <v>1631</v>
      </c>
      <c r="O73" s="3604" t="s">
        <v>1632</v>
      </c>
      <c r="P73" s="3604"/>
      <c r="Q73" s="3604"/>
      <c r="R73" s="3604"/>
      <c r="S73" s="3609"/>
      <c r="T73" s="3604" t="s">
        <v>1633</v>
      </c>
      <c r="U73" s="4432"/>
      <c r="V73" s="4431"/>
      <c r="W73" s="1801"/>
    </row>
    <row r="74" spans="2:28" ht="28.5" customHeight="1">
      <c r="C74" s="3597"/>
      <c r="D74" s="3598"/>
      <c r="E74" s="3599" t="s">
        <v>1688</v>
      </c>
      <c r="F74" s="3614"/>
      <c r="G74" s="3607" t="s">
        <v>1688</v>
      </c>
      <c r="H74" s="3607" t="s">
        <v>1689</v>
      </c>
      <c r="I74" s="3607" t="s">
        <v>1690</v>
      </c>
      <c r="J74" s="3607" t="s">
        <v>457</v>
      </c>
      <c r="K74" s="3607" t="s">
        <v>1691</v>
      </c>
      <c r="L74" s="3608" t="s">
        <v>1692</v>
      </c>
      <c r="M74" s="4432" t="s">
        <v>1636</v>
      </c>
      <c r="N74" s="3604" t="s">
        <v>1637</v>
      </c>
      <c r="O74" s="3604" t="s">
        <v>1638</v>
      </c>
      <c r="P74" s="3609"/>
      <c r="Q74" s="3604" t="s">
        <v>1639</v>
      </c>
      <c r="R74" s="3609"/>
      <c r="S74" s="3604" t="s">
        <v>694</v>
      </c>
      <c r="T74" s="3604" t="s">
        <v>1640</v>
      </c>
      <c r="U74" s="4432"/>
      <c r="V74" s="3606"/>
      <c r="W74" s="1801"/>
    </row>
    <row r="75" spans="2:28" ht="28.5" customHeight="1">
      <c r="C75" s="3597"/>
      <c r="D75" s="3598"/>
      <c r="E75" s="3599" t="s">
        <v>1641</v>
      </c>
      <c r="F75" s="3607" t="s">
        <v>1693</v>
      </c>
      <c r="G75" s="3607" t="s">
        <v>1694</v>
      </c>
      <c r="H75" s="3607" t="s">
        <v>522</v>
      </c>
      <c r="I75" s="3607" t="s">
        <v>1695</v>
      </c>
      <c r="J75" s="3607" t="s">
        <v>1696</v>
      </c>
      <c r="K75" s="3607" t="s">
        <v>1697</v>
      </c>
      <c r="L75" s="3608" t="s">
        <v>1698</v>
      </c>
      <c r="M75" s="4432" t="s">
        <v>1644</v>
      </c>
      <c r="N75" s="3604" t="s">
        <v>1645</v>
      </c>
      <c r="O75" s="3604" t="s">
        <v>1646</v>
      </c>
      <c r="P75" s="3604"/>
      <c r="Q75" s="3604" t="s">
        <v>127</v>
      </c>
      <c r="R75" s="3604"/>
      <c r="S75" s="3604" t="s">
        <v>127</v>
      </c>
      <c r="T75" s="3604" t="s">
        <v>127</v>
      </c>
      <c r="U75" s="4432"/>
      <c r="V75" s="3606"/>
      <c r="W75" s="1801"/>
    </row>
    <row r="76" spans="2:28" ht="28.5" customHeight="1">
      <c r="C76" s="3615"/>
      <c r="D76" s="3616"/>
      <c r="E76" s="3617" t="s">
        <v>1699</v>
      </c>
      <c r="F76" s="3618" t="s">
        <v>1700</v>
      </c>
      <c r="G76" s="3618" t="s">
        <v>1649</v>
      </c>
      <c r="H76" s="3618" t="s">
        <v>703</v>
      </c>
      <c r="I76" s="3618" t="s">
        <v>1701</v>
      </c>
      <c r="J76" s="3618" t="s">
        <v>703</v>
      </c>
      <c r="K76" s="3618" t="s">
        <v>1702</v>
      </c>
      <c r="L76" s="3619" t="s">
        <v>703</v>
      </c>
      <c r="M76" s="3620" t="s">
        <v>703</v>
      </c>
      <c r="N76" s="3621" t="s">
        <v>1651</v>
      </c>
      <c r="O76" s="3621" t="s">
        <v>1652</v>
      </c>
      <c r="P76" s="3621" t="s">
        <v>705</v>
      </c>
      <c r="Q76" s="3621" t="s">
        <v>1653</v>
      </c>
      <c r="R76" s="3621" t="s">
        <v>1654</v>
      </c>
      <c r="S76" s="3621" t="s">
        <v>1655</v>
      </c>
      <c r="T76" s="3621" t="s">
        <v>1656</v>
      </c>
      <c r="U76" s="3620"/>
      <c r="V76" s="3622"/>
      <c r="W76" s="1801"/>
    </row>
    <row r="77" spans="2:28" s="1807" customFormat="1" ht="39.950000000000003" customHeight="1">
      <c r="B77" s="1937"/>
      <c r="C77" s="5015">
        <v>2008</v>
      </c>
      <c r="D77" s="5016"/>
      <c r="E77" s="1199">
        <v>22586.265559113432</v>
      </c>
      <c r="F77" s="1200">
        <v>2717.4391108225764</v>
      </c>
      <c r="G77" s="3629">
        <v>19868.826448290856</v>
      </c>
      <c r="H77" s="3629">
        <v>3452.1751660333957</v>
      </c>
      <c r="I77" s="3629">
        <v>-499.14182379828401</v>
      </c>
      <c r="J77" s="3629">
        <v>358.12199366731159</v>
      </c>
      <c r="K77" s="3629">
        <v>148.43538515716824</v>
      </c>
      <c r="L77" s="3629">
        <v>1470.7308863029739</v>
      </c>
      <c r="M77" s="3631">
        <v>3752.9642771226431</v>
      </c>
      <c r="N77" s="3631">
        <v>1876.6127403654261</v>
      </c>
      <c r="O77" s="3631">
        <v>2207.4279381830866</v>
      </c>
      <c r="P77" s="3631">
        <v>719.00856007171001</v>
      </c>
      <c r="Q77" s="3631">
        <v>323.08019565706559</v>
      </c>
      <c r="R77" s="3631">
        <v>4328.6959256159971</v>
      </c>
      <c r="S77" s="3631">
        <v>737.66932598844039</v>
      </c>
      <c r="T77" s="3633">
        <v>993.0458779239234</v>
      </c>
      <c r="U77" s="5017">
        <v>2008</v>
      </c>
      <c r="V77" s="5018"/>
      <c r="W77" s="1801"/>
      <c r="X77" s="1801"/>
      <c r="Y77" s="1964"/>
      <c r="AA77" s="1937"/>
    </row>
    <row r="78" spans="2:28" s="1807" customFormat="1" ht="39.950000000000003" customHeight="1">
      <c r="C78" s="5019">
        <v>2009</v>
      </c>
      <c r="D78" s="5020"/>
      <c r="E78" s="1203">
        <v>23720.934085082572</v>
      </c>
      <c r="F78" s="1204">
        <v>3403.01859920886</v>
      </c>
      <c r="G78" s="1204">
        <v>20317.915485873713</v>
      </c>
      <c r="H78" s="1204">
        <v>3508.6459655020462</v>
      </c>
      <c r="I78" s="1204">
        <v>-551.71165152571905</v>
      </c>
      <c r="J78" s="1204">
        <v>422.71993026620584</v>
      </c>
      <c r="K78" s="1204">
        <v>159.56797976050001</v>
      </c>
      <c r="L78" s="1204">
        <v>1607.2299496304561</v>
      </c>
      <c r="M78" s="1205">
        <v>3863.5923846964824</v>
      </c>
      <c r="N78" s="1205">
        <v>1909.316402818612</v>
      </c>
      <c r="O78" s="1205">
        <v>2287.7105934788765</v>
      </c>
      <c r="P78" s="1205">
        <v>816.05704249729399</v>
      </c>
      <c r="Q78" s="1205">
        <v>359.25137358363077</v>
      </c>
      <c r="R78" s="1205">
        <v>4414.6288945070955</v>
      </c>
      <c r="S78" s="1205">
        <v>400.44834041523364</v>
      </c>
      <c r="T78" s="1206">
        <v>1120.4582802429964</v>
      </c>
      <c r="U78" s="5021">
        <v>2009</v>
      </c>
      <c r="V78" s="5022"/>
      <c r="W78" s="1801"/>
      <c r="X78" s="1801"/>
      <c r="Y78" s="1964"/>
      <c r="AA78" s="1937"/>
    </row>
    <row r="79" spans="2:28" s="3576" customFormat="1" ht="39.950000000000003" customHeight="1">
      <c r="C79" s="5015">
        <v>2010</v>
      </c>
      <c r="D79" s="5016"/>
      <c r="E79" s="1199">
        <v>24270.034366229003</v>
      </c>
      <c r="F79" s="1200">
        <v>3303.060299347273</v>
      </c>
      <c r="G79" s="1200">
        <v>20966.974066881732</v>
      </c>
      <c r="H79" s="1200">
        <v>3649.7674353366729</v>
      </c>
      <c r="I79" s="1200">
        <v>-576.34241595962806</v>
      </c>
      <c r="J79" s="1200">
        <v>376.88514303466792</v>
      </c>
      <c r="K79" s="1200">
        <v>162.61482754068462</v>
      </c>
      <c r="L79" s="1200">
        <v>1673.7592229955908</v>
      </c>
      <c r="M79" s="1201">
        <v>4112.1698123208189</v>
      </c>
      <c r="N79" s="1201">
        <v>1993.8725667556791</v>
      </c>
      <c r="O79" s="1201">
        <v>2255.0900322582143</v>
      </c>
      <c r="P79" s="1201">
        <v>777.95085157328867</v>
      </c>
      <c r="Q79" s="1201">
        <v>360.51294311401057</v>
      </c>
      <c r="R79" s="1201">
        <v>4503.0844559375982</v>
      </c>
      <c r="S79" s="1201">
        <v>479.69520427241605</v>
      </c>
      <c r="T79" s="1202">
        <v>1197.9139877017205</v>
      </c>
      <c r="U79" s="5017">
        <v>2010</v>
      </c>
      <c r="V79" s="5018"/>
      <c r="W79" s="2127"/>
      <c r="X79" s="2127"/>
      <c r="Y79" s="1964"/>
      <c r="Z79" s="1807"/>
      <c r="AA79" s="1937"/>
      <c r="AB79" s="1807"/>
    </row>
    <row r="80" spans="2:28" s="1807" customFormat="1" ht="39.950000000000003" customHeight="1">
      <c r="C80" s="5019">
        <v>2011</v>
      </c>
      <c r="D80" s="5020"/>
      <c r="E80" s="1203">
        <v>24934.348852016192</v>
      </c>
      <c r="F80" s="1204">
        <v>3265.1500250767676</v>
      </c>
      <c r="G80" s="1204">
        <v>21669.198826939428</v>
      </c>
      <c r="H80" s="1204">
        <v>3778.5744120671675</v>
      </c>
      <c r="I80" s="1204">
        <v>-598.22997339675601</v>
      </c>
      <c r="J80" s="1204">
        <v>375.21899707017928</v>
      </c>
      <c r="K80" s="1204">
        <v>163.78948897114253</v>
      </c>
      <c r="L80" s="1204">
        <v>1713.0370790724132</v>
      </c>
      <c r="M80" s="1205">
        <v>4245.9970363480861</v>
      </c>
      <c r="N80" s="1205">
        <v>2059.7922931328435</v>
      </c>
      <c r="O80" s="1205">
        <v>2332.1641714189591</v>
      </c>
      <c r="P80" s="1205">
        <v>745.75026327640296</v>
      </c>
      <c r="Q80" s="1205">
        <v>370.16532927935089</v>
      </c>
      <c r="R80" s="1205">
        <v>4678.3598634459186</v>
      </c>
      <c r="S80" s="1205">
        <v>559.46806843971081</v>
      </c>
      <c r="T80" s="1206">
        <v>1245.111797814011</v>
      </c>
      <c r="U80" s="5021">
        <v>2011</v>
      </c>
      <c r="V80" s="5022"/>
      <c r="Y80" s="1964"/>
      <c r="AA80" s="1937"/>
    </row>
    <row r="81" spans="3:27" s="1807" customFormat="1" ht="39.950000000000003" customHeight="1">
      <c r="C81" s="5015">
        <v>2012</v>
      </c>
      <c r="D81" s="5035"/>
      <c r="E81" s="1199">
        <v>25540.093534006995</v>
      </c>
      <c r="F81" s="1200">
        <v>3370.9730726299367</v>
      </c>
      <c r="G81" s="1200">
        <v>22169.120461377061</v>
      </c>
      <c r="H81" s="1200">
        <v>3898.3336156712653</v>
      </c>
      <c r="I81" s="1200">
        <v>-664.96327027258701</v>
      </c>
      <c r="J81" s="1200">
        <v>381.08923025158157</v>
      </c>
      <c r="K81" s="1200">
        <v>171.3342080182347</v>
      </c>
      <c r="L81" s="1200">
        <v>1802.8623149971661</v>
      </c>
      <c r="M81" s="1201">
        <v>4435.299062099768</v>
      </c>
      <c r="N81" s="1201">
        <v>2142.519648719473</v>
      </c>
      <c r="O81" s="1201">
        <v>2489.9350624360613</v>
      </c>
      <c r="P81" s="1201">
        <v>737.35839075173419</v>
      </c>
      <c r="Q81" s="1201">
        <v>393.30904182847706</v>
      </c>
      <c r="R81" s="1201">
        <v>4789.5709717193859</v>
      </c>
      <c r="S81" s="1201">
        <v>463.79525249792738</v>
      </c>
      <c r="T81" s="1202">
        <v>1128.6769326585741</v>
      </c>
      <c r="U81" s="5017">
        <v>2012</v>
      </c>
      <c r="V81" s="5018"/>
      <c r="Y81" s="1964"/>
      <c r="AA81" s="1937"/>
    </row>
    <row r="82" spans="3:27" s="1807" customFormat="1" ht="39.950000000000003" customHeight="1">
      <c r="C82" s="5019">
        <v>2013</v>
      </c>
      <c r="D82" s="5034"/>
      <c r="E82" s="1203">
        <v>26206.676544714337</v>
      </c>
      <c r="F82" s="1204">
        <v>3479.5541261630069</v>
      </c>
      <c r="G82" s="1204">
        <v>22727.122418551335</v>
      </c>
      <c r="H82" s="1204">
        <v>3999.5860052705602</v>
      </c>
      <c r="I82" s="1204">
        <v>-711.00525670941602</v>
      </c>
      <c r="J82" s="1204">
        <v>369.00329433410263</v>
      </c>
      <c r="K82" s="1204">
        <v>181.44426775328708</v>
      </c>
      <c r="L82" s="1204">
        <v>1909.731911976965</v>
      </c>
      <c r="M82" s="1205">
        <v>4592.9774952864373</v>
      </c>
      <c r="N82" s="1205">
        <v>2226.4754470068415</v>
      </c>
      <c r="O82" s="1205">
        <v>2568.7328429207478</v>
      </c>
      <c r="P82" s="1205">
        <v>801.79516749941467</v>
      </c>
      <c r="Q82" s="1205">
        <v>402.28407901225239</v>
      </c>
      <c r="R82" s="1205">
        <v>4884.0549889359518</v>
      </c>
      <c r="S82" s="1205">
        <v>413.30840266718735</v>
      </c>
      <c r="T82" s="1206">
        <v>1088.7337725970024</v>
      </c>
      <c r="U82" s="5021">
        <v>2013</v>
      </c>
      <c r="V82" s="5022"/>
      <c r="Y82" s="1964"/>
      <c r="AA82" s="1937"/>
    </row>
    <row r="83" spans="3:27" s="1807" customFormat="1" ht="39.950000000000003" customHeight="1">
      <c r="C83" s="5015">
        <v>2014</v>
      </c>
      <c r="D83" s="5035"/>
      <c r="E83" s="1199">
        <v>27093.530949012409</v>
      </c>
      <c r="F83" s="1200">
        <v>3562.5455345406981</v>
      </c>
      <c r="G83" s="1200">
        <v>23530.98541447171</v>
      </c>
      <c r="H83" s="1200">
        <v>4086.266334602984</v>
      </c>
      <c r="I83" s="1200">
        <v>-724.50127458218901</v>
      </c>
      <c r="J83" s="1200">
        <v>418.76625126902422</v>
      </c>
      <c r="K83" s="1200">
        <v>191.69940647267848</v>
      </c>
      <c r="L83" s="1200">
        <v>1988.4729879229294</v>
      </c>
      <c r="M83" s="1201">
        <v>4703.851203422354</v>
      </c>
      <c r="N83" s="1201">
        <v>2263.5503726755878</v>
      </c>
      <c r="O83" s="1201">
        <v>2663.7495596909143</v>
      </c>
      <c r="P83" s="1201">
        <v>854.93138505289119</v>
      </c>
      <c r="Q83" s="1201">
        <v>424.8417433128464</v>
      </c>
      <c r="R83" s="1201">
        <v>4961.7883114033029</v>
      </c>
      <c r="S83" s="1201">
        <v>526.62682785588845</v>
      </c>
      <c r="T83" s="1202">
        <v>1170.9423053724963</v>
      </c>
      <c r="U83" s="5017">
        <v>2014</v>
      </c>
      <c r="V83" s="5018"/>
      <c r="Y83" s="1964"/>
      <c r="AA83" s="1937"/>
    </row>
    <row r="84" spans="3:27" s="1807" customFormat="1" ht="39.950000000000003" customHeight="1">
      <c r="C84" s="5019">
        <v>2015</v>
      </c>
      <c r="D84" s="5034"/>
      <c r="E84" s="1203">
        <v>27769.92872376155</v>
      </c>
      <c r="F84" s="1204">
        <v>3604.1011983710364</v>
      </c>
      <c r="G84" s="1204">
        <v>24165.827525390516</v>
      </c>
      <c r="H84" s="1204">
        <v>4175.6306783192376</v>
      </c>
      <c r="I84" s="1204">
        <v>-749.85299302670796</v>
      </c>
      <c r="J84" s="1204">
        <v>436.41070992206028</v>
      </c>
      <c r="K84" s="1204">
        <v>204.71869545931258</v>
      </c>
      <c r="L84" s="1204">
        <v>2082.5523382310489</v>
      </c>
      <c r="M84" s="1205">
        <v>4850.1675996629156</v>
      </c>
      <c r="N84" s="1205">
        <v>2329.5526425922644</v>
      </c>
      <c r="O84" s="1205">
        <v>2676.7688598455184</v>
      </c>
      <c r="P84" s="1205">
        <v>844.80447237996225</v>
      </c>
      <c r="Q84" s="1205">
        <v>469.24726839901427</v>
      </c>
      <c r="R84" s="1205">
        <v>5031.9086680645651</v>
      </c>
      <c r="S84" s="1205">
        <v>584.87185130440821</v>
      </c>
      <c r="T84" s="1206">
        <v>1229.0467342369147</v>
      </c>
      <c r="U84" s="5021">
        <v>2015</v>
      </c>
      <c r="V84" s="5022"/>
      <c r="Y84" s="1964"/>
      <c r="AA84" s="1937"/>
    </row>
    <row r="85" spans="3:27" s="1807" customFormat="1" ht="39.950000000000003" customHeight="1">
      <c r="C85" s="5015">
        <v>2016</v>
      </c>
      <c r="D85" s="5035"/>
      <c r="E85" s="1199">
        <v>28323.711315669429</v>
      </c>
      <c r="F85" s="1200">
        <v>3645.0449971909993</v>
      </c>
      <c r="G85" s="1200">
        <v>24678.666318478427</v>
      </c>
      <c r="H85" s="1200">
        <v>4002.9188317428889</v>
      </c>
      <c r="I85" s="1200">
        <v>-775.72600000000796</v>
      </c>
      <c r="J85" s="1200">
        <v>465.35399999999998</v>
      </c>
      <c r="K85" s="1200">
        <v>197.22136547208504</v>
      </c>
      <c r="L85" s="1200">
        <v>2403.1255510267915</v>
      </c>
      <c r="M85" s="1201">
        <v>5017.3891218315803</v>
      </c>
      <c r="N85" s="1201">
        <v>2396.5143933519457</v>
      </c>
      <c r="O85" s="1201">
        <v>2708.241193744921</v>
      </c>
      <c r="P85" s="1201">
        <v>852.75288836458117</v>
      </c>
      <c r="Q85" s="1201">
        <v>520.88252098721307</v>
      </c>
      <c r="R85" s="1201">
        <v>5099.8268381879361</v>
      </c>
      <c r="S85" s="1201">
        <v>513.80259705099445</v>
      </c>
      <c r="T85" s="1202">
        <v>1276.3630167175018</v>
      </c>
      <c r="U85" s="5017">
        <v>2016</v>
      </c>
      <c r="V85" s="5018"/>
      <c r="Y85" s="1964"/>
      <c r="AA85" s="1937"/>
    </row>
    <row r="86" spans="3:27" s="1807" customFormat="1" ht="39.950000000000003" customHeight="1">
      <c r="C86" s="5019">
        <v>2017</v>
      </c>
      <c r="D86" s="5034"/>
      <c r="E86" s="1203">
        <v>29024.32622090296</v>
      </c>
      <c r="F86" s="1204">
        <v>3725.9120417983299</v>
      </c>
      <c r="G86" s="1204">
        <v>25298.414179104631</v>
      </c>
      <c r="H86" s="1204">
        <v>4010.3370029507641</v>
      </c>
      <c r="I86" s="1204">
        <v>-783.39087887694404</v>
      </c>
      <c r="J86" s="1204">
        <v>481.35900994178246</v>
      </c>
      <c r="K86" s="1204">
        <v>206.90256868056147</v>
      </c>
      <c r="L86" s="1204">
        <v>2447.5195063319602</v>
      </c>
      <c r="M86" s="1205">
        <v>5146.7396626663058</v>
      </c>
      <c r="N86" s="1205">
        <v>2500.4356596441912</v>
      </c>
      <c r="O86" s="1205">
        <v>2773.0601184265361</v>
      </c>
      <c r="P86" s="1205">
        <v>847.1277011344979</v>
      </c>
      <c r="Q86" s="1205">
        <v>520.30369925370815</v>
      </c>
      <c r="R86" s="1205">
        <v>5164.1873431039121</v>
      </c>
      <c r="S86" s="1205">
        <v>675.24167718299304</v>
      </c>
      <c r="T86" s="1206">
        <v>1308.5911086643639</v>
      </c>
      <c r="U86" s="5021">
        <v>2017</v>
      </c>
      <c r="V86" s="5022"/>
      <c r="Y86" s="1964"/>
      <c r="AA86" s="1937"/>
    </row>
    <row r="87" spans="3:27" s="1807" customFormat="1" ht="39.950000000000003" customHeight="1">
      <c r="C87" s="5015">
        <v>2018</v>
      </c>
      <c r="D87" s="5035"/>
      <c r="E87" s="1199">
        <v>29581.32366275863</v>
      </c>
      <c r="F87" s="1200">
        <v>3727.6652168167439</v>
      </c>
      <c r="G87" s="1200">
        <v>25853.658445941888</v>
      </c>
      <c r="H87" s="1200">
        <v>4010.1003202568863</v>
      </c>
      <c r="I87" s="1200">
        <v>-780.64138137859902</v>
      </c>
      <c r="J87" s="1200">
        <v>533.88053435246115</v>
      </c>
      <c r="K87" s="1200">
        <v>217.45120012970889</v>
      </c>
      <c r="L87" s="1200">
        <v>2482.516620782545</v>
      </c>
      <c r="M87" s="1201">
        <v>5267.7509056804074</v>
      </c>
      <c r="N87" s="1201">
        <v>2622.3374671683887</v>
      </c>
      <c r="O87" s="1201">
        <v>2878.6059212409837</v>
      </c>
      <c r="P87" s="1201">
        <v>849.31618783384317</v>
      </c>
      <c r="Q87" s="1201">
        <v>513.69538204433911</v>
      </c>
      <c r="R87" s="1201">
        <v>5253.2046468578837</v>
      </c>
      <c r="S87" s="1201">
        <v>670.75488202801989</v>
      </c>
      <c r="T87" s="1202">
        <v>1334.6857589450185</v>
      </c>
      <c r="U87" s="5017">
        <v>2018</v>
      </c>
      <c r="V87" s="5018"/>
      <c r="Y87" s="1964"/>
      <c r="AA87" s="1937"/>
    </row>
    <row r="88" spans="3:27" s="1807" customFormat="1" ht="39.950000000000003" customHeight="1">
      <c r="C88" s="5019">
        <v>2019</v>
      </c>
      <c r="D88" s="5034"/>
      <c r="E88" s="1203">
        <v>30099.363900000004</v>
      </c>
      <c r="F88" s="1204">
        <v>3539.3710000000001</v>
      </c>
      <c r="G88" s="1204">
        <v>26559.992900000005</v>
      </c>
      <c r="H88" s="1204">
        <v>4034.6232999999997</v>
      </c>
      <c r="I88" s="1204">
        <v>-801.70860000000005</v>
      </c>
      <c r="J88" s="1204">
        <v>609.40100000000007</v>
      </c>
      <c r="K88" s="1204">
        <v>242.81790000000001</v>
      </c>
      <c r="L88" s="1204">
        <v>2606.0833000000002</v>
      </c>
      <c r="M88" s="1205">
        <v>5427.8153999999995</v>
      </c>
      <c r="N88" s="1205">
        <v>2690.1849000000002</v>
      </c>
      <c r="O88" s="1205">
        <v>2923.7</v>
      </c>
      <c r="P88" s="1205">
        <v>867.99480000000005</v>
      </c>
      <c r="Q88" s="1205">
        <v>535.6345</v>
      </c>
      <c r="R88" s="1205">
        <v>5372.9341000000004</v>
      </c>
      <c r="S88" s="1205">
        <v>701.2328</v>
      </c>
      <c r="T88" s="1206">
        <v>1349.2794999999999</v>
      </c>
      <c r="U88" s="5021">
        <v>2019</v>
      </c>
      <c r="V88" s="5022"/>
      <c r="Y88" s="1964"/>
      <c r="AA88" s="1937"/>
    </row>
    <row r="89" spans="3:27" s="1807" customFormat="1" ht="39.950000000000003" customHeight="1">
      <c r="C89" s="5015">
        <v>2020</v>
      </c>
      <c r="D89" s="5035"/>
      <c r="E89" s="1199">
        <v>29767.4424</v>
      </c>
      <c r="F89" s="1200">
        <v>3635.8221999999996</v>
      </c>
      <c r="G89" s="1200">
        <v>26131.620200000001</v>
      </c>
      <c r="H89" s="1200">
        <v>4128.3561</v>
      </c>
      <c r="I89" s="1200">
        <v>-764.34</v>
      </c>
      <c r="J89" s="1200">
        <v>428.44609999999932</v>
      </c>
      <c r="K89" s="1200">
        <v>236.1696</v>
      </c>
      <c r="L89" s="1200">
        <v>2467.1979999999999</v>
      </c>
      <c r="M89" s="1201">
        <v>5676.4705000000004</v>
      </c>
      <c r="N89" s="1201">
        <v>2360.8741999999997</v>
      </c>
      <c r="O89" s="1201">
        <v>2854.8094999999998</v>
      </c>
      <c r="P89" s="1201">
        <v>845.22169999999994</v>
      </c>
      <c r="Q89" s="1201">
        <v>518.68270000000007</v>
      </c>
      <c r="R89" s="1201">
        <v>5319.1008000000002</v>
      </c>
      <c r="S89" s="1201">
        <v>695.30650000000003</v>
      </c>
      <c r="T89" s="1202">
        <v>1365.3244999999999</v>
      </c>
      <c r="U89" s="5017">
        <v>2020</v>
      </c>
      <c r="V89" s="5018"/>
      <c r="Y89" s="1964"/>
      <c r="AA89" s="1937"/>
    </row>
    <row r="90" spans="3:27" s="1807" customFormat="1" ht="39.950000000000003" customHeight="1">
      <c r="C90" s="5019">
        <v>2021</v>
      </c>
      <c r="D90" s="5034"/>
      <c r="E90" s="1203">
        <v>30855.6335</v>
      </c>
      <c r="F90" s="1204">
        <v>3745.8373999999999</v>
      </c>
      <c r="G90" s="1204">
        <v>27109.7961</v>
      </c>
      <c r="H90" s="1204">
        <v>4198.9548999999997</v>
      </c>
      <c r="I90" s="1204">
        <v>-847.69820000000004</v>
      </c>
      <c r="J90" s="1204">
        <v>483.20929999999726</v>
      </c>
      <c r="K90" s="1204">
        <v>247.1481</v>
      </c>
      <c r="L90" s="1204">
        <v>2565.6214999999997</v>
      </c>
      <c r="M90" s="1205">
        <v>5720.9463999999998</v>
      </c>
      <c r="N90" s="1205">
        <v>2616.3357999999998</v>
      </c>
      <c r="O90" s="1205">
        <v>3092.6444999999999</v>
      </c>
      <c r="P90" s="1205">
        <v>892.28430000000014</v>
      </c>
      <c r="Q90" s="1205">
        <v>520.98349999999994</v>
      </c>
      <c r="R90" s="1205">
        <v>5442.5349999999999</v>
      </c>
      <c r="S90" s="1205">
        <v>721.45139999999992</v>
      </c>
      <c r="T90" s="1206">
        <v>1455.3796</v>
      </c>
      <c r="U90" s="5021">
        <v>2021</v>
      </c>
      <c r="V90" s="5022"/>
      <c r="Y90" s="1964"/>
      <c r="AA90" s="1937"/>
    </row>
    <row r="91" spans="3:27" s="1807" customFormat="1" ht="39.950000000000003" customHeight="1">
      <c r="C91" s="5038">
        <v>2022</v>
      </c>
      <c r="D91" s="5039"/>
      <c r="E91" s="4455">
        <v>31604.830912338679</v>
      </c>
      <c r="F91" s="4456">
        <v>3828.3300895608727</v>
      </c>
      <c r="G91" s="4456">
        <v>27776.500822777809</v>
      </c>
      <c r="H91" s="4456">
        <v>4250.6143945969889</v>
      </c>
      <c r="I91" s="4456">
        <v>-882.57286954108895</v>
      </c>
      <c r="J91" s="4456">
        <v>455.66636990000188</v>
      </c>
      <c r="K91" s="4456">
        <v>253.45616689408394</v>
      </c>
      <c r="L91" s="4456">
        <v>2614.6936068633077</v>
      </c>
      <c r="M91" s="4577">
        <v>5857.3975975328849</v>
      </c>
      <c r="N91" s="4577">
        <v>2704.5617123445854</v>
      </c>
      <c r="O91" s="4577">
        <v>3189.7357621733495</v>
      </c>
      <c r="P91" s="4577">
        <v>928.99652231713708</v>
      </c>
      <c r="Q91" s="4577">
        <v>534.25528840318691</v>
      </c>
      <c r="R91" s="4577">
        <v>5623.9024209388881</v>
      </c>
      <c r="S91" s="4577">
        <v>742.34077125133058</v>
      </c>
      <c r="T91" s="4578">
        <v>1503.4530791031523</v>
      </c>
      <c r="U91" s="5040">
        <v>2022</v>
      </c>
      <c r="V91" s="5041"/>
      <c r="Y91" s="1964"/>
      <c r="AA91" s="1937"/>
    </row>
    <row r="92" spans="3:27" s="1191" customFormat="1" ht="32.25" customHeight="1">
      <c r="C92" s="4423" t="s">
        <v>1361</v>
      </c>
      <c r="D92" s="3209"/>
      <c r="E92" s="1174"/>
      <c r="F92" s="3209"/>
      <c r="G92" s="1760"/>
      <c r="H92" s="3634"/>
      <c r="I92" s="2036"/>
      <c r="J92" s="3635"/>
      <c r="K92" s="3581"/>
      <c r="L92" s="3581"/>
      <c r="M92" s="2075"/>
      <c r="N92" s="2075"/>
      <c r="O92" s="2075"/>
      <c r="P92" s="1397"/>
      <c r="Q92" s="1277"/>
      <c r="R92" s="3636"/>
      <c r="S92" s="3636"/>
      <c r="T92" s="3636"/>
      <c r="U92" s="3636"/>
      <c r="V92" s="3636" t="s">
        <v>1657</v>
      </c>
      <c r="W92" s="3637"/>
      <c r="X92" s="3637"/>
    </row>
    <row r="93" spans="3:27" s="1191" customFormat="1" ht="32.25" customHeight="1">
      <c r="C93" s="5036" t="s">
        <v>1703</v>
      </c>
      <c r="D93" s="5036"/>
      <c r="E93" s="5036"/>
      <c r="F93" s="5036"/>
      <c r="G93" s="5036"/>
      <c r="H93" s="3634"/>
      <c r="I93" s="3638" t="s">
        <v>8</v>
      </c>
      <c r="J93" s="3635"/>
      <c r="K93" s="3581"/>
      <c r="L93" s="3581"/>
      <c r="N93" s="2075"/>
      <c r="O93" s="3580"/>
      <c r="P93" s="3639"/>
      <c r="Q93" s="5037" t="s">
        <v>1704</v>
      </c>
      <c r="R93" s="5037"/>
      <c r="S93" s="5037"/>
      <c r="T93" s="5037"/>
      <c r="U93" s="5037"/>
      <c r="V93" s="5037"/>
      <c r="W93" s="3640"/>
      <c r="X93" s="3640"/>
      <c r="Y93" s="3641"/>
    </row>
    <row r="94" spans="3:27" s="1191" customFormat="1" ht="32.25" customHeight="1">
      <c r="C94" s="5036" t="s">
        <v>3131</v>
      </c>
      <c r="D94" s="5036"/>
      <c r="E94" s="5036"/>
      <c r="F94" s="5036"/>
      <c r="G94" s="5036"/>
      <c r="H94" s="3634"/>
      <c r="I94" s="3638"/>
      <c r="J94" s="3635"/>
      <c r="K94" s="3581"/>
      <c r="L94" s="3581"/>
      <c r="N94" s="2075"/>
      <c r="O94" s="3580"/>
      <c r="P94" s="3639"/>
      <c r="Q94" s="5407" t="s">
        <v>3130</v>
      </c>
      <c r="R94" s="5407"/>
      <c r="S94" s="5407"/>
      <c r="T94" s="5407"/>
      <c r="U94" s="5407"/>
      <c r="V94" s="5407"/>
      <c r="W94" s="5406"/>
      <c r="X94" s="5406"/>
      <c r="Y94" s="5406"/>
      <c r="Z94" s="5406"/>
    </row>
    <row r="95" spans="3:27">
      <c r="H95" s="1760"/>
      <c r="I95" s="1760"/>
      <c r="J95" s="1760"/>
      <c r="K95" s="1760"/>
      <c r="L95" s="1760"/>
      <c r="M95" s="1760"/>
      <c r="N95" s="1760"/>
      <c r="O95" s="1760"/>
      <c r="P95" s="1760"/>
      <c r="Q95" s="1760"/>
      <c r="R95" s="1760"/>
      <c r="S95" s="1760"/>
      <c r="T95" s="1760"/>
      <c r="U95" s="1760"/>
      <c r="V95" s="1760"/>
    </row>
    <row r="96" spans="3:27">
      <c r="H96" s="1760"/>
      <c r="I96" s="1760"/>
      <c r="J96" s="1760"/>
      <c r="K96" s="1760"/>
      <c r="L96" s="1760"/>
      <c r="M96" s="1760"/>
      <c r="N96" s="1760"/>
      <c r="O96" s="1760"/>
      <c r="P96" s="1760"/>
      <c r="Q96" s="1760"/>
      <c r="R96" s="1760"/>
      <c r="S96" s="1760"/>
      <c r="T96" s="1760"/>
      <c r="U96" s="1760"/>
      <c r="V96" s="1760"/>
    </row>
    <row r="97" spans="8:22">
      <c r="H97" s="1760"/>
      <c r="I97" s="1760"/>
      <c r="J97" s="1760"/>
      <c r="K97" s="1760"/>
      <c r="L97" s="1760"/>
      <c r="M97" s="1760"/>
      <c r="N97" s="1760"/>
      <c r="O97" s="1760"/>
      <c r="P97" s="1760"/>
      <c r="Q97" s="1760"/>
      <c r="R97" s="1760"/>
      <c r="S97" s="1760"/>
      <c r="T97" s="1760"/>
      <c r="U97" s="1760"/>
      <c r="V97" s="1760"/>
    </row>
    <row r="98" spans="8:22">
      <c r="H98" s="1760"/>
      <c r="I98" s="1760"/>
      <c r="J98" s="1760"/>
      <c r="K98" s="1760"/>
      <c r="L98" s="1760"/>
      <c r="M98" s="1760"/>
      <c r="N98" s="1760"/>
      <c r="O98" s="1760"/>
      <c r="P98" s="1760"/>
      <c r="Q98" s="1760"/>
      <c r="R98" s="1760"/>
      <c r="S98" s="1760"/>
      <c r="T98" s="1760"/>
      <c r="U98" s="1760"/>
      <c r="V98" s="1760"/>
    </row>
    <row r="99" spans="8:22">
      <c r="H99" s="1760"/>
      <c r="I99" s="1760"/>
      <c r="J99" s="1760"/>
      <c r="K99" s="1760"/>
      <c r="L99" s="1760"/>
      <c r="M99" s="1760"/>
      <c r="N99" s="1760"/>
      <c r="O99" s="1760"/>
      <c r="P99" s="1760"/>
      <c r="Q99" s="1760"/>
      <c r="R99" s="1760"/>
      <c r="S99" s="1760"/>
      <c r="T99" s="1760"/>
      <c r="U99" s="1760"/>
      <c r="V99" s="1760"/>
    </row>
    <row r="100" spans="8:22">
      <c r="H100" s="1760"/>
      <c r="I100" s="1760"/>
      <c r="J100" s="1760"/>
      <c r="K100" s="1760"/>
      <c r="L100" s="1760"/>
      <c r="M100" s="1760"/>
      <c r="N100" s="1760"/>
      <c r="O100" s="1760"/>
      <c r="P100" s="1760"/>
      <c r="Q100" s="1760"/>
      <c r="R100" s="1760"/>
      <c r="S100" s="1760"/>
      <c r="T100" s="1760"/>
      <c r="U100" s="1760"/>
      <c r="V100" s="1760"/>
    </row>
    <row r="101" spans="8:22">
      <c r="H101" s="1760"/>
      <c r="I101" s="1760"/>
      <c r="J101" s="1760"/>
      <c r="K101" s="1760"/>
      <c r="L101" s="1760"/>
      <c r="M101" s="1760"/>
      <c r="N101" s="1760"/>
      <c r="O101" s="1760"/>
      <c r="P101" s="1760"/>
      <c r="Q101" s="1760"/>
      <c r="R101" s="1760"/>
      <c r="S101" s="1760"/>
      <c r="T101" s="1760"/>
      <c r="U101" s="1760"/>
      <c r="V101" s="1760"/>
    </row>
    <row r="102" spans="8:22">
      <c r="H102" s="1760"/>
      <c r="I102" s="1760"/>
      <c r="J102" s="1760"/>
      <c r="K102" s="1760"/>
      <c r="L102" s="1760"/>
      <c r="M102" s="1760"/>
      <c r="N102" s="1760"/>
      <c r="O102" s="1760"/>
      <c r="P102" s="1760"/>
      <c r="Q102" s="1760"/>
      <c r="R102" s="1760"/>
      <c r="S102" s="1760"/>
      <c r="T102" s="1760"/>
      <c r="U102" s="1760"/>
      <c r="V102" s="1760"/>
    </row>
  </sheetData>
  <dataConsolidate/>
  <mergeCells count="130">
    <mergeCell ref="C94:G94"/>
    <mergeCell ref="Q94:V94"/>
    <mergeCell ref="C83:D83"/>
    <mergeCell ref="U83:V83"/>
    <mergeCell ref="C84:D84"/>
    <mergeCell ref="U84:V84"/>
    <mergeCell ref="C85:D85"/>
    <mergeCell ref="U85:V85"/>
    <mergeCell ref="C93:G93"/>
    <mergeCell ref="Q93:V93"/>
    <mergeCell ref="C89:D89"/>
    <mergeCell ref="U89:V89"/>
    <mergeCell ref="C86:D86"/>
    <mergeCell ref="U86:V86"/>
    <mergeCell ref="C87:D87"/>
    <mergeCell ref="U87:V87"/>
    <mergeCell ref="C88:D88"/>
    <mergeCell ref="U88:V88"/>
    <mergeCell ref="C90:D90"/>
    <mergeCell ref="U90:V90"/>
    <mergeCell ref="C91:D91"/>
    <mergeCell ref="U91:V91"/>
    <mergeCell ref="U77:V77"/>
    <mergeCell ref="C82:D82"/>
    <mergeCell ref="U82:V82"/>
    <mergeCell ref="C62:L62"/>
    <mergeCell ref="M62:V62"/>
    <mergeCell ref="C63:L63"/>
    <mergeCell ref="M63:V63"/>
    <mergeCell ref="U70:V70"/>
    <mergeCell ref="U72:V72"/>
    <mergeCell ref="C77:D77"/>
    <mergeCell ref="C78:D78"/>
    <mergeCell ref="U78:V78"/>
    <mergeCell ref="C79:D79"/>
    <mergeCell ref="U79:V79"/>
    <mergeCell ref="C80:D80"/>
    <mergeCell ref="U80:V80"/>
    <mergeCell ref="C81:D81"/>
    <mergeCell ref="U81:V81"/>
    <mergeCell ref="C58:D58"/>
    <mergeCell ref="U58:V58"/>
    <mergeCell ref="C59:D59"/>
    <mergeCell ref="U59:V59"/>
    <mergeCell ref="C60:D60"/>
    <mergeCell ref="U60:V60"/>
    <mergeCell ref="C55:D55"/>
    <mergeCell ref="U55:V55"/>
    <mergeCell ref="C53:D53"/>
    <mergeCell ref="U53:V53"/>
    <mergeCell ref="C54:D54"/>
    <mergeCell ref="U54:V54"/>
    <mergeCell ref="C56:D56"/>
    <mergeCell ref="U56:V56"/>
    <mergeCell ref="C57:D57"/>
    <mergeCell ref="U57:V57"/>
    <mergeCell ref="C50:D50"/>
    <mergeCell ref="U50:V50"/>
    <mergeCell ref="C51:D51"/>
    <mergeCell ref="U51:V51"/>
    <mergeCell ref="C52:D52"/>
    <mergeCell ref="U52:V52"/>
    <mergeCell ref="C47:D47"/>
    <mergeCell ref="U47:V47"/>
    <mergeCell ref="C48:D48"/>
    <mergeCell ref="U48:V48"/>
    <mergeCell ref="C49:D49"/>
    <mergeCell ref="U49:V49"/>
    <mergeCell ref="C44:D44"/>
    <mergeCell ref="U44:V44"/>
    <mergeCell ref="C45:D45"/>
    <mergeCell ref="U45:V45"/>
    <mergeCell ref="C46:D46"/>
    <mergeCell ref="U46:V46"/>
    <mergeCell ref="C41:D41"/>
    <mergeCell ref="U41:V41"/>
    <mergeCell ref="C42:D42"/>
    <mergeCell ref="U42:V42"/>
    <mergeCell ref="C43:D43"/>
    <mergeCell ref="U43:V43"/>
    <mergeCell ref="C38:D38"/>
    <mergeCell ref="U38:V38"/>
    <mergeCell ref="C39:D39"/>
    <mergeCell ref="U39:V39"/>
    <mergeCell ref="C40:D40"/>
    <mergeCell ref="U40:V40"/>
    <mergeCell ref="C35:D35"/>
    <mergeCell ref="U35:V35"/>
    <mergeCell ref="C36:D36"/>
    <mergeCell ref="U36:V36"/>
    <mergeCell ref="C37:D37"/>
    <mergeCell ref="U37:V37"/>
    <mergeCell ref="C32:D32"/>
    <mergeCell ref="U32:V32"/>
    <mergeCell ref="C33:D33"/>
    <mergeCell ref="U33:V33"/>
    <mergeCell ref="C34:D34"/>
    <mergeCell ref="U34:V34"/>
    <mergeCell ref="C29:D29"/>
    <mergeCell ref="U29:V29"/>
    <mergeCell ref="C30:D30"/>
    <mergeCell ref="U30:V30"/>
    <mergeCell ref="C31:D31"/>
    <mergeCell ref="U31:V31"/>
    <mergeCell ref="C26:D26"/>
    <mergeCell ref="U26:V26"/>
    <mergeCell ref="C27:D27"/>
    <mergeCell ref="U27:V27"/>
    <mergeCell ref="C28:D28"/>
    <mergeCell ref="U28:V28"/>
    <mergeCell ref="C23:D23"/>
    <mergeCell ref="U23:V23"/>
    <mergeCell ref="C24:D24"/>
    <mergeCell ref="U24:V24"/>
    <mergeCell ref="C25:D25"/>
    <mergeCell ref="U25:V25"/>
    <mergeCell ref="C21:D21"/>
    <mergeCell ref="U21:V21"/>
    <mergeCell ref="C22:D22"/>
    <mergeCell ref="U22:V22"/>
    <mergeCell ref="C3:L3"/>
    <mergeCell ref="M3:V3"/>
    <mergeCell ref="C4:L4"/>
    <mergeCell ref="M4:V4"/>
    <mergeCell ref="U12:V12"/>
    <mergeCell ref="U14:V14"/>
    <mergeCell ref="C19:D19"/>
    <mergeCell ref="U19:V19"/>
    <mergeCell ref="C20:D20"/>
    <mergeCell ref="U20:V20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36" orientation="portrait" r:id="rId1"/>
  <headerFooter alignWithMargins="0">
    <oddFooter>&amp;C&amp;"+,Regular"&amp;22-63-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3"/>
  <sheetViews>
    <sheetView topLeftCell="A13" zoomScale="75" zoomScaleNormal="75" workbookViewId="0">
      <selection activeCell="G63" sqref="G63:G72"/>
    </sheetView>
  </sheetViews>
  <sheetFormatPr defaultColWidth="10" defaultRowHeight="20.25"/>
  <cols>
    <col min="1" max="1" width="16.42578125" style="1174" customWidth="1"/>
    <col min="2" max="2" width="14.28515625" style="1174" customWidth="1"/>
    <col min="3" max="3" width="49.42578125" style="1793" bestFit="1" customWidth="1"/>
    <col min="4" max="4" width="22.42578125" style="1192" bestFit="1" customWidth="1"/>
    <col min="5" max="5" width="19.28515625" style="1192" bestFit="1" customWidth="1"/>
    <col min="6" max="6" width="24.85546875" style="1192" bestFit="1" customWidth="1"/>
    <col min="7" max="7" width="26.42578125" style="1192" bestFit="1" customWidth="1"/>
    <col min="8" max="8" width="17" style="1192" bestFit="1" customWidth="1"/>
    <col min="9" max="9" width="18.28515625" style="1192" bestFit="1" customWidth="1"/>
    <col min="10" max="10" width="22.5703125" style="1192" bestFit="1" customWidth="1"/>
    <col min="11" max="11" width="18.28515625" style="1192" bestFit="1" customWidth="1"/>
    <col min="12" max="12" width="16.7109375" style="1192" bestFit="1" customWidth="1"/>
    <col min="13" max="13" width="18.85546875" style="1192" bestFit="1" customWidth="1"/>
    <col min="14" max="14" width="20.140625" style="1192" bestFit="1" customWidth="1"/>
    <col min="15" max="15" width="19.28515625" style="1192" bestFit="1" customWidth="1"/>
    <col min="16" max="16" width="16.140625" style="1192" bestFit="1" customWidth="1"/>
    <col min="17" max="17" width="23" style="1192" bestFit="1" customWidth="1"/>
    <col min="18" max="18" width="16.42578125" style="1192" bestFit="1" customWidth="1"/>
    <col min="19" max="19" width="18.5703125" style="1192" bestFit="1" customWidth="1"/>
    <col min="20" max="20" width="19.85546875" style="1192" bestFit="1" customWidth="1"/>
    <col min="21" max="21" width="15.7109375" style="1192" customWidth="1"/>
    <col min="22" max="22" width="23" style="1192" bestFit="1" customWidth="1"/>
    <col min="23" max="23" width="16.42578125" style="1192" bestFit="1" customWidth="1"/>
    <col min="24" max="24" width="18" style="1192" bestFit="1" customWidth="1"/>
    <col min="25" max="25" width="11.7109375" style="1192" bestFit="1" customWidth="1"/>
    <col min="26" max="26" width="41.42578125" style="1192" bestFit="1" customWidth="1"/>
    <col min="27" max="30" width="10" style="1174"/>
    <col min="31" max="31" width="10.28515625" style="1174" bestFit="1" customWidth="1"/>
    <col min="32" max="256" width="10" style="1174"/>
    <col min="257" max="257" width="16.42578125" style="1174" customWidth="1"/>
    <col min="258" max="258" width="14.28515625" style="1174" customWidth="1"/>
    <col min="259" max="259" width="49.42578125" style="1174" bestFit="1" customWidth="1"/>
    <col min="260" max="260" width="22.42578125" style="1174" bestFit="1" customWidth="1"/>
    <col min="261" max="261" width="19.28515625" style="1174" bestFit="1" customWidth="1"/>
    <col min="262" max="262" width="24.85546875" style="1174" bestFit="1" customWidth="1"/>
    <col min="263" max="263" width="26.42578125" style="1174" bestFit="1" customWidth="1"/>
    <col min="264" max="264" width="17" style="1174" bestFit="1" customWidth="1"/>
    <col min="265" max="265" width="18.28515625" style="1174" bestFit="1" customWidth="1"/>
    <col min="266" max="266" width="22.5703125" style="1174" bestFit="1" customWidth="1"/>
    <col min="267" max="267" width="18.28515625" style="1174" bestFit="1" customWidth="1"/>
    <col min="268" max="268" width="16.7109375" style="1174" bestFit="1" customWidth="1"/>
    <col min="269" max="269" width="18.85546875" style="1174" bestFit="1" customWidth="1"/>
    <col min="270" max="270" width="20.140625" style="1174" bestFit="1" customWidth="1"/>
    <col min="271" max="271" width="19.28515625" style="1174" bestFit="1" customWidth="1"/>
    <col min="272" max="272" width="16.140625" style="1174" bestFit="1" customWidth="1"/>
    <col min="273" max="273" width="23" style="1174" bestFit="1" customWidth="1"/>
    <col min="274" max="274" width="16.42578125" style="1174" bestFit="1" customWidth="1"/>
    <col min="275" max="275" width="18.5703125" style="1174" bestFit="1" customWidth="1"/>
    <col min="276" max="276" width="19.85546875" style="1174" bestFit="1" customWidth="1"/>
    <col min="277" max="277" width="15.7109375" style="1174" customWidth="1"/>
    <col min="278" max="278" width="23" style="1174" bestFit="1" customWidth="1"/>
    <col min="279" max="279" width="16.42578125" style="1174" bestFit="1" customWidth="1"/>
    <col min="280" max="280" width="18" style="1174" bestFit="1" customWidth="1"/>
    <col min="281" max="281" width="11.7109375" style="1174" bestFit="1" customWidth="1"/>
    <col min="282" max="282" width="41.42578125" style="1174" bestFit="1" customWidth="1"/>
    <col min="283" max="286" width="10" style="1174"/>
    <col min="287" max="287" width="10.28515625" style="1174" bestFit="1" customWidth="1"/>
    <col min="288" max="512" width="10" style="1174"/>
    <col min="513" max="513" width="16.42578125" style="1174" customWidth="1"/>
    <col min="514" max="514" width="14.28515625" style="1174" customWidth="1"/>
    <col min="515" max="515" width="49.42578125" style="1174" bestFit="1" customWidth="1"/>
    <col min="516" max="516" width="22.42578125" style="1174" bestFit="1" customWidth="1"/>
    <col min="517" max="517" width="19.28515625" style="1174" bestFit="1" customWidth="1"/>
    <col min="518" max="518" width="24.85546875" style="1174" bestFit="1" customWidth="1"/>
    <col min="519" max="519" width="26.42578125" style="1174" bestFit="1" customWidth="1"/>
    <col min="520" max="520" width="17" style="1174" bestFit="1" customWidth="1"/>
    <col min="521" max="521" width="18.28515625" style="1174" bestFit="1" customWidth="1"/>
    <col min="522" max="522" width="22.5703125" style="1174" bestFit="1" customWidth="1"/>
    <col min="523" max="523" width="18.28515625" style="1174" bestFit="1" customWidth="1"/>
    <col min="524" max="524" width="16.7109375" style="1174" bestFit="1" customWidth="1"/>
    <col min="525" max="525" width="18.85546875" style="1174" bestFit="1" customWidth="1"/>
    <col min="526" max="526" width="20.140625" style="1174" bestFit="1" customWidth="1"/>
    <col min="527" max="527" width="19.28515625" style="1174" bestFit="1" customWidth="1"/>
    <col min="528" max="528" width="16.140625" style="1174" bestFit="1" customWidth="1"/>
    <col min="529" max="529" width="23" style="1174" bestFit="1" customWidth="1"/>
    <col min="530" max="530" width="16.42578125" style="1174" bestFit="1" customWidth="1"/>
    <col min="531" max="531" width="18.5703125" style="1174" bestFit="1" customWidth="1"/>
    <col min="532" max="532" width="19.85546875" style="1174" bestFit="1" customWidth="1"/>
    <col min="533" max="533" width="15.7109375" style="1174" customWidth="1"/>
    <col min="534" max="534" width="23" style="1174" bestFit="1" customWidth="1"/>
    <col min="535" max="535" width="16.42578125" style="1174" bestFit="1" customWidth="1"/>
    <col min="536" max="536" width="18" style="1174" bestFit="1" customWidth="1"/>
    <col min="537" max="537" width="11.7109375" style="1174" bestFit="1" customWidth="1"/>
    <col min="538" max="538" width="41.42578125" style="1174" bestFit="1" customWidth="1"/>
    <col min="539" max="542" width="10" style="1174"/>
    <col min="543" max="543" width="10.28515625" style="1174" bestFit="1" customWidth="1"/>
    <col min="544" max="768" width="10" style="1174"/>
    <col min="769" max="769" width="16.42578125" style="1174" customWidth="1"/>
    <col min="770" max="770" width="14.28515625" style="1174" customWidth="1"/>
    <col min="771" max="771" width="49.42578125" style="1174" bestFit="1" customWidth="1"/>
    <col min="772" max="772" width="22.42578125" style="1174" bestFit="1" customWidth="1"/>
    <col min="773" max="773" width="19.28515625" style="1174" bestFit="1" customWidth="1"/>
    <col min="774" max="774" width="24.85546875" style="1174" bestFit="1" customWidth="1"/>
    <col min="775" max="775" width="26.42578125" style="1174" bestFit="1" customWidth="1"/>
    <col min="776" max="776" width="17" style="1174" bestFit="1" customWidth="1"/>
    <col min="777" max="777" width="18.28515625" style="1174" bestFit="1" customWidth="1"/>
    <col min="778" max="778" width="22.5703125" style="1174" bestFit="1" customWidth="1"/>
    <col min="779" max="779" width="18.28515625" style="1174" bestFit="1" customWidth="1"/>
    <col min="780" max="780" width="16.7109375" style="1174" bestFit="1" customWidth="1"/>
    <col min="781" max="781" width="18.85546875" style="1174" bestFit="1" customWidth="1"/>
    <col min="782" max="782" width="20.140625" style="1174" bestFit="1" customWidth="1"/>
    <col min="783" max="783" width="19.28515625" style="1174" bestFit="1" customWidth="1"/>
    <col min="784" max="784" width="16.140625" style="1174" bestFit="1" customWidth="1"/>
    <col min="785" max="785" width="23" style="1174" bestFit="1" customWidth="1"/>
    <col min="786" max="786" width="16.42578125" style="1174" bestFit="1" customWidth="1"/>
    <col min="787" max="787" width="18.5703125" style="1174" bestFit="1" customWidth="1"/>
    <col min="788" max="788" width="19.85546875" style="1174" bestFit="1" customWidth="1"/>
    <col min="789" max="789" width="15.7109375" style="1174" customWidth="1"/>
    <col min="790" max="790" width="23" style="1174" bestFit="1" customWidth="1"/>
    <col min="791" max="791" width="16.42578125" style="1174" bestFit="1" customWidth="1"/>
    <col min="792" max="792" width="18" style="1174" bestFit="1" customWidth="1"/>
    <col min="793" max="793" width="11.7109375" style="1174" bestFit="1" customWidth="1"/>
    <col min="794" max="794" width="41.42578125" style="1174" bestFit="1" customWidth="1"/>
    <col min="795" max="798" width="10" style="1174"/>
    <col min="799" max="799" width="10.28515625" style="1174" bestFit="1" customWidth="1"/>
    <col min="800" max="1024" width="10" style="1174"/>
    <col min="1025" max="1025" width="16.42578125" style="1174" customWidth="1"/>
    <col min="1026" max="1026" width="14.28515625" style="1174" customWidth="1"/>
    <col min="1027" max="1027" width="49.42578125" style="1174" bestFit="1" customWidth="1"/>
    <col min="1028" max="1028" width="22.42578125" style="1174" bestFit="1" customWidth="1"/>
    <col min="1029" max="1029" width="19.28515625" style="1174" bestFit="1" customWidth="1"/>
    <col min="1030" max="1030" width="24.85546875" style="1174" bestFit="1" customWidth="1"/>
    <col min="1031" max="1031" width="26.42578125" style="1174" bestFit="1" customWidth="1"/>
    <col min="1032" max="1032" width="17" style="1174" bestFit="1" customWidth="1"/>
    <col min="1033" max="1033" width="18.28515625" style="1174" bestFit="1" customWidth="1"/>
    <col min="1034" max="1034" width="22.5703125" style="1174" bestFit="1" customWidth="1"/>
    <col min="1035" max="1035" width="18.28515625" style="1174" bestFit="1" customWidth="1"/>
    <col min="1036" max="1036" width="16.7109375" style="1174" bestFit="1" customWidth="1"/>
    <col min="1037" max="1037" width="18.85546875" style="1174" bestFit="1" customWidth="1"/>
    <col min="1038" max="1038" width="20.140625" style="1174" bestFit="1" customWidth="1"/>
    <col min="1039" max="1039" width="19.28515625" style="1174" bestFit="1" customWidth="1"/>
    <col min="1040" max="1040" width="16.140625" style="1174" bestFit="1" customWidth="1"/>
    <col min="1041" max="1041" width="23" style="1174" bestFit="1" customWidth="1"/>
    <col min="1042" max="1042" width="16.42578125" style="1174" bestFit="1" customWidth="1"/>
    <col min="1043" max="1043" width="18.5703125" style="1174" bestFit="1" customWidth="1"/>
    <col min="1044" max="1044" width="19.85546875" style="1174" bestFit="1" customWidth="1"/>
    <col min="1045" max="1045" width="15.7109375" style="1174" customWidth="1"/>
    <col min="1046" max="1046" width="23" style="1174" bestFit="1" customWidth="1"/>
    <col min="1047" max="1047" width="16.42578125" style="1174" bestFit="1" customWidth="1"/>
    <col min="1048" max="1048" width="18" style="1174" bestFit="1" customWidth="1"/>
    <col min="1049" max="1049" width="11.7109375" style="1174" bestFit="1" customWidth="1"/>
    <col min="1050" max="1050" width="41.42578125" style="1174" bestFit="1" customWidth="1"/>
    <col min="1051" max="1054" width="10" style="1174"/>
    <col min="1055" max="1055" width="10.28515625" style="1174" bestFit="1" customWidth="1"/>
    <col min="1056" max="1280" width="10" style="1174"/>
    <col min="1281" max="1281" width="16.42578125" style="1174" customWidth="1"/>
    <col min="1282" max="1282" width="14.28515625" style="1174" customWidth="1"/>
    <col min="1283" max="1283" width="49.42578125" style="1174" bestFit="1" customWidth="1"/>
    <col min="1284" max="1284" width="22.42578125" style="1174" bestFit="1" customWidth="1"/>
    <col min="1285" max="1285" width="19.28515625" style="1174" bestFit="1" customWidth="1"/>
    <col min="1286" max="1286" width="24.85546875" style="1174" bestFit="1" customWidth="1"/>
    <col min="1287" max="1287" width="26.42578125" style="1174" bestFit="1" customWidth="1"/>
    <col min="1288" max="1288" width="17" style="1174" bestFit="1" customWidth="1"/>
    <col min="1289" max="1289" width="18.28515625" style="1174" bestFit="1" customWidth="1"/>
    <col min="1290" max="1290" width="22.5703125" style="1174" bestFit="1" customWidth="1"/>
    <col min="1291" max="1291" width="18.28515625" style="1174" bestFit="1" customWidth="1"/>
    <col min="1292" max="1292" width="16.7109375" style="1174" bestFit="1" customWidth="1"/>
    <col min="1293" max="1293" width="18.85546875" style="1174" bestFit="1" customWidth="1"/>
    <col min="1294" max="1294" width="20.140625" style="1174" bestFit="1" customWidth="1"/>
    <col min="1295" max="1295" width="19.28515625" style="1174" bestFit="1" customWidth="1"/>
    <col min="1296" max="1296" width="16.140625" style="1174" bestFit="1" customWidth="1"/>
    <col min="1297" max="1297" width="23" style="1174" bestFit="1" customWidth="1"/>
    <col min="1298" max="1298" width="16.42578125" style="1174" bestFit="1" customWidth="1"/>
    <col min="1299" max="1299" width="18.5703125" style="1174" bestFit="1" customWidth="1"/>
    <col min="1300" max="1300" width="19.85546875" style="1174" bestFit="1" customWidth="1"/>
    <col min="1301" max="1301" width="15.7109375" style="1174" customWidth="1"/>
    <col min="1302" max="1302" width="23" style="1174" bestFit="1" customWidth="1"/>
    <col min="1303" max="1303" width="16.42578125" style="1174" bestFit="1" customWidth="1"/>
    <col min="1304" max="1304" width="18" style="1174" bestFit="1" customWidth="1"/>
    <col min="1305" max="1305" width="11.7109375" style="1174" bestFit="1" customWidth="1"/>
    <col min="1306" max="1306" width="41.42578125" style="1174" bestFit="1" customWidth="1"/>
    <col min="1307" max="1310" width="10" style="1174"/>
    <col min="1311" max="1311" width="10.28515625" style="1174" bestFit="1" customWidth="1"/>
    <col min="1312" max="1536" width="10" style="1174"/>
    <col min="1537" max="1537" width="16.42578125" style="1174" customWidth="1"/>
    <col min="1538" max="1538" width="14.28515625" style="1174" customWidth="1"/>
    <col min="1539" max="1539" width="49.42578125" style="1174" bestFit="1" customWidth="1"/>
    <col min="1540" max="1540" width="22.42578125" style="1174" bestFit="1" customWidth="1"/>
    <col min="1541" max="1541" width="19.28515625" style="1174" bestFit="1" customWidth="1"/>
    <col min="1542" max="1542" width="24.85546875" style="1174" bestFit="1" customWidth="1"/>
    <col min="1543" max="1543" width="26.42578125" style="1174" bestFit="1" customWidth="1"/>
    <col min="1544" max="1544" width="17" style="1174" bestFit="1" customWidth="1"/>
    <col min="1545" max="1545" width="18.28515625" style="1174" bestFit="1" customWidth="1"/>
    <col min="1546" max="1546" width="22.5703125" style="1174" bestFit="1" customWidth="1"/>
    <col min="1547" max="1547" width="18.28515625" style="1174" bestFit="1" customWidth="1"/>
    <col min="1548" max="1548" width="16.7109375" style="1174" bestFit="1" customWidth="1"/>
    <col min="1549" max="1549" width="18.85546875" style="1174" bestFit="1" customWidth="1"/>
    <col min="1550" max="1550" width="20.140625" style="1174" bestFit="1" customWidth="1"/>
    <col min="1551" max="1551" width="19.28515625" style="1174" bestFit="1" customWidth="1"/>
    <col min="1552" max="1552" width="16.140625" style="1174" bestFit="1" customWidth="1"/>
    <col min="1553" max="1553" width="23" style="1174" bestFit="1" customWidth="1"/>
    <col min="1554" max="1554" width="16.42578125" style="1174" bestFit="1" customWidth="1"/>
    <col min="1555" max="1555" width="18.5703125" style="1174" bestFit="1" customWidth="1"/>
    <col min="1556" max="1556" width="19.85546875" style="1174" bestFit="1" customWidth="1"/>
    <col min="1557" max="1557" width="15.7109375" style="1174" customWidth="1"/>
    <col min="1558" max="1558" width="23" style="1174" bestFit="1" customWidth="1"/>
    <col min="1559" max="1559" width="16.42578125" style="1174" bestFit="1" customWidth="1"/>
    <col min="1560" max="1560" width="18" style="1174" bestFit="1" customWidth="1"/>
    <col min="1561" max="1561" width="11.7109375" style="1174" bestFit="1" customWidth="1"/>
    <col min="1562" max="1562" width="41.42578125" style="1174" bestFit="1" customWidth="1"/>
    <col min="1563" max="1566" width="10" style="1174"/>
    <col min="1567" max="1567" width="10.28515625" style="1174" bestFit="1" customWidth="1"/>
    <col min="1568" max="1792" width="10" style="1174"/>
    <col min="1793" max="1793" width="16.42578125" style="1174" customWidth="1"/>
    <col min="1794" max="1794" width="14.28515625" style="1174" customWidth="1"/>
    <col min="1795" max="1795" width="49.42578125" style="1174" bestFit="1" customWidth="1"/>
    <col min="1796" max="1796" width="22.42578125" style="1174" bestFit="1" customWidth="1"/>
    <col min="1797" max="1797" width="19.28515625" style="1174" bestFit="1" customWidth="1"/>
    <col min="1798" max="1798" width="24.85546875" style="1174" bestFit="1" customWidth="1"/>
    <col min="1799" max="1799" width="26.42578125" style="1174" bestFit="1" customWidth="1"/>
    <col min="1800" max="1800" width="17" style="1174" bestFit="1" customWidth="1"/>
    <col min="1801" max="1801" width="18.28515625" style="1174" bestFit="1" customWidth="1"/>
    <col min="1802" max="1802" width="22.5703125" style="1174" bestFit="1" customWidth="1"/>
    <col min="1803" max="1803" width="18.28515625" style="1174" bestFit="1" customWidth="1"/>
    <col min="1804" max="1804" width="16.7109375" style="1174" bestFit="1" customWidth="1"/>
    <col min="1805" max="1805" width="18.85546875" style="1174" bestFit="1" customWidth="1"/>
    <col min="1806" max="1806" width="20.140625" style="1174" bestFit="1" customWidth="1"/>
    <col min="1807" max="1807" width="19.28515625" style="1174" bestFit="1" customWidth="1"/>
    <col min="1808" max="1808" width="16.140625" style="1174" bestFit="1" customWidth="1"/>
    <col min="1809" max="1809" width="23" style="1174" bestFit="1" customWidth="1"/>
    <col min="1810" max="1810" width="16.42578125" style="1174" bestFit="1" customWidth="1"/>
    <col min="1811" max="1811" width="18.5703125" style="1174" bestFit="1" customWidth="1"/>
    <col min="1812" max="1812" width="19.85546875" style="1174" bestFit="1" customWidth="1"/>
    <col min="1813" max="1813" width="15.7109375" style="1174" customWidth="1"/>
    <col min="1814" max="1814" width="23" style="1174" bestFit="1" customWidth="1"/>
    <col min="1815" max="1815" width="16.42578125" style="1174" bestFit="1" customWidth="1"/>
    <col min="1816" max="1816" width="18" style="1174" bestFit="1" customWidth="1"/>
    <col min="1817" max="1817" width="11.7109375" style="1174" bestFit="1" customWidth="1"/>
    <col min="1818" max="1818" width="41.42578125" style="1174" bestFit="1" customWidth="1"/>
    <col min="1819" max="1822" width="10" style="1174"/>
    <col min="1823" max="1823" width="10.28515625" style="1174" bestFit="1" customWidth="1"/>
    <col min="1824" max="2048" width="10" style="1174"/>
    <col min="2049" max="2049" width="16.42578125" style="1174" customWidth="1"/>
    <col min="2050" max="2050" width="14.28515625" style="1174" customWidth="1"/>
    <col min="2051" max="2051" width="49.42578125" style="1174" bestFit="1" customWidth="1"/>
    <col min="2052" max="2052" width="22.42578125" style="1174" bestFit="1" customWidth="1"/>
    <col min="2053" max="2053" width="19.28515625" style="1174" bestFit="1" customWidth="1"/>
    <col min="2054" max="2054" width="24.85546875" style="1174" bestFit="1" customWidth="1"/>
    <col min="2055" max="2055" width="26.42578125" style="1174" bestFit="1" customWidth="1"/>
    <col min="2056" max="2056" width="17" style="1174" bestFit="1" customWidth="1"/>
    <col min="2057" max="2057" width="18.28515625" style="1174" bestFit="1" customWidth="1"/>
    <col min="2058" max="2058" width="22.5703125" style="1174" bestFit="1" customWidth="1"/>
    <col min="2059" max="2059" width="18.28515625" style="1174" bestFit="1" customWidth="1"/>
    <col min="2060" max="2060" width="16.7109375" style="1174" bestFit="1" customWidth="1"/>
    <col min="2061" max="2061" width="18.85546875" style="1174" bestFit="1" customWidth="1"/>
    <col min="2062" max="2062" width="20.140625" style="1174" bestFit="1" customWidth="1"/>
    <col min="2063" max="2063" width="19.28515625" style="1174" bestFit="1" customWidth="1"/>
    <col min="2064" max="2064" width="16.140625" style="1174" bestFit="1" customWidth="1"/>
    <col min="2065" max="2065" width="23" style="1174" bestFit="1" customWidth="1"/>
    <col min="2066" max="2066" width="16.42578125" style="1174" bestFit="1" customWidth="1"/>
    <col min="2067" max="2067" width="18.5703125" style="1174" bestFit="1" customWidth="1"/>
    <col min="2068" max="2068" width="19.85546875" style="1174" bestFit="1" customWidth="1"/>
    <col min="2069" max="2069" width="15.7109375" style="1174" customWidth="1"/>
    <col min="2070" max="2070" width="23" style="1174" bestFit="1" customWidth="1"/>
    <col min="2071" max="2071" width="16.42578125" style="1174" bestFit="1" customWidth="1"/>
    <col min="2072" max="2072" width="18" style="1174" bestFit="1" customWidth="1"/>
    <col min="2073" max="2073" width="11.7109375" style="1174" bestFit="1" customWidth="1"/>
    <col min="2074" max="2074" width="41.42578125" style="1174" bestFit="1" customWidth="1"/>
    <col min="2075" max="2078" width="10" style="1174"/>
    <col min="2079" max="2079" width="10.28515625" style="1174" bestFit="1" customWidth="1"/>
    <col min="2080" max="2304" width="10" style="1174"/>
    <col min="2305" max="2305" width="16.42578125" style="1174" customWidth="1"/>
    <col min="2306" max="2306" width="14.28515625" style="1174" customWidth="1"/>
    <col min="2307" max="2307" width="49.42578125" style="1174" bestFit="1" customWidth="1"/>
    <col min="2308" max="2308" width="22.42578125" style="1174" bestFit="1" customWidth="1"/>
    <col min="2309" max="2309" width="19.28515625" style="1174" bestFit="1" customWidth="1"/>
    <col min="2310" max="2310" width="24.85546875" style="1174" bestFit="1" customWidth="1"/>
    <col min="2311" max="2311" width="26.42578125" style="1174" bestFit="1" customWidth="1"/>
    <col min="2312" max="2312" width="17" style="1174" bestFit="1" customWidth="1"/>
    <col min="2313" max="2313" width="18.28515625" style="1174" bestFit="1" customWidth="1"/>
    <col min="2314" max="2314" width="22.5703125" style="1174" bestFit="1" customWidth="1"/>
    <col min="2315" max="2315" width="18.28515625" style="1174" bestFit="1" customWidth="1"/>
    <col min="2316" max="2316" width="16.7109375" style="1174" bestFit="1" customWidth="1"/>
    <col min="2317" max="2317" width="18.85546875" style="1174" bestFit="1" customWidth="1"/>
    <col min="2318" max="2318" width="20.140625" style="1174" bestFit="1" customWidth="1"/>
    <col min="2319" max="2319" width="19.28515625" style="1174" bestFit="1" customWidth="1"/>
    <col min="2320" max="2320" width="16.140625" style="1174" bestFit="1" customWidth="1"/>
    <col min="2321" max="2321" width="23" style="1174" bestFit="1" customWidth="1"/>
    <col min="2322" max="2322" width="16.42578125" style="1174" bestFit="1" customWidth="1"/>
    <col min="2323" max="2323" width="18.5703125" style="1174" bestFit="1" customWidth="1"/>
    <col min="2324" max="2324" width="19.85546875" style="1174" bestFit="1" customWidth="1"/>
    <col min="2325" max="2325" width="15.7109375" style="1174" customWidth="1"/>
    <col min="2326" max="2326" width="23" style="1174" bestFit="1" customWidth="1"/>
    <col min="2327" max="2327" width="16.42578125" style="1174" bestFit="1" customWidth="1"/>
    <col min="2328" max="2328" width="18" style="1174" bestFit="1" customWidth="1"/>
    <col min="2329" max="2329" width="11.7109375" style="1174" bestFit="1" customWidth="1"/>
    <col min="2330" max="2330" width="41.42578125" style="1174" bestFit="1" customWidth="1"/>
    <col min="2331" max="2334" width="10" style="1174"/>
    <col min="2335" max="2335" width="10.28515625" style="1174" bestFit="1" customWidth="1"/>
    <col min="2336" max="2560" width="10" style="1174"/>
    <col min="2561" max="2561" width="16.42578125" style="1174" customWidth="1"/>
    <col min="2562" max="2562" width="14.28515625" style="1174" customWidth="1"/>
    <col min="2563" max="2563" width="49.42578125" style="1174" bestFit="1" customWidth="1"/>
    <col min="2564" max="2564" width="22.42578125" style="1174" bestFit="1" customWidth="1"/>
    <col min="2565" max="2565" width="19.28515625" style="1174" bestFit="1" customWidth="1"/>
    <col min="2566" max="2566" width="24.85546875" style="1174" bestFit="1" customWidth="1"/>
    <col min="2567" max="2567" width="26.42578125" style="1174" bestFit="1" customWidth="1"/>
    <col min="2568" max="2568" width="17" style="1174" bestFit="1" customWidth="1"/>
    <col min="2569" max="2569" width="18.28515625" style="1174" bestFit="1" customWidth="1"/>
    <col min="2570" max="2570" width="22.5703125" style="1174" bestFit="1" customWidth="1"/>
    <col min="2571" max="2571" width="18.28515625" style="1174" bestFit="1" customWidth="1"/>
    <col min="2572" max="2572" width="16.7109375" style="1174" bestFit="1" customWidth="1"/>
    <col min="2573" max="2573" width="18.85546875" style="1174" bestFit="1" customWidth="1"/>
    <col min="2574" max="2574" width="20.140625" style="1174" bestFit="1" customWidth="1"/>
    <col min="2575" max="2575" width="19.28515625" style="1174" bestFit="1" customWidth="1"/>
    <col min="2576" max="2576" width="16.140625" style="1174" bestFit="1" customWidth="1"/>
    <col min="2577" max="2577" width="23" style="1174" bestFit="1" customWidth="1"/>
    <col min="2578" max="2578" width="16.42578125" style="1174" bestFit="1" customWidth="1"/>
    <col min="2579" max="2579" width="18.5703125" style="1174" bestFit="1" customWidth="1"/>
    <col min="2580" max="2580" width="19.85546875" style="1174" bestFit="1" customWidth="1"/>
    <col min="2581" max="2581" width="15.7109375" style="1174" customWidth="1"/>
    <col min="2582" max="2582" width="23" style="1174" bestFit="1" customWidth="1"/>
    <col min="2583" max="2583" width="16.42578125" style="1174" bestFit="1" customWidth="1"/>
    <col min="2584" max="2584" width="18" style="1174" bestFit="1" customWidth="1"/>
    <col min="2585" max="2585" width="11.7109375" style="1174" bestFit="1" customWidth="1"/>
    <col min="2586" max="2586" width="41.42578125" style="1174" bestFit="1" customWidth="1"/>
    <col min="2587" max="2590" width="10" style="1174"/>
    <col min="2591" max="2591" width="10.28515625" style="1174" bestFit="1" customWidth="1"/>
    <col min="2592" max="2816" width="10" style="1174"/>
    <col min="2817" max="2817" width="16.42578125" style="1174" customWidth="1"/>
    <col min="2818" max="2818" width="14.28515625" style="1174" customWidth="1"/>
    <col min="2819" max="2819" width="49.42578125" style="1174" bestFit="1" customWidth="1"/>
    <col min="2820" max="2820" width="22.42578125" style="1174" bestFit="1" customWidth="1"/>
    <col min="2821" max="2821" width="19.28515625" style="1174" bestFit="1" customWidth="1"/>
    <col min="2822" max="2822" width="24.85546875" style="1174" bestFit="1" customWidth="1"/>
    <col min="2823" max="2823" width="26.42578125" style="1174" bestFit="1" customWidth="1"/>
    <col min="2824" max="2824" width="17" style="1174" bestFit="1" customWidth="1"/>
    <col min="2825" max="2825" width="18.28515625" style="1174" bestFit="1" customWidth="1"/>
    <col min="2826" max="2826" width="22.5703125" style="1174" bestFit="1" customWidth="1"/>
    <col min="2827" max="2827" width="18.28515625" style="1174" bestFit="1" customWidth="1"/>
    <col min="2828" max="2828" width="16.7109375" style="1174" bestFit="1" customWidth="1"/>
    <col min="2829" max="2829" width="18.85546875" style="1174" bestFit="1" customWidth="1"/>
    <col min="2830" max="2830" width="20.140625" style="1174" bestFit="1" customWidth="1"/>
    <col min="2831" max="2831" width="19.28515625" style="1174" bestFit="1" customWidth="1"/>
    <col min="2832" max="2832" width="16.140625" style="1174" bestFit="1" customWidth="1"/>
    <col min="2833" max="2833" width="23" style="1174" bestFit="1" customWidth="1"/>
    <col min="2834" max="2834" width="16.42578125" style="1174" bestFit="1" customWidth="1"/>
    <col min="2835" max="2835" width="18.5703125" style="1174" bestFit="1" customWidth="1"/>
    <col min="2836" max="2836" width="19.85546875" style="1174" bestFit="1" customWidth="1"/>
    <col min="2837" max="2837" width="15.7109375" style="1174" customWidth="1"/>
    <col min="2838" max="2838" width="23" style="1174" bestFit="1" customWidth="1"/>
    <col min="2839" max="2839" width="16.42578125" style="1174" bestFit="1" customWidth="1"/>
    <col min="2840" max="2840" width="18" style="1174" bestFit="1" customWidth="1"/>
    <col min="2841" max="2841" width="11.7109375" style="1174" bestFit="1" customWidth="1"/>
    <col min="2842" max="2842" width="41.42578125" style="1174" bestFit="1" customWidth="1"/>
    <col min="2843" max="2846" width="10" style="1174"/>
    <col min="2847" max="2847" width="10.28515625" style="1174" bestFit="1" customWidth="1"/>
    <col min="2848" max="3072" width="10" style="1174"/>
    <col min="3073" max="3073" width="16.42578125" style="1174" customWidth="1"/>
    <col min="3074" max="3074" width="14.28515625" style="1174" customWidth="1"/>
    <col min="3075" max="3075" width="49.42578125" style="1174" bestFit="1" customWidth="1"/>
    <col min="3076" max="3076" width="22.42578125" style="1174" bestFit="1" customWidth="1"/>
    <col min="3077" max="3077" width="19.28515625" style="1174" bestFit="1" customWidth="1"/>
    <col min="3078" max="3078" width="24.85546875" style="1174" bestFit="1" customWidth="1"/>
    <col min="3079" max="3079" width="26.42578125" style="1174" bestFit="1" customWidth="1"/>
    <col min="3080" max="3080" width="17" style="1174" bestFit="1" customWidth="1"/>
    <col min="3081" max="3081" width="18.28515625" style="1174" bestFit="1" customWidth="1"/>
    <col min="3082" max="3082" width="22.5703125" style="1174" bestFit="1" customWidth="1"/>
    <col min="3083" max="3083" width="18.28515625" style="1174" bestFit="1" customWidth="1"/>
    <col min="3084" max="3084" width="16.7109375" style="1174" bestFit="1" customWidth="1"/>
    <col min="3085" max="3085" width="18.85546875" style="1174" bestFit="1" customWidth="1"/>
    <col min="3086" max="3086" width="20.140625" style="1174" bestFit="1" customWidth="1"/>
    <col min="3087" max="3087" width="19.28515625" style="1174" bestFit="1" customWidth="1"/>
    <col min="3088" max="3088" width="16.140625" style="1174" bestFit="1" customWidth="1"/>
    <col min="3089" max="3089" width="23" style="1174" bestFit="1" customWidth="1"/>
    <col min="3090" max="3090" width="16.42578125" style="1174" bestFit="1" customWidth="1"/>
    <col min="3091" max="3091" width="18.5703125" style="1174" bestFit="1" customWidth="1"/>
    <col min="3092" max="3092" width="19.85546875" style="1174" bestFit="1" customWidth="1"/>
    <col min="3093" max="3093" width="15.7109375" style="1174" customWidth="1"/>
    <col min="3094" max="3094" width="23" style="1174" bestFit="1" customWidth="1"/>
    <col min="3095" max="3095" width="16.42578125" style="1174" bestFit="1" customWidth="1"/>
    <col min="3096" max="3096" width="18" style="1174" bestFit="1" customWidth="1"/>
    <col min="3097" max="3097" width="11.7109375" style="1174" bestFit="1" customWidth="1"/>
    <col min="3098" max="3098" width="41.42578125" style="1174" bestFit="1" customWidth="1"/>
    <col min="3099" max="3102" width="10" style="1174"/>
    <col min="3103" max="3103" width="10.28515625" style="1174" bestFit="1" customWidth="1"/>
    <col min="3104" max="3328" width="10" style="1174"/>
    <col min="3329" max="3329" width="16.42578125" style="1174" customWidth="1"/>
    <col min="3330" max="3330" width="14.28515625" style="1174" customWidth="1"/>
    <col min="3331" max="3331" width="49.42578125" style="1174" bestFit="1" customWidth="1"/>
    <col min="3332" max="3332" width="22.42578125" style="1174" bestFit="1" customWidth="1"/>
    <col min="3333" max="3333" width="19.28515625" style="1174" bestFit="1" customWidth="1"/>
    <col min="3334" max="3334" width="24.85546875" style="1174" bestFit="1" customWidth="1"/>
    <col min="3335" max="3335" width="26.42578125" style="1174" bestFit="1" customWidth="1"/>
    <col min="3336" max="3336" width="17" style="1174" bestFit="1" customWidth="1"/>
    <col min="3337" max="3337" width="18.28515625" style="1174" bestFit="1" customWidth="1"/>
    <col min="3338" max="3338" width="22.5703125" style="1174" bestFit="1" customWidth="1"/>
    <col min="3339" max="3339" width="18.28515625" style="1174" bestFit="1" customWidth="1"/>
    <col min="3340" max="3340" width="16.7109375" style="1174" bestFit="1" customWidth="1"/>
    <col min="3341" max="3341" width="18.85546875" style="1174" bestFit="1" customWidth="1"/>
    <col min="3342" max="3342" width="20.140625" style="1174" bestFit="1" customWidth="1"/>
    <col min="3343" max="3343" width="19.28515625" style="1174" bestFit="1" customWidth="1"/>
    <col min="3344" max="3344" width="16.140625" style="1174" bestFit="1" customWidth="1"/>
    <col min="3345" max="3345" width="23" style="1174" bestFit="1" customWidth="1"/>
    <col min="3346" max="3346" width="16.42578125" style="1174" bestFit="1" customWidth="1"/>
    <col min="3347" max="3347" width="18.5703125" style="1174" bestFit="1" customWidth="1"/>
    <col min="3348" max="3348" width="19.85546875" style="1174" bestFit="1" customWidth="1"/>
    <col min="3349" max="3349" width="15.7109375" style="1174" customWidth="1"/>
    <col min="3350" max="3350" width="23" style="1174" bestFit="1" customWidth="1"/>
    <col min="3351" max="3351" width="16.42578125" style="1174" bestFit="1" customWidth="1"/>
    <col min="3352" max="3352" width="18" style="1174" bestFit="1" customWidth="1"/>
    <col min="3353" max="3353" width="11.7109375" style="1174" bestFit="1" customWidth="1"/>
    <col min="3354" max="3354" width="41.42578125" style="1174" bestFit="1" customWidth="1"/>
    <col min="3355" max="3358" width="10" style="1174"/>
    <col min="3359" max="3359" width="10.28515625" style="1174" bestFit="1" customWidth="1"/>
    <col min="3360" max="3584" width="10" style="1174"/>
    <col min="3585" max="3585" width="16.42578125" style="1174" customWidth="1"/>
    <col min="3586" max="3586" width="14.28515625" style="1174" customWidth="1"/>
    <col min="3587" max="3587" width="49.42578125" style="1174" bestFit="1" customWidth="1"/>
    <col min="3588" max="3588" width="22.42578125" style="1174" bestFit="1" customWidth="1"/>
    <col min="3589" max="3589" width="19.28515625" style="1174" bestFit="1" customWidth="1"/>
    <col min="3590" max="3590" width="24.85546875" style="1174" bestFit="1" customWidth="1"/>
    <col min="3591" max="3591" width="26.42578125" style="1174" bestFit="1" customWidth="1"/>
    <col min="3592" max="3592" width="17" style="1174" bestFit="1" customWidth="1"/>
    <col min="3593" max="3593" width="18.28515625" style="1174" bestFit="1" customWidth="1"/>
    <col min="3594" max="3594" width="22.5703125" style="1174" bestFit="1" customWidth="1"/>
    <col min="3595" max="3595" width="18.28515625" style="1174" bestFit="1" customWidth="1"/>
    <col min="3596" max="3596" width="16.7109375" style="1174" bestFit="1" customWidth="1"/>
    <col min="3597" max="3597" width="18.85546875" style="1174" bestFit="1" customWidth="1"/>
    <col min="3598" max="3598" width="20.140625" style="1174" bestFit="1" customWidth="1"/>
    <col min="3599" max="3599" width="19.28515625" style="1174" bestFit="1" customWidth="1"/>
    <col min="3600" max="3600" width="16.140625" style="1174" bestFit="1" customWidth="1"/>
    <col min="3601" max="3601" width="23" style="1174" bestFit="1" customWidth="1"/>
    <col min="3602" max="3602" width="16.42578125" style="1174" bestFit="1" customWidth="1"/>
    <col min="3603" max="3603" width="18.5703125" style="1174" bestFit="1" customWidth="1"/>
    <col min="3604" max="3604" width="19.85546875" style="1174" bestFit="1" customWidth="1"/>
    <col min="3605" max="3605" width="15.7109375" style="1174" customWidth="1"/>
    <col min="3606" max="3606" width="23" style="1174" bestFit="1" customWidth="1"/>
    <col min="3607" max="3607" width="16.42578125" style="1174" bestFit="1" customWidth="1"/>
    <col min="3608" max="3608" width="18" style="1174" bestFit="1" customWidth="1"/>
    <col min="3609" max="3609" width="11.7109375" style="1174" bestFit="1" customWidth="1"/>
    <col min="3610" max="3610" width="41.42578125" style="1174" bestFit="1" customWidth="1"/>
    <col min="3611" max="3614" width="10" style="1174"/>
    <col min="3615" max="3615" width="10.28515625" style="1174" bestFit="1" customWidth="1"/>
    <col min="3616" max="3840" width="10" style="1174"/>
    <col min="3841" max="3841" width="16.42578125" style="1174" customWidth="1"/>
    <col min="3842" max="3842" width="14.28515625" style="1174" customWidth="1"/>
    <col min="3843" max="3843" width="49.42578125" style="1174" bestFit="1" customWidth="1"/>
    <col min="3844" max="3844" width="22.42578125" style="1174" bestFit="1" customWidth="1"/>
    <col min="3845" max="3845" width="19.28515625" style="1174" bestFit="1" customWidth="1"/>
    <col min="3846" max="3846" width="24.85546875" style="1174" bestFit="1" customWidth="1"/>
    <col min="3847" max="3847" width="26.42578125" style="1174" bestFit="1" customWidth="1"/>
    <col min="3848" max="3848" width="17" style="1174" bestFit="1" customWidth="1"/>
    <col min="3849" max="3849" width="18.28515625" style="1174" bestFit="1" customWidth="1"/>
    <col min="3850" max="3850" width="22.5703125" style="1174" bestFit="1" customWidth="1"/>
    <col min="3851" max="3851" width="18.28515625" style="1174" bestFit="1" customWidth="1"/>
    <col min="3852" max="3852" width="16.7109375" style="1174" bestFit="1" customWidth="1"/>
    <col min="3853" max="3853" width="18.85546875" style="1174" bestFit="1" customWidth="1"/>
    <col min="3854" max="3854" width="20.140625" style="1174" bestFit="1" customWidth="1"/>
    <col min="3855" max="3855" width="19.28515625" style="1174" bestFit="1" customWidth="1"/>
    <col min="3856" max="3856" width="16.140625" style="1174" bestFit="1" customWidth="1"/>
    <col min="3857" max="3857" width="23" style="1174" bestFit="1" customWidth="1"/>
    <col min="3858" max="3858" width="16.42578125" style="1174" bestFit="1" customWidth="1"/>
    <col min="3859" max="3859" width="18.5703125" style="1174" bestFit="1" customWidth="1"/>
    <col min="3860" max="3860" width="19.85546875" style="1174" bestFit="1" customWidth="1"/>
    <col min="3861" max="3861" width="15.7109375" style="1174" customWidth="1"/>
    <col min="3862" max="3862" width="23" style="1174" bestFit="1" customWidth="1"/>
    <col min="3863" max="3863" width="16.42578125" style="1174" bestFit="1" customWidth="1"/>
    <col min="3864" max="3864" width="18" style="1174" bestFit="1" customWidth="1"/>
    <col min="3865" max="3865" width="11.7109375" style="1174" bestFit="1" customWidth="1"/>
    <col min="3866" max="3866" width="41.42578125" style="1174" bestFit="1" customWidth="1"/>
    <col min="3867" max="3870" width="10" style="1174"/>
    <col min="3871" max="3871" width="10.28515625" style="1174" bestFit="1" customWidth="1"/>
    <col min="3872" max="4096" width="10" style="1174"/>
    <col min="4097" max="4097" width="16.42578125" style="1174" customWidth="1"/>
    <col min="4098" max="4098" width="14.28515625" style="1174" customWidth="1"/>
    <col min="4099" max="4099" width="49.42578125" style="1174" bestFit="1" customWidth="1"/>
    <col min="4100" max="4100" width="22.42578125" style="1174" bestFit="1" customWidth="1"/>
    <col min="4101" max="4101" width="19.28515625" style="1174" bestFit="1" customWidth="1"/>
    <col min="4102" max="4102" width="24.85546875" style="1174" bestFit="1" customWidth="1"/>
    <col min="4103" max="4103" width="26.42578125" style="1174" bestFit="1" customWidth="1"/>
    <col min="4104" max="4104" width="17" style="1174" bestFit="1" customWidth="1"/>
    <col min="4105" max="4105" width="18.28515625" style="1174" bestFit="1" customWidth="1"/>
    <col min="4106" max="4106" width="22.5703125" style="1174" bestFit="1" customWidth="1"/>
    <col min="4107" max="4107" width="18.28515625" style="1174" bestFit="1" customWidth="1"/>
    <col min="4108" max="4108" width="16.7109375" style="1174" bestFit="1" customWidth="1"/>
    <col min="4109" max="4109" width="18.85546875" style="1174" bestFit="1" customWidth="1"/>
    <col min="4110" max="4110" width="20.140625" style="1174" bestFit="1" customWidth="1"/>
    <col min="4111" max="4111" width="19.28515625" style="1174" bestFit="1" customWidth="1"/>
    <col min="4112" max="4112" width="16.140625" style="1174" bestFit="1" customWidth="1"/>
    <col min="4113" max="4113" width="23" style="1174" bestFit="1" customWidth="1"/>
    <col min="4114" max="4114" width="16.42578125" style="1174" bestFit="1" customWidth="1"/>
    <col min="4115" max="4115" width="18.5703125" style="1174" bestFit="1" customWidth="1"/>
    <col min="4116" max="4116" width="19.85546875" style="1174" bestFit="1" customWidth="1"/>
    <col min="4117" max="4117" width="15.7109375" style="1174" customWidth="1"/>
    <col min="4118" max="4118" width="23" style="1174" bestFit="1" customWidth="1"/>
    <col min="4119" max="4119" width="16.42578125" style="1174" bestFit="1" customWidth="1"/>
    <col min="4120" max="4120" width="18" style="1174" bestFit="1" customWidth="1"/>
    <col min="4121" max="4121" width="11.7109375" style="1174" bestFit="1" customWidth="1"/>
    <col min="4122" max="4122" width="41.42578125" style="1174" bestFit="1" customWidth="1"/>
    <col min="4123" max="4126" width="10" style="1174"/>
    <col min="4127" max="4127" width="10.28515625" style="1174" bestFit="1" customWidth="1"/>
    <col min="4128" max="4352" width="10" style="1174"/>
    <col min="4353" max="4353" width="16.42578125" style="1174" customWidth="1"/>
    <col min="4354" max="4354" width="14.28515625" style="1174" customWidth="1"/>
    <col min="4355" max="4355" width="49.42578125" style="1174" bestFit="1" customWidth="1"/>
    <col min="4356" max="4356" width="22.42578125" style="1174" bestFit="1" customWidth="1"/>
    <col min="4357" max="4357" width="19.28515625" style="1174" bestFit="1" customWidth="1"/>
    <col min="4358" max="4358" width="24.85546875" style="1174" bestFit="1" customWidth="1"/>
    <col min="4359" max="4359" width="26.42578125" style="1174" bestFit="1" customWidth="1"/>
    <col min="4360" max="4360" width="17" style="1174" bestFit="1" customWidth="1"/>
    <col min="4361" max="4361" width="18.28515625" style="1174" bestFit="1" customWidth="1"/>
    <col min="4362" max="4362" width="22.5703125" style="1174" bestFit="1" customWidth="1"/>
    <col min="4363" max="4363" width="18.28515625" style="1174" bestFit="1" customWidth="1"/>
    <col min="4364" max="4364" width="16.7109375" style="1174" bestFit="1" customWidth="1"/>
    <col min="4365" max="4365" width="18.85546875" style="1174" bestFit="1" customWidth="1"/>
    <col min="4366" max="4366" width="20.140625" style="1174" bestFit="1" customWidth="1"/>
    <col min="4367" max="4367" width="19.28515625" style="1174" bestFit="1" customWidth="1"/>
    <col min="4368" max="4368" width="16.140625" style="1174" bestFit="1" customWidth="1"/>
    <col min="4369" max="4369" width="23" style="1174" bestFit="1" customWidth="1"/>
    <col min="4370" max="4370" width="16.42578125" style="1174" bestFit="1" customWidth="1"/>
    <col min="4371" max="4371" width="18.5703125" style="1174" bestFit="1" customWidth="1"/>
    <col min="4372" max="4372" width="19.85546875" style="1174" bestFit="1" customWidth="1"/>
    <col min="4373" max="4373" width="15.7109375" style="1174" customWidth="1"/>
    <col min="4374" max="4374" width="23" style="1174" bestFit="1" customWidth="1"/>
    <col min="4375" max="4375" width="16.42578125" style="1174" bestFit="1" customWidth="1"/>
    <col min="4376" max="4376" width="18" style="1174" bestFit="1" customWidth="1"/>
    <col min="4377" max="4377" width="11.7109375" style="1174" bestFit="1" customWidth="1"/>
    <col min="4378" max="4378" width="41.42578125" style="1174" bestFit="1" customWidth="1"/>
    <col min="4379" max="4382" width="10" style="1174"/>
    <col min="4383" max="4383" width="10.28515625" style="1174" bestFit="1" customWidth="1"/>
    <col min="4384" max="4608" width="10" style="1174"/>
    <col min="4609" max="4609" width="16.42578125" style="1174" customWidth="1"/>
    <col min="4610" max="4610" width="14.28515625" style="1174" customWidth="1"/>
    <col min="4611" max="4611" width="49.42578125" style="1174" bestFit="1" customWidth="1"/>
    <col min="4612" max="4612" width="22.42578125" style="1174" bestFit="1" customWidth="1"/>
    <col min="4613" max="4613" width="19.28515625" style="1174" bestFit="1" customWidth="1"/>
    <col min="4614" max="4614" width="24.85546875" style="1174" bestFit="1" customWidth="1"/>
    <col min="4615" max="4615" width="26.42578125" style="1174" bestFit="1" customWidth="1"/>
    <col min="4616" max="4616" width="17" style="1174" bestFit="1" customWidth="1"/>
    <col min="4617" max="4617" width="18.28515625" style="1174" bestFit="1" customWidth="1"/>
    <col min="4618" max="4618" width="22.5703125" style="1174" bestFit="1" customWidth="1"/>
    <col min="4619" max="4619" width="18.28515625" style="1174" bestFit="1" customWidth="1"/>
    <col min="4620" max="4620" width="16.7109375" style="1174" bestFit="1" customWidth="1"/>
    <col min="4621" max="4621" width="18.85546875" style="1174" bestFit="1" customWidth="1"/>
    <col min="4622" max="4622" width="20.140625" style="1174" bestFit="1" customWidth="1"/>
    <col min="4623" max="4623" width="19.28515625" style="1174" bestFit="1" customWidth="1"/>
    <col min="4624" max="4624" width="16.140625" style="1174" bestFit="1" customWidth="1"/>
    <col min="4625" max="4625" width="23" style="1174" bestFit="1" customWidth="1"/>
    <col min="4626" max="4626" width="16.42578125" style="1174" bestFit="1" customWidth="1"/>
    <col min="4627" max="4627" width="18.5703125" style="1174" bestFit="1" customWidth="1"/>
    <col min="4628" max="4628" width="19.85546875" style="1174" bestFit="1" customWidth="1"/>
    <col min="4629" max="4629" width="15.7109375" style="1174" customWidth="1"/>
    <col min="4630" max="4630" width="23" style="1174" bestFit="1" customWidth="1"/>
    <col min="4631" max="4631" width="16.42578125" style="1174" bestFit="1" customWidth="1"/>
    <col min="4632" max="4632" width="18" style="1174" bestFit="1" customWidth="1"/>
    <col min="4633" max="4633" width="11.7109375" style="1174" bestFit="1" customWidth="1"/>
    <col min="4634" max="4634" width="41.42578125" style="1174" bestFit="1" customWidth="1"/>
    <col min="4635" max="4638" width="10" style="1174"/>
    <col min="4639" max="4639" width="10.28515625" style="1174" bestFit="1" customWidth="1"/>
    <col min="4640" max="4864" width="10" style="1174"/>
    <col min="4865" max="4865" width="16.42578125" style="1174" customWidth="1"/>
    <col min="4866" max="4866" width="14.28515625" style="1174" customWidth="1"/>
    <col min="4867" max="4867" width="49.42578125" style="1174" bestFit="1" customWidth="1"/>
    <col min="4868" max="4868" width="22.42578125" style="1174" bestFit="1" customWidth="1"/>
    <col min="4869" max="4869" width="19.28515625" style="1174" bestFit="1" customWidth="1"/>
    <col min="4870" max="4870" width="24.85546875" style="1174" bestFit="1" customWidth="1"/>
    <col min="4871" max="4871" width="26.42578125" style="1174" bestFit="1" customWidth="1"/>
    <col min="4872" max="4872" width="17" style="1174" bestFit="1" customWidth="1"/>
    <col min="4873" max="4873" width="18.28515625" style="1174" bestFit="1" customWidth="1"/>
    <col min="4874" max="4874" width="22.5703125" style="1174" bestFit="1" customWidth="1"/>
    <col min="4875" max="4875" width="18.28515625" style="1174" bestFit="1" customWidth="1"/>
    <col min="4876" max="4876" width="16.7109375" style="1174" bestFit="1" customWidth="1"/>
    <col min="4877" max="4877" width="18.85546875" style="1174" bestFit="1" customWidth="1"/>
    <col min="4878" max="4878" width="20.140625" style="1174" bestFit="1" customWidth="1"/>
    <col min="4879" max="4879" width="19.28515625" style="1174" bestFit="1" customWidth="1"/>
    <col min="4880" max="4880" width="16.140625" style="1174" bestFit="1" customWidth="1"/>
    <col min="4881" max="4881" width="23" style="1174" bestFit="1" customWidth="1"/>
    <col min="4882" max="4882" width="16.42578125" style="1174" bestFit="1" customWidth="1"/>
    <col min="4883" max="4883" width="18.5703125" style="1174" bestFit="1" customWidth="1"/>
    <col min="4884" max="4884" width="19.85546875" style="1174" bestFit="1" customWidth="1"/>
    <col min="4885" max="4885" width="15.7109375" style="1174" customWidth="1"/>
    <col min="4886" max="4886" width="23" style="1174" bestFit="1" customWidth="1"/>
    <col min="4887" max="4887" width="16.42578125" style="1174" bestFit="1" customWidth="1"/>
    <col min="4888" max="4888" width="18" style="1174" bestFit="1" customWidth="1"/>
    <col min="4889" max="4889" width="11.7109375" style="1174" bestFit="1" customWidth="1"/>
    <col min="4890" max="4890" width="41.42578125" style="1174" bestFit="1" customWidth="1"/>
    <col min="4891" max="4894" width="10" style="1174"/>
    <col min="4895" max="4895" width="10.28515625" style="1174" bestFit="1" customWidth="1"/>
    <col min="4896" max="5120" width="10" style="1174"/>
    <col min="5121" max="5121" width="16.42578125" style="1174" customWidth="1"/>
    <col min="5122" max="5122" width="14.28515625" style="1174" customWidth="1"/>
    <col min="5123" max="5123" width="49.42578125" style="1174" bestFit="1" customWidth="1"/>
    <col min="5124" max="5124" width="22.42578125" style="1174" bestFit="1" customWidth="1"/>
    <col min="5125" max="5125" width="19.28515625" style="1174" bestFit="1" customWidth="1"/>
    <col min="5126" max="5126" width="24.85546875" style="1174" bestFit="1" customWidth="1"/>
    <col min="5127" max="5127" width="26.42578125" style="1174" bestFit="1" customWidth="1"/>
    <col min="5128" max="5128" width="17" style="1174" bestFit="1" customWidth="1"/>
    <col min="5129" max="5129" width="18.28515625" style="1174" bestFit="1" customWidth="1"/>
    <col min="5130" max="5130" width="22.5703125" style="1174" bestFit="1" customWidth="1"/>
    <col min="5131" max="5131" width="18.28515625" style="1174" bestFit="1" customWidth="1"/>
    <col min="5132" max="5132" width="16.7109375" style="1174" bestFit="1" customWidth="1"/>
    <col min="5133" max="5133" width="18.85546875" style="1174" bestFit="1" customWidth="1"/>
    <col min="5134" max="5134" width="20.140625" style="1174" bestFit="1" customWidth="1"/>
    <col min="5135" max="5135" width="19.28515625" style="1174" bestFit="1" customWidth="1"/>
    <col min="5136" max="5136" width="16.140625" style="1174" bestFit="1" customWidth="1"/>
    <col min="5137" max="5137" width="23" style="1174" bestFit="1" customWidth="1"/>
    <col min="5138" max="5138" width="16.42578125" style="1174" bestFit="1" customWidth="1"/>
    <col min="5139" max="5139" width="18.5703125" style="1174" bestFit="1" customWidth="1"/>
    <col min="5140" max="5140" width="19.85546875" style="1174" bestFit="1" customWidth="1"/>
    <col min="5141" max="5141" width="15.7109375" style="1174" customWidth="1"/>
    <col min="5142" max="5142" width="23" style="1174" bestFit="1" customWidth="1"/>
    <col min="5143" max="5143" width="16.42578125" style="1174" bestFit="1" customWidth="1"/>
    <col min="5144" max="5144" width="18" style="1174" bestFit="1" customWidth="1"/>
    <col min="5145" max="5145" width="11.7109375" style="1174" bestFit="1" customWidth="1"/>
    <col min="5146" max="5146" width="41.42578125" style="1174" bestFit="1" customWidth="1"/>
    <col min="5147" max="5150" width="10" style="1174"/>
    <col min="5151" max="5151" width="10.28515625" style="1174" bestFit="1" customWidth="1"/>
    <col min="5152" max="5376" width="10" style="1174"/>
    <col min="5377" max="5377" width="16.42578125" style="1174" customWidth="1"/>
    <col min="5378" max="5378" width="14.28515625" style="1174" customWidth="1"/>
    <col min="5379" max="5379" width="49.42578125" style="1174" bestFit="1" customWidth="1"/>
    <col min="5380" max="5380" width="22.42578125" style="1174" bestFit="1" customWidth="1"/>
    <col min="5381" max="5381" width="19.28515625" style="1174" bestFit="1" customWidth="1"/>
    <col min="5382" max="5382" width="24.85546875" style="1174" bestFit="1" customWidth="1"/>
    <col min="5383" max="5383" width="26.42578125" style="1174" bestFit="1" customWidth="1"/>
    <col min="5384" max="5384" width="17" style="1174" bestFit="1" customWidth="1"/>
    <col min="5385" max="5385" width="18.28515625" style="1174" bestFit="1" customWidth="1"/>
    <col min="5386" max="5386" width="22.5703125" style="1174" bestFit="1" customWidth="1"/>
    <col min="5387" max="5387" width="18.28515625" style="1174" bestFit="1" customWidth="1"/>
    <col min="5388" max="5388" width="16.7109375" style="1174" bestFit="1" customWidth="1"/>
    <col min="5389" max="5389" width="18.85546875" style="1174" bestFit="1" customWidth="1"/>
    <col min="5390" max="5390" width="20.140625" style="1174" bestFit="1" customWidth="1"/>
    <col min="5391" max="5391" width="19.28515625" style="1174" bestFit="1" customWidth="1"/>
    <col min="5392" max="5392" width="16.140625" style="1174" bestFit="1" customWidth="1"/>
    <col min="5393" max="5393" width="23" style="1174" bestFit="1" customWidth="1"/>
    <col min="5394" max="5394" width="16.42578125" style="1174" bestFit="1" customWidth="1"/>
    <col min="5395" max="5395" width="18.5703125" style="1174" bestFit="1" customWidth="1"/>
    <col min="5396" max="5396" width="19.85546875" style="1174" bestFit="1" customWidth="1"/>
    <col min="5397" max="5397" width="15.7109375" style="1174" customWidth="1"/>
    <col min="5398" max="5398" width="23" style="1174" bestFit="1" customWidth="1"/>
    <col min="5399" max="5399" width="16.42578125" style="1174" bestFit="1" customWidth="1"/>
    <col min="5400" max="5400" width="18" style="1174" bestFit="1" customWidth="1"/>
    <col min="5401" max="5401" width="11.7109375" style="1174" bestFit="1" customWidth="1"/>
    <col min="5402" max="5402" width="41.42578125" style="1174" bestFit="1" customWidth="1"/>
    <col min="5403" max="5406" width="10" style="1174"/>
    <col min="5407" max="5407" width="10.28515625" style="1174" bestFit="1" customWidth="1"/>
    <col min="5408" max="5632" width="10" style="1174"/>
    <col min="5633" max="5633" width="16.42578125" style="1174" customWidth="1"/>
    <col min="5634" max="5634" width="14.28515625" style="1174" customWidth="1"/>
    <col min="5635" max="5635" width="49.42578125" style="1174" bestFit="1" customWidth="1"/>
    <col min="5636" max="5636" width="22.42578125" style="1174" bestFit="1" customWidth="1"/>
    <col min="5637" max="5637" width="19.28515625" style="1174" bestFit="1" customWidth="1"/>
    <col min="5638" max="5638" width="24.85546875" style="1174" bestFit="1" customWidth="1"/>
    <col min="5639" max="5639" width="26.42578125" style="1174" bestFit="1" customWidth="1"/>
    <col min="5640" max="5640" width="17" style="1174" bestFit="1" customWidth="1"/>
    <col min="5641" max="5641" width="18.28515625" style="1174" bestFit="1" customWidth="1"/>
    <col min="5642" max="5642" width="22.5703125" style="1174" bestFit="1" customWidth="1"/>
    <col min="5643" max="5643" width="18.28515625" style="1174" bestFit="1" customWidth="1"/>
    <col min="5644" max="5644" width="16.7109375" style="1174" bestFit="1" customWidth="1"/>
    <col min="5645" max="5645" width="18.85546875" style="1174" bestFit="1" customWidth="1"/>
    <col min="5646" max="5646" width="20.140625" style="1174" bestFit="1" customWidth="1"/>
    <col min="5647" max="5647" width="19.28515625" style="1174" bestFit="1" customWidth="1"/>
    <col min="5648" max="5648" width="16.140625" style="1174" bestFit="1" customWidth="1"/>
    <col min="5649" max="5649" width="23" style="1174" bestFit="1" customWidth="1"/>
    <col min="5650" max="5650" width="16.42578125" style="1174" bestFit="1" customWidth="1"/>
    <col min="5651" max="5651" width="18.5703125" style="1174" bestFit="1" customWidth="1"/>
    <col min="5652" max="5652" width="19.85546875" style="1174" bestFit="1" customWidth="1"/>
    <col min="5653" max="5653" width="15.7109375" style="1174" customWidth="1"/>
    <col min="5654" max="5654" width="23" style="1174" bestFit="1" customWidth="1"/>
    <col min="5655" max="5655" width="16.42578125" style="1174" bestFit="1" customWidth="1"/>
    <col min="5656" max="5656" width="18" style="1174" bestFit="1" customWidth="1"/>
    <col min="5657" max="5657" width="11.7109375" style="1174" bestFit="1" customWidth="1"/>
    <col min="5658" max="5658" width="41.42578125" style="1174" bestFit="1" customWidth="1"/>
    <col min="5659" max="5662" width="10" style="1174"/>
    <col min="5663" max="5663" width="10.28515625" style="1174" bestFit="1" customWidth="1"/>
    <col min="5664" max="5888" width="10" style="1174"/>
    <col min="5889" max="5889" width="16.42578125" style="1174" customWidth="1"/>
    <col min="5890" max="5890" width="14.28515625" style="1174" customWidth="1"/>
    <col min="5891" max="5891" width="49.42578125" style="1174" bestFit="1" customWidth="1"/>
    <col min="5892" max="5892" width="22.42578125" style="1174" bestFit="1" customWidth="1"/>
    <col min="5893" max="5893" width="19.28515625" style="1174" bestFit="1" customWidth="1"/>
    <col min="5894" max="5894" width="24.85546875" style="1174" bestFit="1" customWidth="1"/>
    <col min="5895" max="5895" width="26.42578125" style="1174" bestFit="1" customWidth="1"/>
    <col min="5896" max="5896" width="17" style="1174" bestFit="1" customWidth="1"/>
    <col min="5897" max="5897" width="18.28515625" style="1174" bestFit="1" customWidth="1"/>
    <col min="5898" max="5898" width="22.5703125" style="1174" bestFit="1" customWidth="1"/>
    <col min="5899" max="5899" width="18.28515625" style="1174" bestFit="1" customWidth="1"/>
    <col min="5900" max="5900" width="16.7109375" style="1174" bestFit="1" customWidth="1"/>
    <col min="5901" max="5901" width="18.85546875" style="1174" bestFit="1" customWidth="1"/>
    <col min="5902" max="5902" width="20.140625" style="1174" bestFit="1" customWidth="1"/>
    <col min="5903" max="5903" width="19.28515625" style="1174" bestFit="1" customWidth="1"/>
    <col min="5904" max="5904" width="16.140625" style="1174" bestFit="1" customWidth="1"/>
    <col min="5905" max="5905" width="23" style="1174" bestFit="1" customWidth="1"/>
    <col min="5906" max="5906" width="16.42578125" style="1174" bestFit="1" customWidth="1"/>
    <col min="5907" max="5907" width="18.5703125" style="1174" bestFit="1" customWidth="1"/>
    <col min="5908" max="5908" width="19.85546875" style="1174" bestFit="1" customWidth="1"/>
    <col min="5909" max="5909" width="15.7109375" style="1174" customWidth="1"/>
    <col min="5910" max="5910" width="23" style="1174" bestFit="1" customWidth="1"/>
    <col min="5911" max="5911" width="16.42578125" style="1174" bestFit="1" customWidth="1"/>
    <col min="5912" max="5912" width="18" style="1174" bestFit="1" customWidth="1"/>
    <col min="5913" max="5913" width="11.7109375" style="1174" bestFit="1" customWidth="1"/>
    <col min="5914" max="5914" width="41.42578125" style="1174" bestFit="1" customWidth="1"/>
    <col min="5915" max="5918" width="10" style="1174"/>
    <col min="5919" max="5919" width="10.28515625" style="1174" bestFit="1" customWidth="1"/>
    <col min="5920" max="6144" width="10" style="1174"/>
    <col min="6145" max="6145" width="16.42578125" style="1174" customWidth="1"/>
    <col min="6146" max="6146" width="14.28515625" style="1174" customWidth="1"/>
    <col min="6147" max="6147" width="49.42578125" style="1174" bestFit="1" customWidth="1"/>
    <col min="6148" max="6148" width="22.42578125" style="1174" bestFit="1" customWidth="1"/>
    <col min="6149" max="6149" width="19.28515625" style="1174" bestFit="1" customWidth="1"/>
    <col min="6150" max="6150" width="24.85546875" style="1174" bestFit="1" customWidth="1"/>
    <col min="6151" max="6151" width="26.42578125" style="1174" bestFit="1" customWidth="1"/>
    <col min="6152" max="6152" width="17" style="1174" bestFit="1" customWidth="1"/>
    <col min="6153" max="6153" width="18.28515625" style="1174" bestFit="1" customWidth="1"/>
    <col min="6154" max="6154" width="22.5703125" style="1174" bestFit="1" customWidth="1"/>
    <col min="6155" max="6155" width="18.28515625" style="1174" bestFit="1" customWidth="1"/>
    <col min="6156" max="6156" width="16.7109375" style="1174" bestFit="1" customWidth="1"/>
    <col min="6157" max="6157" width="18.85546875" style="1174" bestFit="1" customWidth="1"/>
    <col min="6158" max="6158" width="20.140625" style="1174" bestFit="1" customWidth="1"/>
    <col min="6159" max="6159" width="19.28515625" style="1174" bestFit="1" customWidth="1"/>
    <col min="6160" max="6160" width="16.140625" style="1174" bestFit="1" customWidth="1"/>
    <col min="6161" max="6161" width="23" style="1174" bestFit="1" customWidth="1"/>
    <col min="6162" max="6162" width="16.42578125" style="1174" bestFit="1" customWidth="1"/>
    <col min="6163" max="6163" width="18.5703125" style="1174" bestFit="1" customWidth="1"/>
    <col min="6164" max="6164" width="19.85546875" style="1174" bestFit="1" customWidth="1"/>
    <col min="6165" max="6165" width="15.7109375" style="1174" customWidth="1"/>
    <col min="6166" max="6166" width="23" style="1174" bestFit="1" customWidth="1"/>
    <col min="6167" max="6167" width="16.42578125" style="1174" bestFit="1" customWidth="1"/>
    <col min="6168" max="6168" width="18" style="1174" bestFit="1" customWidth="1"/>
    <col min="6169" max="6169" width="11.7109375" style="1174" bestFit="1" customWidth="1"/>
    <col min="6170" max="6170" width="41.42578125" style="1174" bestFit="1" customWidth="1"/>
    <col min="6171" max="6174" width="10" style="1174"/>
    <col min="6175" max="6175" width="10.28515625" style="1174" bestFit="1" customWidth="1"/>
    <col min="6176" max="6400" width="10" style="1174"/>
    <col min="6401" max="6401" width="16.42578125" style="1174" customWidth="1"/>
    <col min="6402" max="6402" width="14.28515625" style="1174" customWidth="1"/>
    <col min="6403" max="6403" width="49.42578125" style="1174" bestFit="1" customWidth="1"/>
    <col min="6404" max="6404" width="22.42578125" style="1174" bestFit="1" customWidth="1"/>
    <col min="6405" max="6405" width="19.28515625" style="1174" bestFit="1" customWidth="1"/>
    <col min="6406" max="6406" width="24.85546875" style="1174" bestFit="1" customWidth="1"/>
    <col min="6407" max="6407" width="26.42578125" style="1174" bestFit="1" customWidth="1"/>
    <col min="6408" max="6408" width="17" style="1174" bestFit="1" customWidth="1"/>
    <col min="6409" max="6409" width="18.28515625" style="1174" bestFit="1" customWidth="1"/>
    <col min="6410" max="6410" width="22.5703125" style="1174" bestFit="1" customWidth="1"/>
    <col min="6411" max="6411" width="18.28515625" style="1174" bestFit="1" customWidth="1"/>
    <col min="6412" max="6412" width="16.7109375" style="1174" bestFit="1" customWidth="1"/>
    <col min="6413" max="6413" width="18.85546875" style="1174" bestFit="1" customWidth="1"/>
    <col min="6414" max="6414" width="20.140625" style="1174" bestFit="1" customWidth="1"/>
    <col min="6415" max="6415" width="19.28515625" style="1174" bestFit="1" customWidth="1"/>
    <col min="6416" max="6416" width="16.140625" style="1174" bestFit="1" customWidth="1"/>
    <col min="6417" max="6417" width="23" style="1174" bestFit="1" customWidth="1"/>
    <col min="6418" max="6418" width="16.42578125" style="1174" bestFit="1" customWidth="1"/>
    <col min="6419" max="6419" width="18.5703125" style="1174" bestFit="1" customWidth="1"/>
    <col min="6420" max="6420" width="19.85546875" style="1174" bestFit="1" customWidth="1"/>
    <col min="6421" max="6421" width="15.7109375" style="1174" customWidth="1"/>
    <col min="6422" max="6422" width="23" style="1174" bestFit="1" customWidth="1"/>
    <col min="6423" max="6423" width="16.42578125" style="1174" bestFit="1" customWidth="1"/>
    <col min="6424" max="6424" width="18" style="1174" bestFit="1" customWidth="1"/>
    <col min="6425" max="6425" width="11.7109375" style="1174" bestFit="1" customWidth="1"/>
    <col min="6426" max="6426" width="41.42578125" style="1174" bestFit="1" customWidth="1"/>
    <col min="6427" max="6430" width="10" style="1174"/>
    <col min="6431" max="6431" width="10.28515625" style="1174" bestFit="1" customWidth="1"/>
    <col min="6432" max="6656" width="10" style="1174"/>
    <col min="6657" max="6657" width="16.42578125" style="1174" customWidth="1"/>
    <col min="6658" max="6658" width="14.28515625" style="1174" customWidth="1"/>
    <col min="6659" max="6659" width="49.42578125" style="1174" bestFit="1" customWidth="1"/>
    <col min="6660" max="6660" width="22.42578125" style="1174" bestFit="1" customWidth="1"/>
    <col min="6661" max="6661" width="19.28515625" style="1174" bestFit="1" customWidth="1"/>
    <col min="6662" max="6662" width="24.85546875" style="1174" bestFit="1" customWidth="1"/>
    <col min="6663" max="6663" width="26.42578125" style="1174" bestFit="1" customWidth="1"/>
    <col min="6664" max="6664" width="17" style="1174" bestFit="1" customWidth="1"/>
    <col min="6665" max="6665" width="18.28515625" style="1174" bestFit="1" customWidth="1"/>
    <col min="6666" max="6666" width="22.5703125" style="1174" bestFit="1" customWidth="1"/>
    <col min="6667" max="6667" width="18.28515625" style="1174" bestFit="1" customWidth="1"/>
    <col min="6668" max="6668" width="16.7109375" style="1174" bestFit="1" customWidth="1"/>
    <col min="6669" max="6669" width="18.85546875" style="1174" bestFit="1" customWidth="1"/>
    <col min="6670" max="6670" width="20.140625" style="1174" bestFit="1" customWidth="1"/>
    <col min="6671" max="6671" width="19.28515625" style="1174" bestFit="1" customWidth="1"/>
    <col min="6672" max="6672" width="16.140625" style="1174" bestFit="1" customWidth="1"/>
    <col min="6673" max="6673" width="23" style="1174" bestFit="1" customWidth="1"/>
    <col min="6674" max="6674" width="16.42578125" style="1174" bestFit="1" customWidth="1"/>
    <col min="6675" max="6675" width="18.5703125" style="1174" bestFit="1" customWidth="1"/>
    <col min="6676" max="6676" width="19.85546875" style="1174" bestFit="1" customWidth="1"/>
    <col min="6677" max="6677" width="15.7109375" style="1174" customWidth="1"/>
    <col min="6678" max="6678" width="23" style="1174" bestFit="1" customWidth="1"/>
    <col min="6679" max="6679" width="16.42578125" style="1174" bestFit="1" customWidth="1"/>
    <col min="6680" max="6680" width="18" style="1174" bestFit="1" customWidth="1"/>
    <col min="6681" max="6681" width="11.7109375" style="1174" bestFit="1" customWidth="1"/>
    <col min="6682" max="6682" width="41.42578125" style="1174" bestFit="1" customWidth="1"/>
    <col min="6683" max="6686" width="10" style="1174"/>
    <col min="6687" max="6687" width="10.28515625" style="1174" bestFit="1" customWidth="1"/>
    <col min="6688" max="6912" width="10" style="1174"/>
    <col min="6913" max="6913" width="16.42578125" style="1174" customWidth="1"/>
    <col min="6914" max="6914" width="14.28515625" style="1174" customWidth="1"/>
    <col min="6915" max="6915" width="49.42578125" style="1174" bestFit="1" customWidth="1"/>
    <col min="6916" max="6916" width="22.42578125" style="1174" bestFit="1" customWidth="1"/>
    <col min="6917" max="6917" width="19.28515625" style="1174" bestFit="1" customWidth="1"/>
    <col min="6918" max="6918" width="24.85546875" style="1174" bestFit="1" customWidth="1"/>
    <col min="6919" max="6919" width="26.42578125" style="1174" bestFit="1" customWidth="1"/>
    <col min="6920" max="6920" width="17" style="1174" bestFit="1" customWidth="1"/>
    <col min="6921" max="6921" width="18.28515625" style="1174" bestFit="1" customWidth="1"/>
    <col min="6922" max="6922" width="22.5703125" style="1174" bestFit="1" customWidth="1"/>
    <col min="6923" max="6923" width="18.28515625" style="1174" bestFit="1" customWidth="1"/>
    <col min="6924" max="6924" width="16.7109375" style="1174" bestFit="1" customWidth="1"/>
    <col min="6925" max="6925" width="18.85546875" style="1174" bestFit="1" customWidth="1"/>
    <col min="6926" max="6926" width="20.140625" style="1174" bestFit="1" customWidth="1"/>
    <col min="6927" max="6927" width="19.28515625" style="1174" bestFit="1" customWidth="1"/>
    <col min="6928" max="6928" width="16.140625" style="1174" bestFit="1" customWidth="1"/>
    <col min="6929" max="6929" width="23" style="1174" bestFit="1" customWidth="1"/>
    <col min="6930" max="6930" width="16.42578125" style="1174" bestFit="1" customWidth="1"/>
    <col min="6931" max="6931" width="18.5703125" style="1174" bestFit="1" customWidth="1"/>
    <col min="6932" max="6932" width="19.85546875" style="1174" bestFit="1" customWidth="1"/>
    <col min="6933" max="6933" width="15.7109375" style="1174" customWidth="1"/>
    <col min="6934" max="6934" width="23" style="1174" bestFit="1" customWidth="1"/>
    <col min="6935" max="6935" width="16.42578125" style="1174" bestFit="1" customWidth="1"/>
    <col min="6936" max="6936" width="18" style="1174" bestFit="1" customWidth="1"/>
    <col min="6937" max="6937" width="11.7109375" style="1174" bestFit="1" customWidth="1"/>
    <col min="6938" max="6938" width="41.42578125" style="1174" bestFit="1" customWidth="1"/>
    <col min="6939" max="6942" width="10" style="1174"/>
    <col min="6943" max="6943" width="10.28515625" style="1174" bestFit="1" customWidth="1"/>
    <col min="6944" max="7168" width="10" style="1174"/>
    <col min="7169" max="7169" width="16.42578125" style="1174" customWidth="1"/>
    <col min="7170" max="7170" width="14.28515625" style="1174" customWidth="1"/>
    <col min="7171" max="7171" width="49.42578125" style="1174" bestFit="1" customWidth="1"/>
    <col min="7172" max="7172" width="22.42578125" style="1174" bestFit="1" customWidth="1"/>
    <col min="7173" max="7173" width="19.28515625" style="1174" bestFit="1" customWidth="1"/>
    <col min="7174" max="7174" width="24.85546875" style="1174" bestFit="1" customWidth="1"/>
    <col min="7175" max="7175" width="26.42578125" style="1174" bestFit="1" customWidth="1"/>
    <col min="7176" max="7176" width="17" style="1174" bestFit="1" customWidth="1"/>
    <col min="7177" max="7177" width="18.28515625" style="1174" bestFit="1" customWidth="1"/>
    <col min="7178" max="7178" width="22.5703125" style="1174" bestFit="1" customWidth="1"/>
    <col min="7179" max="7179" width="18.28515625" style="1174" bestFit="1" customWidth="1"/>
    <col min="7180" max="7180" width="16.7109375" style="1174" bestFit="1" customWidth="1"/>
    <col min="7181" max="7181" width="18.85546875" style="1174" bestFit="1" customWidth="1"/>
    <col min="7182" max="7182" width="20.140625" style="1174" bestFit="1" customWidth="1"/>
    <col min="7183" max="7183" width="19.28515625" style="1174" bestFit="1" customWidth="1"/>
    <col min="7184" max="7184" width="16.140625" style="1174" bestFit="1" customWidth="1"/>
    <col min="7185" max="7185" width="23" style="1174" bestFit="1" customWidth="1"/>
    <col min="7186" max="7186" width="16.42578125" style="1174" bestFit="1" customWidth="1"/>
    <col min="7187" max="7187" width="18.5703125" style="1174" bestFit="1" customWidth="1"/>
    <col min="7188" max="7188" width="19.85546875" style="1174" bestFit="1" customWidth="1"/>
    <col min="7189" max="7189" width="15.7109375" style="1174" customWidth="1"/>
    <col min="7190" max="7190" width="23" style="1174" bestFit="1" customWidth="1"/>
    <col min="7191" max="7191" width="16.42578125" style="1174" bestFit="1" customWidth="1"/>
    <col min="7192" max="7192" width="18" style="1174" bestFit="1" customWidth="1"/>
    <col min="7193" max="7193" width="11.7109375" style="1174" bestFit="1" customWidth="1"/>
    <col min="7194" max="7194" width="41.42578125" style="1174" bestFit="1" customWidth="1"/>
    <col min="7195" max="7198" width="10" style="1174"/>
    <col min="7199" max="7199" width="10.28515625" style="1174" bestFit="1" customWidth="1"/>
    <col min="7200" max="7424" width="10" style="1174"/>
    <col min="7425" max="7425" width="16.42578125" style="1174" customWidth="1"/>
    <col min="7426" max="7426" width="14.28515625" style="1174" customWidth="1"/>
    <col min="7427" max="7427" width="49.42578125" style="1174" bestFit="1" customWidth="1"/>
    <col min="7428" max="7428" width="22.42578125" style="1174" bestFit="1" customWidth="1"/>
    <col min="7429" max="7429" width="19.28515625" style="1174" bestFit="1" customWidth="1"/>
    <col min="7430" max="7430" width="24.85546875" style="1174" bestFit="1" customWidth="1"/>
    <col min="7431" max="7431" width="26.42578125" style="1174" bestFit="1" customWidth="1"/>
    <col min="7432" max="7432" width="17" style="1174" bestFit="1" customWidth="1"/>
    <col min="7433" max="7433" width="18.28515625" style="1174" bestFit="1" customWidth="1"/>
    <col min="7434" max="7434" width="22.5703125" style="1174" bestFit="1" customWidth="1"/>
    <col min="7435" max="7435" width="18.28515625" style="1174" bestFit="1" customWidth="1"/>
    <col min="7436" max="7436" width="16.7109375" style="1174" bestFit="1" customWidth="1"/>
    <col min="7437" max="7437" width="18.85546875" style="1174" bestFit="1" customWidth="1"/>
    <col min="7438" max="7438" width="20.140625" style="1174" bestFit="1" customWidth="1"/>
    <col min="7439" max="7439" width="19.28515625" style="1174" bestFit="1" customWidth="1"/>
    <col min="7440" max="7440" width="16.140625" style="1174" bestFit="1" customWidth="1"/>
    <col min="7441" max="7441" width="23" style="1174" bestFit="1" customWidth="1"/>
    <col min="7442" max="7442" width="16.42578125" style="1174" bestFit="1" customWidth="1"/>
    <col min="7443" max="7443" width="18.5703125" style="1174" bestFit="1" customWidth="1"/>
    <col min="7444" max="7444" width="19.85546875" style="1174" bestFit="1" customWidth="1"/>
    <col min="7445" max="7445" width="15.7109375" style="1174" customWidth="1"/>
    <col min="7446" max="7446" width="23" style="1174" bestFit="1" customWidth="1"/>
    <col min="7447" max="7447" width="16.42578125" style="1174" bestFit="1" customWidth="1"/>
    <col min="7448" max="7448" width="18" style="1174" bestFit="1" customWidth="1"/>
    <col min="7449" max="7449" width="11.7109375" style="1174" bestFit="1" customWidth="1"/>
    <col min="7450" max="7450" width="41.42578125" style="1174" bestFit="1" customWidth="1"/>
    <col min="7451" max="7454" width="10" style="1174"/>
    <col min="7455" max="7455" width="10.28515625" style="1174" bestFit="1" customWidth="1"/>
    <col min="7456" max="7680" width="10" style="1174"/>
    <col min="7681" max="7681" width="16.42578125" style="1174" customWidth="1"/>
    <col min="7682" max="7682" width="14.28515625" style="1174" customWidth="1"/>
    <col min="7683" max="7683" width="49.42578125" style="1174" bestFit="1" customWidth="1"/>
    <col min="7684" max="7684" width="22.42578125" style="1174" bestFit="1" customWidth="1"/>
    <col min="7685" max="7685" width="19.28515625" style="1174" bestFit="1" customWidth="1"/>
    <col min="7686" max="7686" width="24.85546875" style="1174" bestFit="1" customWidth="1"/>
    <col min="7687" max="7687" width="26.42578125" style="1174" bestFit="1" customWidth="1"/>
    <col min="7688" max="7688" width="17" style="1174" bestFit="1" customWidth="1"/>
    <col min="7689" max="7689" width="18.28515625" style="1174" bestFit="1" customWidth="1"/>
    <col min="7690" max="7690" width="22.5703125" style="1174" bestFit="1" customWidth="1"/>
    <col min="7691" max="7691" width="18.28515625" style="1174" bestFit="1" customWidth="1"/>
    <col min="7692" max="7692" width="16.7109375" style="1174" bestFit="1" customWidth="1"/>
    <col min="7693" max="7693" width="18.85546875" style="1174" bestFit="1" customWidth="1"/>
    <col min="7694" max="7694" width="20.140625" style="1174" bestFit="1" customWidth="1"/>
    <col min="7695" max="7695" width="19.28515625" style="1174" bestFit="1" customWidth="1"/>
    <col min="7696" max="7696" width="16.140625" style="1174" bestFit="1" customWidth="1"/>
    <col min="7697" max="7697" width="23" style="1174" bestFit="1" customWidth="1"/>
    <col min="7698" max="7698" width="16.42578125" style="1174" bestFit="1" customWidth="1"/>
    <col min="7699" max="7699" width="18.5703125" style="1174" bestFit="1" customWidth="1"/>
    <col min="7700" max="7700" width="19.85546875" style="1174" bestFit="1" customWidth="1"/>
    <col min="7701" max="7701" width="15.7109375" style="1174" customWidth="1"/>
    <col min="7702" max="7702" width="23" style="1174" bestFit="1" customWidth="1"/>
    <col min="7703" max="7703" width="16.42578125" style="1174" bestFit="1" customWidth="1"/>
    <col min="7704" max="7704" width="18" style="1174" bestFit="1" customWidth="1"/>
    <col min="7705" max="7705" width="11.7109375" style="1174" bestFit="1" customWidth="1"/>
    <col min="7706" max="7706" width="41.42578125" style="1174" bestFit="1" customWidth="1"/>
    <col min="7707" max="7710" width="10" style="1174"/>
    <col min="7711" max="7711" width="10.28515625" style="1174" bestFit="1" customWidth="1"/>
    <col min="7712" max="7936" width="10" style="1174"/>
    <col min="7937" max="7937" width="16.42578125" style="1174" customWidth="1"/>
    <col min="7938" max="7938" width="14.28515625" style="1174" customWidth="1"/>
    <col min="7939" max="7939" width="49.42578125" style="1174" bestFit="1" customWidth="1"/>
    <col min="7940" max="7940" width="22.42578125" style="1174" bestFit="1" customWidth="1"/>
    <col min="7941" max="7941" width="19.28515625" style="1174" bestFit="1" customWidth="1"/>
    <col min="7942" max="7942" width="24.85546875" style="1174" bestFit="1" customWidth="1"/>
    <col min="7943" max="7943" width="26.42578125" style="1174" bestFit="1" customWidth="1"/>
    <col min="7944" max="7944" width="17" style="1174" bestFit="1" customWidth="1"/>
    <col min="7945" max="7945" width="18.28515625" style="1174" bestFit="1" customWidth="1"/>
    <col min="7946" max="7946" width="22.5703125" style="1174" bestFit="1" customWidth="1"/>
    <col min="7947" max="7947" width="18.28515625" style="1174" bestFit="1" customWidth="1"/>
    <col min="7948" max="7948" width="16.7109375" style="1174" bestFit="1" customWidth="1"/>
    <col min="7949" max="7949" width="18.85546875" style="1174" bestFit="1" customWidth="1"/>
    <col min="7950" max="7950" width="20.140625" style="1174" bestFit="1" customWidth="1"/>
    <col min="7951" max="7951" width="19.28515625" style="1174" bestFit="1" customWidth="1"/>
    <col min="7952" max="7952" width="16.140625" style="1174" bestFit="1" customWidth="1"/>
    <col min="7953" max="7953" width="23" style="1174" bestFit="1" customWidth="1"/>
    <col min="7954" max="7954" width="16.42578125" style="1174" bestFit="1" customWidth="1"/>
    <col min="7955" max="7955" width="18.5703125" style="1174" bestFit="1" customWidth="1"/>
    <col min="7956" max="7956" width="19.85546875" style="1174" bestFit="1" customWidth="1"/>
    <col min="7957" max="7957" width="15.7109375" style="1174" customWidth="1"/>
    <col min="7958" max="7958" width="23" style="1174" bestFit="1" customWidth="1"/>
    <col min="7959" max="7959" width="16.42578125" style="1174" bestFit="1" customWidth="1"/>
    <col min="7960" max="7960" width="18" style="1174" bestFit="1" customWidth="1"/>
    <col min="7961" max="7961" width="11.7109375" style="1174" bestFit="1" customWidth="1"/>
    <col min="7962" max="7962" width="41.42578125" style="1174" bestFit="1" customWidth="1"/>
    <col min="7963" max="7966" width="10" style="1174"/>
    <col min="7967" max="7967" width="10.28515625" style="1174" bestFit="1" customWidth="1"/>
    <col min="7968" max="8192" width="10" style="1174"/>
    <col min="8193" max="8193" width="16.42578125" style="1174" customWidth="1"/>
    <col min="8194" max="8194" width="14.28515625" style="1174" customWidth="1"/>
    <col min="8195" max="8195" width="49.42578125" style="1174" bestFit="1" customWidth="1"/>
    <col min="8196" max="8196" width="22.42578125" style="1174" bestFit="1" customWidth="1"/>
    <col min="8197" max="8197" width="19.28515625" style="1174" bestFit="1" customWidth="1"/>
    <col min="8198" max="8198" width="24.85546875" style="1174" bestFit="1" customWidth="1"/>
    <col min="8199" max="8199" width="26.42578125" style="1174" bestFit="1" customWidth="1"/>
    <col min="8200" max="8200" width="17" style="1174" bestFit="1" customWidth="1"/>
    <col min="8201" max="8201" width="18.28515625" style="1174" bestFit="1" customWidth="1"/>
    <col min="8202" max="8202" width="22.5703125" style="1174" bestFit="1" customWidth="1"/>
    <col min="8203" max="8203" width="18.28515625" style="1174" bestFit="1" customWidth="1"/>
    <col min="8204" max="8204" width="16.7109375" style="1174" bestFit="1" customWidth="1"/>
    <col min="8205" max="8205" width="18.85546875" style="1174" bestFit="1" customWidth="1"/>
    <col min="8206" max="8206" width="20.140625" style="1174" bestFit="1" customWidth="1"/>
    <col min="8207" max="8207" width="19.28515625" style="1174" bestFit="1" customWidth="1"/>
    <col min="8208" max="8208" width="16.140625" style="1174" bestFit="1" customWidth="1"/>
    <col min="8209" max="8209" width="23" style="1174" bestFit="1" customWidth="1"/>
    <col min="8210" max="8210" width="16.42578125" style="1174" bestFit="1" customWidth="1"/>
    <col min="8211" max="8211" width="18.5703125" style="1174" bestFit="1" customWidth="1"/>
    <col min="8212" max="8212" width="19.85546875" style="1174" bestFit="1" customWidth="1"/>
    <col min="8213" max="8213" width="15.7109375" style="1174" customWidth="1"/>
    <col min="8214" max="8214" width="23" style="1174" bestFit="1" customWidth="1"/>
    <col min="8215" max="8215" width="16.42578125" style="1174" bestFit="1" customWidth="1"/>
    <col min="8216" max="8216" width="18" style="1174" bestFit="1" customWidth="1"/>
    <col min="8217" max="8217" width="11.7109375" style="1174" bestFit="1" customWidth="1"/>
    <col min="8218" max="8218" width="41.42578125" style="1174" bestFit="1" customWidth="1"/>
    <col min="8219" max="8222" width="10" style="1174"/>
    <col min="8223" max="8223" width="10.28515625" style="1174" bestFit="1" customWidth="1"/>
    <col min="8224" max="8448" width="10" style="1174"/>
    <col min="8449" max="8449" width="16.42578125" style="1174" customWidth="1"/>
    <col min="8450" max="8450" width="14.28515625" style="1174" customWidth="1"/>
    <col min="8451" max="8451" width="49.42578125" style="1174" bestFit="1" customWidth="1"/>
    <col min="8452" max="8452" width="22.42578125" style="1174" bestFit="1" customWidth="1"/>
    <col min="8453" max="8453" width="19.28515625" style="1174" bestFit="1" customWidth="1"/>
    <col min="8454" max="8454" width="24.85546875" style="1174" bestFit="1" customWidth="1"/>
    <col min="8455" max="8455" width="26.42578125" style="1174" bestFit="1" customWidth="1"/>
    <col min="8456" max="8456" width="17" style="1174" bestFit="1" customWidth="1"/>
    <col min="8457" max="8457" width="18.28515625" style="1174" bestFit="1" customWidth="1"/>
    <col min="8458" max="8458" width="22.5703125" style="1174" bestFit="1" customWidth="1"/>
    <col min="8459" max="8459" width="18.28515625" style="1174" bestFit="1" customWidth="1"/>
    <col min="8460" max="8460" width="16.7109375" style="1174" bestFit="1" customWidth="1"/>
    <col min="8461" max="8461" width="18.85546875" style="1174" bestFit="1" customWidth="1"/>
    <col min="8462" max="8462" width="20.140625" style="1174" bestFit="1" customWidth="1"/>
    <col min="8463" max="8463" width="19.28515625" style="1174" bestFit="1" customWidth="1"/>
    <col min="8464" max="8464" width="16.140625" style="1174" bestFit="1" customWidth="1"/>
    <col min="8465" max="8465" width="23" style="1174" bestFit="1" customWidth="1"/>
    <col min="8466" max="8466" width="16.42578125" style="1174" bestFit="1" customWidth="1"/>
    <col min="8467" max="8467" width="18.5703125" style="1174" bestFit="1" customWidth="1"/>
    <col min="8468" max="8468" width="19.85546875" style="1174" bestFit="1" customWidth="1"/>
    <col min="8469" max="8469" width="15.7109375" style="1174" customWidth="1"/>
    <col min="8470" max="8470" width="23" style="1174" bestFit="1" customWidth="1"/>
    <col min="8471" max="8471" width="16.42578125" style="1174" bestFit="1" customWidth="1"/>
    <col min="8472" max="8472" width="18" style="1174" bestFit="1" customWidth="1"/>
    <col min="8473" max="8473" width="11.7109375" style="1174" bestFit="1" customWidth="1"/>
    <col min="8474" max="8474" width="41.42578125" style="1174" bestFit="1" customWidth="1"/>
    <col min="8475" max="8478" width="10" style="1174"/>
    <col min="8479" max="8479" width="10.28515625" style="1174" bestFit="1" customWidth="1"/>
    <col min="8480" max="8704" width="10" style="1174"/>
    <col min="8705" max="8705" width="16.42578125" style="1174" customWidth="1"/>
    <col min="8706" max="8706" width="14.28515625" style="1174" customWidth="1"/>
    <col min="8707" max="8707" width="49.42578125" style="1174" bestFit="1" customWidth="1"/>
    <col min="8708" max="8708" width="22.42578125" style="1174" bestFit="1" customWidth="1"/>
    <col min="8709" max="8709" width="19.28515625" style="1174" bestFit="1" customWidth="1"/>
    <col min="8710" max="8710" width="24.85546875" style="1174" bestFit="1" customWidth="1"/>
    <col min="8711" max="8711" width="26.42578125" style="1174" bestFit="1" customWidth="1"/>
    <col min="8712" max="8712" width="17" style="1174" bestFit="1" customWidth="1"/>
    <col min="8713" max="8713" width="18.28515625" style="1174" bestFit="1" customWidth="1"/>
    <col min="8714" max="8714" width="22.5703125" style="1174" bestFit="1" customWidth="1"/>
    <col min="8715" max="8715" width="18.28515625" style="1174" bestFit="1" customWidth="1"/>
    <col min="8716" max="8716" width="16.7109375" style="1174" bestFit="1" customWidth="1"/>
    <col min="8717" max="8717" width="18.85546875" style="1174" bestFit="1" customWidth="1"/>
    <col min="8718" max="8718" width="20.140625" style="1174" bestFit="1" customWidth="1"/>
    <col min="8719" max="8719" width="19.28515625" style="1174" bestFit="1" customWidth="1"/>
    <col min="8720" max="8720" width="16.140625" style="1174" bestFit="1" customWidth="1"/>
    <col min="8721" max="8721" width="23" style="1174" bestFit="1" customWidth="1"/>
    <col min="8722" max="8722" width="16.42578125" style="1174" bestFit="1" customWidth="1"/>
    <col min="8723" max="8723" width="18.5703125" style="1174" bestFit="1" customWidth="1"/>
    <col min="8724" max="8724" width="19.85546875" style="1174" bestFit="1" customWidth="1"/>
    <col min="8725" max="8725" width="15.7109375" style="1174" customWidth="1"/>
    <col min="8726" max="8726" width="23" style="1174" bestFit="1" customWidth="1"/>
    <col min="8727" max="8727" width="16.42578125" style="1174" bestFit="1" customWidth="1"/>
    <col min="8728" max="8728" width="18" style="1174" bestFit="1" customWidth="1"/>
    <col min="8729" max="8729" width="11.7109375" style="1174" bestFit="1" customWidth="1"/>
    <col min="8730" max="8730" width="41.42578125" style="1174" bestFit="1" customWidth="1"/>
    <col min="8731" max="8734" width="10" style="1174"/>
    <col min="8735" max="8735" width="10.28515625" style="1174" bestFit="1" customWidth="1"/>
    <col min="8736" max="8960" width="10" style="1174"/>
    <col min="8961" max="8961" width="16.42578125" style="1174" customWidth="1"/>
    <col min="8962" max="8962" width="14.28515625" style="1174" customWidth="1"/>
    <col min="8963" max="8963" width="49.42578125" style="1174" bestFit="1" customWidth="1"/>
    <col min="8964" max="8964" width="22.42578125" style="1174" bestFit="1" customWidth="1"/>
    <col min="8965" max="8965" width="19.28515625" style="1174" bestFit="1" customWidth="1"/>
    <col min="8966" max="8966" width="24.85546875" style="1174" bestFit="1" customWidth="1"/>
    <col min="8967" max="8967" width="26.42578125" style="1174" bestFit="1" customWidth="1"/>
    <col min="8968" max="8968" width="17" style="1174" bestFit="1" customWidth="1"/>
    <col min="8969" max="8969" width="18.28515625" style="1174" bestFit="1" customWidth="1"/>
    <col min="8970" max="8970" width="22.5703125" style="1174" bestFit="1" customWidth="1"/>
    <col min="8971" max="8971" width="18.28515625" style="1174" bestFit="1" customWidth="1"/>
    <col min="8972" max="8972" width="16.7109375" style="1174" bestFit="1" customWidth="1"/>
    <col min="8973" max="8973" width="18.85546875" style="1174" bestFit="1" customWidth="1"/>
    <col min="8974" max="8974" width="20.140625" style="1174" bestFit="1" customWidth="1"/>
    <col min="8975" max="8975" width="19.28515625" style="1174" bestFit="1" customWidth="1"/>
    <col min="8976" max="8976" width="16.140625" style="1174" bestFit="1" customWidth="1"/>
    <col min="8977" max="8977" width="23" style="1174" bestFit="1" customWidth="1"/>
    <col min="8978" max="8978" width="16.42578125" style="1174" bestFit="1" customWidth="1"/>
    <col min="8979" max="8979" width="18.5703125" style="1174" bestFit="1" customWidth="1"/>
    <col min="8980" max="8980" width="19.85546875" style="1174" bestFit="1" customWidth="1"/>
    <col min="8981" max="8981" width="15.7109375" style="1174" customWidth="1"/>
    <col min="8982" max="8982" width="23" style="1174" bestFit="1" customWidth="1"/>
    <col min="8983" max="8983" width="16.42578125" style="1174" bestFit="1" customWidth="1"/>
    <col min="8984" max="8984" width="18" style="1174" bestFit="1" customWidth="1"/>
    <col min="8985" max="8985" width="11.7109375" style="1174" bestFit="1" customWidth="1"/>
    <col min="8986" max="8986" width="41.42578125" style="1174" bestFit="1" customWidth="1"/>
    <col min="8987" max="8990" width="10" style="1174"/>
    <col min="8991" max="8991" width="10.28515625" style="1174" bestFit="1" customWidth="1"/>
    <col min="8992" max="9216" width="10" style="1174"/>
    <col min="9217" max="9217" width="16.42578125" style="1174" customWidth="1"/>
    <col min="9218" max="9218" width="14.28515625" style="1174" customWidth="1"/>
    <col min="9219" max="9219" width="49.42578125" style="1174" bestFit="1" customWidth="1"/>
    <col min="9220" max="9220" width="22.42578125" style="1174" bestFit="1" customWidth="1"/>
    <col min="9221" max="9221" width="19.28515625" style="1174" bestFit="1" customWidth="1"/>
    <col min="9222" max="9222" width="24.85546875" style="1174" bestFit="1" customWidth="1"/>
    <col min="9223" max="9223" width="26.42578125" style="1174" bestFit="1" customWidth="1"/>
    <col min="9224" max="9224" width="17" style="1174" bestFit="1" customWidth="1"/>
    <col min="9225" max="9225" width="18.28515625" style="1174" bestFit="1" customWidth="1"/>
    <col min="9226" max="9226" width="22.5703125" style="1174" bestFit="1" customWidth="1"/>
    <col min="9227" max="9227" width="18.28515625" style="1174" bestFit="1" customWidth="1"/>
    <col min="9228" max="9228" width="16.7109375" style="1174" bestFit="1" customWidth="1"/>
    <col min="9229" max="9229" width="18.85546875" style="1174" bestFit="1" customWidth="1"/>
    <col min="9230" max="9230" width="20.140625" style="1174" bestFit="1" customWidth="1"/>
    <col min="9231" max="9231" width="19.28515625" style="1174" bestFit="1" customWidth="1"/>
    <col min="9232" max="9232" width="16.140625" style="1174" bestFit="1" customWidth="1"/>
    <col min="9233" max="9233" width="23" style="1174" bestFit="1" customWidth="1"/>
    <col min="9234" max="9234" width="16.42578125" style="1174" bestFit="1" customWidth="1"/>
    <col min="9235" max="9235" width="18.5703125" style="1174" bestFit="1" customWidth="1"/>
    <col min="9236" max="9236" width="19.85546875" style="1174" bestFit="1" customWidth="1"/>
    <col min="9237" max="9237" width="15.7109375" style="1174" customWidth="1"/>
    <col min="9238" max="9238" width="23" style="1174" bestFit="1" customWidth="1"/>
    <col min="9239" max="9239" width="16.42578125" style="1174" bestFit="1" customWidth="1"/>
    <col min="9240" max="9240" width="18" style="1174" bestFit="1" customWidth="1"/>
    <col min="9241" max="9241" width="11.7109375" style="1174" bestFit="1" customWidth="1"/>
    <col min="9242" max="9242" width="41.42578125" style="1174" bestFit="1" customWidth="1"/>
    <col min="9243" max="9246" width="10" style="1174"/>
    <col min="9247" max="9247" width="10.28515625" style="1174" bestFit="1" customWidth="1"/>
    <col min="9248" max="9472" width="10" style="1174"/>
    <col min="9473" max="9473" width="16.42578125" style="1174" customWidth="1"/>
    <col min="9474" max="9474" width="14.28515625" style="1174" customWidth="1"/>
    <col min="9475" max="9475" width="49.42578125" style="1174" bestFit="1" customWidth="1"/>
    <col min="9476" max="9476" width="22.42578125" style="1174" bestFit="1" customWidth="1"/>
    <col min="9477" max="9477" width="19.28515625" style="1174" bestFit="1" customWidth="1"/>
    <col min="9478" max="9478" width="24.85546875" style="1174" bestFit="1" customWidth="1"/>
    <col min="9479" max="9479" width="26.42578125" style="1174" bestFit="1" customWidth="1"/>
    <col min="9480" max="9480" width="17" style="1174" bestFit="1" customWidth="1"/>
    <col min="9481" max="9481" width="18.28515625" style="1174" bestFit="1" customWidth="1"/>
    <col min="9482" max="9482" width="22.5703125" style="1174" bestFit="1" customWidth="1"/>
    <col min="9483" max="9483" width="18.28515625" style="1174" bestFit="1" customWidth="1"/>
    <col min="9484" max="9484" width="16.7109375" style="1174" bestFit="1" customWidth="1"/>
    <col min="9485" max="9485" width="18.85546875" style="1174" bestFit="1" customWidth="1"/>
    <col min="9486" max="9486" width="20.140625" style="1174" bestFit="1" customWidth="1"/>
    <col min="9487" max="9487" width="19.28515625" style="1174" bestFit="1" customWidth="1"/>
    <col min="9488" max="9488" width="16.140625" style="1174" bestFit="1" customWidth="1"/>
    <col min="9489" max="9489" width="23" style="1174" bestFit="1" customWidth="1"/>
    <col min="9490" max="9490" width="16.42578125" style="1174" bestFit="1" customWidth="1"/>
    <col min="9491" max="9491" width="18.5703125" style="1174" bestFit="1" customWidth="1"/>
    <col min="9492" max="9492" width="19.85546875" style="1174" bestFit="1" customWidth="1"/>
    <col min="9493" max="9493" width="15.7109375" style="1174" customWidth="1"/>
    <col min="9494" max="9494" width="23" style="1174" bestFit="1" customWidth="1"/>
    <col min="9495" max="9495" width="16.42578125" style="1174" bestFit="1" customWidth="1"/>
    <col min="9496" max="9496" width="18" style="1174" bestFit="1" customWidth="1"/>
    <col min="9497" max="9497" width="11.7109375" style="1174" bestFit="1" customWidth="1"/>
    <col min="9498" max="9498" width="41.42578125" style="1174" bestFit="1" customWidth="1"/>
    <col min="9499" max="9502" width="10" style="1174"/>
    <col min="9503" max="9503" width="10.28515625" style="1174" bestFit="1" customWidth="1"/>
    <col min="9504" max="9728" width="10" style="1174"/>
    <col min="9729" max="9729" width="16.42578125" style="1174" customWidth="1"/>
    <col min="9730" max="9730" width="14.28515625" style="1174" customWidth="1"/>
    <col min="9731" max="9731" width="49.42578125" style="1174" bestFit="1" customWidth="1"/>
    <col min="9732" max="9732" width="22.42578125" style="1174" bestFit="1" customWidth="1"/>
    <col min="9733" max="9733" width="19.28515625" style="1174" bestFit="1" customWidth="1"/>
    <col min="9734" max="9734" width="24.85546875" style="1174" bestFit="1" customWidth="1"/>
    <col min="9735" max="9735" width="26.42578125" style="1174" bestFit="1" customWidth="1"/>
    <col min="9736" max="9736" width="17" style="1174" bestFit="1" customWidth="1"/>
    <col min="9737" max="9737" width="18.28515625" style="1174" bestFit="1" customWidth="1"/>
    <col min="9738" max="9738" width="22.5703125" style="1174" bestFit="1" customWidth="1"/>
    <col min="9739" max="9739" width="18.28515625" style="1174" bestFit="1" customWidth="1"/>
    <col min="9740" max="9740" width="16.7109375" style="1174" bestFit="1" customWidth="1"/>
    <col min="9741" max="9741" width="18.85546875" style="1174" bestFit="1" customWidth="1"/>
    <col min="9742" max="9742" width="20.140625" style="1174" bestFit="1" customWidth="1"/>
    <col min="9743" max="9743" width="19.28515625" style="1174" bestFit="1" customWidth="1"/>
    <col min="9744" max="9744" width="16.140625" style="1174" bestFit="1" customWidth="1"/>
    <col min="9745" max="9745" width="23" style="1174" bestFit="1" customWidth="1"/>
    <col min="9746" max="9746" width="16.42578125" style="1174" bestFit="1" customWidth="1"/>
    <col min="9747" max="9747" width="18.5703125" style="1174" bestFit="1" customWidth="1"/>
    <col min="9748" max="9748" width="19.85546875" style="1174" bestFit="1" customWidth="1"/>
    <col min="9749" max="9749" width="15.7109375" style="1174" customWidth="1"/>
    <col min="9750" max="9750" width="23" style="1174" bestFit="1" customWidth="1"/>
    <col min="9751" max="9751" width="16.42578125" style="1174" bestFit="1" customWidth="1"/>
    <col min="9752" max="9752" width="18" style="1174" bestFit="1" customWidth="1"/>
    <col min="9753" max="9753" width="11.7109375" style="1174" bestFit="1" customWidth="1"/>
    <col min="9754" max="9754" width="41.42578125" style="1174" bestFit="1" customWidth="1"/>
    <col min="9755" max="9758" width="10" style="1174"/>
    <col min="9759" max="9759" width="10.28515625" style="1174" bestFit="1" customWidth="1"/>
    <col min="9760" max="9984" width="10" style="1174"/>
    <col min="9985" max="9985" width="16.42578125" style="1174" customWidth="1"/>
    <col min="9986" max="9986" width="14.28515625" style="1174" customWidth="1"/>
    <col min="9987" max="9987" width="49.42578125" style="1174" bestFit="1" customWidth="1"/>
    <col min="9988" max="9988" width="22.42578125" style="1174" bestFit="1" customWidth="1"/>
    <col min="9989" max="9989" width="19.28515625" style="1174" bestFit="1" customWidth="1"/>
    <col min="9990" max="9990" width="24.85546875" style="1174" bestFit="1" customWidth="1"/>
    <col min="9991" max="9991" width="26.42578125" style="1174" bestFit="1" customWidth="1"/>
    <col min="9992" max="9992" width="17" style="1174" bestFit="1" customWidth="1"/>
    <col min="9993" max="9993" width="18.28515625" style="1174" bestFit="1" customWidth="1"/>
    <col min="9994" max="9994" width="22.5703125" style="1174" bestFit="1" customWidth="1"/>
    <col min="9995" max="9995" width="18.28515625" style="1174" bestFit="1" customWidth="1"/>
    <col min="9996" max="9996" width="16.7109375" style="1174" bestFit="1" customWidth="1"/>
    <col min="9997" max="9997" width="18.85546875" style="1174" bestFit="1" customWidth="1"/>
    <col min="9998" max="9998" width="20.140625" style="1174" bestFit="1" customWidth="1"/>
    <col min="9999" max="9999" width="19.28515625" style="1174" bestFit="1" customWidth="1"/>
    <col min="10000" max="10000" width="16.140625" style="1174" bestFit="1" customWidth="1"/>
    <col min="10001" max="10001" width="23" style="1174" bestFit="1" customWidth="1"/>
    <col min="10002" max="10002" width="16.42578125" style="1174" bestFit="1" customWidth="1"/>
    <col min="10003" max="10003" width="18.5703125" style="1174" bestFit="1" customWidth="1"/>
    <col min="10004" max="10004" width="19.85546875" style="1174" bestFit="1" customWidth="1"/>
    <col min="10005" max="10005" width="15.7109375" style="1174" customWidth="1"/>
    <col min="10006" max="10006" width="23" style="1174" bestFit="1" customWidth="1"/>
    <col min="10007" max="10007" width="16.42578125" style="1174" bestFit="1" customWidth="1"/>
    <col min="10008" max="10008" width="18" style="1174" bestFit="1" customWidth="1"/>
    <col min="10009" max="10009" width="11.7109375" style="1174" bestFit="1" customWidth="1"/>
    <col min="10010" max="10010" width="41.42578125" style="1174" bestFit="1" customWidth="1"/>
    <col min="10011" max="10014" width="10" style="1174"/>
    <col min="10015" max="10015" width="10.28515625" style="1174" bestFit="1" customWidth="1"/>
    <col min="10016" max="10240" width="10" style="1174"/>
    <col min="10241" max="10241" width="16.42578125" style="1174" customWidth="1"/>
    <col min="10242" max="10242" width="14.28515625" style="1174" customWidth="1"/>
    <col min="10243" max="10243" width="49.42578125" style="1174" bestFit="1" customWidth="1"/>
    <col min="10244" max="10244" width="22.42578125" style="1174" bestFit="1" customWidth="1"/>
    <col min="10245" max="10245" width="19.28515625" style="1174" bestFit="1" customWidth="1"/>
    <col min="10246" max="10246" width="24.85546875" style="1174" bestFit="1" customWidth="1"/>
    <col min="10247" max="10247" width="26.42578125" style="1174" bestFit="1" customWidth="1"/>
    <col min="10248" max="10248" width="17" style="1174" bestFit="1" customWidth="1"/>
    <col min="10249" max="10249" width="18.28515625" style="1174" bestFit="1" customWidth="1"/>
    <col min="10250" max="10250" width="22.5703125" style="1174" bestFit="1" customWidth="1"/>
    <col min="10251" max="10251" width="18.28515625" style="1174" bestFit="1" customWidth="1"/>
    <col min="10252" max="10252" width="16.7109375" style="1174" bestFit="1" customWidth="1"/>
    <col min="10253" max="10253" width="18.85546875" style="1174" bestFit="1" customWidth="1"/>
    <col min="10254" max="10254" width="20.140625" style="1174" bestFit="1" customWidth="1"/>
    <col min="10255" max="10255" width="19.28515625" style="1174" bestFit="1" customWidth="1"/>
    <col min="10256" max="10256" width="16.140625" style="1174" bestFit="1" customWidth="1"/>
    <col min="10257" max="10257" width="23" style="1174" bestFit="1" customWidth="1"/>
    <col min="10258" max="10258" width="16.42578125" style="1174" bestFit="1" customWidth="1"/>
    <col min="10259" max="10259" width="18.5703125" style="1174" bestFit="1" customWidth="1"/>
    <col min="10260" max="10260" width="19.85546875" style="1174" bestFit="1" customWidth="1"/>
    <col min="10261" max="10261" width="15.7109375" style="1174" customWidth="1"/>
    <col min="10262" max="10262" width="23" style="1174" bestFit="1" customWidth="1"/>
    <col min="10263" max="10263" width="16.42578125" style="1174" bestFit="1" customWidth="1"/>
    <col min="10264" max="10264" width="18" style="1174" bestFit="1" customWidth="1"/>
    <col min="10265" max="10265" width="11.7109375" style="1174" bestFit="1" customWidth="1"/>
    <col min="10266" max="10266" width="41.42578125" style="1174" bestFit="1" customWidth="1"/>
    <col min="10267" max="10270" width="10" style="1174"/>
    <col min="10271" max="10271" width="10.28515625" style="1174" bestFit="1" customWidth="1"/>
    <col min="10272" max="10496" width="10" style="1174"/>
    <col min="10497" max="10497" width="16.42578125" style="1174" customWidth="1"/>
    <col min="10498" max="10498" width="14.28515625" style="1174" customWidth="1"/>
    <col min="10499" max="10499" width="49.42578125" style="1174" bestFit="1" customWidth="1"/>
    <col min="10500" max="10500" width="22.42578125" style="1174" bestFit="1" customWidth="1"/>
    <col min="10501" max="10501" width="19.28515625" style="1174" bestFit="1" customWidth="1"/>
    <col min="10502" max="10502" width="24.85546875" style="1174" bestFit="1" customWidth="1"/>
    <col min="10503" max="10503" width="26.42578125" style="1174" bestFit="1" customWidth="1"/>
    <col min="10504" max="10504" width="17" style="1174" bestFit="1" customWidth="1"/>
    <col min="10505" max="10505" width="18.28515625" style="1174" bestFit="1" customWidth="1"/>
    <col min="10506" max="10506" width="22.5703125" style="1174" bestFit="1" customWidth="1"/>
    <col min="10507" max="10507" width="18.28515625" style="1174" bestFit="1" customWidth="1"/>
    <col min="10508" max="10508" width="16.7109375" style="1174" bestFit="1" customWidth="1"/>
    <col min="10509" max="10509" width="18.85546875" style="1174" bestFit="1" customWidth="1"/>
    <col min="10510" max="10510" width="20.140625" style="1174" bestFit="1" customWidth="1"/>
    <col min="10511" max="10511" width="19.28515625" style="1174" bestFit="1" customWidth="1"/>
    <col min="10512" max="10512" width="16.140625" style="1174" bestFit="1" customWidth="1"/>
    <col min="10513" max="10513" width="23" style="1174" bestFit="1" customWidth="1"/>
    <col min="10514" max="10514" width="16.42578125" style="1174" bestFit="1" customWidth="1"/>
    <col min="10515" max="10515" width="18.5703125" style="1174" bestFit="1" customWidth="1"/>
    <col min="10516" max="10516" width="19.85546875" style="1174" bestFit="1" customWidth="1"/>
    <col min="10517" max="10517" width="15.7109375" style="1174" customWidth="1"/>
    <col min="10518" max="10518" width="23" style="1174" bestFit="1" customWidth="1"/>
    <col min="10519" max="10519" width="16.42578125" style="1174" bestFit="1" customWidth="1"/>
    <col min="10520" max="10520" width="18" style="1174" bestFit="1" customWidth="1"/>
    <col min="10521" max="10521" width="11.7109375" style="1174" bestFit="1" customWidth="1"/>
    <col min="10522" max="10522" width="41.42578125" style="1174" bestFit="1" customWidth="1"/>
    <col min="10523" max="10526" width="10" style="1174"/>
    <col min="10527" max="10527" width="10.28515625" style="1174" bestFit="1" customWidth="1"/>
    <col min="10528" max="10752" width="10" style="1174"/>
    <col min="10753" max="10753" width="16.42578125" style="1174" customWidth="1"/>
    <col min="10754" max="10754" width="14.28515625" style="1174" customWidth="1"/>
    <col min="10755" max="10755" width="49.42578125" style="1174" bestFit="1" customWidth="1"/>
    <col min="10756" max="10756" width="22.42578125" style="1174" bestFit="1" customWidth="1"/>
    <col min="10757" max="10757" width="19.28515625" style="1174" bestFit="1" customWidth="1"/>
    <col min="10758" max="10758" width="24.85546875" style="1174" bestFit="1" customWidth="1"/>
    <col min="10759" max="10759" width="26.42578125" style="1174" bestFit="1" customWidth="1"/>
    <col min="10760" max="10760" width="17" style="1174" bestFit="1" customWidth="1"/>
    <col min="10761" max="10761" width="18.28515625" style="1174" bestFit="1" customWidth="1"/>
    <col min="10762" max="10762" width="22.5703125" style="1174" bestFit="1" customWidth="1"/>
    <col min="10763" max="10763" width="18.28515625" style="1174" bestFit="1" customWidth="1"/>
    <col min="10764" max="10764" width="16.7109375" style="1174" bestFit="1" customWidth="1"/>
    <col min="10765" max="10765" width="18.85546875" style="1174" bestFit="1" customWidth="1"/>
    <col min="10766" max="10766" width="20.140625" style="1174" bestFit="1" customWidth="1"/>
    <col min="10767" max="10767" width="19.28515625" style="1174" bestFit="1" customWidth="1"/>
    <col min="10768" max="10768" width="16.140625" style="1174" bestFit="1" customWidth="1"/>
    <col min="10769" max="10769" width="23" style="1174" bestFit="1" customWidth="1"/>
    <col min="10770" max="10770" width="16.42578125" style="1174" bestFit="1" customWidth="1"/>
    <col min="10771" max="10771" width="18.5703125" style="1174" bestFit="1" customWidth="1"/>
    <col min="10772" max="10772" width="19.85546875" style="1174" bestFit="1" customWidth="1"/>
    <col min="10773" max="10773" width="15.7109375" style="1174" customWidth="1"/>
    <col min="10774" max="10774" width="23" style="1174" bestFit="1" customWidth="1"/>
    <col min="10775" max="10775" width="16.42578125" style="1174" bestFit="1" customWidth="1"/>
    <col min="10776" max="10776" width="18" style="1174" bestFit="1" customWidth="1"/>
    <col min="10777" max="10777" width="11.7109375" style="1174" bestFit="1" customWidth="1"/>
    <col min="10778" max="10778" width="41.42578125" style="1174" bestFit="1" customWidth="1"/>
    <col min="10779" max="10782" width="10" style="1174"/>
    <col min="10783" max="10783" width="10.28515625" style="1174" bestFit="1" customWidth="1"/>
    <col min="10784" max="11008" width="10" style="1174"/>
    <col min="11009" max="11009" width="16.42578125" style="1174" customWidth="1"/>
    <col min="11010" max="11010" width="14.28515625" style="1174" customWidth="1"/>
    <col min="11011" max="11011" width="49.42578125" style="1174" bestFit="1" customWidth="1"/>
    <col min="11012" max="11012" width="22.42578125" style="1174" bestFit="1" customWidth="1"/>
    <col min="11013" max="11013" width="19.28515625" style="1174" bestFit="1" customWidth="1"/>
    <col min="11014" max="11014" width="24.85546875" style="1174" bestFit="1" customWidth="1"/>
    <col min="11015" max="11015" width="26.42578125" style="1174" bestFit="1" customWidth="1"/>
    <col min="11016" max="11016" width="17" style="1174" bestFit="1" customWidth="1"/>
    <col min="11017" max="11017" width="18.28515625" style="1174" bestFit="1" customWidth="1"/>
    <col min="11018" max="11018" width="22.5703125" style="1174" bestFit="1" customWidth="1"/>
    <col min="11019" max="11019" width="18.28515625" style="1174" bestFit="1" customWidth="1"/>
    <col min="11020" max="11020" width="16.7109375" style="1174" bestFit="1" customWidth="1"/>
    <col min="11021" max="11021" width="18.85546875" style="1174" bestFit="1" customWidth="1"/>
    <col min="11022" max="11022" width="20.140625" style="1174" bestFit="1" customWidth="1"/>
    <col min="11023" max="11023" width="19.28515625" style="1174" bestFit="1" customWidth="1"/>
    <col min="11024" max="11024" width="16.140625" style="1174" bestFit="1" customWidth="1"/>
    <col min="11025" max="11025" width="23" style="1174" bestFit="1" customWidth="1"/>
    <col min="11026" max="11026" width="16.42578125" style="1174" bestFit="1" customWidth="1"/>
    <col min="11027" max="11027" width="18.5703125" style="1174" bestFit="1" customWidth="1"/>
    <col min="11028" max="11028" width="19.85546875" style="1174" bestFit="1" customWidth="1"/>
    <col min="11029" max="11029" width="15.7109375" style="1174" customWidth="1"/>
    <col min="11030" max="11030" width="23" style="1174" bestFit="1" customWidth="1"/>
    <col min="11031" max="11031" width="16.42578125" style="1174" bestFit="1" customWidth="1"/>
    <col min="11032" max="11032" width="18" style="1174" bestFit="1" customWidth="1"/>
    <col min="11033" max="11033" width="11.7109375" style="1174" bestFit="1" customWidth="1"/>
    <col min="11034" max="11034" width="41.42578125" style="1174" bestFit="1" customWidth="1"/>
    <col min="11035" max="11038" width="10" style="1174"/>
    <col min="11039" max="11039" width="10.28515625" style="1174" bestFit="1" customWidth="1"/>
    <col min="11040" max="11264" width="10" style="1174"/>
    <col min="11265" max="11265" width="16.42578125" style="1174" customWidth="1"/>
    <col min="11266" max="11266" width="14.28515625" style="1174" customWidth="1"/>
    <col min="11267" max="11267" width="49.42578125" style="1174" bestFit="1" customWidth="1"/>
    <col min="11268" max="11268" width="22.42578125" style="1174" bestFit="1" customWidth="1"/>
    <col min="11269" max="11269" width="19.28515625" style="1174" bestFit="1" customWidth="1"/>
    <col min="11270" max="11270" width="24.85546875" style="1174" bestFit="1" customWidth="1"/>
    <col min="11271" max="11271" width="26.42578125" style="1174" bestFit="1" customWidth="1"/>
    <col min="11272" max="11272" width="17" style="1174" bestFit="1" customWidth="1"/>
    <col min="11273" max="11273" width="18.28515625" style="1174" bestFit="1" customWidth="1"/>
    <col min="11274" max="11274" width="22.5703125" style="1174" bestFit="1" customWidth="1"/>
    <col min="11275" max="11275" width="18.28515625" style="1174" bestFit="1" customWidth="1"/>
    <col min="11276" max="11276" width="16.7109375" style="1174" bestFit="1" customWidth="1"/>
    <col min="11277" max="11277" width="18.85546875" style="1174" bestFit="1" customWidth="1"/>
    <col min="11278" max="11278" width="20.140625" style="1174" bestFit="1" customWidth="1"/>
    <col min="11279" max="11279" width="19.28515625" style="1174" bestFit="1" customWidth="1"/>
    <col min="11280" max="11280" width="16.140625" style="1174" bestFit="1" customWidth="1"/>
    <col min="11281" max="11281" width="23" style="1174" bestFit="1" customWidth="1"/>
    <col min="11282" max="11282" width="16.42578125" style="1174" bestFit="1" customWidth="1"/>
    <col min="11283" max="11283" width="18.5703125" style="1174" bestFit="1" customWidth="1"/>
    <col min="11284" max="11284" width="19.85546875" style="1174" bestFit="1" customWidth="1"/>
    <col min="11285" max="11285" width="15.7109375" style="1174" customWidth="1"/>
    <col min="11286" max="11286" width="23" style="1174" bestFit="1" customWidth="1"/>
    <col min="11287" max="11287" width="16.42578125" style="1174" bestFit="1" customWidth="1"/>
    <col min="11288" max="11288" width="18" style="1174" bestFit="1" customWidth="1"/>
    <col min="11289" max="11289" width="11.7109375" style="1174" bestFit="1" customWidth="1"/>
    <col min="11290" max="11290" width="41.42578125" style="1174" bestFit="1" customWidth="1"/>
    <col min="11291" max="11294" width="10" style="1174"/>
    <col min="11295" max="11295" width="10.28515625" style="1174" bestFit="1" customWidth="1"/>
    <col min="11296" max="11520" width="10" style="1174"/>
    <col min="11521" max="11521" width="16.42578125" style="1174" customWidth="1"/>
    <col min="11522" max="11522" width="14.28515625" style="1174" customWidth="1"/>
    <col min="11523" max="11523" width="49.42578125" style="1174" bestFit="1" customWidth="1"/>
    <col min="11524" max="11524" width="22.42578125" style="1174" bestFit="1" customWidth="1"/>
    <col min="11525" max="11525" width="19.28515625" style="1174" bestFit="1" customWidth="1"/>
    <col min="11526" max="11526" width="24.85546875" style="1174" bestFit="1" customWidth="1"/>
    <col min="11527" max="11527" width="26.42578125" style="1174" bestFit="1" customWidth="1"/>
    <col min="11528" max="11528" width="17" style="1174" bestFit="1" customWidth="1"/>
    <col min="11529" max="11529" width="18.28515625" style="1174" bestFit="1" customWidth="1"/>
    <col min="11530" max="11530" width="22.5703125" style="1174" bestFit="1" customWidth="1"/>
    <col min="11531" max="11531" width="18.28515625" style="1174" bestFit="1" customWidth="1"/>
    <col min="11532" max="11532" width="16.7109375" style="1174" bestFit="1" customWidth="1"/>
    <col min="11533" max="11533" width="18.85546875" style="1174" bestFit="1" customWidth="1"/>
    <col min="11534" max="11534" width="20.140625" style="1174" bestFit="1" customWidth="1"/>
    <col min="11535" max="11535" width="19.28515625" style="1174" bestFit="1" customWidth="1"/>
    <col min="11536" max="11536" width="16.140625" style="1174" bestFit="1" customWidth="1"/>
    <col min="11537" max="11537" width="23" style="1174" bestFit="1" customWidth="1"/>
    <col min="11538" max="11538" width="16.42578125" style="1174" bestFit="1" customWidth="1"/>
    <col min="11539" max="11539" width="18.5703125" style="1174" bestFit="1" customWidth="1"/>
    <col min="11540" max="11540" width="19.85546875" style="1174" bestFit="1" customWidth="1"/>
    <col min="11541" max="11541" width="15.7109375" style="1174" customWidth="1"/>
    <col min="11542" max="11542" width="23" style="1174" bestFit="1" customWidth="1"/>
    <col min="11543" max="11543" width="16.42578125" style="1174" bestFit="1" customWidth="1"/>
    <col min="11544" max="11544" width="18" style="1174" bestFit="1" customWidth="1"/>
    <col min="11545" max="11545" width="11.7109375" style="1174" bestFit="1" customWidth="1"/>
    <col min="11546" max="11546" width="41.42578125" style="1174" bestFit="1" customWidth="1"/>
    <col min="11547" max="11550" width="10" style="1174"/>
    <col min="11551" max="11551" width="10.28515625" style="1174" bestFit="1" customWidth="1"/>
    <col min="11552" max="11776" width="10" style="1174"/>
    <col min="11777" max="11777" width="16.42578125" style="1174" customWidth="1"/>
    <col min="11778" max="11778" width="14.28515625" style="1174" customWidth="1"/>
    <col min="11779" max="11779" width="49.42578125" style="1174" bestFit="1" customWidth="1"/>
    <col min="11780" max="11780" width="22.42578125" style="1174" bestFit="1" customWidth="1"/>
    <col min="11781" max="11781" width="19.28515625" style="1174" bestFit="1" customWidth="1"/>
    <col min="11782" max="11782" width="24.85546875" style="1174" bestFit="1" customWidth="1"/>
    <col min="11783" max="11783" width="26.42578125" style="1174" bestFit="1" customWidth="1"/>
    <col min="11784" max="11784" width="17" style="1174" bestFit="1" customWidth="1"/>
    <col min="11785" max="11785" width="18.28515625" style="1174" bestFit="1" customWidth="1"/>
    <col min="11786" max="11786" width="22.5703125" style="1174" bestFit="1" customWidth="1"/>
    <col min="11787" max="11787" width="18.28515625" style="1174" bestFit="1" customWidth="1"/>
    <col min="11788" max="11788" width="16.7109375" style="1174" bestFit="1" customWidth="1"/>
    <col min="11789" max="11789" width="18.85546875" style="1174" bestFit="1" customWidth="1"/>
    <col min="11790" max="11790" width="20.140625" style="1174" bestFit="1" customWidth="1"/>
    <col min="11791" max="11791" width="19.28515625" style="1174" bestFit="1" customWidth="1"/>
    <col min="11792" max="11792" width="16.140625" style="1174" bestFit="1" customWidth="1"/>
    <col min="11793" max="11793" width="23" style="1174" bestFit="1" customWidth="1"/>
    <col min="11794" max="11794" width="16.42578125" style="1174" bestFit="1" customWidth="1"/>
    <col min="11795" max="11795" width="18.5703125" style="1174" bestFit="1" customWidth="1"/>
    <col min="11796" max="11796" width="19.85546875" style="1174" bestFit="1" customWidth="1"/>
    <col min="11797" max="11797" width="15.7109375" style="1174" customWidth="1"/>
    <col min="11798" max="11798" width="23" style="1174" bestFit="1" customWidth="1"/>
    <col min="11799" max="11799" width="16.42578125" style="1174" bestFit="1" customWidth="1"/>
    <col min="11800" max="11800" width="18" style="1174" bestFit="1" customWidth="1"/>
    <col min="11801" max="11801" width="11.7109375" style="1174" bestFit="1" customWidth="1"/>
    <col min="11802" max="11802" width="41.42578125" style="1174" bestFit="1" customWidth="1"/>
    <col min="11803" max="11806" width="10" style="1174"/>
    <col min="11807" max="11807" width="10.28515625" style="1174" bestFit="1" customWidth="1"/>
    <col min="11808" max="12032" width="10" style="1174"/>
    <col min="12033" max="12033" width="16.42578125" style="1174" customWidth="1"/>
    <col min="12034" max="12034" width="14.28515625" style="1174" customWidth="1"/>
    <col min="12035" max="12035" width="49.42578125" style="1174" bestFit="1" customWidth="1"/>
    <col min="12036" max="12036" width="22.42578125" style="1174" bestFit="1" customWidth="1"/>
    <col min="12037" max="12037" width="19.28515625" style="1174" bestFit="1" customWidth="1"/>
    <col min="12038" max="12038" width="24.85546875" style="1174" bestFit="1" customWidth="1"/>
    <col min="12039" max="12039" width="26.42578125" style="1174" bestFit="1" customWidth="1"/>
    <col min="12040" max="12040" width="17" style="1174" bestFit="1" customWidth="1"/>
    <col min="12041" max="12041" width="18.28515625" style="1174" bestFit="1" customWidth="1"/>
    <col min="12042" max="12042" width="22.5703125" style="1174" bestFit="1" customWidth="1"/>
    <col min="12043" max="12043" width="18.28515625" style="1174" bestFit="1" customWidth="1"/>
    <col min="12044" max="12044" width="16.7109375" style="1174" bestFit="1" customWidth="1"/>
    <col min="12045" max="12045" width="18.85546875" style="1174" bestFit="1" customWidth="1"/>
    <col min="12046" max="12046" width="20.140625" style="1174" bestFit="1" customWidth="1"/>
    <col min="12047" max="12047" width="19.28515625" style="1174" bestFit="1" customWidth="1"/>
    <col min="12048" max="12048" width="16.140625" style="1174" bestFit="1" customWidth="1"/>
    <col min="12049" max="12049" width="23" style="1174" bestFit="1" customWidth="1"/>
    <col min="12050" max="12050" width="16.42578125" style="1174" bestFit="1" customWidth="1"/>
    <col min="12051" max="12051" width="18.5703125" style="1174" bestFit="1" customWidth="1"/>
    <col min="12052" max="12052" width="19.85546875" style="1174" bestFit="1" customWidth="1"/>
    <col min="12053" max="12053" width="15.7109375" style="1174" customWidth="1"/>
    <col min="12054" max="12054" width="23" style="1174" bestFit="1" customWidth="1"/>
    <col min="12055" max="12055" width="16.42578125" style="1174" bestFit="1" customWidth="1"/>
    <col min="12056" max="12056" width="18" style="1174" bestFit="1" customWidth="1"/>
    <col min="12057" max="12057" width="11.7109375" style="1174" bestFit="1" customWidth="1"/>
    <col min="12058" max="12058" width="41.42578125" style="1174" bestFit="1" customWidth="1"/>
    <col min="12059" max="12062" width="10" style="1174"/>
    <col min="12063" max="12063" width="10.28515625" style="1174" bestFit="1" customWidth="1"/>
    <col min="12064" max="12288" width="10" style="1174"/>
    <col min="12289" max="12289" width="16.42578125" style="1174" customWidth="1"/>
    <col min="12290" max="12290" width="14.28515625" style="1174" customWidth="1"/>
    <col min="12291" max="12291" width="49.42578125" style="1174" bestFit="1" customWidth="1"/>
    <col min="12292" max="12292" width="22.42578125" style="1174" bestFit="1" customWidth="1"/>
    <col min="12293" max="12293" width="19.28515625" style="1174" bestFit="1" customWidth="1"/>
    <col min="12294" max="12294" width="24.85546875" style="1174" bestFit="1" customWidth="1"/>
    <col min="12295" max="12295" width="26.42578125" style="1174" bestFit="1" customWidth="1"/>
    <col min="12296" max="12296" width="17" style="1174" bestFit="1" customWidth="1"/>
    <col min="12297" max="12297" width="18.28515625" style="1174" bestFit="1" customWidth="1"/>
    <col min="12298" max="12298" width="22.5703125" style="1174" bestFit="1" customWidth="1"/>
    <col min="12299" max="12299" width="18.28515625" style="1174" bestFit="1" customWidth="1"/>
    <col min="12300" max="12300" width="16.7109375" style="1174" bestFit="1" customWidth="1"/>
    <col min="12301" max="12301" width="18.85546875" style="1174" bestFit="1" customWidth="1"/>
    <col min="12302" max="12302" width="20.140625" style="1174" bestFit="1" customWidth="1"/>
    <col min="12303" max="12303" width="19.28515625" style="1174" bestFit="1" customWidth="1"/>
    <col min="12304" max="12304" width="16.140625" style="1174" bestFit="1" customWidth="1"/>
    <col min="12305" max="12305" width="23" style="1174" bestFit="1" customWidth="1"/>
    <col min="12306" max="12306" width="16.42578125" style="1174" bestFit="1" customWidth="1"/>
    <col min="12307" max="12307" width="18.5703125" style="1174" bestFit="1" customWidth="1"/>
    <col min="12308" max="12308" width="19.85546875" style="1174" bestFit="1" customWidth="1"/>
    <col min="12309" max="12309" width="15.7109375" style="1174" customWidth="1"/>
    <col min="12310" max="12310" width="23" style="1174" bestFit="1" customWidth="1"/>
    <col min="12311" max="12311" width="16.42578125" style="1174" bestFit="1" customWidth="1"/>
    <col min="12312" max="12312" width="18" style="1174" bestFit="1" customWidth="1"/>
    <col min="12313" max="12313" width="11.7109375" style="1174" bestFit="1" customWidth="1"/>
    <col min="12314" max="12314" width="41.42578125" style="1174" bestFit="1" customWidth="1"/>
    <col min="12315" max="12318" width="10" style="1174"/>
    <col min="12319" max="12319" width="10.28515625" style="1174" bestFit="1" customWidth="1"/>
    <col min="12320" max="12544" width="10" style="1174"/>
    <col min="12545" max="12545" width="16.42578125" style="1174" customWidth="1"/>
    <col min="12546" max="12546" width="14.28515625" style="1174" customWidth="1"/>
    <col min="12547" max="12547" width="49.42578125" style="1174" bestFit="1" customWidth="1"/>
    <col min="12548" max="12548" width="22.42578125" style="1174" bestFit="1" customWidth="1"/>
    <col min="12549" max="12549" width="19.28515625" style="1174" bestFit="1" customWidth="1"/>
    <col min="12550" max="12550" width="24.85546875" style="1174" bestFit="1" customWidth="1"/>
    <col min="12551" max="12551" width="26.42578125" style="1174" bestFit="1" customWidth="1"/>
    <col min="12552" max="12552" width="17" style="1174" bestFit="1" customWidth="1"/>
    <col min="12553" max="12553" width="18.28515625" style="1174" bestFit="1" customWidth="1"/>
    <col min="12554" max="12554" width="22.5703125" style="1174" bestFit="1" customWidth="1"/>
    <col min="12555" max="12555" width="18.28515625" style="1174" bestFit="1" customWidth="1"/>
    <col min="12556" max="12556" width="16.7109375" style="1174" bestFit="1" customWidth="1"/>
    <col min="12557" max="12557" width="18.85546875" style="1174" bestFit="1" customWidth="1"/>
    <col min="12558" max="12558" width="20.140625" style="1174" bestFit="1" customWidth="1"/>
    <col min="12559" max="12559" width="19.28515625" style="1174" bestFit="1" customWidth="1"/>
    <col min="12560" max="12560" width="16.140625" style="1174" bestFit="1" customWidth="1"/>
    <col min="12561" max="12561" width="23" style="1174" bestFit="1" customWidth="1"/>
    <col min="12562" max="12562" width="16.42578125" style="1174" bestFit="1" customWidth="1"/>
    <col min="12563" max="12563" width="18.5703125" style="1174" bestFit="1" customWidth="1"/>
    <col min="12564" max="12564" width="19.85546875" style="1174" bestFit="1" customWidth="1"/>
    <col min="12565" max="12565" width="15.7109375" style="1174" customWidth="1"/>
    <col min="12566" max="12566" width="23" style="1174" bestFit="1" customWidth="1"/>
    <col min="12567" max="12567" width="16.42578125" style="1174" bestFit="1" customWidth="1"/>
    <col min="12568" max="12568" width="18" style="1174" bestFit="1" customWidth="1"/>
    <col min="12569" max="12569" width="11.7109375" style="1174" bestFit="1" customWidth="1"/>
    <col min="12570" max="12570" width="41.42578125" style="1174" bestFit="1" customWidth="1"/>
    <col min="12571" max="12574" width="10" style="1174"/>
    <col min="12575" max="12575" width="10.28515625" style="1174" bestFit="1" customWidth="1"/>
    <col min="12576" max="12800" width="10" style="1174"/>
    <col min="12801" max="12801" width="16.42578125" style="1174" customWidth="1"/>
    <col min="12802" max="12802" width="14.28515625" style="1174" customWidth="1"/>
    <col min="12803" max="12803" width="49.42578125" style="1174" bestFit="1" customWidth="1"/>
    <col min="12804" max="12804" width="22.42578125" style="1174" bestFit="1" customWidth="1"/>
    <col min="12805" max="12805" width="19.28515625" style="1174" bestFit="1" customWidth="1"/>
    <col min="12806" max="12806" width="24.85546875" style="1174" bestFit="1" customWidth="1"/>
    <col min="12807" max="12807" width="26.42578125" style="1174" bestFit="1" customWidth="1"/>
    <col min="12808" max="12808" width="17" style="1174" bestFit="1" customWidth="1"/>
    <col min="12809" max="12809" width="18.28515625" style="1174" bestFit="1" customWidth="1"/>
    <col min="12810" max="12810" width="22.5703125" style="1174" bestFit="1" customWidth="1"/>
    <col min="12811" max="12811" width="18.28515625" style="1174" bestFit="1" customWidth="1"/>
    <col min="12812" max="12812" width="16.7109375" style="1174" bestFit="1" customWidth="1"/>
    <col min="12813" max="12813" width="18.85546875" style="1174" bestFit="1" customWidth="1"/>
    <col min="12814" max="12814" width="20.140625" style="1174" bestFit="1" customWidth="1"/>
    <col min="12815" max="12815" width="19.28515625" style="1174" bestFit="1" customWidth="1"/>
    <col min="12816" max="12816" width="16.140625" style="1174" bestFit="1" customWidth="1"/>
    <col min="12817" max="12817" width="23" style="1174" bestFit="1" customWidth="1"/>
    <col min="12818" max="12818" width="16.42578125" style="1174" bestFit="1" customWidth="1"/>
    <col min="12819" max="12819" width="18.5703125" style="1174" bestFit="1" customWidth="1"/>
    <col min="12820" max="12820" width="19.85546875" style="1174" bestFit="1" customWidth="1"/>
    <col min="12821" max="12821" width="15.7109375" style="1174" customWidth="1"/>
    <col min="12822" max="12822" width="23" style="1174" bestFit="1" customWidth="1"/>
    <col min="12823" max="12823" width="16.42578125" style="1174" bestFit="1" customWidth="1"/>
    <col min="12824" max="12824" width="18" style="1174" bestFit="1" customWidth="1"/>
    <col min="12825" max="12825" width="11.7109375" style="1174" bestFit="1" customWidth="1"/>
    <col min="12826" max="12826" width="41.42578125" style="1174" bestFit="1" customWidth="1"/>
    <col min="12827" max="12830" width="10" style="1174"/>
    <col min="12831" max="12831" width="10.28515625" style="1174" bestFit="1" customWidth="1"/>
    <col min="12832" max="13056" width="10" style="1174"/>
    <col min="13057" max="13057" width="16.42578125" style="1174" customWidth="1"/>
    <col min="13058" max="13058" width="14.28515625" style="1174" customWidth="1"/>
    <col min="13059" max="13059" width="49.42578125" style="1174" bestFit="1" customWidth="1"/>
    <col min="13060" max="13060" width="22.42578125" style="1174" bestFit="1" customWidth="1"/>
    <col min="13061" max="13061" width="19.28515625" style="1174" bestFit="1" customWidth="1"/>
    <col min="13062" max="13062" width="24.85546875" style="1174" bestFit="1" customWidth="1"/>
    <col min="13063" max="13063" width="26.42578125" style="1174" bestFit="1" customWidth="1"/>
    <col min="13064" max="13064" width="17" style="1174" bestFit="1" customWidth="1"/>
    <col min="13065" max="13065" width="18.28515625" style="1174" bestFit="1" customWidth="1"/>
    <col min="13066" max="13066" width="22.5703125" style="1174" bestFit="1" customWidth="1"/>
    <col min="13067" max="13067" width="18.28515625" style="1174" bestFit="1" customWidth="1"/>
    <col min="13068" max="13068" width="16.7109375" style="1174" bestFit="1" customWidth="1"/>
    <col min="13069" max="13069" width="18.85546875" style="1174" bestFit="1" customWidth="1"/>
    <col min="13070" max="13070" width="20.140625" style="1174" bestFit="1" customWidth="1"/>
    <col min="13071" max="13071" width="19.28515625" style="1174" bestFit="1" customWidth="1"/>
    <col min="13072" max="13072" width="16.140625" style="1174" bestFit="1" customWidth="1"/>
    <col min="13073" max="13073" width="23" style="1174" bestFit="1" customWidth="1"/>
    <col min="13074" max="13074" width="16.42578125" style="1174" bestFit="1" customWidth="1"/>
    <col min="13075" max="13075" width="18.5703125" style="1174" bestFit="1" customWidth="1"/>
    <col min="13076" max="13076" width="19.85546875" style="1174" bestFit="1" customWidth="1"/>
    <col min="13077" max="13077" width="15.7109375" style="1174" customWidth="1"/>
    <col min="13078" max="13078" width="23" style="1174" bestFit="1" customWidth="1"/>
    <col min="13079" max="13079" width="16.42578125" style="1174" bestFit="1" customWidth="1"/>
    <col min="13080" max="13080" width="18" style="1174" bestFit="1" customWidth="1"/>
    <col min="13081" max="13081" width="11.7109375" style="1174" bestFit="1" customWidth="1"/>
    <col min="13082" max="13082" width="41.42578125" style="1174" bestFit="1" customWidth="1"/>
    <col min="13083" max="13086" width="10" style="1174"/>
    <col min="13087" max="13087" width="10.28515625" style="1174" bestFit="1" customWidth="1"/>
    <col min="13088" max="13312" width="10" style="1174"/>
    <col min="13313" max="13313" width="16.42578125" style="1174" customWidth="1"/>
    <col min="13314" max="13314" width="14.28515625" style="1174" customWidth="1"/>
    <col min="13315" max="13315" width="49.42578125" style="1174" bestFit="1" customWidth="1"/>
    <col min="13316" max="13316" width="22.42578125" style="1174" bestFit="1" customWidth="1"/>
    <col min="13317" max="13317" width="19.28515625" style="1174" bestFit="1" customWidth="1"/>
    <col min="13318" max="13318" width="24.85546875" style="1174" bestFit="1" customWidth="1"/>
    <col min="13319" max="13319" width="26.42578125" style="1174" bestFit="1" customWidth="1"/>
    <col min="13320" max="13320" width="17" style="1174" bestFit="1" customWidth="1"/>
    <col min="13321" max="13321" width="18.28515625" style="1174" bestFit="1" customWidth="1"/>
    <col min="13322" max="13322" width="22.5703125" style="1174" bestFit="1" customWidth="1"/>
    <col min="13323" max="13323" width="18.28515625" style="1174" bestFit="1" customWidth="1"/>
    <col min="13324" max="13324" width="16.7109375" style="1174" bestFit="1" customWidth="1"/>
    <col min="13325" max="13325" width="18.85546875" style="1174" bestFit="1" customWidth="1"/>
    <col min="13326" max="13326" width="20.140625" style="1174" bestFit="1" customWidth="1"/>
    <col min="13327" max="13327" width="19.28515625" style="1174" bestFit="1" customWidth="1"/>
    <col min="13328" max="13328" width="16.140625" style="1174" bestFit="1" customWidth="1"/>
    <col min="13329" max="13329" width="23" style="1174" bestFit="1" customWidth="1"/>
    <col min="13330" max="13330" width="16.42578125" style="1174" bestFit="1" customWidth="1"/>
    <col min="13331" max="13331" width="18.5703125" style="1174" bestFit="1" customWidth="1"/>
    <col min="13332" max="13332" width="19.85546875" style="1174" bestFit="1" customWidth="1"/>
    <col min="13333" max="13333" width="15.7109375" style="1174" customWidth="1"/>
    <col min="13334" max="13334" width="23" style="1174" bestFit="1" customWidth="1"/>
    <col min="13335" max="13335" width="16.42578125" style="1174" bestFit="1" customWidth="1"/>
    <col min="13336" max="13336" width="18" style="1174" bestFit="1" customWidth="1"/>
    <col min="13337" max="13337" width="11.7109375" style="1174" bestFit="1" customWidth="1"/>
    <col min="13338" max="13338" width="41.42578125" style="1174" bestFit="1" customWidth="1"/>
    <col min="13339" max="13342" width="10" style="1174"/>
    <col min="13343" max="13343" width="10.28515625" style="1174" bestFit="1" customWidth="1"/>
    <col min="13344" max="13568" width="10" style="1174"/>
    <col min="13569" max="13569" width="16.42578125" style="1174" customWidth="1"/>
    <col min="13570" max="13570" width="14.28515625" style="1174" customWidth="1"/>
    <col min="13571" max="13571" width="49.42578125" style="1174" bestFit="1" customWidth="1"/>
    <col min="13572" max="13572" width="22.42578125" style="1174" bestFit="1" customWidth="1"/>
    <col min="13573" max="13573" width="19.28515625" style="1174" bestFit="1" customWidth="1"/>
    <col min="13574" max="13574" width="24.85546875" style="1174" bestFit="1" customWidth="1"/>
    <col min="13575" max="13575" width="26.42578125" style="1174" bestFit="1" customWidth="1"/>
    <col min="13576" max="13576" width="17" style="1174" bestFit="1" customWidth="1"/>
    <col min="13577" max="13577" width="18.28515625" style="1174" bestFit="1" customWidth="1"/>
    <col min="13578" max="13578" width="22.5703125" style="1174" bestFit="1" customWidth="1"/>
    <col min="13579" max="13579" width="18.28515625" style="1174" bestFit="1" customWidth="1"/>
    <col min="13580" max="13580" width="16.7109375" style="1174" bestFit="1" customWidth="1"/>
    <col min="13581" max="13581" width="18.85546875" style="1174" bestFit="1" customWidth="1"/>
    <col min="13582" max="13582" width="20.140625" style="1174" bestFit="1" customWidth="1"/>
    <col min="13583" max="13583" width="19.28515625" style="1174" bestFit="1" customWidth="1"/>
    <col min="13584" max="13584" width="16.140625" style="1174" bestFit="1" customWidth="1"/>
    <col min="13585" max="13585" width="23" style="1174" bestFit="1" customWidth="1"/>
    <col min="13586" max="13586" width="16.42578125" style="1174" bestFit="1" customWidth="1"/>
    <col min="13587" max="13587" width="18.5703125" style="1174" bestFit="1" customWidth="1"/>
    <col min="13588" max="13588" width="19.85546875" style="1174" bestFit="1" customWidth="1"/>
    <col min="13589" max="13589" width="15.7109375" style="1174" customWidth="1"/>
    <col min="13590" max="13590" width="23" style="1174" bestFit="1" customWidth="1"/>
    <col min="13591" max="13591" width="16.42578125" style="1174" bestFit="1" customWidth="1"/>
    <col min="13592" max="13592" width="18" style="1174" bestFit="1" customWidth="1"/>
    <col min="13593" max="13593" width="11.7109375" style="1174" bestFit="1" customWidth="1"/>
    <col min="13594" max="13594" width="41.42578125" style="1174" bestFit="1" customWidth="1"/>
    <col min="13595" max="13598" width="10" style="1174"/>
    <col min="13599" max="13599" width="10.28515625" style="1174" bestFit="1" customWidth="1"/>
    <col min="13600" max="13824" width="10" style="1174"/>
    <col min="13825" max="13825" width="16.42578125" style="1174" customWidth="1"/>
    <col min="13826" max="13826" width="14.28515625" style="1174" customWidth="1"/>
    <col min="13827" max="13827" width="49.42578125" style="1174" bestFit="1" customWidth="1"/>
    <col min="13828" max="13828" width="22.42578125" style="1174" bestFit="1" customWidth="1"/>
    <col min="13829" max="13829" width="19.28515625" style="1174" bestFit="1" customWidth="1"/>
    <col min="13830" max="13830" width="24.85546875" style="1174" bestFit="1" customWidth="1"/>
    <col min="13831" max="13831" width="26.42578125" style="1174" bestFit="1" customWidth="1"/>
    <col min="13832" max="13832" width="17" style="1174" bestFit="1" customWidth="1"/>
    <col min="13833" max="13833" width="18.28515625" style="1174" bestFit="1" customWidth="1"/>
    <col min="13834" max="13834" width="22.5703125" style="1174" bestFit="1" customWidth="1"/>
    <col min="13835" max="13835" width="18.28515625" style="1174" bestFit="1" customWidth="1"/>
    <col min="13836" max="13836" width="16.7109375" style="1174" bestFit="1" customWidth="1"/>
    <col min="13837" max="13837" width="18.85546875" style="1174" bestFit="1" customWidth="1"/>
    <col min="13838" max="13838" width="20.140625" style="1174" bestFit="1" customWidth="1"/>
    <col min="13839" max="13839" width="19.28515625" style="1174" bestFit="1" customWidth="1"/>
    <col min="13840" max="13840" width="16.140625" style="1174" bestFit="1" customWidth="1"/>
    <col min="13841" max="13841" width="23" style="1174" bestFit="1" customWidth="1"/>
    <col min="13842" max="13842" width="16.42578125" style="1174" bestFit="1" customWidth="1"/>
    <col min="13843" max="13843" width="18.5703125" style="1174" bestFit="1" customWidth="1"/>
    <col min="13844" max="13844" width="19.85546875" style="1174" bestFit="1" customWidth="1"/>
    <col min="13845" max="13845" width="15.7109375" style="1174" customWidth="1"/>
    <col min="13846" max="13846" width="23" style="1174" bestFit="1" customWidth="1"/>
    <col min="13847" max="13847" width="16.42578125" style="1174" bestFit="1" customWidth="1"/>
    <col min="13848" max="13848" width="18" style="1174" bestFit="1" customWidth="1"/>
    <col min="13849" max="13849" width="11.7109375" style="1174" bestFit="1" customWidth="1"/>
    <col min="13850" max="13850" width="41.42578125" style="1174" bestFit="1" customWidth="1"/>
    <col min="13851" max="13854" width="10" style="1174"/>
    <col min="13855" max="13855" width="10.28515625" style="1174" bestFit="1" customWidth="1"/>
    <col min="13856" max="14080" width="10" style="1174"/>
    <col min="14081" max="14081" width="16.42578125" style="1174" customWidth="1"/>
    <col min="14082" max="14082" width="14.28515625" style="1174" customWidth="1"/>
    <col min="14083" max="14083" width="49.42578125" style="1174" bestFit="1" customWidth="1"/>
    <col min="14084" max="14084" width="22.42578125" style="1174" bestFit="1" customWidth="1"/>
    <col min="14085" max="14085" width="19.28515625" style="1174" bestFit="1" customWidth="1"/>
    <col min="14086" max="14086" width="24.85546875" style="1174" bestFit="1" customWidth="1"/>
    <col min="14087" max="14087" width="26.42578125" style="1174" bestFit="1" customWidth="1"/>
    <col min="14088" max="14088" width="17" style="1174" bestFit="1" customWidth="1"/>
    <col min="14089" max="14089" width="18.28515625" style="1174" bestFit="1" customWidth="1"/>
    <col min="14090" max="14090" width="22.5703125" style="1174" bestFit="1" customWidth="1"/>
    <col min="14091" max="14091" width="18.28515625" style="1174" bestFit="1" customWidth="1"/>
    <col min="14092" max="14092" width="16.7109375" style="1174" bestFit="1" customWidth="1"/>
    <col min="14093" max="14093" width="18.85546875" style="1174" bestFit="1" customWidth="1"/>
    <col min="14094" max="14094" width="20.140625" style="1174" bestFit="1" customWidth="1"/>
    <col min="14095" max="14095" width="19.28515625" style="1174" bestFit="1" customWidth="1"/>
    <col min="14096" max="14096" width="16.140625" style="1174" bestFit="1" customWidth="1"/>
    <col min="14097" max="14097" width="23" style="1174" bestFit="1" customWidth="1"/>
    <col min="14098" max="14098" width="16.42578125" style="1174" bestFit="1" customWidth="1"/>
    <col min="14099" max="14099" width="18.5703125" style="1174" bestFit="1" customWidth="1"/>
    <col min="14100" max="14100" width="19.85546875" style="1174" bestFit="1" customWidth="1"/>
    <col min="14101" max="14101" width="15.7109375" style="1174" customWidth="1"/>
    <col min="14102" max="14102" width="23" style="1174" bestFit="1" customWidth="1"/>
    <col min="14103" max="14103" width="16.42578125" style="1174" bestFit="1" customWidth="1"/>
    <col min="14104" max="14104" width="18" style="1174" bestFit="1" customWidth="1"/>
    <col min="14105" max="14105" width="11.7109375" style="1174" bestFit="1" customWidth="1"/>
    <col min="14106" max="14106" width="41.42578125" style="1174" bestFit="1" customWidth="1"/>
    <col min="14107" max="14110" width="10" style="1174"/>
    <col min="14111" max="14111" width="10.28515625" style="1174" bestFit="1" customWidth="1"/>
    <col min="14112" max="14336" width="10" style="1174"/>
    <col min="14337" max="14337" width="16.42578125" style="1174" customWidth="1"/>
    <col min="14338" max="14338" width="14.28515625" style="1174" customWidth="1"/>
    <col min="14339" max="14339" width="49.42578125" style="1174" bestFit="1" customWidth="1"/>
    <col min="14340" max="14340" width="22.42578125" style="1174" bestFit="1" customWidth="1"/>
    <col min="14341" max="14341" width="19.28515625" style="1174" bestFit="1" customWidth="1"/>
    <col min="14342" max="14342" width="24.85546875" style="1174" bestFit="1" customWidth="1"/>
    <col min="14343" max="14343" width="26.42578125" style="1174" bestFit="1" customWidth="1"/>
    <col min="14344" max="14344" width="17" style="1174" bestFit="1" customWidth="1"/>
    <col min="14345" max="14345" width="18.28515625" style="1174" bestFit="1" customWidth="1"/>
    <col min="14346" max="14346" width="22.5703125" style="1174" bestFit="1" customWidth="1"/>
    <col min="14347" max="14347" width="18.28515625" style="1174" bestFit="1" customWidth="1"/>
    <col min="14348" max="14348" width="16.7109375" style="1174" bestFit="1" customWidth="1"/>
    <col min="14349" max="14349" width="18.85546875" style="1174" bestFit="1" customWidth="1"/>
    <col min="14350" max="14350" width="20.140625" style="1174" bestFit="1" customWidth="1"/>
    <col min="14351" max="14351" width="19.28515625" style="1174" bestFit="1" customWidth="1"/>
    <col min="14352" max="14352" width="16.140625" style="1174" bestFit="1" customWidth="1"/>
    <col min="14353" max="14353" width="23" style="1174" bestFit="1" customWidth="1"/>
    <col min="14354" max="14354" width="16.42578125" style="1174" bestFit="1" customWidth="1"/>
    <col min="14355" max="14355" width="18.5703125" style="1174" bestFit="1" customWidth="1"/>
    <col min="14356" max="14356" width="19.85546875" style="1174" bestFit="1" customWidth="1"/>
    <col min="14357" max="14357" width="15.7109375" style="1174" customWidth="1"/>
    <col min="14358" max="14358" width="23" style="1174" bestFit="1" customWidth="1"/>
    <col min="14359" max="14359" width="16.42578125" style="1174" bestFit="1" customWidth="1"/>
    <col min="14360" max="14360" width="18" style="1174" bestFit="1" customWidth="1"/>
    <col min="14361" max="14361" width="11.7109375" style="1174" bestFit="1" customWidth="1"/>
    <col min="14362" max="14362" width="41.42578125" style="1174" bestFit="1" customWidth="1"/>
    <col min="14363" max="14366" width="10" style="1174"/>
    <col min="14367" max="14367" width="10.28515625" style="1174" bestFit="1" customWidth="1"/>
    <col min="14368" max="14592" width="10" style="1174"/>
    <col min="14593" max="14593" width="16.42578125" style="1174" customWidth="1"/>
    <col min="14594" max="14594" width="14.28515625" style="1174" customWidth="1"/>
    <col min="14595" max="14595" width="49.42578125" style="1174" bestFit="1" customWidth="1"/>
    <col min="14596" max="14596" width="22.42578125" style="1174" bestFit="1" customWidth="1"/>
    <col min="14597" max="14597" width="19.28515625" style="1174" bestFit="1" customWidth="1"/>
    <col min="14598" max="14598" width="24.85546875" style="1174" bestFit="1" customWidth="1"/>
    <col min="14599" max="14599" width="26.42578125" style="1174" bestFit="1" customWidth="1"/>
    <col min="14600" max="14600" width="17" style="1174" bestFit="1" customWidth="1"/>
    <col min="14601" max="14601" width="18.28515625" style="1174" bestFit="1" customWidth="1"/>
    <col min="14602" max="14602" width="22.5703125" style="1174" bestFit="1" customWidth="1"/>
    <col min="14603" max="14603" width="18.28515625" style="1174" bestFit="1" customWidth="1"/>
    <col min="14604" max="14604" width="16.7109375" style="1174" bestFit="1" customWidth="1"/>
    <col min="14605" max="14605" width="18.85546875" style="1174" bestFit="1" customWidth="1"/>
    <col min="14606" max="14606" width="20.140625" style="1174" bestFit="1" customWidth="1"/>
    <col min="14607" max="14607" width="19.28515625" style="1174" bestFit="1" customWidth="1"/>
    <col min="14608" max="14608" width="16.140625" style="1174" bestFit="1" customWidth="1"/>
    <col min="14609" max="14609" width="23" style="1174" bestFit="1" customWidth="1"/>
    <col min="14610" max="14610" width="16.42578125" style="1174" bestFit="1" customWidth="1"/>
    <col min="14611" max="14611" width="18.5703125" style="1174" bestFit="1" customWidth="1"/>
    <col min="14612" max="14612" width="19.85546875" style="1174" bestFit="1" customWidth="1"/>
    <col min="14613" max="14613" width="15.7109375" style="1174" customWidth="1"/>
    <col min="14614" max="14614" width="23" style="1174" bestFit="1" customWidth="1"/>
    <col min="14615" max="14615" width="16.42578125" style="1174" bestFit="1" customWidth="1"/>
    <col min="14616" max="14616" width="18" style="1174" bestFit="1" customWidth="1"/>
    <col min="14617" max="14617" width="11.7109375" style="1174" bestFit="1" customWidth="1"/>
    <col min="14618" max="14618" width="41.42578125" style="1174" bestFit="1" customWidth="1"/>
    <col min="14619" max="14622" width="10" style="1174"/>
    <col min="14623" max="14623" width="10.28515625" style="1174" bestFit="1" customWidth="1"/>
    <col min="14624" max="14848" width="10" style="1174"/>
    <col min="14849" max="14849" width="16.42578125" style="1174" customWidth="1"/>
    <col min="14850" max="14850" width="14.28515625" style="1174" customWidth="1"/>
    <col min="14851" max="14851" width="49.42578125" style="1174" bestFit="1" customWidth="1"/>
    <col min="14852" max="14852" width="22.42578125" style="1174" bestFit="1" customWidth="1"/>
    <col min="14853" max="14853" width="19.28515625" style="1174" bestFit="1" customWidth="1"/>
    <col min="14854" max="14854" width="24.85546875" style="1174" bestFit="1" customWidth="1"/>
    <col min="14855" max="14855" width="26.42578125" style="1174" bestFit="1" customWidth="1"/>
    <col min="14856" max="14856" width="17" style="1174" bestFit="1" customWidth="1"/>
    <col min="14857" max="14857" width="18.28515625" style="1174" bestFit="1" customWidth="1"/>
    <col min="14858" max="14858" width="22.5703125" style="1174" bestFit="1" customWidth="1"/>
    <col min="14859" max="14859" width="18.28515625" style="1174" bestFit="1" customWidth="1"/>
    <col min="14860" max="14860" width="16.7109375" style="1174" bestFit="1" customWidth="1"/>
    <col min="14861" max="14861" width="18.85546875" style="1174" bestFit="1" customWidth="1"/>
    <col min="14862" max="14862" width="20.140625" style="1174" bestFit="1" customWidth="1"/>
    <col min="14863" max="14863" width="19.28515625" style="1174" bestFit="1" customWidth="1"/>
    <col min="14864" max="14864" width="16.140625" style="1174" bestFit="1" customWidth="1"/>
    <col min="14865" max="14865" width="23" style="1174" bestFit="1" customWidth="1"/>
    <col min="14866" max="14866" width="16.42578125" style="1174" bestFit="1" customWidth="1"/>
    <col min="14867" max="14867" width="18.5703125" style="1174" bestFit="1" customWidth="1"/>
    <col min="14868" max="14868" width="19.85546875" style="1174" bestFit="1" customWidth="1"/>
    <col min="14869" max="14869" width="15.7109375" style="1174" customWidth="1"/>
    <col min="14870" max="14870" width="23" style="1174" bestFit="1" customWidth="1"/>
    <col min="14871" max="14871" width="16.42578125" style="1174" bestFit="1" customWidth="1"/>
    <col min="14872" max="14872" width="18" style="1174" bestFit="1" customWidth="1"/>
    <col min="14873" max="14873" width="11.7109375" style="1174" bestFit="1" customWidth="1"/>
    <col min="14874" max="14874" width="41.42578125" style="1174" bestFit="1" customWidth="1"/>
    <col min="14875" max="14878" width="10" style="1174"/>
    <col min="14879" max="14879" width="10.28515625" style="1174" bestFit="1" customWidth="1"/>
    <col min="14880" max="15104" width="10" style="1174"/>
    <col min="15105" max="15105" width="16.42578125" style="1174" customWidth="1"/>
    <col min="15106" max="15106" width="14.28515625" style="1174" customWidth="1"/>
    <col min="15107" max="15107" width="49.42578125" style="1174" bestFit="1" customWidth="1"/>
    <col min="15108" max="15108" width="22.42578125" style="1174" bestFit="1" customWidth="1"/>
    <col min="15109" max="15109" width="19.28515625" style="1174" bestFit="1" customWidth="1"/>
    <col min="15110" max="15110" width="24.85546875" style="1174" bestFit="1" customWidth="1"/>
    <col min="15111" max="15111" width="26.42578125" style="1174" bestFit="1" customWidth="1"/>
    <col min="15112" max="15112" width="17" style="1174" bestFit="1" customWidth="1"/>
    <col min="15113" max="15113" width="18.28515625" style="1174" bestFit="1" customWidth="1"/>
    <col min="15114" max="15114" width="22.5703125" style="1174" bestFit="1" customWidth="1"/>
    <col min="15115" max="15115" width="18.28515625" style="1174" bestFit="1" customWidth="1"/>
    <col min="15116" max="15116" width="16.7109375" style="1174" bestFit="1" customWidth="1"/>
    <col min="15117" max="15117" width="18.85546875" style="1174" bestFit="1" customWidth="1"/>
    <col min="15118" max="15118" width="20.140625" style="1174" bestFit="1" customWidth="1"/>
    <col min="15119" max="15119" width="19.28515625" style="1174" bestFit="1" customWidth="1"/>
    <col min="15120" max="15120" width="16.140625" style="1174" bestFit="1" customWidth="1"/>
    <col min="15121" max="15121" width="23" style="1174" bestFit="1" customWidth="1"/>
    <col min="15122" max="15122" width="16.42578125" style="1174" bestFit="1" customWidth="1"/>
    <col min="15123" max="15123" width="18.5703125" style="1174" bestFit="1" customWidth="1"/>
    <col min="15124" max="15124" width="19.85546875" style="1174" bestFit="1" customWidth="1"/>
    <col min="15125" max="15125" width="15.7109375" style="1174" customWidth="1"/>
    <col min="15126" max="15126" width="23" style="1174" bestFit="1" customWidth="1"/>
    <col min="15127" max="15127" width="16.42578125" style="1174" bestFit="1" customWidth="1"/>
    <col min="15128" max="15128" width="18" style="1174" bestFit="1" customWidth="1"/>
    <col min="15129" max="15129" width="11.7109375" style="1174" bestFit="1" customWidth="1"/>
    <col min="15130" max="15130" width="41.42578125" style="1174" bestFit="1" customWidth="1"/>
    <col min="15131" max="15134" width="10" style="1174"/>
    <col min="15135" max="15135" width="10.28515625" style="1174" bestFit="1" customWidth="1"/>
    <col min="15136" max="15360" width="10" style="1174"/>
    <col min="15361" max="15361" width="16.42578125" style="1174" customWidth="1"/>
    <col min="15362" max="15362" width="14.28515625" style="1174" customWidth="1"/>
    <col min="15363" max="15363" width="49.42578125" style="1174" bestFit="1" customWidth="1"/>
    <col min="15364" max="15364" width="22.42578125" style="1174" bestFit="1" customWidth="1"/>
    <col min="15365" max="15365" width="19.28515625" style="1174" bestFit="1" customWidth="1"/>
    <col min="15366" max="15366" width="24.85546875" style="1174" bestFit="1" customWidth="1"/>
    <col min="15367" max="15367" width="26.42578125" style="1174" bestFit="1" customWidth="1"/>
    <col min="15368" max="15368" width="17" style="1174" bestFit="1" customWidth="1"/>
    <col min="15369" max="15369" width="18.28515625" style="1174" bestFit="1" customWidth="1"/>
    <col min="15370" max="15370" width="22.5703125" style="1174" bestFit="1" customWidth="1"/>
    <col min="15371" max="15371" width="18.28515625" style="1174" bestFit="1" customWidth="1"/>
    <col min="15372" max="15372" width="16.7109375" style="1174" bestFit="1" customWidth="1"/>
    <col min="15373" max="15373" width="18.85546875" style="1174" bestFit="1" customWidth="1"/>
    <col min="15374" max="15374" width="20.140625" style="1174" bestFit="1" customWidth="1"/>
    <col min="15375" max="15375" width="19.28515625" style="1174" bestFit="1" customWidth="1"/>
    <col min="15376" max="15376" width="16.140625" style="1174" bestFit="1" customWidth="1"/>
    <col min="15377" max="15377" width="23" style="1174" bestFit="1" customWidth="1"/>
    <col min="15378" max="15378" width="16.42578125" style="1174" bestFit="1" customWidth="1"/>
    <col min="15379" max="15379" width="18.5703125" style="1174" bestFit="1" customWidth="1"/>
    <col min="15380" max="15380" width="19.85546875" style="1174" bestFit="1" customWidth="1"/>
    <col min="15381" max="15381" width="15.7109375" style="1174" customWidth="1"/>
    <col min="15382" max="15382" width="23" style="1174" bestFit="1" customWidth="1"/>
    <col min="15383" max="15383" width="16.42578125" style="1174" bestFit="1" customWidth="1"/>
    <col min="15384" max="15384" width="18" style="1174" bestFit="1" customWidth="1"/>
    <col min="15385" max="15385" width="11.7109375" style="1174" bestFit="1" customWidth="1"/>
    <col min="15386" max="15386" width="41.42578125" style="1174" bestFit="1" customWidth="1"/>
    <col min="15387" max="15390" width="10" style="1174"/>
    <col min="15391" max="15391" width="10.28515625" style="1174" bestFit="1" customWidth="1"/>
    <col min="15392" max="15616" width="10" style="1174"/>
    <col min="15617" max="15617" width="16.42578125" style="1174" customWidth="1"/>
    <col min="15618" max="15618" width="14.28515625" style="1174" customWidth="1"/>
    <col min="15619" max="15619" width="49.42578125" style="1174" bestFit="1" customWidth="1"/>
    <col min="15620" max="15620" width="22.42578125" style="1174" bestFit="1" customWidth="1"/>
    <col min="15621" max="15621" width="19.28515625" style="1174" bestFit="1" customWidth="1"/>
    <col min="15622" max="15622" width="24.85546875" style="1174" bestFit="1" customWidth="1"/>
    <col min="15623" max="15623" width="26.42578125" style="1174" bestFit="1" customWidth="1"/>
    <col min="15624" max="15624" width="17" style="1174" bestFit="1" customWidth="1"/>
    <col min="15625" max="15625" width="18.28515625" style="1174" bestFit="1" customWidth="1"/>
    <col min="15626" max="15626" width="22.5703125" style="1174" bestFit="1" customWidth="1"/>
    <col min="15627" max="15627" width="18.28515625" style="1174" bestFit="1" customWidth="1"/>
    <col min="15628" max="15628" width="16.7109375" style="1174" bestFit="1" customWidth="1"/>
    <col min="15629" max="15629" width="18.85546875" style="1174" bestFit="1" customWidth="1"/>
    <col min="15630" max="15630" width="20.140625" style="1174" bestFit="1" customWidth="1"/>
    <col min="15631" max="15631" width="19.28515625" style="1174" bestFit="1" customWidth="1"/>
    <col min="15632" max="15632" width="16.140625" style="1174" bestFit="1" customWidth="1"/>
    <col min="15633" max="15633" width="23" style="1174" bestFit="1" customWidth="1"/>
    <col min="15634" max="15634" width="16.42578125" style="1174" bestFit="1" customWidth="1"/>
    <col min="15635" max="15635" width="18.5703125" style="1174" bestFit="1" customWidth="1"/>
    <col min="15636" max="15636" width="19.85546875" style="1174" bestFit="1" customWidth="1"/>
    <col min="15637" max="15637" width="15.7109375" style="1174" customWidth="1"/>
    <col min="15638" max="15638" width="23" style="1174" bestFit="1" customWidth="1"/>
    <col min="15639" max="15639" width="16.42578125" style="1174" bestFit="1" customWidth="1"/>
    <col min="15640" max="15640" width="18" style="1174" bestFit="1" customWidth="1"/>
    <col min="15641" max="15641" width="11.7109375" style="1174" bestFit="1" customWidth="1"/>
    <col min="15642" max="15642" width="41.42578125" style="1174" bestFit="1" customWidth="1"/>
    <col min="15643" max="15646" width="10" style="1174"/>
    <col min="15647" max="15647" width="10.28515625" style="1174" bestFit="1" customWidth="1"/>
    <col min="15648" max="15872" width="10" style="1174"/>
    <col min="15873" max="15873" width="16.42578125" style="1174" customWidth="1"/>
    <col min="15874" max="15874" width="14.28515625" style="1174" customWidth="1"/>
    <col min="15875" max="15875" width="49.42578125" style="1174" bestFit="1" customWidth="1"/>
    <col min="15876" max="15876" width="22.42578125" style="1174" bestFit="1" customWidth="1"/>
    <col min="15877" max="15877" width="19.28515625" style="1174" bestFit="1" customWidth="1"/>
    <col min="15878" max="15878" width="24.85546875" style="1174" bestFit="1" customWidth="1"/>
    <col min="15879" max="15879" width="26.42578125" style="1174" bestFit="1" customWidth="1"/>
    <col min="15880" max="15880" width="17" style="1174" bestFit="1" customWidth="1"/>
    <col min="15881" max="15881" width="18.28515625" style="1174" bestFit="1" customWidth="1"/>
    <col min="15882" max="15882" width="22.5703125" style="1174" bestFit="1" customWidth="1"/>
    <col min="15883" max="15883" width="18.28515625" style="1174" bestFit="1" customWidth="1"/>
    <col min="15884" max="15884" width="16.7109375" style="1174" bestFit="1" customWidth="1"/>
    <col min="15885" max="15885" width="18.85546875" style="1174" bestFit="1" customWidth="1"/>
    <col min="15886" max="15886" width="20.140625" style="1174" bestFit="1" customWidth="1"/>
    <col min="15887" max="15887" width="19.28515625" style="1174" bestFit="1" customWidth="1"/>
    <col min="15888" max="15888" width="16.140625" style="1174" bestFit="1" customWidth="1"/>
    <col min="15889" max="15889" width="23" style="1174" bestFit="1" customWidth="1"/>
    <col min="15890" max="15890" width="16.42578125" style="1174" bestFit="1" customWidth="1"/>
    <col min="15891" max="15891" width="18.5703125" style="1174" bestFit="1" customWidth="1"/>
    <col min="15892" max="15892" width="19.85546875" style="1174" bestFit="1" customWidth="1"/>
    <col min="15893" max="15893" width="15.7109375" style="1174" customWidth="1"/>
    <col min="15894" max="15894" width="23" style="1174" bestFit="1" customWidth="1"/>
    <col min="15895" max="15895" width="16.42578125" style="1174" bestFit="1" customWidth="1"/>
    <col min="15896" max="15896" width="18" style="1174" bestFit="1" customWidth="1"/>
    <col min="15897" max="15897" width="11.7109375" style="1174" bestFit="1" customWidth="1"/>
    <col min="15898" max="15898" width="41.42578125" style="1174" bestFit="1" customWidth="1"/>
    <col min="15899" max="15902" width="10" style="1174"/>
    <col min="15903" max="15903" width="10.28515625" style="1174" bestFit="1" customWidth="1"/>
    <col min="15904" max="16128" width="10" style="1174"/>
    <col min="16129" max="16129" width="16.42578125" style="1174" customWidth="1"/>
    <col min="16130" max="16130" width="14.28515625" style="1174" customWidth="1"/>
    <col min="16131" max="16131" width="49.42578125" style="1174" bestFit="1" customWidth="1"/>
    <col min="16132" max="16132" width="22.42578125" style="1174" bestFit="1" customWidth="1"/>
    <col min="16133" max="16133" width="19.28515625" style="1174" bestFit="1" customWidth="1"/>
    <col min="16134" max="16134" width="24.85546875" style="1174" bestFit="1" customWidth="1"/>
    <col min="16135" max="16135" width="26.42578125" style="1174" bestFit="1" customWidth="1"/>
    <col min="16136" max="16136" width="17" style="1174" bestFit="1" customWidth="1"/>
    <col min="16137" max="16137" width="18.28515625" style="1174" bestFit="1" customWidth="1"/>
    <col min="16138" max="16138" width="22.5703125" style="1174" bestFit="1" customWidth="1"/>
    <col min="16139" max="16139" width="18.28515625" style="1174" bestFit="1" customWidth="1"/>
    <col min="16140" max="16140" width="16.7109375" style="1174" bestFit="1" customWidth="1"/>
    <col min="16141" max="16141" width="18.85546875" style="1174" bestFit="1" customWidth="1"/>
    <col min="16142" max="16142" width="20.140625" style="1174" bestFit="1" customWidth="1"/>
    <col min="16143" max="16143" width="19.28515625" style="1174" bestFit="1" customWidth="1"/>
    <col min="16144" max="16144" width="16.140625" style="1174" bestFit="1" customWidth="1"/>
    <col min="16145" max="16145" width="23" style="1174" bestFit="1" customWidth="1"/>
    <col min="16146" max="16146" width="16.42578125" style="1174" bestFit="1" customWidth="1"/>
    <col min="16147" max="16147" width="18.5703125" style="1174" bestFit="1" customWidth="1"/>
    <col min="16148" max="16148" width="19.85546875" style="1174" bestFit="1" customWidth="1"/>
    <col min="16149" max="16149" width="15.7109375" style="1174" customWidth="1"/>
    <col min="16150" max="16150" width="23" style="1174" bestFit="1" customWidth="1"/>
    <col min="16151" max="16151" width="16.42578125" style="1174" bestFit="1" customWidth="1"/>
    <col min="16152" max="16152" width="18" style="1174" bestFit="1" customWidth="1"/>
    <col min="16153" max="16153" width="11.7109375" style="1174" bestFit="1" customWidth="1"/>
    <col min="16154" max="16154" width="41.42578125" style="1174" bestFit="1" customWidth="1"/>
    <col min="16155" max="16158" width="10" style="1174"/>
    <col min="16159" max="16159" width="10.28515625" style="1174" bestFit="1" customWidth="1"/>
    <col min="16160" max="16384" width="10" style="1174"/>
  </cols>
  <sheetData>
    <row r="1" spans="3:34" ht="35.1" customHeight="1">
      <c r="C1" s="1192"/>
      <c r="N1" s="1760"/>
      <c r="O1" s="1760"/>
      <c r="P1" s="1760"/>
      <c r="Q1" s="2724"/>
      <c r="R1" s="1760"/>
      <c r="S1" s="1760"/>
      <c r="T1" s="1760"/>
      <c r="U1" s="1760"/>
      <c r="V1" s="1760"/>
      <c r="W1" s="1760"/>
      <c r="X1" s="1760"/>
      <c r="Y1" s="1760"/>
      <c r="Z1" s="1760"/>
    </row>
    <row r="2" spans="3:34" ht="35.1" customHeight="1">
      <c r="C2" s="1192"/>
      <c r="N2" s="2724"/>
      <c r="O2" s="2724"/>
      <c r="P2" s="2724"/>
      <c r="R2" s="1760"/>
      <c r="S2" s="1760"/>
      <c r="T2" s="1760"/>
      <c r="U2" s="2724"/>
      <c r="V2" s="1760"/>
      <c r="W2" s="1760"/>
      <c r="X2" s="1760"/>
      <c r="Y2" s="1760"/>
      <c r="Z2" s="1760"/>
    </row>
    <row r="3" spans="3:34" s="1845" customFormat="1" ht="35.1" customHeight="1">
      <c r="C3" s="4856" t="s">
        <v>2946</v>
      </c>
      <c r="D3" s="4856"/>
      <c r="E3" s="4856"/>
      <c r="F3" s="4856"/>
      <c r="G3" s="4856"/>
      <c r="H3" s="4856"/>
      <c r="I3" s="4856"/>
      <c r="J3" s="4856"/>
      <c r="K3" s="4856"/>
      <c r="L3" s="4856"/>
      <c r="M3" s="4856"/>
      <c r="N3" s="4856"/>
      <c r="O3" s="4856" t="s">
        <v>2947</v>
      </c>
      <c r="P3" s="4856"/>
      <c r="Q3" s="4856"/>
      <c r="R3" s="4856"/>
      <c r="S3" s="4856"/>
      <c r="T3" s="4856"/>
      <c r="U3" s="4856"/>
      <c r="V3" s="4856"/>
      <c r="W3" s="4856"/>
      <c r="X3" s="4856"/>
      <c r="Y3" s="4856"/>
      <c r="Z3" s="4856"/>
      <c r="AA3" s="3643"/>
      <c r="AB3" s="3643"/>
      <c r="AC3" s="3643"/>
      <c r="AD3" s="3643"/>
      <c r="AE3" s="2725"/>
      <c r="AF3" s="2725"/>
      <c r="AG3" s="2725"/>
      <c r="AH3" s="2725"/>
    </row>
    <row r="4" spans="3:34" s="2498" customFormat="1" ht="35.1" customHeight="1">
      <c r="C4" s="4713" t="s">
        <v>2948</v>
      </c>
      <c r="D4" s="4713"/>
      <c r="E4" s="4713"/>
      <c r="F4" s="4713"/>
      <c r="G4" s="4713"/>
      <c r="H4" s="4713"/>
      <c r="I4" s="4713"/>
      <c r="J4" s="4713"/>
      <c r="K4" s="4713"/>
      <c r="L4" s="4713"/>
      <c r="M4" s="4713"/>
      <c r="N4" s="4713"/>
      <c r="O4" s="4713" t="s">
        <v>2949</v>
      </c>
      <c r="P4" s="4713"/>
      <c r="Q4" s="4713"/>
      <c r="R4" s="4713"/>
      <c r="S4" s="4713"/>
      <c r="T4" s="4713"/>
      <c r="U4" s="4713"/>
      <c r="V4" s="4713"/>
      <c r="W4" s="4713"/>
      <c r="X4" s="4713"/>
      <c r="Y4" s="4713"/>
      <c r="Z4" s="4713"/>
      <c r="AA4" s="3643"/>
      <c r="AB4" s="3643"/>
      <c r="AC4" s="3643"/>
      <c r="AD4" s="3643"/>
    </row>
    <row r="5" spans="3:34" s="1857" customFormat="1" ht="18" customHeight="1">
      <c r="C5" s="1323" t="s">
        <v>90</v>
      </c>
      <c r="D5" s="1318"/>
      <c r="E5" s="1318"/>
      <c r="F5" s="1318"/>
      <c r="G5" s="1318"/>
      <c r="H5" s="1318"/>
      <c r="I5" s="1318"/>
      <c r="J5" s="1318"/>
      <c r="K5" s="1318"/>
      <c r="L5" s="1318"/>
      <c r="M5" s="1318"/>
      <c r="N5" s="1838"/>
      <c r="O5" s="1838"/>
      <c r="P5" s="1838"/>
      <c r="Q5" s="1838"/>
      <c r="R5" s="1838"/>
      <c r="S5" s="1838"/>
      <c r="T5" s="1838"/>
      <c r="U5" s="1838"/>
      <c r="V5" s="1838"/>
      <c r="W5" s="1838"/>
      <c r="X5" s="1838"/>
      <c r="Y5" s="1838"/>
      <c r="Z5" s="1989" t="s">
        <v>91</v>
      </c>
    </row>
    <row r="6" spans="3:34" ht="6" customHeight="1">
      <c r="C6" s="2104"/>
      <c r="D6" s="1323"/>
      <c r="E6" s="1323"/>
      <c r="F6" s="1323"/>
      <c r="G6" s="1323"/>
      <c r="H6" s="1323"/>
      <c r="I6" s="1323"/>
      <c r="J6" s="1323"/>
      <c r="K6" s="1323"/>
      <c r="L6" s="1323"/>
      <c r="M6" s="1323"/>
      <c r="N6" s="1858"/>
      <c r="O6" s="1858"/>
      <c r="P6" s="1858"/>
      <c r="Q6" s="1858"/>
      <c r="R6" s="1858"/>
      <c r="S6" s="1858"/>
      <c r="T6" s="1858"/>
      <c r="U6" s="1858"/>
      <c r="V6" s="2727"/>
      <c r="W6" s="1858"/>
      <c r="X6" s="1858"/>
      <c r="Y6" s="1858"/>
      <c r="Z6" s="2314"/>
      <c r="AA6" s="1801"/>
    </row>
    <row r="7" spans="3:34" s="1801" customFormat="1" ht="6" customHeight="1">
      <c r="C7" s="1991"/>
      <c r="D7" s="2507"/>
      <c r="E7" s="5055" t="s">
        <v>1705</v>
      </c>
      <c r="F7" s="5056"/>
      <c r="G7" s="5056"/>
      <c r="H7" s="5057"/>
      <c r="I7" s="3644"/>
      <c r="J7" s="2662"/>
      <c r="K7" s="2662"/>
      <c r="L7" s="2662"/>
      <c r="M7" s="2662"/>
      <c r="N7" s="1868"/>
      <c r="O7" s="1868"/>
      <c r="P7" s="1864"/>
      <c r="Q7" s="1864"/>
      <c r="R7" s="1864"/>
      <c r="S7" s="1864"/>
      <c r="T7" s="1864"/>
      <c r="U7" s="1864"/>
      <c r="V7" s="2590"/>
      <c r="W7" s="1864"/>
      <c r="X7" s="1864"/>
      <c r="Y7" s="5042"/>
      <c r="Z7" s="5043"/>
    </row>
    <row r="8" spans="3:34" ht="22.5" customHeight="1">
      <c r="C8" s="5046"/>
      <c r="D8" s="5047"/>
      <c r="E8" s="5058"/>
      <c r="F8" s="5059"/>
      <c r="G8" s="5059"/>
      <c r="H8" s="5060"/>
      <c r="I8" s="3645"/>
      <c r="J8" s="3646"/>
      <c r="K8" s="3646"/>
      <c r="L8" s="3646"/>
      <c r="M8" s="3646"/>
      <c r="N8" s="1362"/>
      <c r="O8" s="2523"/>
      <c r="P8" s="2315"/>
      <c r="Q8" s="1870" t="s">
        <v>663</v>
      </c>
      <c r="R8" s="1249"/>
      <c r="S8" s="2271"/>
      <c r="T8" s="2315"/>
      <c r="U8" s="2315"/>
      <c r="V8" s="1249"/>
      <c r="W8" s="1249"/>
      <c r="X8" s="2271"/>
      <c r="Y8" s="4761"/>
      <c r="Z8" s="4857"/>
      <c r="AA8" s="1801"/>
      <c r="AC8" s="1801"/>
    </row>
    <row r="9" spans="3:34" ht="22.5" customHeight="1">
      <c r="C9" s="5046"/>
      <c r="D9" s="5047"/>
      <c r="E9" s="5050" t="s">
        <v>1706</v>
      </c>
      <c r="F9" s="5051"/>
      <c r="G9" s="5051"/>
      <c r="H9" s="5052"/>
      <c r="I9" s="1360"/>
      <c r="J9" s="1335"/>
      <c r="K9" s="1335"/>
      <c r="L9" s="1335"/>
      <c r="M9" s="1335" t="s">
        <v>1707</v>
      </c>
      <c r="N9" s="3647" t="s">
        <v>1708</v>
      </c>
      <c r="O9" s="1879"/>
      <c r="P9" s="1870"/>
      <c r="Q9" s="1758" t="s">
        <v>1603</v>
      </c>
      <c r="R9" s="1871"/>
      <c r="S9" s="1870"/>
      <c r="T9" s="1878"/>
      <c r="U9" s="1870"/>
      <c r="V9" s="1870"/>
      <c r="W9" s="1870"/>
      <c r="X9" s="1870"/>
      <c r="Y9" s="4761"/>
      <c r="Z9" s="4857"/>
      <c r="AA9" s="1801"/>
      <c r="AC9" s="1801"/>
    </row>
    <row r="10" spans="3:34" ht="27" customHeight="1">
      <c r="C10" s="5046"/>
      <c r="D10" s="5047"/>
      <c r="E10" s="3648" t="s">
        <v>1707</v>
      </c>
      <c r="F10" s="3649" t="s">
        <v>1709</v>
      </c>
      <c r="G10" s="3649" t="s">
        <v>1710</v>
      </c>
      <c r="H10" s="3649" t="s">
        <v>1711</v>
      </c>
      <c r="I10" s="1360" t="s">
        <v>1712</v>
      </c>
      <c r="J10" s="1335" t="s">
        <v>1713</v>
      </c>
      <c r="K10" s="1335" t="s">
        <v>1707</v>
      </c>
      <c r="L10" s="1335"/>
      <c r="M10" s="1335" t="s">
        <v>1714</v>
      </c>
      <c r="N10" s="3647" t="s">
        <v>1715</v>
      </c>
      <c r="O10" s="1879"/>
      <c r="P10" s="1870" t="s">
        <v>663</v>
      </c>
      <c r="Q10" s="1758" t="s">
        <v>1608</v>
      </c>
      <c r="R10" s="1871"/>
      <c r="S10" s="1870" t="s">
        <v>1716</v>
      </c>
      <c r="T10" s="1758"/>
      <c r="U10" s="1758"/>
      <c r="V10" s="1758"/>
      <c r="W10" s="1758"/>
      <c r="X10" s="1758"/>
      <c r="Y10" s="4761"/>
      <c r="Z10" s="4857"/>
      <c r="AA10" s="1801"/>
      <c r="AC10" s="1801"/>
      <c r="AD10" s="2771"/>
      <c r="AE10" s="2771"/>
    </row>
    <row r="11" spans="3:34" ht="22.5" customHeight="1">
      <c r="C11" s="5046"/>
      <c r="D11" s="5047"/>
      <c r="E11" s="1334" t="s">
        <v>1714</v>
      </c>
      <c r="F11" s="1870" t="s">
        <v>1717</v>
      </c>
      <c r="G11" s="1870" t="s">
        <v>1718</v>
      </c>
      <c r="H11" s="1870" t="s">
        <v>1719</v>
      </c>
      <c r="I11" s="1360" t="s">
        <v>1720</v>
      </c>
      <c r="J11" s="1335" t="s">
        <v>1721</v>
      </c>
      <c r="K11" s="1335" t="s">
        <v>1714</v>
      </c>
      <c r="L11" s="1335" t="s">
        <v>1722</v>
      </c>
      <c r="M11" s="1335" t="s">
        <v>1723</v>
      </c>
      <c r="N11" s="3647" t="s">
        <v>1724</v>
      </c>
      <c r="O11" s="3647" t="s">
        <v>1615</v>
      </c>
      <c r="P11" s="1758" t="s">
        <v>1677</v>
      </c>
      <c r="Q11" s="1758" t="s">
        <v>1616</v>
      </c>
      <c r="R11" s="1758" t="s">
        <v>668</v>
      </c>
      <c r="S11" s="1758" t="s">
        <v>667</v>
      </c>
      <c r="T11" s="1758"/>
      <c r="U11" s="1758" t="s">
        <v>1610</v>
      </c>
      <c r="V11" s="1758" t="s">
        <v>1611</v>
      </c>
      <c r="W11" s="1758" t="s">
        <v>672</v>
      </c>
      <c r="X11" s="1758"/>
      <c r="Y11" s="4761"/>
      <c r="Z11" s="4857"/>
      <c r="AA11" s="1801"/>
      <c r="AC11" s="1801"/>
      <c r="AD11" s="2771"/>
      <c r="AE11" s="3650"/>
    </row>
    <row r="12" spans="3:34" ht="21.75" customHeight="1">
      <c r="C12" s="5046"/>
      <c r="D12" s="5047"/>
      <c r="E12" s="1334" t="s">
        <v>1602</v>
      </c>
      <c r="F12" s="1870" t="s">
        <v>1725</v>
      </c>
      <c r="G12" s="1870" t="s">
        <v>1726</v>
      </c>
      <c r="H12" s="1870" t="s">
        <v>1602</v>
      </c>
      <c r="I12" s="1360" t="s">
        <v>1727</v>
      </c>
      <c r="J12" s="1335" t="s">
        <v>1723</v>
      </c>
      <c r="K12" s="1335" t="s">
        <v>1602</v>
      </c>
      <c r="L12" s="1335" t="s">
        <v>1728</v>
      </c>
      <c r="M12" s="1335" t="s">
        <v>1729</v>
      </c>
      <c r="N12" s="3651" t="s">
        <v>1683</v>
      </c>
      <c r="O12" s="3647" t="s">
        <v>111</v>
      </c>
      <c r="P12" s="1758" t="s">
        <v>1684</v>
      </c>
      <c r="Q12" s="1758" t="s">
        <v>1625</v>
      </c>
      <c r="R12" s="1758" t="s">
        <v>1617</v>
      </c>
      <c r="S12" s="1758" t="s">
        <v>662</v>
      </c>
      <c r="T12" s="1758" t="s">
        <v>669</v>
      </c>
      <c r="U12" s="1758" t="s">
        <v>1618</v>
      </c>
      <c r="V12" s="1758" t="s">
        <v>1619</v>
      </c>
      <c r="W12" s="1758" t="s">
        <v>1620</v>
      </c>
      <c r="X12" s="1758" t="s">
        <v>673</v>
      </c>
      <c r="Y12" s="4761"/>
      <c r="Z12" s="4857"/>
      <c r="AA12" s="1801"/>
      <c r="AD12" s="2771"/>
      <c r="AE12" s="3650"/>
    </row>
    <row r="13" spans="3:34" ht="22.5" customHeight="1">
      <c r="C13" s="5046"/>
      <c r="D13" s="5047"/>
      <c r="E13" s="3652"/>
      <c r="F13" s="3653"/>
      <c r="G13" s="3653"/>
      <c r="H13" s="3653"/>
      <c r="I13" s="1358"/>
      <c r="J13" s="3646"/>
      <c r="K13" s="3646"/>
      <c r="L13" s="3646"/>
      <c r="M13" s="3646"/>
      <c r="N13" s="3647"/>
      <c r="O13" s="3647"/>
      <c r="P13" s="1758"/>
      <c r="Q13" s="1758"/>
      <c r="R13" s="3653"/>
      <c r="S13" s="1758"/>
      <c r="T13" s="1758"/>
      <c r="U13" s="1758"/>
      <c r="V13" s="1758"/>
      <c r="W13" s="1758"/>
      <c r="X13" s="1758"/>
      <c r="Y13" s="4761"/>
      <c r="Z13" s="4857"/>
      <c r="AA13" s="1801"/>
      <c r="AD13" s="2771"/>
      <c r="AE13" s="3650"/>
    </row>
    <row r="14" spans="3:34" ht="22.5" customHeight="1">
      <c r="C14" s="5046"/>
      <c r="D14" s="5047"/>
      <c r="E14" s="1332"/>
      <c r="F14" s="1758"/>
      <c r="G14" s="1758"/>
      <c r="H14" s="1758"/>
      <c r="I14" s="1360"/>
      <c r="J14" s="1335"/>
      <c r="K14" s="1335"/>
      <c r="L14" s="1335"/>
      <c r="M14" s="1335"/>
      <c r="N14" s="3647" t="s">
        <v>1730</v>
      </c>
      <c r="O14" s="3647"/>
      <c r="P14" s="1758"/>
      <c r="Q14" s="1758" t="s">
        <v>1626</v>
      </c>
      <c r="R14" s="3653"/>
      <c r="S14" s="1758"/>
      <c r="T14" s="3653"/>
      <c r="U14" s="3653"/>
      <c r="V14" s="1758"/>
      <c r="W14" s="1758"/>
      <c r="X14" s="1758"/>
      <c r="Y14" s="4761"/>
      <c r="Z14" s="4857"/>
      <c r="AA14" s="1801"/>
      <c r="AD14" s="2771"/>
      <c r="AE14" s="3650"/>
    </row>
    <row r="15" spans="3:34" ht="22.5" customHeight="1">
      <c r="C15" s="5046"/>
      <c r="D15" s="5047"/>
      <c r="E15" s="1332"/>
      <c r="F15" s="1758"/>
      <c r="G15" s="1758"/>
      <c r="H15" s="1758"/>
      <c r="I15" s="1360"/>
      <c r="J15" s="1335"/>
      <c r="K15" s="1335"/>
      <c r="L15" s="1335"/>
      <c r="M15" s="1335" t="s">
        <v>1731</v>
      </c>
      <c r="N15" s="3647" t="s">
        <v>125</v>
      </c>
      <c r="O15" s="3654"/>
      <c r="P15" s="3653"/>
      <c r="Q15" s="1758" t="s">
        <v>1630</v>
      </c>
      <c r="R15" s="1758" t="s">
        <v>1631</v>
      </c>
      <c r="S15" s="1758"/>
      <c r="T15" s="1758"/>
      <c r="U15" s="1758"/>
      <c r="V15" s="1758"/>
      <c r="W15" s="3653"/>
      <c r="X15" s="1758"/>
      <c r="Y15" s="4761"/>
      <c r="Z15" s="4857"/>
      <c r="AA15" s="1801"/>
      <c r="AD15" s="2771"/>
      <c r="AE15" s="3650"/>
    </row>
    <row r="16" spans="3:34" ht="22.5" customHeight="1">
      <c r="C16" s="5046"/>
      <c r="D16" s="5047"/>
      <c r="E16" s="1332" t="s">
        <v>1732</v>
      </c>
      <c r="F16" s="1758"/>
      <c r="G16" s="1758" t="s">
        <v>1733</v>
      </c>
      <c r="H16" s="1758" t="s">
        <v>1731</v>
      </c>
      <c r="I16" s="1360" t="s">
        <v>1734</v>
      </c>
      <c r="J16" s="1335" t="s">
        <v>1735</v>
      </c>
      <c r="K16" s="1335" t="s">
        <v>1732</v>
      </c>
      <c r="L16" s="1335"/>
      <c r="M16" s="1335" t="s">
        <v>1736</v>
      </c>
      <c r="N16" s="3647" t="s">
        <v>1691</v>
      </c>
      <c r="O16" s="3647"/>
      <c r="P16" s="1758" t="s">
        <v>1692</v>
      </c>
      <c r="Q16" s="1758" t="s">
        <v>1636</v>
      </c>
      <c r="R16" s="1758" t="s">
        <v>127</v>
      </c>
      <c r="S16" s="1758" t="s">
        <v>1638</v>
      </c>
      <c r="T16" s="3653"/>
      <c r="U16" s="1758" t="s">
        <v>1639</v>
      </c>
      <c r="V16" s="3653"/>
      <c r="W16" s="1758" t="s">
        <v>694</v>
      </c>
      <c r="X16" s="1758"/>
      <c r="Y16" s="4761"/>
      <c r="Z16" s="4857"/>
      <c r="AA16" s="1801"/>
      <c r="AD16" s="2771"/>
      <c r="AE16" s="3650"/>
    </row>
    <row r="17" spans="1:31" ht="22.5" customHeight="1">
      <c r="C17" s="5046"/>
      <c r="D17" s="5047"/>
      <c r="E17" s="1332" t="s">
        <v>1737</v>
      </c>
      <c r="F17" s="1758" t="s">
        <v>1738</v>
      </c>
      <c r="G17" s="1758" t="s">
        <v>534</v>
      </c>
      <c r="H17" s="1758" t="s">
        <v>1739</v>
      </c>
      <c r="I17" s="1360" t="s">
        <v>1737</v>
      </c>
      <c r="J17" s="1335" t="s">
        <v>1740</v>
      </c>
      <c r="K17" s="1335" t="s">
        <v>1737</v>
      </c>
      <c r="L17" s="1335" t="s">
        <v>1741</v>
      </c>
      <c r="M17" s="1335" t="s">
        <v>58</v>
      </c>
      <c r="N17" s="3647" t="s">
        <v>1742</v>
      </c>
      <c r="O17" s="3647" t="s">
        <v>522</v>
      </c>
      <c r="P17" s="1758" t="s">
        <v>1698</v>
      </c>
      <c r="Q17" s="1758" t="s">
        <v>1644</v>
      </c>
      <c r="R17" s="1758" t="s">
        <v>1645</v>
      </c>
      <c r="S17" s="1758" t="s">
        <v>1646</v>
      </c>
      <c r="T17" s="1758"/>
      <c r="U17" s="1758" t="s">
        <v>127</v>
      </c>
      <c r="V17" s="1758"/>
      <c r="W17" s="1758" t="s">
        <v>127</v>
      </c>
      <c r="X17" s="1758"/>
      <c r="Y17" s="4761"/>
      <c r="Z17" s="4857"/>
      <c r="AA17" s="1801"/>
      <c r="AD17" s="2771"/>
      <c r="AE17" s="3650"/>
    </row>
    <row r="18" spans="1:31" ht="22.5" customHeight="1">
      <c r="C18" s="5048"/>
      <c r="D18" s="5049"/>
      <c r="E18" s="1338" t="s">
        <v>1743</v>
      </c>
      <c r="F18" s="1759" t="s">
        <v>1744</v>
      </c>
      <c r="G18" s="1759" t="s">
        <v>1744</v>
      </c>
      <c r="H18" s="1759" t="s">
        <v>1745</v>
      </c>
      <c r="I18" s="1408" t="s">
        <v>1743</v>
      </c>
      <c r="J18" s="1339" t="s">
        <v>1737</v>
      </c>
      <c r="K18" s="1339" t="s">
        <v>1743</v>
      </c>
      <c r="L18" s="1339" t="s">
        <v>1746</v>
      </c>
      <c r="M18" s="1339" t="s">
        <v>1747</v>
      </c>
      <c r="N18" s="3655" t="s">
        <v>1696</v>
      </c>
      <c r="O18" s="3655" t="s">
        <v>1748</v>
      </c>
      <c r="P18" s="1759" t="s">
        <v>703</v>
      </c>
      <c r="Q18" s="1759" t="s">
        <v>703</v>
      </c>
      <c r="R18" s="1759" t="s">
        <v>1651</v>
      </c>
      <c r="S18" s="1759" t="s">
        <v>1652</v>
      </c>
      <c r="T18" s="1759" t="s">
        <v>705</v>
      </c>
      <c r="U18" s="1759" t="s">
        <v>1653</v>
      </c>
      <c r="V18" s="1759" t="s">
        <v>1654</v>
      </c>
      <c r="W18" s="1759" t="s">
        <v>1655</v>
      </c>
      <c r="X18" s="1759" t="s">
        <v>1633</v>
      </c>
      <c r="Y18" s="5044"/>
      <c r="Z18" s="5045"/>
      <c r="AA18" s="1801"/>
      <c r="AD18" s="2771"/>
      <c r="AE18" s="3650"/>
    </row>
    <row r="19" spans="1:31" s="2771" customFormat="1" ht="50.1" customHeight="1">
      <c r="C19" s="5053">
        <v>1985</v>
      </c>
      <c r="D19" s="5054"/>
      <c r="E19" s="3656">
        <v>414.9</v>
      </c>
      <c r="F19" s="3657">
        <v>149.72999999999999</v>
      </c>
      <c r="G19" s="3657">
        <v>11.1</v>
      </c>
      <c r="H19" s="3657">
        <v>253.9</v>
      </c>
      <c r="I19" s="3657">
        <v>208.40000000000003</v>
      </c>
      <c r="J19" s="3657">
        <v>206.5</v>
      </c>
      <c r="K19" s="3657">
        <v>414.90000000000003</v>
      </c>
      <c r="L19" s="3657">
        <v>30.1</v>
      </c>
      <c r="M19" s="3657">
        <v>384.8</v>
      </c>
      <c r="N19" s="1205">
        <v>1.6</v>
      </c>
      <c r="O19" s="1205">
        <v>125.2</v>
      </c>
      <c r="P19" s="1205">
        <v>3.7</v>
      </c>
      <c r="Q19" s="1205">
        <v>119.3</v>
      </c>
      <c r="R19" s="1205">
        <v>26.6</v>
      </c>
      <c r="S19" s="1205">
        <v>13.3</v>
      </c>
      <c r="T19" s="1205">
        <v>11.9</v>
      </c>
      <c r="U19" s="1205">
        <v>57.3</v>
      </c>
      <c r="V19" s="1205">
        <v>16.399999999999999</v>
      </c>
      <c r="W19" s="1205">
        <v>0.9</v>
      </c>
      <c r="X19" s="3658">
        <v>8.6</v>
      </c>
      <c r="Y19" s="5054">
        <v>1985</v>
      </c>
      <c r="Z19" s="5022"/>
      <c r="AE19" s="3650"/>
    </row>
    <row r="20" spans="1:31" s="2771" customFormat="1" ht="50.1" customHeight="1">
      <c r="C20" s="5061">
        <v>1986</v>
      </c>
      <c r="D20" s="5062"/>
      <c r="E20" s="3659">
        <v>444.4</v>
      </c>
      <c r="F20" s="3660">
        <v>49.2</v>
      </c>
      <c r="G20" s="3660">
        <v>15.2</v>
      </c>
      <c r="H20" s="3660">
        <v>380.1</v>
      </c>
      <c r="I20" s="3661">
        <v>247.09999999999997</v>
      </c>
      <c r="J20" s="3661">
        <v>197.3</v>
      </c>
      <c r="K20" s="3661">
        <v>444.4</v>
      </c>
      <c r="L20" s="3661">
        <v>35</v>
      </c>
      <c r="M20" s="3661">
        <v>409.4</v>
      </c>
      <c r="N20" s="3662">
        <v>1.6</v>
      </c>
      <c r="O20" s="3662">
        <v>111.6</v>
      </c>
      <c r="P20" s="3624">
        <v>4.4000000000000004</v>
      </c>
      <c r="Q20" s="3624">
        <v>103.9</v>
      </c>
      <c r="R20" s="3624">
        <v>56.6</v>
      </c>
      <c r="S20" s="3624">
        <v>8.9</v>
      </c>
      <c r="T20" s="3624">
        <v>11.3</v>
      </c>
      <c r="U20" s="3624">
        <v>90.1</v>
      </c>
      <c r="V20" s="3624">
        <v>9</v>
      </c>
      <c r="W20" s="3624">
        <v>1.4</v>
      </c>
      <c r="X20" s="3625">
        <v>10.6</v>
      </c>
      <c r="Y20" s="5062">
        <v>1986</v>
      </c>
      <c r="Z20" s="5018"/>
      <c r="AE20" s="3650"/>
    </row>
    <row r="21" spans="1:31" s="2771" customFormat="1" ht="50.1" customHeight="1">
      <c r="C21" s="5053">
        <v>1987</v>
      </c>
      <c r="D21" s="5054"/>
      <c r="E21" s="3656">
        <v>515.70000000000005</v>
      </c>
      <c r="F21" s="3657">
        <v>126.3</v>
      </c>
      <c r="G21" s="3657">
        <v>70.900000000000006</v>
      </c>
      <c r="H21" s="3657">
        <v>318.5</v>
      </c>
      <c r="I21" s="3657">
        <v>312.39999999999992</v>
      </c>
      <c r="J21" s="3657">
        <v>203.3</v>
      </c>
      <c r="K21" s="3657">
        <v>515.69999999999993</v>
      </c>
      <c r="L21" s="3657">
        <v>67.099999999999994</v>
      </c>
      <c r="M21" s="3657">
        <v>448.59999999999991</v>
      </c>
      <c r="N21" s="1205">
        <v>3.6</v>
      </c>
      <c r="O21" s="1205">
        <v>147.1</v>
      </c>
      <c r="P21" s="1205">
        <v>2.7</v>
      </c>
      <c r="Q21" s="1205">
        <v>110.4</v>
      </c>
      <c r="R21" s="1205">
        <v>52.7</v>
      </c>
      <c r="S21" s="1205">
        <v>6.9</v>
      </c>
      <c r="T21" s="1205">
        <v>10.5</v>
      </c>
      <c r="U21" s="1205">
        <v>56.2</v>
      </c>
      <c r="V21" s="1205">
        <v>41.4</v>
      </c>
      <c r="W21" s="1205">
        <v>5.8</v>
      </c>
      <c r="X21" s="1206">
        <v>11.3</v>
      </c>
      <c r="Y21" s="5054">
        <v>1987</v>
      </c>
      <c r="Z21" s="5022"/>
      <c r="AE21" s="3650"/>
    </row>
    <row r="22" spans="1:31" s="2771" customFormat="1" ht="50.1" customHeight="1">
      <c r="C22" s="5061">
        <v>1988</v>
      </c>
      <c r="D22" s="5062"/>
      <c r="E22" s="3659">
        <v>532.5</v>
      </c>
      <c r="F22" s="3660">
        <v>163.1</v>
      </c>
      <c r="G22" s="3660">
        <v>-49.6</v>
      </c>
      <c r="H22" s="3660">
        <v>418.9</v>
      </c>
      <c r="I22" s="3661">
        <v>311.80000000000013</v>
      </c>
      <c r="J22" s="3661">
        <v>220.7</v>
      </c>
      <c r="K22" s="3661">
        <v>532.50000000000011</v>
      </c>
      <c r="L22" s="3661">
        <v>19.2</v>
      </c>
      <c r="M22" s="3661">
        <v>513.30000000000007</v>
      </c>
      <c r="N22" s="3662">
        <v>1.5</v>
      </c>
      <c r="O22" s="3662">
        <v>139.4</v>
      </c>
      <c r="P22" s="3624">
        <v>5.3</v>
      </c>
      <c r="Q22" s="3624">
        <v>237.6</v>
      </c>
      <c r="R22" s="3624">
        <v>42.6</v>
      </c>
      <c r="S22" s="3624">
        <v>3.6</v>
      </c>
      <c r="T22" s="3624">
        <v>7</v>
      </c>
      <c r="U22" s="3624">
        <v>38.9</v>
      </c>
      <c r="V22" s="3624">
        <v>17.600000000000001</v>
      </c>
      <c r="W22" s="3624">
        <v>11.6</v>
      </c>
      <c r="X22" s="3625">
        <v>8.1999999999999993</v>
      </c>
      <c r="Y22" s="5062">
        <v>1988</v>
      </c>
      <c r="Z22" s="5018"/>
      <c r="AE22" s="3650"/>
    </row>
    <row r="23" spans="1:31" s="2771" customFormat="1" ht="50.1" customHeight="1">
      <c r="C23" s="5053">
        <v>1989</v>
      </c>
      <c r="D23" s="5054"/>
      <c r="E23" s="3656">
        <v>563.6</v>
      </c>
      <c r="F23" s="3657">
        <v>-51.8</v>
      </c>
      <c r="G23" s="3657">
        <v>83.9</v>
      </c>
      <c r="H23" s="3657">
        <v>531.5</v>
      </c>
      <c r="I23" s="3657">
        <v>325.5</v>
      </c>
      <c r="J23" s="3657">
        <v>238.1</v>
      </c>
      <c r="K23" s="3657">
        <v>563.6</v>
      </c>
      <c r="L23" s="3657">
        <v>9.1</v>
      </c>
      <c r="M23" s="3657">
        <v>554.5</v>
      </c>
      <c r="N23" s="1205">
        <v>1.2</v>
      </c>
      <c r="O23" s="1205">
        <v>143.19999999999999</v>
      </c>
      <c r="P23" s="1205">
        <v>0.8</v>
      </c>
      <c r="Q23" s="1205">
        <v>219.7</v>
      </c>
      <c r="R23" s="1205">
        <v>92.9</v>
      </c>
      <c r="S23" s="1205">
        <v>2</v>
      </c>
      <c r="T23" s="1205">
        <v>7.8</v>
      </c>
      <c r="U23" s="1205">
        <v>41.2</v>
      </c>
      <c r="V23" s="1205">
        <v>20</v>
      </c>
      <c r="W23" s="1205">
        <v>23.5</v>
      </c>
      <c r="X23" s="1206">
        <v>2.2000000000000002</v>
      </c>
      <c r="Y23" s="5054">
        <v>1989</v>
      </c>
      <c r="Z23" s="5022"/>
      <c r="AE23" s="3650"/>
    </row>
    <row r="24" spans="1:31" s="2771" customFormat="1" ht="50.1" customHeight="1">
      <c r="C24" s="5061">
        <v>1990</v>
      </c>
      <c r="D24" s="5062"/>
      <c r="E24" s="3659">
        <v>850.3</v>
      </c>
      <c r="F24" s="3660">
        <v>346.8</v>
      </c>
      <c r="G24" s="3660">
        <v>185.2</v>
      </c>
      <c r="H24" s="3660">
        <v>318.2</v>
      </c>
      <c r="I24" s="3661">
        <v>616.9</v>
      </c>
      <c r="J24" s="3661">
        <v>233.4</v>
      </c>
      <c r="K24" s="3661">
        <v>850.3</v>
      </c>
      <c r="L24" s="3661">
        <v>156.19999999999999</v>
      </c>
      <c r="M24" s="3661">
        <v>694.1</v>
      </c>
      <c r="N24" s="3662">
        <v>2.8</v>
      </c>
      <c r="O24" s="3662">
        <v>124</v>
      </c>
      <c r="P24" s="3624">
        <v>2.9</v>
      </c>
      <c r="Q24" s="3624">
        <v>309.8</v>
      </c>
      <c r="R24" s="3624">
        <v>187.8</v>
      </c>
      <c r="S24" s="3624">
        <v>4.5999999999999996</v>
      </c>
      <c r="T24" s="3624">
        <v>3.3</v>
      </c>
      <c r="U24" s="3624">
        <v>24.2</v>
      </c>
      <c r="V24" s="3624">
        <v>13</v>
      </c>
      <c r="W24" s="3624">
        <v>10.1</v>
      </c>
      <c r="X24" s="3625">
        <v>11.7</v>
      </c>
      <c r="Y24" s="5062">
        <v>1990</v>
      </c>
      <c r="Z24" s="5018"/>
      <c r="AE24" s="3650"/>
    </row>
    <row r="25" spans="1:31" s="2771" customFormat="1" ht="50.1" customHeight="1">
      <c r="C25" s="5053">
        <v>1991</v>
      </c>
      <c r="D25" s="5054"/>
      <c r="E25" s="3656">
        <v>738.5</v>
      </c>
      <c r="F25" s="3657">
        <v>21.8</v>
      </c>
      <c r="G25" s="3657">
        <v>291.8</v>
      </c>
      <c r="H25" s="3657">
        <v>424.8</v>
      </c>
      <c r="I25" s="3657">
        <v>435.99999999999989</v>
      </c>
      <c r="J25" s="3657">
        <v>302.5</v>
      </c>
      <c r="K25" s="3657">
        <v>738.49999999999989</v>
      </c>
      <c r="L25" s="3657">
        <v>60.5</v>
      </c>
      <c r="M25" s="3657">
        <v>677.99999999999989</v>
      </c>
      <c r="N25" s="1205">
        <v>3.3</v>
      </c>
      <c r="O25" s="1205">
        <v>135.9</v>
      </c>
      <c r="P25" s="1205">
        <v>6.7</v>
      </c>
      <c r="Q25" s="1205">
        <v>333.9</v>
      </c>
      <c r="R25" s="1205">
        <v>62.6</v>
      </c>
      <c r="S25" s="1205">
        <v>10.3</v>
      </c>
      <c r="T25" s="1205">
        <v>3</v>
      </c>
      <c r="U25" s="1205">
        <v>28.7</v>
      </c>
      <c r="V25" s="1205">
        <v>25.8</v>
      </c>
      <c r="W25" s="1205">
        <v>50.4</v>
      </c>
      <c r="X25" s="1206">
        <v>17.399999999999999</v>
      </c>
      <c r="Y25" s="5054">
        <v>1991</v>
      </c>
      <c r="Z25" s="5022"/>
      <c r="AE25" s="3650"/>
    </row>
    <row r="26" spans="1:31" s="1807" customFormat="1" ht="50.1" customHeight="1">
      <c r="A26" s="2771"/>
      <c r="C26" s="5061">
        <v>1992</v>
      </c>
      <c r="D26" s="5062"/>
      <c r="E26" s="3659">
        <v>1208.8</v>
      </c>
      <c r="F26" s="3660">
        <v>498.2</v>
      </c>
      <c r="G26" s="3660">
        <v>99.6</v>
      </c>
      <c r="H26" s="3660">
        <v>611</v>
      </c>
      <c r="I26" s="3661">
        <v>885</v>
      </c>
      <c r="J26" s="3661">
        <v>323.8</v>
      </c>
      <c r="K26" s="3661">
        <v>1208.8</v>
      </c>
      <c r="L26" s="3661">
        <v>159.5</v>
      </c>
      <c r="M26" s="3661">
        <v>1049.3</v>
      </c>
      <c r="N26" s="3662">
        <v>5.2</v>
      </c>
      <c r="O26" s="3662">
        <v>180.9</v>
      </c>
      <c r="P26" s="3624">
        <v>15.5</v>
      </c>
      <c r="Q26" s="3624">
        <v>626.1</v>
      </c>
      <c r="R26" s="3624">
        <v>74.3</v>
      </c>
      <c r="S26" s="3624">
        <v>16.7</v>
      </c>
      <c r="T26" s="3624">
        <v>15.2</v>
      </c>
      <c r="U26" s="3624">
        <v>38.9</v>
      </c>
      <c r="V26" s="3624">
        <v>44.9</v>
      </c>
      <c r="W26" s="3624">
        <v>11.5</v>
      </c>
      <c r="X26" s="3625">
        <v>20.2</v>
      </c>
      <c r="Y26" s="5062">
        <v>1992</v>
      </c>
      <c r="Z26" s="5018"/>
      <c r="AD26" s="2771"/>
      <c r="AE26" s="3663"/>
    </row>
    <row r="27" spans="1:31" s="1807" customFormat="1" ht="50.1" customHeight="1">
      <c r="A27" s="2771"/>
      <c r="B27" s="1937"/>
      <c r="C27" s="5053">
        <v>1993</v>
      </c>
      <c r="D27" s="5054"/>
      <c r="E27" s="3656">
        <v>1422.8</v>
      </c>
      <c r="F27" s="3657">
        <v>251</v>
      </c>
      <c r="G27" s="3657">
        <v>215.6</v>
      </c>
      <c r="H27" s="3657">
        <v>956.3</v>
      </c>
      <c r="I27" s="3657">
        <v>1070.5</v>
      </c>
      <c r="J27" s="3657">
        <v>352.3</v>
      </c>
      <c r="K27" s="3657">
        <v>1422.8</v>
      </c>
      <c r="L27" s="3657">
        <v>119.2</v>
      </c>
      <c r="M27" s="3657">
        <v>1303.5999999999999</v>
      </c>
      <c r="N27" s="1205">
        <v>4.8</v>
      </c>
      <c r="O27" s="1205">
        <v>234.7</v>
      </c>
      <c r="P27" s="1205">
        <v>14.2</v>
      </c>
      <c r="Q27" s="1205">
        <v>914.4</v>
      </c>
      <c r="R27" s="1205">
        <v>-17.2</v>
      </c>
      <c r="S27" s="1205">
        <v>11.7</v>
      </c>
      <c r="T27" s="1205">
        <v>20.399999999999999</v>
      </c>
      <c r="U27" s="1205">
        <v>57.6</v>
      </c>
      <c r="V27" s="1205">
        <v>30.8</v>
      </c>
      <c r="W27" s="1205">
        <v>12.8</v>
      </c>
      <c r="X27" s="1206">
        <v>19.5</v>
      </c>
      <c r="Y27" s="5054">
        <v>1993</v>
      </c>
      <c r="Z27" s="5022"/>
      <c r="AD27" s="2771"/>
      <c r="AE27" s="3663"/>
    </row>
    <row r="28" spans="1:31" s="1807" customFormat="1" ht="50.1" customHeight="1">
      <c r="A28" s="2771"/>
      <c r="C28" s="5063">
        <v>1994</v>
      </c>
      <c r="D28" s="5064"/>
      <c r="E28" s="3664">
        <v>1451.2</v>
      </c>
      <c r="F28" s="3665">
        <v>273.5</v>
      </c>
      <c r="G28" s="3665">
        <v>34.5</v>
      </c>
      <c r="H28" s="3665">
        <v>1143.2</v>
      </c>
      <c r="I28" s="3666">
        <v>1061.0999999999999</v>
      </c>
      <c r="J28" s="3666">
        <v>390.1</v>
      </c>
      <c r="K28" s="3666">
        <v>1451.2</v>
      </c>
      <c r="L28" s="3666">
        <v>60</v>
      </c>
      <c r="M28" s="3666">
        <v>1391.2</v>
      </c>
      <c r="N28" s="3631">
        <v>9</v>
      </c>
      <c r="O28" s="3631">
        <v>257.2</v>
      </c>
      <c r="P28" s="3632">
        <v>27.2</v>
      </c>
      <c r="Q28" s="3632">
        <v>710.3</v>
      </c>
      <c r="R28" s="3632">
        <v>40.4</v>
      </c>
      <c r="S28" s="3632">
        <v>22.1</v>
      </c>
      <c r="T28" s="3632">
        <v>32.4</v>
      </c>
      <c r="U28" s="3632">
        <v>69.900000000000006</v>
      </c>
      <c r="V28" s="3632">
        <v>112.7</v>
      </c>
      <c r="W28" s="3632">
        <v>92.4</v>
      </c>
      <c r="X28" s="3633">
        <v>17.600000000000001</v>
      </c>
      <c r="Y28" s="5062">
        <v>1994</v>
      </c>
      <c r="Z28" s="5018"/>
      <c r="AD28" s="2771"/>
      <c r="AE28" s="3663"/>
    </row>
    <row r="29" spans="1:31" s="1807" customFormat="1" ht="50.1" customHeight="1">
      <c r="A29" s="2771"/>
      <c r="C29" s="5053">
        <v>1995</v>
      </c>
      <c r="D29" s="5054"/>
      <c r="E29" s="3656">
        <v>1554.1</v>
      </c>
      <c r="F29" s="3657">
        <v>345.2</v>
      </c>
      <c r="G29" s="3657">
        <v>-165.4</v>
      </c>
      <c r="H29" s="3657">
        <v>1374.4</v>
      </c>
      <c r="I29" s="3657">
        <v>1120.5999999999999</v>
      </c>
      <c r="J29" s="3657">
        <v>433.5</v>
      </c>
      <c r="K29" s="3657">
        <v>1554.1</v>
      </c>
      <c r="L29" s="3657">
        <v>159.1</v>
      </c>
      <c r="M29" s="3657">
        <v>1395</v>
      </c>
      <c r="N29" s="1205">
        <v>14.1</v>
      </c>
      <c r="O29" s="1205">
        <v>280.7</v>
      </c>
      <c r="P29" s="1205">
        <v>48.5</v>
      </c>
      <c r="Q29" s="1205">
        <v>751.9</v>
      </c>
      <c r="R29" s="1205">
        <v>55.8</v>
      </c>
      <c r="S29" s="1205">
        <v>18</v>
      </c>
      <c r="T29" s="1205">
        <v>15.2</v>
      </c>
      <c r="U29" s="1205">
        <v>93.7</v>
      </c>
      <c r="V29" s="1205">
        <v>77.900000000000006</v>
      </c>
      <c r="W29" s="1205">
        <v>11.6</v>
      </c>
      <c r="X29" s="1206">
        <v>27.6</v>
      </c>
      <c r="Y29" s="5054">
        <v>1995</v>
      </c>
      <c r="Z29" s="5022"/>
      <c r="AD29" s="2771"/>
      <c r="AE29" s="3663"/>
    </row>
    <row r="30" spans="1:31" s="1807" customFormat="1" ht="50.1" customHeight="1">
      <c r="A30" s="2771"/>
      <c r="C30" s="5061">
        <v>1996</v>
      </c>
      <c r="D30" s="5062"/>
      <c r="E30" s="3659">
        <v>1499.3000000000002</v>
      </c>
      <c r="F30" s="3660">
        <v>341.9</v>
      </c>
      <c r="G30" s="3660">
        <v>-184.5</v>
      </c>
      <c r="H30" s="3660">
        <v>1341.9</v>
      </c>
      <c r="I30" s="3661">
        <v>1004.8000000000001</v>
      </c>
      <c r="J30" s="3661">
        <v>494.4</v>
      </c>
      <c r="K30" s="3661">
        <v>1499.3</v>
      </c>
      <c r="L30" s="3661">
        <v>54.5</v>
      </c>
      <c r="M30" s="3661">
        <v>1444.8</v>
      </c>
      <c r="N30" s="3662">
        <v>5.0999999999999996</v>
      </c>
      <c r="O30" s="3662">
        <v>296.8</v>
      </c>
      <c r="P30" s="3624">
        <v>32</v>
      </c>
      <c r="Q30" s="3624">
        <v>638.20000000000005</v>
      </c>
      <c r="R30" s="3624">
        <v>114.8</v>
      </c>
      <c r="S30" s="3624">
        <v>42.7</v>
      </c>
      <c r="T30" s="3624">
        <v>12.3</v>
      </c>
      <c r="U30" s="3624">
        <v>87.9</v>
      </c>
      <c r="V30" s="3624">
        <v>120.8</v>
      </c>
      <c r="W30" s="3624">
        <v>62.1</v>
      </c>
      <c r="X30" s="3625">
        <v>32</v>
      </c>
      <c r="Y30" s="5062">
        <v>1996</v>
      </c>
      <c r="Z30" s="5018"/>
      <c r="AD30" s="2771"/>
      <c r="AE30" s="3663"/>
    </row>
    <row r="31" spans="1:31" s="1807" customFormat="1" ht="50.1" customHeight="1">
      <c r="A31" s="2771"/>
      <c r="C31" s="5053">
        <v>1997</v>
      </c>
      <c r="D31" s="5054"/>
      <c r="E31" s="3656">
        <v>1321.8</v>
      </c>
      <c r="F31" s="3657">
        <v>18</v>
      </c>
      <c r="G31" s="3657">
        <v>-38.5</v>
      </c>
      <c r="H31" s="3657">
        <v>1342.3</v>
      </c>
      <c r="I31" s="3657">
        <v>757.3</v>
      </c>
      <c r="J31" s="3657">
        <v>564.5</v>
      </c>
      <c r="K31" s="3657">
        <v>1321.8</v>
      </c>
      <c r="L31" s="3657">
        <v>-3.2</v>
      </c>
      <c r="M31" s="3657">
        <v>1325</v>
      </c>
      <c r="N31" s="1205">
        <v>11</v>
      </c>
      <c r="O31" s="1205">
        <v>279.60000000000002</v>
      </c>
      <c r="P31" s="1205">
        <v>63.7</v>
      </c>
      <c r="Q31" s="1205">
        <v>484.6</v>
      </c>
      <c r="R31" s="1205">
        <v>102.4</v>
      </c>
      <c r="S31" s="1205">
        <v>49.6</v>
      </c>
      <c r="T31" s="1205">
        <v>5.0999999999999996</v>
      </c>
      <c r="U31" s="1205">
        <v>115.1</v>
      </c>
      <c r="V31" s="1205">
        <v>147.6</v>
      </c>
      <c r="W31" s="1205">
        <v>33.700000000000003</v>
      </c>
      <c r="X31" s="1206">
        <v>29.4</v>
      </c>
      <c r="Y31" s="5054">
        <v>1997</v>
      </c>
      <c r="Z31" s="5022"/>
      <c r="AD31" s="2771"/>
      <c r="AE31" s="3663"/>
    </row>
    <row r="32" spans="1:31" s="1807" customFormat="1" ht="50.1" customHeight="1">
      <c r="A32" s="2771"/>
      <c r="C32" s="5061">
        <v>1998</v>
      </c>
      <c r="D32" s="5062"/>
      <c r="E32" s="3659">
        <v>1224</v>
      </c>
      <c r="F32" s="3660">
        <v>289.39999999999998</v>
      </c>
      <c r="G32" s="3660">
        <v>-304.89999999999998</v>
      </c>
      <c r="H32" s="3660">
        <v>1239.5</v>
      </c>
      <c r="I32" s="3661">
        <v>607.79999999999995</v>
      </c>
      <c r="J32" s="3661">
        <v>616.20000000000005</v>
      </c>
      <c r="K32" s="3661">
        <v>1224</v>
      </c>
      <c r="L32" s="3661">
        <v>36.5</v>
      </c>
      <c r="M32" s="3661">
        <v>1187.5</v>
      </c>
      <c r="N32" s="3662">
        <v>9.6</v>
      </c>
      <c r="O32" s="3662">
        <v>287.89999999999998</v>
      </c>
      <c r="P32" s="3624">
        <v>48.6</v>
      </c>
      <c r="Q32" s="3624">
        <v>320.60000000000002</v>
      </c>
      <c r="R32" s="3624">
        <v>147.69999999999999</v>
      </c>
      <c r="S32" s="3624">
        <v>57.9</v>
      </c>
      <c r="T32" s="3624">
        <v>4.2</v>
      </c>
      <c r="U32" s="3624">
        <v>80.599999999999994</v>
      </c>
      <c r="V32" s="3624">
        <v>118.1</v>
      </c>
      <c r="W32" s="3624">
        <v>76.2</v>
      </c>
      <c r="X32" s="3625">
        <v>36.1</v>
      </c>
      <c r="Y32" s="5062">
        <v>1998</v>
      </c>
      <c r="Z32" s="5018"/>
      <c r="AD32" s="2771"/>
      <c r="AE32" s="3663"/>
    </row>
    <row r="33" spans="1:31" s="1807" customFormat="1" ht="50.1" customHeight="1">
      <c r="A33" s="2771"/>
      <c r="C33" s="5053">
        <v>1999</v>
      </c>
      <c r="D33" s="5054"/>
      <c r="E33" s="3656">
        <v>1246.3</v>
      </c>
      <c r="F33" s="3657">
        <v>-308</v>
      </c>
      <c r="G33" s="3657">
        <v>20.9</v>
      </c>
      <c r="H33" s="3657">
        <v>1533.3</v>
      </c>
      <c r="I33" s="3657">
        <v>570.5</v>
      </c>
      <c r="J33" s="3657">
        <v>675.8</v>
      </c>
      <c r="K33" s="3657">
        <v>1246.3</v>
      </c>
      <c r="L33" s="3657">
        <v>-106.4</v>
      </c>
      <c r="M33" s="3657">
        <v>1352.7</v>
      </c>
      <c r="N33" s="1205">
        <v>11.3</v>
      </c>
      <c r="O33" s="1205">
        <v>296.60000000000002</v>
      </c>
      <c r="P33" s="1205">
        <v>32</v>
      </c>
      <c r="Q33" s="1205">
        <v>258.60000000000002</v>
      </c>
      <c r="R33" s="1205">
        <v>110.9</v>
      </c>
      <c r="S33" s="1205">
        <v>114.5</v>
      </c>
      <c r="T33" s="1205">
        <v>9.1999999999999993</v>
      </c>
      <c r="U33" s="1205">
        <v>370.9</v>
      </c>
      <c r="V33" s="1205">
        <v>96.7</v>
      </c>
      <c r="W33" s="1205">
        <v>27.9</v>
      </c>
      <c r="X33" s="1206">
        <v>24.2</v>
      </c>
      <c r="Y33" s="5054">
        <v>1999</v>
      </c>
      <c r="Z33" s="5022"/>
      <c r="AA33" s="1174"/>
      <c r="AB33" s="1174"/>
      <c r="AC33" s="1174"/>
      <c r="AD33" s="2771"/>
      <c r="AE33" s="3663"/>
    </row>
    <row r="34" spans="1:31" s="1807" customFormat="1" ht="50.1" customHeight="1">
      <c r="A34" s="2771"/>
      <c r="C34" s="5061">
        <v>2000</v>
      </c>
      <c r="D34" s="5062"/>
      <c r="E34" s="3659">
        <v>1341.4</v>
      </c>
      <c r="F34" s="3660">
        <v>-65.5</v>
      </c>
      <c r="G34" s="3660">
        <v>46</v>
      </c>
      <c r="H34" s="3660">
        <v>1360.8</v>
      </c>
      <c r="I34" s="3661">
        <v>667.90000000000032</v>
      </c>
      <c r="J34" s="3661">
        <v>673.5</v>
      </c>
      <c r="K34" s="3661">
        <v>1341.4000000000003</v>
      </c>
      <c r="L34" s="3661">
        <v>74.8</v>
      </c>
      <c r="M34" s="3661">
        <v>1266.6000000000004</v>
      </c>
      <c r="N34" s="3662">
        <v>13.1</v>
      </c>
      <c r="O34" s="3662">
        <v>287.8</v>
      </c>
      <c r="P34" s="3624">
        <v>22.8</v>
      </c>
      <c r="Q34" s="3624">
        <v>251.4</v>
      </c>
      <c r="R34" s="3624">
        <v>254.6</v>
      </c>
      <c r="S34" s="3624">
        <v>97.7</v>
      </c>
      <c r="T34" s="3624">
        <v>4.7</v>
      </c>
      <c r="U34" s="3624">
        <v>129.4</v>
      </c>
      <c r="V34" s="3624">
        <v>129.4</v>
      </c>
      <c r="W34" s="3624">
        <v>42.3</v>
      </c>
      <c r="X34" s="3625">
        <v>33.4</v>
      </c>
      <c r="Y34" s="5062">
        <v>2000</v>
      </c>
      <c r="Z34" s="5018"/>
      <c r="AA34" s="1174"/>
      <c r="AB34" s="1174"/>
      <c r="AC34" s="1174"/>
      <c r="AD34" s="2771"/>
      <c r="AE34" s="3663"/>
    </row>
    <row r="35" spans="1:31" s="1807" customFormat="1" ht="50.1" customHeight="1">
      <c r="A35" s="2771"/>
      <c r="C35" s="5053">
        <v>2001</v>
      </c>
      <c r="D35" s="5054"/>
      <c r="E35" s="3656">
        <v>1340</v>
      </c>
      <c r="F35" s="3657">
        <v>2.4</v>
      </c>
      <c r="G35" s="3657">
        <v>15.3</v>
      </c>
      <c r="H35" s="3657">
        <v>1322.2</v>
      </c>
      <c r="I35" s="3657">
        <v>639.70000000000005</v>
      </c>
      <c r="J35" s="3657">
        <v>700.3</v>
      </c>
      <c r="K35" s="3657">
        <v>1340</v>
      </c>
      <c r="L35" s="3657">
        <v>104.2</v>
      </c>
      <c r="M35" s="3657">
        <v>1235.8</v>
      </c>
      <c r="N35" s="1205">
        <v>4.5</v>
      </c>
      <c r="O35" s="1205">
        <v>320.60000000000002</v>
      </c>
      <c r="P35" s="1205">
        <v>26.7</v>
      </c>
      <c r="Q35" s="1205">
        <v>293.5</v>
      </c>
      <c r="R35" s="1205">
        <v>196.8</v>
      </c>
      <c r="S35" s="1205">
        <v>88.8</v>
      </c>
      <c r="T35" s="1205">
        <v>9.3000000000000007</v>
      </c>
      <c r="U35" s="1205">
        <v>146.5</v>
      </c>
      <c r="V35" s="1205">
        <v>103.9</v>
      </c>
      <c r="W35" s="1205">
        <v>21.1</v>
      </c>
      <c r="X35" s="1206">
        <v>24</v>
      </c>
      <c r="Y35" s="5054">
        <v>2001</v>
      </c>
      <c r="Z35" s="5022"/>
      <c r="AA35" s="1174"/>
      <c r="AB35" s="1174"/>
      <c r="AC35" s="1174"/>
      <c r="AD35" s="2771"/>
      <c r="AE35" s="3663"/>
    </row>
    <row r="36" spans="1:31" s="1807" customFormat="1" ht="50.1" customHeight="1">
      <c r="A36" s="2771"/>
      <c r="C36" s="5061">
        <v>2002</v>
      </c>
      <c r="D36" s="5062"/>
      <c r="E36" s="3659">
        <v>1365.3</v>
      </c>
      <c r="F36" s="3660">
        <v>-404.5</v>
      </c>
      <c r="G36" s="3660">
        <v>48.8</v>
      </c>
      <c r="H36" s="3660">
        <v>1720.9</v>
      </c>
      <c r="I36" s="3661">
        <v>637.1</v>
      </c>
      <c r="J36" s="3661">
        <v>728.2</v>
      </c>
      <c r="K36" s="3661">
        <v>1365.3</v>
      </c>
      <c r="L36" s="3661">
        <v>78</v>
      </c>
      <c r="M36" s="3661">
        <v>1287.3</v>
      </c>
      <c r="N36" s="3662">
        <v>9.1999999999999993</v>
      </c>
      <c r="O36" s="3662">
        <v>341.5</v>
      </c>
      <c r="P36" s="3624">
        <v>34.799999999999997</v>
      </c>
      <c r="Q36" s="3624">
        <v>277.39999999999998</v>
      </c>
      <c r="R36" s="3624">
        <v>187.5</v>
      </c>
      <c r="S36" s="3624">
        <v>119.1</v>
      </c>
      <c r="T36" s="3624">
        <v>10.1</v>
      </c>
      <c r="U36" s="3624">
        <v>120.8</v>
      </c>
      <c r="V36" s="3624">
        <v>142</v>
      </c>
      <c r="W36" s="3624">
        <v>25.9</v>
      </c>
      <c r="X36" s="3625">
        <v>18.8</v>
      </c>
      <c r="Y36" s="5062">
        <v>2002</v>
      </c>
      <c r="Z36" s="5018"/>
      <c r="AA36" s="1174"/>
      <c r="AB36" s="1174"/>
      <c r="AC36" s="1174"/>
      <c r="AD36" s="2771"/>
      <c r="AE36" s="1937"/>
    </row>
    <row r="37" spans="1:31" s="1807" customFormat="1" ht="50.1" customHeight="1">
      <c r="A37" s="2771"/>
      <c r="C37" s="5053">
        <v>2003</v>
      </c>
      <c r="D37" s="5054"/>
      <c r="E37" s="3656">
        <v>1506.5</v>
      </c>
      <c r="F37" s="3657">
        <v>-916.1</v>
      </c>
      <c r="G37" s="3657">
        <v>66.3</v>
      </c>
      <c r="H37" s="3657">
        <v>2356.1999999999998</v>
      </c>
      <c r="I37" s="3657">
        <v>739.4</v>
      </c>
      <c r="J37" s="3657">
        <v>767.1</v>
      </c>
      <c r="K37" s="3657">
        <v>1506.5</v>
      </c>
      <c r="L37" s="3657">
        <v>15.7</v>
      </c>
      <c r="M37" s="3657">
        <v>1490.8</v>
      </c>
      <c r="N37" s="1205">
        <v>12.4</v>
      </c>
      <c r="O37" s="1205">
        <v>460.6</v>
      </c>
      <c r="P37" s="1205">
        <v>28.1</v>
      </c>
      <c r="Q37" s="1205">
        <v>383.4</v>
      </c>
      <c r="R37" s="1205">
        <v>161.6</v>
      </c>
      <c r="S37" s="1205">
        <v>103.4</v>
      </c>
      <c r="T37" s="1205">
        <v>13.4</v>
      </c>
      <c r="U37" s="1205">
        <v>164.7</v>
      </c>
      <c r="V37" s="1205">
        <v>121.3</v>
      </c>
      <c r="W37" s="1205">
        <v>26.3</v>
      </c>
      <c r="X37" s="1206">
        <v>15.5</v>
      </c>
      <c r="Y37" s="5054">
        <v>2003</v>
      </c>
      <c r="Z37" s="5022"/>
      <c r="AA37" s="1174"/>
      <c r="AB37" s="1174"/>
      <c r="AC37" s="1174"/>
      <c r="AD37" s="2771"/>
      <c r="AE37" s="1937"/>
    </row>
    <row r="38" spans="1:31" s="1807" customFormat="1" ht="50.1" customHeight="1">
      <c r="A38" s="2771"/>
      <c r="C38" s="5061">
        <v>2004</v>
      </c>
      <c r="D38" s="5062"/>
      <c r="E38" s="3664">
        <v>2215.6</v>
      </c>
      <c r="F38" s="3660">
        <v>-29.2</v>
      </c>
      <c r="G38" s="3660">
        <v>1.5</v>
      </c>
      <c r="H38" s="3660">
        <v>2243.1999999999998</v>
      </c>
      <c r="I38" s="3665">
        <v>1380.2</v>
      </c>
      <c r="J38" s="3665">
        <v>835.4</v>
      </c>
      <c r="K38" s="3665">
        <v>2215.6</v>
      </c>
      <c r="L38" s="3665">
        <v>210.2</v>
      </c>
      <c r="M38" s="3665">
        <v>2005.4</v>
      </c>
      <c r="N38" s="3631">
        <v>10.1</v>
      </c>
      <c r="O38" s="3631">
        <v>474.7</v>
      </c>
      <c r="P38" s="3631">
        <v>51.8</v>
      </c>
      <c r="Q38" s="3631">
        <v>892.7</v>
      </c>
      <c r="R38" s="3631">
        <v>158.9</v>
      </c>
      <c r="S38" s="3631">
        <v>47.9</v>
      </c>
      <c r="T38" s="3631">
        <v>17.399999999999999</v>
      </c>
      <c r="U38" s="3631">
        <v>166.2</v>
      </c>
      <c r="V38" s="3631">
        <v>163.9</v>
      </c>
      <c r="W38" s="3631">
        <v>8.4</v>
      </c>
      <c r="X38" s="3633">
        <v>13.5</v>
      </c>
      <c r="Y38" s="5062">
        <v>2004</v>
      </c>
      <c r="Z38" s="5018"/>
      <c r="AA38" s="1174"/>
      <c r="AB38" s="1174"/>
      <c r="AC38" s="1174"/>
      <c r="AD38" s="2771"/>
      <c r="AE38" s="1937"/>
    </row>
    <row r="39" spans="1:31" s="1807" customFormat="1" ht="50.1" customHeight="1">
      <c r="A39" s="2771"/>
      <c r="C39" s="5053">
        <v>2005</v>
      </c>
      <c r="D39" s="5054"/>
      <c r="E39" s="3656">
        <v>3047.9</v>
      </c>
      <c r="F39" s="3657">
        <v>1604.6</v>
      </c>
      <c r="G39" s="3657">
        <v>6</v>
      </c>
      <c r="H39" s="3657">
        <v>1437.4</v>
      </c>
      <c r="I39" s="3657">
        <v>2123.6</v>
      </c>
      <c r="J39" s="3657">
        <v>924.3</v>
      </c>
      <c r="K39" s="3657">
        <v>3047.9</v>
      </c>
      <c r="L39" s="3657">
        <v>314.2</v>
      </c>
      <c r="M39" s="3657">
        <v>2733.7</v>
      </c>
      <c r="N39" s="1205">
        <v>14.9</v>
      </c>
      <c r="O39" s="1205">
        <v>544.20000000000005</v>
      </c>
      <c r="P39" s="1205">
        <v>39.9</v>
      </c>
      <c r="Q39" s="1205">
        <v>1265.7</v>
      </c>
      <c r="R39" s="1205">
        <v>316.10000000000002</v>
      </c>
      <c r="S39" s="1205">
        <v>39.9</v>
      </c>
      <c r="T39" s="1205">
        <v>11.1</v>
      </c>
      <c r="U39" s="1205">
        <v>214.7</v>
      </c>
      <c r="V39" s="1205">
        <v>208.8</v>
      </c>
      <c r="W39" s="1205">
        <v>63.2</v>
      </c>
      <c r="X39" s="1206">
        <v>15.3</v>
      </c>
      <c r="Y39" s="5054">
        <v>2005</v>
      </c>
      <c r="Z39" s="5022"/>
      <c r="AA39" s="1801"/>
      <c r="AB39" s="1801"/>
      <c r="AC39" s="1801"/>
      <c r="AD39" s="2771"/>
      <c r="AE39" s="1937"/>
    </row>
    <row r="40" spans="1:31" s="1807" customFormat="1" ht="50.1" customHeight="1">
      <c r="A40" s="2771"/>
      <c r="C40" s="5061">
        <v>2006</v>
      </c>
      <c r="D40" s="5062"/>
      <c r="E40" s="3664">
        <v>3025.4</v>
      </c>
      <c r="F40" s="3660">
        <v>1179.3</v>
      </c>
      <c r="G40" s="3660">
        <v>44.5</v>
      </c>
      <c r="H40" s="3660">
        <v>1801.5</v>
      </c>
      <c r="I40" s="3665">
        <v>2021.6</v>
      </c>
      <c r="J40" s="3665">
        <v>1003.8</v>
      </c>
      <c r="K40" s="3665">
        <v>3025.4</v>
      </c>
      <c r="L40" s="3665">
        <v>308.3</v>
      </c>
      <c r="M40" s="3665">
        <v>2717.1</v>
      </c>
      <c r="N40" s="3631">
        <v>9.5</v>
      </c>
      <c r="O40" s="3631">
        <v>540.5</v>
      </c>
      <c r="P40" s="3631">
        <v>55.6</v>
      </c>
      <c r="Q40" s="3631">
        <v>1337.4</v>
      </c>
      <c r="R40" s="3631">
        <v>217</v>
      </c>
      <c r="S40" s="3631">
        <v>96.6</v>
      </c>
      <c r="T40" s="3631">
        <v>14.9</v>
      </c>
      <c r="U40" s="3631">
        <v>112.9</v>
      </c>
      <c r="V40" s="3631">
        <v>276.3</v>
      </c>
      <c r="W40" s="3631">
        <v>28.5</v>
      </c>
      <c r="X40" s="3633">
        <v>27.7</v>
      </c>
      <c r="Y40" s="5062">
        <v>2006</v>
      </c>
      <c r="Z40" s="5018"/>
      <c r="AA40" s="1801"/>
      <c r="AB40" s="1801"/>
      <c r="AC40" s="1801"/>
    </row>
    <row r="41" spans="1:31" s="1807" customFormat="1" ht="50.1" customHeight="1">
      <c r="A41" s="2771"/>
      <c r="C41" s="5053">
        <v>2007</v>
      </c>
      <c r="D41" s="5054"/>
      <c r="E41" s="3656">
        <v>3671.9</v>
      </c>
      <c r="F41" s="3657">
        <v>2028.9</v>
      </c>
      <c r="G41" s="3657">
        <v>9.1</v>
      </c>
      <c r="H41" s="3657">
        <v>1633.9</v>
      </c>
      <c r="I41" s="3657">
        <v>2514.1</v>
      </c>
      <c r="J41" s="3657">
        <v>1157.8</v>
      </c>
      <c r="K41" s="3657">
        <v>3671.9</v>
      </c>
      <c r="L41" s="3657">
        <v>337.8</v>
      </c>
      <c r="M41" s="3657">
        <v>3334.1</v>
      </c>
      <c r="N41" s="1205">
        <v>9.1999999999999993</v>
      </c>
      <c r="O41" s="1205">
        <v>543.1</v>
      </c>
      <c r="P41" s="1205">
        <v>49.4</v>
      </c>
      <c r="Q41" s="1205">
        <v>1792.4</v>
      </c>
      <c r="R41" s="1205">
        <v>253.7</v>
      </c>
      <c r="S41" s="1205">
        <v>105.3</v>
      </c>
      <c r="T41" s="1205">
        <v>43.7</v>
      </c>
      <c r="U41" s="1205">
        <v>158.1</v>
      </c>
      <c r="V41" s="1205">
        <v>297.8</v>
      </c>
      <c r="W41" s="1205">
        <v>61.4</v>
      </c>
      <c r="X41" s="1206">
        <v>20.2</v>
      </c>
      <c r="Y41" s="5054">
        <v>2007</v>
      </c>
      <c r="Z41" s="5022"/>
      <c r="AA41" s="1801"/>
      <c r="AB41" s="1801"/>
      <c r="AC41" s="1801"/>
    </row>
    <row r="42" spans="1:31" s="1807" customFormat="1" ht="50.1" customHeight="1">
      <c r="A42" s="2771"/>
      <c r="C42" s="5061" t="s">
        <v>1749</v>
      </c>
      <c r="D42" s="5062"/>
      <c r="E42" s="3664">
        <v>4661.6000000000004</v>
      </c>
      <c r="F42" s="3660">
        <v>1243.9000000000001</v>
      </c>
      <c r="G42" s="3660">
        <v>201.3</v>
      </c>
      <c r="H42" s="3660">
        <v>3216.4</v>
      </c>
      <c r="I42" s="3665">
        <v>3396.4</v>
      </c>
      <c r="J42" s="3665">
        <v>1265.2</v>
      </c>
      <c r="K42" s="3665">
        <v>4661.6000000000004</v>
      </c>
      <c r="L42" s="3665">
        <v>318.7</v>
      </c>
      <c r="M42" s="3665">
        <v>4342.8999999999996</v>
      </c>
      <c r="N42" s="3631">
        <v>4.5999999999999996</v>
      </c>
      <c r="O42" s="3631">
        <v>831.6</v>
      </c>
      <c r="P42" s="3631">
        <v>88.5</v>
      </c>
      <c r="Q42" s="3631">
        <v>1970.5</v>
      </c>
      <c r="R42" s="3631">
        <v>539.9</v>
      </c>
      <c r="S42" s="3631">
        <v>84.8</v>
      </c>
      <c r="T42" s="3631">
        <v>33.700000000000003</v>
      </c>
      <c r="U42" s="3631">
        <v>336.5</v>
      </c>
      <c r="V42" s="3631">
        <v>379.6</v>
      </c>
      <c r="W42" s="3631">
        <v>36.799999999999997</v>
      </c>
      <c r="X42" s="3633">
        <v>36.299999999999997</v>
      </c>
      <c r="Y42" s="5062" t="s">
        <v>1750</v>
      </c>
      <c r="Z42" s="5018"/>
      <c r="AA42" s="1801"/>
      <c r="AB42" s="1801"/>
      <c r="AC42" s="1801"/>
    </row>
    <row r="43" spans="1:31" s="1807" customFormat="1" ht="50.1" customHeight="1">
      <c r="A43" s="2771"/>
      <c r="C43" s="5065" t="s">
        <v>1751</v>
      </c>
      <c r="D43" s="5066"/>
      <c r="E43" s="3667">
        <v>4447.8999999999996</v>
      </c>
      <c r="F43" s="3668">
        <v>798.6</v>
      </c>
      <c r="G43" s="3668">
        <v>0.4</v>
      </c>
      <c r="H43" s="3668">
        <v>3648.9</v>
      </c>
      <c r="I43" s="3668">
        <v>3039.1</v>
      </c>
      <c r="J43" s="3668">
        <v>1408.8</v>
      </c>
      <c r="K43" s="3668">
        <v>4447.8999999999996</v>
      </c>
      <c r="L43" s="3668">
        <v>193.7</v>
      </c>
      <c r="M43" s="3668">
        <v>4254.2</v>
      </c>
      <c r="N43" s="1669">
        <v>4.5999999999999996</v>
      </c>
      <c r="O43" s="1669">
        <v>1160.5</v>
      </c>
      <c r="P43" s="1669">
        <v>66.400000000000006</v>
      </c>
      <c r="Q43" s="1669">
        <v>1948.2</v>
      </c>
      <c r="R43" s="1669">
        <v>284.2</v>
      </c>
      <c r="S43" s="1669">
        <v>77.900000000000006</v>
      </c>
      <c r="T43" s="1669">
        <v>32.200000000000003</v>
      </c>
      <c r="U43" s="1669">
        <v>181.8</v>
      </c>
      <c r="V43" s="1669">
        <v>328.6</v>
      </c>
      <c r="W43" s="1669">
        <v>147.6</v>
      </c>
      <c r="X43" s="1670">
        <v>22.3</v>
      </c>
      <c r="Y43" s="5066" t="s">
        <v>1752</v>
      </c>
      <c r="Z43" s="5033"/>
      <c r="AA43" s="1801"/>
      <c r="AB43" s="1801"/>
      <c r="AC43" s="1801"/>
    </row>
    <row r="44" spans="1:31" s="1191" customFormat="1" ht="6.95" customHeight="1">
      <c r="C44" s="3213"/>
      <c r="D44" s="3232"/>
      <c r="E44" s="3213"/>
      <c r="F44" s="3213"/>
      <c r="G44" s="3213"/>
      <c r="H44" s="3213"/>
      <c r="I44" s="1646"/>
      <c r="J44" s="1646"/>
      <c r="K44" s="1646"/>
      <c r="L44" s="1646"/>
      <c r="M44" s="1646"/>
      <c r="N44" s="1646"/>
      <c r="O44" s="1646"/>
      <c r="P44" s="1646"/>
      <c r="Q44" s="2075"/>
      <c r="R44" s="2075"/>
      <c r="S44" s="2075"/>
      <c r="T44" s="2075"/>
      <c r="U44" s="2075"/>
      <c r="V44" s="1323"/>
      <c r="W44" s="1323"/>
      <c r="X44" s="3636"/>
      <c r="Y44" s="3636"/>
      <c r="Z44" s="3669"/>
    </row>
    <row r="45" spans="1:31" s="1191" customFormat="1" ht="22.5">
      <c r="C45" s="3670" t="s">
        <v>1423</v>
      </c>
      <c r="D45" s="3232"/>
      <c r="E45" s="3213"/>
      <c r="F45" s="3213"/>
      <c r="G45" s="3213"/>
      <c r="H45" s="3213"/>
      <c r="I45" s="1646"/>
      <c r="J45" s="1646"/>
      <c r="K45" s="1646"/>
      <c r="L45" s="1646"/>
      <c r="M45" s="1646"/>
      <c r="N45" s="1646"/>
      <c r="O45" s="1646"/>
      <c r="P45" s="1646"/>
      <c r="Q45" s="2075"/>
      <c r="R45" s="2075"/>
      <c r="S45" s="2075"/>
      <c r="T45" s="2075"/>
      <c r="U45" s="2075"/>
      <c r="V45" s="1323"/>
      <c r="W45" s="1323"/>
      <c r="X45" s="3636"/>
      <c r="Y45" s="3636"/>
      <c r="Z45" s="3671" t="s">
        <v>1753</v>
      </c>
    </row>
    <row r="46" spans="1:31" s="1191" customFormat="1" ht="22.5">
      <c r="C46" s="3672" t="s">
        <v>2950</v>
      </c>
      <c r="D46" s="2500" t="s">
        <v>2951</v>
      </c>
      <c r="E46" s="3232"/>
      <c r="F46" s="3213"/>
      <c r="G46" s="3213"/>
      <c r="H46" s="3213"/>
      <c r="I46" s="1646"/>
      <c r="J46" s="1646"/>
      <c r="K46" s="1646"/>
      <c r="L46" s="1646"/>
      <c r="M46" s="1646"/>
      <c r="N46" s="1646"/>
      <c r="O46" s="1646"/>
      <c r="P46" s="1646"/>
      <c r="Q46" s="2075"/>
      <c r="R46" s="2075"/>
      <c r="S46" s="2075"/>
      <c r="T46" s="2075"/>
      <c r="U46" s="2075"/>
      <c r="V46" s="1323"/>
      <c r="W46" s="1323"/>
      <c r="X46" s="3642"/>
      <c r="Y46" s="3642"/>
      <c r="Z46" s="3673" t="s">
        <v>2952</v>
      </c>
    </row>
    <row r="47" spans="1:31" s="1191" customFormat="1">
      <c r="C47" s="3635"/>
      <c r="D47" s="3209"/>
      <c r="E47" s="3674"/>
      <c r="F47" s="3209"/>
      <c r="G47" s="3209"/>
      <c r="H47" s="3209"/>
      <c r="I47" s="3635"/>
      <c r="J47" s="3635"/>
      <c r="K47" s="3635"/>
      <c r="L47" s="3635"/>
      <c r="M47" s="3635"/>
      <c r="N47" s="3635"/>
      <c r="O47" s="3635"/>
      <c r="P47" s="3635"/>
      <c r="Q47" s="3581"/>
      <c r="R47" s="3581"/>
      <c r="S47" s="3581"/>
      <c r="T47" s="3581"/>
      <c r="U47" s="3581"/>
      <c r="V47" s="1192"/>
      <c r="W47" s="1192"/>
      <c r="X47" s="3675"/>
      <c r="Y47" s="3676"/>
      <c r="Z47" s="3677"/>
    </row>
    <row r="48" spans="1:31" s="1191" customFormat="1">
      <c r="C48" s="3635"/>
      <c r="D48" s="3209"/>
      <c r="E48" s="3674"/>
      <c r="F48" s="3209"/>
      <c r="G48" s="3209"/>
      <c r="H48" s="3209"/>
      <c r="I48" s="3635"/>
      <c r="J48" s="3635"/>
      <c r="K48" s="3635"/>
      <c r="L48" s="3635"/>
      <c r="M48" s="3635"/>
      <c r="N48" s="3635"/>
      <c r="O48" s="3635"/>
      <c r="P48" s="3635"/>
      <c r="Q48" s="3581"/>
      <c r="R48" s="3581"/>
      <c r="S48" s="3581"/>
      <c r="T48" s="3581"/>
      <c r="U48" s="3581"/>
      <c r="V48" s="1192"/>
      <c r="W48" s="1192"/>
      <c r="X48" s="3675"/>
      <c r="Y48" s="3676"/>
      <c r="Z48" s="3677"/>
    </row>
    <row r="49" spans="3:34" s="1845" customFormat="1" ht="23.25" customHeight="1">
      <c r="C49" s="3678"/>
      <c r="D49" s="3678"/>
      <c r="E49" s="3678"/>
      <c r="F49" s="3678"/>
      <c r="G49" s="3678"/>
      <c r="H49" s="3678"/>
      <c r="I49" s="3678"/>
      <c r="J49" s="3678"/>
      <c r="K49" s="3678"/>
      <c r="L49" s="3678"/>
      <c r="M49" s="3678"/>
      <c r="N49" s="3678"/>
      <c r="O49" s="3678"/>
      <c r="P49" s="3678"/>
      <c r="Q49" s="3678"/>
      <c r="R49" s="3678"/>
      <c r="S49" s="3678"/>
      <c r="T49" s="3678"/>
      <c r="U49" s="3678"/>
      <c r="V49" s="3678"/>
      <c r="W49" s="3678"/>
      <c r="X49" s="3678"/>
      <c r="Y49" s="3678"/>
      <c r="Z49" s="3678"/>
      <c r="AA49" s="3643"/>
      <c r="AB49" s="3643"/>
      <c r="AC49" s="3643"/>
      <c r="AD49" s="3643"/>
      <c r="AE49" s="2725"/>
      <c r="AF49" s="2725"/>
      <c r="AG49" s="2725"/>
      <c r="AH49" s="2725"/>
    </row>
    <row r="50" spans="3:34" s="2498" customFormat="1" ht="35.1" customHeight="1">
      <c r="C50" s="4602" t="s">
        <v>2953</v>
      </c>
      <c r="D50" s="4602"/>
      <c r="E50" s="4602"/>
      <c r="F50" s="4602"/>
      <c r="G50" s="4602"/>
      <c r="H50" s="4602"/>
      <c r="I50" s="4602"/>
      <c r="J50" s="4602"/>
      <c r="K50" s="4602"/>
      <c r="L50" s="4602"/>
      <c r="M50" s="4602"/>
      <c r="N50" s="4602"/>
      <c r="O50" s="3679"/>
      <c r="P50" s="3679"/>
      <c r="Q50" s="4856" t="s">
        <v>2954</v>
      </c>
      <c r="R50" s="4856"/>
      <c r="S50" s="4856"/>
      <c r="T50" s="4856"/>
      <c r="U50" s="4856"/>
      <c r="V50" s="4856"/>
      <c r="W50" s="4856"/>
      <c r="X50" s="4856"/>
      <c r="Y50" s="4856"/>
      <c r="Z50" s="4856"/>
      <c r="AA50" s="4856"/>
      <c r="AB50" s="4856"/>
      <c r="AC50" s="3643"/>
      <c r="AD50" s="3643"/>
    </row>
    <row r="51" spans="3:34" s="1191" customFormat="1" ht="41.25" customHeight="1">
      <c r="C51" s="4713" t="s">
        <v>2955</v>
      </c>
      <c r="D51" s="4713"/>
      <c r="E51" s="4713"/>
      <c r="F51" s="4713"/>
      <c r="G51" s="4713"/>
      <c r="H51" s="4713"/>
      <c r="I51" s="4713"/>
      <c r="J51" s="4713"/>
      <c r="K51" s="4713"/>
      <c r="L51" s="4713"/>
      <c r="M51" s="4713"/>
      <c r="N51" s="4713"/>
      <c r="O51" s="3680"/>
      <c r="P51" s="3680"/>
      <c r="Q51" s="4713" t="s">
        <v>2956</v>
      </c>
      <c r="R51" s="4713"/>
      <c r="S51" s="4713"/>
      <c r="T51" s="4713"/>
      <c r="U51" s="4713"/>
      <c r="V51" s="4713"/>
      <c r="W51" s="4713"/>
      <c r="X51" s="4713"/>
      <c r="Y51" s="4713"/>
      <c r="Z51" s="4713"/>
      <c r="AA51" s="4713"/>
      <c r="AB51" s="4713"/>
    </row>
    <row r="52" spans="3:34" s="1191" customFormat="1">
      <c r="C52" s="3635"/>
      <c r="D52" s="1399"/>
      <c r="E52" s="3674"/>
      <c r="F52" s="1399"/>
      <c r="G52" s="1399"/>
      <c r="H52" s="1399"/>
      <c r="I52" s="1399"/>
      <c r="J52" s="1399"/>
      <c r="K52" s="1399"/>
      <c r="L52" s="1399"/>
      <c r="M52" s="1399"/>
      <c r="N52" s="3635"/>
      <c r="O52" s="3635"/>
      <c r="P52" s="3635"/>
      <c r="Q52" s="3581"/>
      <c r="R52" s="3581"/>
      <c r="S52" s="3581"/>
      <c r="T52" s="3581"/>
      <c r="U52" s="3581"/>
      <c r="V52" s="1398"/>
      <c r="W52" s="1398"/>
      <c r="X52" s="3681"/>
      <c r="Y52" s="3682"/>
      <c r="Z52" s="3683"/>
    </row>
    <row r="53" spans="3:34" s="1191" customFormat="1">
      <c r="C53" s="5069" t="s">
        <v>90</v>
      </c>
      <c r="D53" s="5069"/>
      <c r="E53" s="1318"/>
      <c r="F53" s="1318"/>
      <c r="G53" s="1318"/>
      <c r="H53" s="1318"/>
      <c r="I53" s="1318"/>
      <c r="J53" s="1318"/>
      <c r="K53" s="1318"/>
      <c r="L53" s="1318"/>
      <c r="M53" s="1318"/>
      <c r="N53" s="1838"/>
      <c r="O53" s="1838"/>
      <c r="P53" s="1838"/>
      <c r="Q53" s="1838"/>
      <c r="R53" s="1838"/>
      <c r="S53" s="1838"/>
      <c r="T53" s="1838"/>
      <c r="U53" s="1838"/>
      <c r="V53" s="1838"/>
      <c r="W53" s="1838"/>
      <c r="X53" s="1838"/>
      <c r="Y53" s="1838"/>
      <c r="AA53" s="5070" t="s">
        <v>91</v>
      </c>
      <c r="AB53" s="5070"/>
    </row>
    <row r="54" spans="3:34" s="1191" customFormat="1" ht="10.5" customHeight="1">
      <c r="C54" s="4791"/>
      <c r="D54" s="4793"/>
      <c r="E54" s="2662"/>
      <c r="F54" s="2662"/>
      <c r="G54" s="2662"/>
      <c r="H54" s="2662"/>
      <c r="I54" s="3644"/>
      <c r="J54" s="2662"/>
      <c r="K54" s="2662"/>
      <c r="L54" s="2662"/>
      <c r="M54" s="2662"/>
      <c r="N54" s="2662"/>
      <c r="O54" s="1868"/>
      <c r="P54" s="1868"/>
      <c r="Q54" s="1864"/>
      <c r="R54" s="1864"/>
      <c r="S54" s="1864"/>
      <c r="T54" s="1864"/>
      <c r="U54" s="1864"/>
      <c r="V54" s="1864"/>
      <c r="W54" s="1864"/>
      <c r="X54" s="2590"/>
      <c r="Y54" s="1864"/>
      <c r="Z54" s="2662"/>
      <c r="AA54" s="5088"/>
      <c r="AB54" s="5043"/>
    </row>
    <row r="55" spans="3:34" ht="21" customHeight="1">
      <c r="C55" s="4794"/>
      <c r="D55" s="4795"/>
      <c r="E55" s="5076" t="s">
        <v>2957</v>
      </c>
      <c r="F55" s="5067" t="s">
        <v>2958</v>
      </c>
      <c r="G55" s="4904" t="s">
        <v>2959</v>
      </c>
      <c r="H55" s="5067" t="s">
        <v>2960</v>
      </c>
      <c r="I55" s="5067" t="s">
        <v>2961</v>
      </c>
      <c r="J55" s="5067" t="s">
        <v>2962</v>
      </c>
      <c r="K55" s="5071" t="s">
        <v>2184</v>
      </c>
      <c r="L55" s="4904" t="s">
        <v>2963</v>
      </c>
      <c r="M55" s="5067" t="s">
        <v>2964</v>
      </c>
      <c r="N55" s="5067" t="s">
        <v>2965</v>
      </c>
      <c r="O55" s="5059" t="s">
        <v>2966</v>
      </c>
      <c r="P55" s="5068" t="s">
        <v>2967</v>
      </c>
      <c r="Q55" s="5067" t="s">
        <v>2968</v>
      </c>
      <c r="R55" s="5067" t="s">
        <v>2969</v>
      </c>
      <c r="S55" s="5071" t="s">
        <v>2970</v>
      </c>
      <c r="T55" s="5073" t="s">
        <v>2971</v>
      </c>
      <c r="U55" s="2271"/>
      <c r="V55" s="5067" t="s">
        <v>2972</v>
      </c>
      <c r="W55" s="5074" t="s">
        <v>2973</v>
      </c>
      <c r="X55" s="5075" t="s">
        <v>2974</v>
      </c>
      <c r="Y55" s="5067" t="s">
        <v>2975</v>
      </c>
      <c r="Z55" s="5072" t="s">
        <v>2976</v>
      </c>
      <c r="AA55" s="4760"/>
      <c r="AB55" s="4857"/>
    </row>
    <row r="56" spans="3:34" s="1801" customFormat="1" ht="3.95" customHeight="1">
      <c r="C56" s="4794"/>
      <c r="D56" s="4795"/>
      <c r="E56" s="5076"/>
      <c r="F56" s="5067"/>
      <c r="G56" s="4904"/>
      <c r="H56" s="5067"/>
      <c r="I56" s="5067"/>
      <c r="J56" s="5067"/>
      <c r="K56" s="5071"/>
      <c r="L56" s="4904"/>
      <c r="M56" s="5067"/>
      <c r="N56" s="5067"/>
      <c r="O56" s="5059"/>
      <c r="P56" s="5068"/>
      <c r="Q56" s="5067"/>
      <c r="R56" s="5067"/>
      <c r="S56" s="5071"/>
      <c r="T56" s="5073"/>
      <c r="U56" s="1870"/>
      <c r="V56" s="5067"/>
      <c r="W56" s="5074"/>
      <c r="X56" s="5072"/>
      <c r="Y56" s="5071"/>
      <c r="Z56" s="5072"/>
      <c r="AA56" s="4760"/>
      <c r="AB56" s="4857"/>
    </row>
    <row r="57" spans="3:34" ht="17.100000000000001" customHeight="1">
      <c r="C57" s="4794"/>
      <c r="D57" s="4795"/>
      <c r="E57" s="5076"/>
      <c r="F57" s="5067"/>
      <c r="G57" s="4904"/>
      <c r="H57" s="5067"/>
      <c r="I57" s="5067"/>
      <c r="J57" s="5067"/>
      <c r="K57" s="1335"/>
      <c r="L57" s="4904"/>
      <c r="M57" s="5067"/>
      <c r="N57" s="5067"/>
      <c r="O57" s="5059"/>
      <c r="P57" s="5068"/>
      <c r="Q57" s="5067"/>
      <c r="R57" s="5067"/>
      <c r="S57" s="5071"/>
      <c r="T57" s="5073"/>
      <c r="U57" s="5071" t="s">
        <v>2977</v>
      </c>
      <c r="V57" s="5067"/>
      <c r="W57" s="5074"/>
      <c r="X57" s="5072"/>
      <c r="Y57" s="5071"/>
      <c r="Z57" s="5072"/>
      <c r="AA57" s="4760"/>
      <c r="AB57" s="4857"/>
    </row>
    <row r="58" spans="3:34" ht="22.5" customHeight="1">
      <c r="C58" s="4794"/>
      <c r="D58" s="4795"/>
      <c r="E58" s="5076"/>
      <c r="F58" s="5067"/>
      <c r="G58" s="4904"/>
      <c r="H58" s="5067"/>
      <c r="I58" s="5067"/>
      <c r="J58" s="5067"/>
      <c r="K58" s="1335"/>
      <c r="L58" s="4904"/>
      <c r="M58" s="5067"/>
      <c r="N58" s="5067"/>
      <c r="O58" s="3647"/>
      <c r="P58" s="5068"/>
      <c r="Q58" s="5067"/>
      <c r="R58" s="5067"/>
      <c r="S58" s="1758"/>
      <c r="T58" s="5073"/>
      <c r="U58" s="5071"/>
      <c r="V58" s="5067"/>
      <c r="W58" s="5074"/>
      <c r="X58" s="5072"/>
      <c r="Y58" s="5071"/>
      <c r="Z58" s="5072"/>
      <c r="AA58" s="4760"/>
      <c r="AB58" s="4857"/>
    </row>
    <row r="59" spans="3:34" ht="18" customHeight="1">
      <c r="C59" s="4794"/>
      <c r="D59" s="4795"/>
      <c r="E59" s="5076"/>
      <c r="F59" s="5067"/>
      <c r="G59" s="4904"/>
      <c r="H59" s="5067"/>
      <c r="I59" s="1360"/>
      <c r="J59" s="5067"/>
      <c r="K59" s="1335"/>
      <c r="L59" s="4904"/>
      <c r="M59" s="5067"/>
      <c r="N59" s="5067"/>
      <c r="O59" s="3647"/>
      <c r="P59" s="5068"/>
      <c r="Q59" s="5067"/>
      <c r="R59" s="5067"/>
      <c r="S59" s="1758"/>
      <c r="T59" s="5073"/>
      <c r="U59" s="5071"/>
      <c r="V59" s="5067"/>
      <c r="W59" s="5074"/>
      <c r="X59" s="1758"/>
      <c r="Y59" s="5071"/>
      <c r="Z59" s="1758"/>
      <c r="AA59" s="4760"/>
      <c r="AB59" s="4857"/>
      <c r="AC59" s="1963"/>
      <c r="AD59" s="1963"/>
      <c r="AE59" s="1963"/>
      <c r="AF59" s="1963"/>
      <c r="AG59" s="1963"/>
      <c r="AH59" s="1963"/>
    </row>
    <row r="60" spans="3:34" ht="18" customHeight="1">
      <c r="C60" s="4794"/>
      <c r="D60" s="4795"/>
      <c r="E60" s="3646"/>
      <c r="F60" s="5067"/>
      <c r="G60" s="4904"/>
      <c r="H60" s="5067"/>
      <c r="I60" s="1358"/>
      <c r="J60" s="3646"/>
      <c r="K60" s="3646"/>
      <c r="L60" s="4904"/>
      <c r="M60" s="3646"/>
      <c r="N60" s="3646"/>
      <c r="O60" s="3647"/>
      <c r="P60" s="3647"/>
      <c r="Q60" s="5067"/>
      <c r="R60" s="5067"/>
      <c r="S60" s="1758"/>
      <c r="T60" s="5073"/>
      <c r="U60" s="1758"/>
      <c r="V60" s="5067"/>
      <c r="W60" s="5074"/>
      <c r="X60" s="1758"/>
      <c r="Y60" s="5071"/>
      <c r="Z60" s="1758"/>
      <c r="AA60" s="4760"/>
      <c r="AB60" s="4857"/>
      <c r="AC60" s="1963"/>
      <c r="AD60" s="1963"/>
      <c r="AE60" s="1963"/>
      <c r="AF60" s="1963"/>
      <c r="AG60" s="1963"/>
      <c r="AH60" s="1963"/>
    </row>
    <row r="61" spans="3:34" ht="18" customHeight="1">
      <c r="C61" s="4794"/>
      <c r="D61" s="4795"/>
      <c r="E61" s="1335"/>
      <c r="F61" s="5067"/>
      <c r="G61" s="4904"/>
      <c r="H61" s="5067"/>
      <c r="I61" s="1360"/>
      <c r="J61" s="1335"/>
      <c r="K61" s="1335"/>
      <c r="L61" s="4904"/>
      <c r="M61" s="1335"/>
      <c r="N61" s="1335"/>
      <c r="O61" s="3647"/>
      <c r="P61" s="3647"/>
      <c r="Q61" s="1758"/>
      <c r="R61" s="1758"/>
      <c r="S61" s="1758"/>
      <c r="T61" s="5073"/>
      <c r="U61" s="1758"/>
      <c r="V61" s="5067"/>
      <c r="W61" s="5074"/>
      <c r="X61" s="1758"/>
      <c r="Y61" s="3684"/>
      <c r="Z61" s="1758"/>
      <c r="AA61" s="4760"/>
      <c r="AB61" s="4857"/>
      <c r="AC61" s="1963"/>
      <c r="AD61" s="1963"/>
      <c r="AE61" s="1963"/>
      <c r="AF61" s="1963"/>
      <c r="AG61" s="1963"/>
      <c r="AH61" s="1963"/>
    </row>
    <row r="62" spans="3:34" ht="18" customHeight="1">
      <c r="C62" s="4794"/>
      <c r="D62" s="4795"/>
      <c r="E62" s="1335"/>
      <c r="F62" s="1335"/>
      <c r="G62" s="1335"/>
      <c r="H62" s="5067"/>
      <c r="I62" s="1360"/>
      <c r="J62" s="1335"/>
      <c r="K62" s="1335"/>
      <c r="L62" s="3685"/>
      <c r="M62" s="1335"/>
      <c r="N62" s="3686"/>
      <c r="O62" s="3647"/>
      <c r="P62" s="3687"/>
      <c r="Q62" s="3685"/>
      <c r="R62" s="3685"/>
      <c r="S62" s="1758"/>
      <c r="T62" s="5073"/>
      <c r="U62" s="1758"/>
      <c r="V62" s="1758"/>
      <c r="W62" s="5074"/>
      <c r="X62" s="3688"/>
      <c r="Y62" s="3684"/>
      <c r="Z62" s="1758"/>
      <c r="AA62" s="4760"/>
      <c r="AB62" s="4857"/>
      <c r="AC62" s="1963"/>
      <c r="AD62" s="1963"/>
      <c r="AE62" s="1963"/>
      <c r="AF62" s="1963"/>
      <c r="AG62" s="1963"/>
      <c r="AH62" s="1963"/>
    </row>
    <row r="63" spans="3:34" ht="16.5" customHeight="1">
      <c r="C63" s="4794"/>
      <c r="D63" s="4795"/>
      <c r="E63" s="1335"/>
      <c r="F63" s="3685"/>
      <c r="G63" s="5077" t="s">
        <v>2978</v>
      </c>
      <c r="H63" s="3689"/>
      <c r="I63" s="3689"/>
      <c r="J63" s="3689"/>
      <c r="K63" s="1335"/>
      <c r="L63" s="3685"/>
      <c r="M63" s="3686"/>
      <c r="N63" s="3686"/>
      <c r="O63" s="3690"/>
      <c r="P63" s="3687"/>
      <c r="Q63" s="3685"/>
      <c r="R63" s="3685"/>
      <c r="S63" s="3686"/>
      <c r="T63" s="1758"/>
      <c r="U63" s="1758"/>
      <c r="V63" s="3653"/>
      <c r="W63" s="1758"/>
      <c r="X63" s="3688"/>
      <c r="Y63" s="3684"/>
      <c r="Z63" s="1758"/>
      <c r="AA63" s="4760"/>
      <c r="AB63" s="4857"/>
    </row>
    <row r="64" spans="3:34" ht="17.100000000000001" customHeight="1">
      <c r="C64" s="4794"/>
      <c r="D64" s="4795"/>
      <c r="E64" s="5076" t="s">
        <v>2979</v>
      </c>
      <c r="F64" s="3685"/>
      <c r="G64" s="5077"/>
      <c r="H64" s="3689"/>
      <c r="I64" s="5079" t="s">
        <v>2980</v>
      </c>
      <c r="J64" s="3689"/>
      <c r="K64" s="3646"/>
      <c r="L64" s="5079" t="s">
        <v>2981</v>
      </c>
      <c r="M64" s="3686"/>
      <c r="N64" s="3686"/>
      <c r="O64" s="3690"/>
      <c r="P64" s="3687"/>
      <c r="Q64" s="3685"/>
      <c r="R64" s="3685"/>
      <c r="S64" s="3686"/>
      <c r="T64" s="3685"/>
      <c r="U64" s="1758"/>
      <c r="V64" s="3686"/>
      <c r="W64" s="1758"/>
      <c r="X64" s="1758"/>
      <c r="Y64" s="3684"/>
      <c r="Z64" s="1758"/>
      <c r="AA64" s="4760"/>
      <c r="AB64" s="4857"/>
    </row>
    <row r="65" spans="1:28" ht="17.100000000000001" customHeight="1">
      <c r="C65" s="4794"/>
      <c r="D65" s="4795"/>
      <c r="E65" s="5078"/>
      <c r="F65" s="4904" t="s">
        <v>2982</v>
      </c>
      <c r="G65" s="5077"/>
      <c r="H65" s="3689"/>
      <c r="I65" s="5079"/>
      <c r="J65" s="3689"/>
      <c r="K65" s="1335"/>
      <c r="L65" s="5079"/>
      <c r="M65" s="3686"/>
      <c r="N65" s="3686"/>
      <c r="O65" s="3690"/>
      <c r="P65" s="3687"/>
      <c r="Q65" s="3685"/>
      <c r="R65" s="3685"/>
      <c r="S65" s="3686"/>
      <c r="T65" s="4904" t="s">
        <v>2983</v>
      </c>
      <c r="U65" s="1758"/>
      <c r="V65" s="3686"/>
      <c r="W65" s="4904" t="s">
        <v>2984</v>
      </c>
      <c r="X65" s="1758"/>
      <c r="Y65" s="3684"/>
      <c r="Z65" s="1758"/>
      <c r="AA65" s="4760"/>
      <c r="AB65" s="4857"/>
    </row>
    <row r="66" spans="1:28" ht="17.100000000000001" customHeight="1">
      <c r="C66" s="4794"/>
      <c r="D66" s="4795"/>
      <c r="E66" s="5078"/>
      <c r="F66" s="4904"/>
      <c r="G66" s="5077"/>
      <c r="H66" s="3689"/>
      <c r="I66" s="5079"/>
      <c r="J66" s="5075" t="s">
        <v>2985</v>
      </c>
      <c r="K66" s="1335"/>
      <c r="L66" s="5079"/>
      <c r="M66" s="4904" t="s">
        <v>2986</v>
      </c>
      <c r="N66" s="5067" t="s">
        <v>2987</v>
      </c>
      <c r="O66" s="3690"/>
      <c r="P66" s="5080" t="s">
        <v>2988</v>
      </c>
      <c r="Q66" s="3685"/>
      <c r="R66" s="3685"/>
      <c r="S66" s="3686"/>
      <c r="T66" s="4904"/>
      <c r="U66" s="3688"/>
      <c r="V66" s="5067" t="s">
        <v>2989</v>
      </c>
      <c r="W66" s="4904"/>
      <c r="X66" s="1758"/>
      <c r="Y66" s="3684"/>
      <c r="Z66" s="1758"/>
      <c r="AA66" s="4760"/>
      <c r="AB66" s="4857"/>
    </row>
    <row r="67" spans="1:28" ht="16.5" customHeight="1">
      <c r="C67" s="4794"/>
      <c r="D67" s="4795"/>
      <c r="E67" s="5078"/>
      <c r="F67" s="4904"/>
      <c r="G67" s="5077"/>
      <c r="H67" s="3689"/>
      <c r="I67" s="5079"/>
      <c r="J67" s="5075"/>
      <c r="K67" s="1335"/>
      <c r="L67" s="5079"/>
      <c r="M67" s="4904"/>
      <c r="N67" s="5067"/>
      <c r="O67" s="3690"/>
      <c r="P67" s="5080"/>
      <c r="Q67" s="3685"/>
      <c r="R67" s="3685"/>
      <c r="S67" s="3686"/>
      <c r="T67" s="4904"/>
      <c r="U67" s="3688"/>
      <c r="V67" s="5067"/>
      <c r="W67" s="4904"/>
      <c r="X67" s="1758"/>
      <c r="Y67" s="3684"/>
      <c r="Z67" s="1758"/>
      <c r="AA67" s="4760"/>
      <c r="AB67" s="4857"/>
    </row>
    <row r="68" spans="1:28" ht="17.100000000000001" customHeight="1">
      <c r="C68" s="4794"/>
      <c r="D68" s="4795"/>
      <c r="E68" s="5078"/>
      <c r="F68" s="4904"/>
      <c r="G68" s="5077"/>
      <c r="H68" s="5075" t="s">
        <v>2990</v>
      </c>
      <c r="I68" s="5079"/>
      <c r="J68" s="5075"/>
      <c r="K68" s="1335"/>
      <c r="L68" s="5079"/>
      <c r="M68" s="4904"/>
      <c r="N68" s="5067"/>
      <c r="O68" s="3647"/>
      <c r="P68" s="5080"/>
      <c r="Q68" s="3685"/>
      <c r="R68" s="5086" t="s">
        <v>2991</v>
      </c>
      <c r="S68" s="3686"/>
      <c r="T68" s="4904"/>
      <c r="U68" s="1758"/>
      <c r="V68" s="5067"/>
      <c r="W68" s="4904"/>
      <c r="X68" s="1758"/>
      <c r="Y68" s="3684"/>
      <c r="Z68" s="1758"/>
      <c r="AA68" s="4760"/>
      <c r="AB68" s="4857"/>
    </row>
    <row r="69" spans="1:28" ht="17.100000000000001" customHeight="1">
      <c r="C69" s="4794"/>
      <c r="D69" s="4795"/>
      <c r="E69" s="5078"/>
      <c r="F69" s="4904"/>
      <c r="G69" s="5077"/>
      <c r="H69" s="5075"/>
      <c r="I69" s="5079"/>
      <c r="J69" s="5075"/>
      <c r="K69" s="1335"/>
      <c r="L69" s="5079"/>
      <c r="M69" s="4904"/>
      <c r="N69" s="5067"/>
      <c r="O69" s="3647"/>
      <c r="P69" s="5080"/>
      <c r="Q69" s="3685"/>
      <c r="R69" s="5086"/>
      <c r="S69" s="3686"/>
      <c r="T69" s="4904"/>
      <c r="U69" s="1758"/>
      <c r="V69" s="5067"/>
      <c r="W69" s="4904"/>
      <c r="X69" s="1758"/>
      <c r="Y69" s="5077" t="s">
        <v>2992</v>
      </c>
      <c r="Z69" s="4904" t="s">
        <v>2993</v>
      </c>
      <c r="AA69" s="4760"/>
      <c r="AB69" s="4857"/>
    </row>
    <row r="70" spans="1:28" ht="17.100000000000001" customHeight="1">
      <c r="C70" s="4794"/>
      <c r="D70" s="4795"/>
      <c r="E70" s="5078"/>
      <c r="F70" s="4904"/>
      <c r="G70" s="5077"/>
      <c r="H70" s="5075"/>
      <c r="I70" s="5079"/>
      <c r="J70" s="5075"/>
      <c r="K70" s="1335"/>
      <c r="L70" s="5079"/>
      <c r="M70" s="4904"/>
      <c r="N70" s="5067"/>
      <c r="O70" s="5087" t="s">
        <v>2994</v>
      </c>
      <c r="P70" s="5080"/>
      <c r="Q70" s="4904" t="s">
        <v>2995</v>
      </c>
      <c r="R70" s="5086"/>
      <c r="S70" s="5067" t="s">
        <v>2996</v>
      </c>
      <c r="T70" s="4904"/>
      <c r="U70" s="1758"/>
      <c r="V70" s="5067"/>
      <c r="W70" s="4904"/>
      <c r="X70" s="1758"/>
      <c r="Y70" s="5077"/>
      <c r="Z70" s="4904"/>
      <c r="AA70" s="4760"/>
      <c r="AB70" s="4857"/>
    </row>
    <row r="71" spans="1:28" ht="17.100000000000001" customHeight="1">
      <c r="C71" s="4794"/>
      <c r="D71" s="4795"/>
      <c r="E71" s="5078"/>
      <c r="F71" s="4904"/>
      <c r="G71" s="5077"/>
      <c r="H71" s="5075"/>
      <c r="I71" s="5079"/>
      <c r="J71" s="5075"/>
      <c r="K71" s="5072" t="s">
        <v>2205</v>
      </c>
      <c r="L71" s="5079"/>
      <c r="M71" s="4904"/>
      <c r="N71" s="5067"/>
      <c r="O71" s="5087"/>
      <c r="P71" s="5080"/>
      <c r="Q71" s="4904"/>
      <c r="R71" s="5086"/>
      <c r="S71" s="5067"/>
      <c r="T71" s="4904"/>
      <c r="U71" s="5085" t="s">
        <v>705</v>
      </c>
      <c r="V71" s="5067"/>
      <c r="W71" s="4904"/>
      <c r="X71" s="5085" t="s">
        <v>1654</v>
      </c>
      <c r="Y71" s="5077"/>
      <c r="Z71" s="4904"/>
      <c r="AA71" s="4760"/>
      <c r="AB71" s="4857"/>
    </row>
    <row r="72" spans="1:28" ht="17.100000000000001" customHeight="1">
      <c r="C72" s="4794"/>
      <c r="D72" s="4795"/>
      <c r="E72" s="1335"/>
      <c r="F72" s="4904"/>
      <c r="G72" s="5077"/>
      <c r="H72" s="5075"/>
      <c r="I72" s="5079"/>
      <c r="J72" s="5075"/>
      <c r="K72" s="5072"/>
      <c r="L72" s="5079"/>
      <c r="M72" s="4904"/>
      <c r="N72" s="5067"/>
      <c r="O72" s="5087"/>
      <c r="P72" s="5080"/>
      <c r="Q72" s="4904"/>
      <c r="R72" s="5086"/>
      <c r="S72" s="5067"/>
      <c r="T72" s="4904"/>
      <c r="U72" s="5085"/>
      <c r="V72" s="5067"/>
      <c r="W72" s="4904"/>
      <c r="X72" s="5085"/>
      <c r="Y72" s="5077"/>
      <c r="Z72" s="4904"/>
      <c r="AA72" s="4760"/>
      <c r="AB72" s="4857"/>
    </row>
    <row r="73" spans="1:28" ht="39.950000000000003" customHeight="1">
      <c r="C73" s="5053" t="s">
        <v>2997</v>
      </c>
      <c r="D73" s="5054"/>
      <c r="E73" s="3691">
        <v>4417.3</v>
      </c>
      <c r="F73" s="3657">
        <v>0</v>
      </c>
      <c r="G73" s="3657">
        <v>0</v>
      </c>
      <c r="H73" s="3657">
        <v>2.8</v>
      </c>
      <c r="I73" s="3657">
        <v>0.1</v>
      </c>
      <c r="J73" s="3657">
        <v>120.2</v>
      </c>
      <c r="K73" s="3657">
        <v>124.6</v>
      </c>
      <c r="L73" s="3657">
        <v>574</v>
      </c>
      <c r="M73" s="3657">
        <v>7.1</v>
      </c>
      <c r="N73" s="1205">
        <v>5.0999999999999996</v>
      </c>
      <c r="O73" s="1205">
        <v>1914.1</v>
      </c>
      <c r="P73" s="1205">
        <v>136.9</v>
      </c>
      <c r="Q73" s="1205">
        <v>139.1</v>
      </c>
      <c r="R73" s="1205">
        <v>36</v>
      </c>
      <c r="S73" s="1205">
        <v>400.7</v>
      </c>
      <c r="T73" s="1205">
        <v>48.7</v>
      </c>
      <c r="U73" s="1205">
        <v>98.4</v>
      </c>
      <c r="V73" s="1205">
        <v>97.8</v>
      </c>
      <c r="W73" s="1205">
        <v>236.1</v>
      </c>
      <c r="X73" s="1205">
        <v>379.6</v>
      </c>
      <c r="Y73" s="1205">
        <v>36.799999999999997</v>
      </c>
      <c r="Z73" s="1206">
        <v>59.1</v>
      </c>
      <c r="AA73" s="5083" t="s">
        <v>1750</v>
      </c>
      <c r="AB73" s="5084"/>
    </row>
    <row r="74" spans="1:28" s="1807" customFormat="1" ht="39.950000000000003" customHeight="1">
      <c r="A74" s="2771"/>
      <c r="C74" s="5061" t="s">
        <v>2998</v>
      </c>
      <c r="D74" s="5062"/>
      <c r="E74" s="3692">
        <v>4667</v>
      </c>
      <c r="F74" s="3660">
        <v>0.4</v>
      </c>
      <c r="G74" s="3660">
        <v>0</v>
      </c>
      <c r="H74" s="3660">
        <v>1.9</v>
      </c>
      <c r="I74" s="3661">
        <v>1.5</v>
      </c>
      <c r="J74" s="3661">
        <v>131</v>
      </c>
      <c r="K74" s="3661">
        <v>129</v>
      </c>
      <c r="L74" s="3661">
        <v>736</v>
      </c>
      <c r="M74" s="3661">
        <v>6.5</v>
      </c>
      <c r="N74" s="3662">
        <v>3.2</v>
      </c>
      <c r="O74" s="3662">
        <v>1987</v>
      </c>
      <c r="P74" s="3662">
        <v>132</v>
      </c>
      <c r="Q74" s="3662">
        <v>124</v>
      </c>
      <c r="R74" s="3624">
        <v>35.6</v>
      </c>
      <c r="S74" s="3624">
        <v>159</v>
      </c>
      <c r="T74" s="3624">
        <v>44.5</v>
      </c>
      <c r="U74" s="3624">
        <v>127</v>
      </c>
      <c r="V74" s="3624">
        <v>418</v>
      </c>
      <c r="W74" s="3624">
        <v>105</v>
      </c>
      <c r="X74" s="3624">
        <v>329</v>
      </c>
      <c r="Y74" s="3624">
        <v>148</v>
      </c>
      <c r="Z74" s="3625">
        <v>49.7</v>
      </c>
      <c r="AA74" s="5081" t="s">
        <v>1752</v>
      </c>
      <c r="AB74" s="5082"/>
    </row>
    <row r="75" spans="1:28" s="1807" customFormat="1" ht="39.950000000000003" customHeight="1">
      <c r="A75" s="2771"/>
      <c r="C75" s="5053" t="s">
        <v>2999</v>
      </c>
      <c r="D75" s="5054"/>
      <c r="E75" s="3691">
        <v>5181</v>
      </c>
      <c r="F75" s="3657">
        <v>0.4</v>
      </c>
      <c r="G75" s="3657">
        <v>0</v>
      </c>
      <c r="H75" s="3657">
        <v>2</v>
      </c>
      <c r="I75" s="3657">
        <v>5.2</v>
      </c>
      <c r="J75" s="3657">
        <v>113</v>
      </c>
      <c r="K75" s="3657">
        <v>104.4</v>
      </c>
      <c r="L75" s="3657">
        <v>626.79999999999995</v>
      </c>
      <c r="M75" s="3657">
        <v>4.0999999999999996</v>
      </c>
      <c r="N75" s="1205">
        <v>5.2</v>
      </c>
      <c r="O75" s="1205">
        <v>1886</v>
      </c>
      <c r="P75" s="1205">
        <v>127.8</v>
      </c>
      <c r="Q75" s="1205">
        <v>79.099999999999994</v>
      </c>
      <c r="R75" s="1205">
        <v>36</v>
      </c>
      <c r="S75" s="1205">
        <v>129.80000000000001</v>
      </c>
      <c r="T75" s="1205">
        <v>55.7</v>
      </c>
      <c r="U75" s="1205">
        <v>102.1</v>
      </c>
      <c r="V75" s="1205">
        <v>880.5</v>
      </c>
      <c r="W75" s="1205">
        <v>297.8</v>
      </c>
      <c r="X75" s="1205">
        <v>359.8</v>
      </c>
      <c r="Y75" s="1205">
        <v>324.89999999999998</v>
      </c>
      <c r="Z75" s="1206">
        <v>41.1</v>
      </c>
      <c r="AA75" s="5083" t="s">
        <v>3000</v>
      </c>
      <c r="AB75" s="5084"/>
    </row>
    <row r="76" spans="1:28" s="1807" customFormat="1" ht="39.950000000000003" customHeight="1">
      <c r="A76" s="2771"/>
      <c r="C76" s="5061" t="s">
        <v>3001</v>
      </c>
      <c r="D76" s="5062"/>
      <c r="E76" s="3693">
        <v>5197</v>
      </c>
      <c r="F76" s="3660">
        <v>0.4</v>
      </c>
      <c r="G76" s="3660">
        <v>0</v>
      </c>
      <c r="H76" s="3660">
        <v>3.8</v>
      </c>
      <c r="I76" s="3665">
        <v>1.7</v>
      </c>
      <c r="J76" s="3665">
        <v>141.5</v>
      </c>
      <c r="K76" s="3665">
        <v>100.9</v>
      </c>
      <c r="L76" s="3665">
        <v>483</v>
      </c>
      <c r="M76" s="3665">
        <v>6.3</v>
      </c>
      <c r="N76" s="3631">
        <v>4.3</v>
      </c>
      <c r="O76" s="3631">
        <v>1850</v>
      </c>
      <c r="P76" s="3631">
        <v>138.4</v>
      </c>
      <c r="Q76" s="3631">
        <v>95.3</v>
      </c>
      <c r="R76" s="3631">
        <v>76.900000000000006</v>
      </c>
      <c r="S76" s="3631">
        <v>71.599999999999994</v>
      </c>
      <c r="T76" s="3631">
        <v>66.7</v>
      </c>
      <c r="U76" s="3631">
        <v>119.8</v>
      </c>
      <c r="V76" s="3631">
        <v>824.1</v>
      </c>
      <c r="W76" s="3631">
        <v>267.3</v>
      </c>
      <c r="X76" s="3631">
        <v>811</v>
      </c>
      <c r="Y76" s="3631">
        <v>96.6</v>
      </c>
      <c r="Z76" s="3633">
        <v>37.9</v>
      </c>
      <c r="AA76" s="5081" t="s">
        <v>3002</v>
      </c>
      <c r="AB76" s="5082"/>
    </row>
    <row r="77" spans="1:28" s="1807" customFormat="1" ht="39.950000000000003" customHeight="1">
      <c r="A77" s="2771"/>
      <c r="C77" s="5053" t="s">
        <v>3003</v>
      </c>
      <c r="D77" s="5054"/>
      <c r="E77" s="3691">
        <v>4761</v>
      </c>
      <c r="F77" s="3657">
        <v>0</v>
      </c>
      <c r="G77" s="3657">
        <v>0</v>
      </c>
      <c r="H77" s="3657">
        <v>8.3000000000000007</v>
      </c>
      <c r="I77" s="3657">
        <v>2.5</v>
      </c>
      <c r="J77" s="3657">
        <v>81.900000000000006</v>
      </c>
      <c r="K77" s="3657">
        <v>81.7</v>
      </c>
      <c r="L77" s="3657">
        <v>341.8</v>
      </c>
      <c r="M77" s="3657">
        <v>5.3</v>
      </c>
      <c r="N77" s="1205">
        <v>2.2999999999999998</v>
      </c>
      <c r="O77" s="1205">
        <v>2336</v>
      </c>
      <c r="P77" s="1205">
        <v>135</v>
      </c>
      <c r="Q77" s="1205">
        <v>106</v>
      </c>
      <c r="R77" s="1205">
        <v>47.5</v>
      </c>
      <c r="S77" s="1205">
        <v>128.30000000000001</v>
      </c>
      <c r="T77" s="1205">
        <v>86.2</v>
      </c>
      <c r="U77" s="1205">
        <v>98</v>
      </c>
      <c r="V77" s="1205">
        <v>809.7</v>
      </c>
      <c r="W77" s="1205">
        <v>101.2</v>
      </c>
      <c r="X77" s="1205">
        <v>328.2</v>
      </c>
      <c r="Y77" s="1205">
        <v>16.100000000000001</v>
      </c>
      <c r="Z77" s="1206">
        <v>44.8</v>
      </c>
      <c r="AA77" s="5083" t="s">
        <v>3004</v>
      </c>
      <c r="AB77" s="5084"/>
    </row>
    <row r="78" spans="1:28" s="1807" customFormat="1" ht="39.950000000000003" customHeight="1">
      <c r="A78" s="2771"/>
      <c r="C78" s="5061" t="s">
        <v>3005</v>
      </c>
      <c r="D78" s="5062"/>
      <c r="E78" s="3693">
        <v>4766</v>
      </c>
      <c r="F78" s="3660">
        <v>0.3</v>
      </c>
      <c r="G78" s="3660">
        <v>0</v>
      </c>
      <c r="H78" s="3660">
        <v>6</v>
      </c>
      <c r="I78" s="3665">
        <v>1.4</v>
      </c>
      <c r="J78" s="3665">
        <v>135</v>
      </c>
      <c r="K78" s="3665">
        <v>93.3</v>
      </c>
      <c r="L78" s="3665">
        <v>548</v>
      </c>
      <c r="M78" s="3665">
        <v>0.6</v>
      </c>
      <c r="N78" s="3631">
        <v>3.5</v>
      </c>
      <c r="O78" s="3631">
        <v>2400</v>
      </c>
      <c r="P78" s="3631">
        <v>159</v>
      </c>
      <c r="Q78" s="3631">
        <v>145</v>
      </c>
      <c r="R78" s="3631">
        <v>38.299999999999997</v>
      </c>
      <c r="S78" s="3631">
        <v>78.900000000000006</v>
      </c>
      <c r="T78" s="3631">
        <v>89.1</v>
      </c>
      <c r="U78" s="3631">
        <v>110</v>
      </c>
      <c r="V78" s="3631">
        <v>147</v>
      </c>
      <c r="W78" s="3631">
        <v>264</v>
      </c>
      <c r="X78" s="3631">
        <v>409</v>
      </c>
      <c r="Y78" s="3631">
        <v>85.2</v>
      </c>
      <c r="Z78" s="3633">
        <v>53.9</v>
      </c>
      <c r="AA78" s="5081" t="s">
        <v>3006</v>
      </c>
      <c r="AB78" s="5082"/>
    </row>
    <row r="79" spans="1:28" s="1807" customFormat="1" ht="39.950000000000003" customHeight="1">
      <c r="A79" s="2771"/>
      <c r="C79" s="5053" t="s">
        <v>3007</v>
      </c>
      <c r="D79" s="5054"/>
      <c r="E79" s="3691">
        <v>5069</v>
      </c>
      <c r="F79" s="3657">
        <v>0.3</v>
      </c>
      <c r="G79" s="3657">
        <v>0</v>
      </c>
      <c r="H79" s="3657">
        <v>2.5</v>
      </c>
      <c r="I79" s="3657">
        <v>0.6</v>
      </c>
      <c r="J79" s="3657">
        <v>128</v>
      </c>
      <c r="K79" s="3657">
        <v>170.9</v>
      </c>
      <c r="L79" s="3657">
        <v>631.70000000000005</v>
      </c>
      <c r="M79" s="3657">
        <v>0.5</v>
      </c>
      <c r="N79" s="1205">
        <v>4.9000000000000004</v>
      </c>
      <c r="O79" s="1205">
        <v>2157</v>
      </c>
      <c r="P79" s="1205">
        <v>206.2</v>
      </c>
      <c r="Q79" s="1205">
        <v>401.6</v>
      </c>
      <c r="R79" s="1205">
        <v>42.4</v>
      </c>
      <c r="S79" s="1205">
        <v>92</v>
      </c>
      <c r="T79" s="1205">
        <v>88.2</v>
      </c>
      <c r="U79" s="1205">
        <v>116.2</v>
      </c>
      <c r="V79" s="1205">
        <v>273</v>
      </c>
      <c r="W79" s="1205">
        <v>180.7</v>
      </c>
      <c r="X79" s="1205">
        <v>445.5</v>
      </c>
      <c r="Y79" s="1205">
        <v>64.8</v>
      </c>
      <c r="Z79" s="1206">
        <v>62</v>
      </c>
      <c r="AA79" s="5083" t="s">
        <v>3008</v>
      </c>
      <c r="AB79" s="5084"/>
    </row>
    <row r="80" spans="1:28" s="1807" customFormat="1" ht="39.950000000000003" customHeight="1">
      <c r="A80" s="2771"/>
      <c r="C80" s="5061" t="s">
        <v>3009</v>
      </c>
      <c r="D80" s="5062"/>
      <c r="E80" s="3693">
        <v>5213</v>
      </c>
      <c r="F80" s="3660">
        <v>0.4</v>
      </c>
      <c r="G80" s="3660">
        <v>0</v>
      </c>
      <c r="H80" s="3660">
        <v>11.1</v>
      </c>
      <c r="I80" s="3665">
        <v>2.8</v>
      </c>
      <c r="J80" s="3665">
        <v>121</v>
      </c>
      <c r="K80" s="3665">
        <v>185</v>
      </c>
      <c r="L80" s="3665">
        <v>661</v>
      </c>
      <c r="M80" s="3665">
        <v>2</v>
      </c>
      <c r="N80" s="3631">
        <v>6.5</v>
      </c>
      <c r="O80" s="3631">
        <v>2177</v>
      </c>
      <c r="P80" s="3631">
        <v>195</v>
      </c>
      <c r="Q80" s="3631">
        <v>335</v>
      </c>
      <c r="R80" s="3631">
        <v>35.299999999999997</v>
      </c>
      <c r="S80" s="3631">
        <v>152</v>
      </c>
      <c r="T80" s="3631">
        <v>147</v>
      </c>
      <c r="U80" s="3631">
        <v>102</v>
      </c>
      <c r="V80" s="3631">
        <v>240</v>
      </c>
      <c r="W80" s="3631">
        <v>282</v>
      </c>
      <c r="X80" s="3631">
        <v>412</v>
      </c>
      <c r="Y80" s="3631">
        <v>84</v>
      </c>
      <c r="Z80" s="3633">
        <v>60.8</v>
      </c>
      <c r="AA80" s="5081" t="s">
        <v>3010</v>
      </c>
      <c r="AB80" s="5082"/>
    </row>
    <row r="81" spans="1:28" s="1807" customFormat="1" ht="39.950000000000003" customHeight="1">
      <c r="A81" s="2771"/>
      <c r="C81" s="5065" t="s">
        <v>3011</v>
      </c>
      <c r="D81" s="5066"/>
      <c r="E81" s="3694">
        <v>4947</v>
      </c>
      <c r="F81" s="3668">
        <v>0.4</v>
      </c>
      <c r="G81" s="3668">
        <v>0</v>
      </c>
      <c r="H81" s="3668">
        <v>4.4000000000000004</v>
      </c>
      <c r="I81" s="3668">
        <v>1.6</v>
      </c>
      <c r="J81" s="3668">
        <v>112</v>
      </c>
      <c r="K81" s="3668">
        <v>141</v>
      </c>
      <c r="L81" s="3668">
        <v>722</v>
      </c>
      <c r="M81" s="3668">
        <v>20.399999999999999</v>
      </c>
      <c r="N81" s="1669">
        <v>7.6</v>
      </c>
      <c r="O81" s="1669">
        <v>1905</v>
      </c>
      <c r="P81" s="1669">
        <v>154</v>
      </c>
      <c r="Q81" s="1669">
        <v>286</v>
      </c>
      <c r="R81" s="1669">
        <v>55.9</v>
      </c>
      <c r="S81" s="1669">
        <v>216</v>
      </c>
      <c r="T81" s="1669">
        <v>151</v>
      </c>
      <c r="U81" s="1669">
        <v>69.400000000000006</v>
      </c>
      <c r="V81" s="1669">
        <v>203</v>
      </c>
      <c r="W81" s="1669">
        <v>178</v>
      </c>
      <c r="X81" s="1669">
        <v>415</v>
      </c>
      <c r="Y81" s="1669">
        <v>205</v>
      </c>
      <c r="Z81" s="1670">
        <v>100</v>
      </c>
      <c r="AA81" s="5090" t="s">
        <v>3012</v>
      </c>
      <c r="AB81" s="5091"/>
    </row>
    <row r="82" spans="1:28" s="1807" customFormat="1" ht="50.1" customHeight="1">
      <c r="A82" s="2771"/>
      <c r="C82" s="3695" t="s">
        <v>1423</v>
      </c>
      <c r="D82" s="3232"/>
      <c r="E82" s="3213"/>
      <c r="F82" s="3213"/>
      <c r="G82" s="3213"/>
      <c r="H82" s="3213"/>
      <c r="I82" s="1646"/>
      <c r="J82" s="1646"/>
      <c r="K82" s="1646"/>
      <c r="L82" s="1646"/>
      <c r="M82" s="1646"/>
      <c r="N82" s="1646"/>
      <c r="O82" s="1646"/>
      <c r="P82" s="1646"/>
      <c r="Q82" s="2075"/>
      <c r="R82" s="2075"/>
      <c r="S82" s="2075"/>
      <c r="T82" s="2075"/>
      <c r="U82" s="2075"/>
      <c r="V82" s="1323"/>
      <c r="W82" s="1323"/>
      <c r="X82" s="3636"/>
      <c r="Y82" s="3636"/>
      <c r="Z82" s="5092" t="s">
        <v>1753</v>
      </c>
      <c r="AA82" s="5092"/>
      <c r="AB82" s="5092"/>
    </row>
    <row r="83" spans="1:28" s="1191" customFormat="1" ht="22.5">
      <c r="C83" s="3672" t="s">
        <v>3013</v>
      </c>
      <c r="D83" s="2500"/>
      <c r="E83" s="3232"/>
      <c r="F83" s="3213"/>
      <c r="G83" s="3213"/>
      <c r="H83" s="3213"/>
      <c r="I83" s="1646"/>
      <c r="J83" s="1646"/>
      <c r="K83" s="1646"/>
      <c r="L83" s="1646"/>
      <c r="M83" s="1646"/>
      <c r="N83" s="1646"/>
      <c r="O83" s="1646"/>
      <c r="P83" s="1646"/>
      <c r="Q83" s="2075"/>
      <c r="R83" s="2075"/>
      <c r="S83" s="2075"/>
      <c r="T83" s="2075"/>
      <c r="U83" s="2075"/>
      <c r="V83" s="1323"/>
      <c r="W83" s="1323"/>
      <c r="X83" s="3642"/>
      <c r="Y83" s="3642"/>
      <c r="Z83" s="5089" t="s">
        <v>2952</v>
      </c>
      <c r="AA83" s="5089"/>
      <c r="AB83" s="5089"/>
    </row>
    <row r="84" spans="1:28" s="1191" customFormat="1" ht="22.5">
      <c r="C84" s="3672"/>
      <c r="D84" s="1793"/>
      <c r="E84" s="1192"/>
      <c r="F84" s="1192"/>
      <c r="G84" s="1192"/>
      <c r="H84" s="1192"/>
      <c r="I84" s="1192"/>
      <c r="J84" s="1192"/>
      <c r="K84" s="1192"/>
      <c r="L84" s="1192"/>
      <c r="M84" s="1192"/>
      <c r="N84" s="1192"/>
      <c r="O84" s="1760"/>
      <c r="P84" s="1760"/>
      <c r="Q84" s="1760"/>
      <c r="R84" s="1760"/>
      <c r="S84" s="1760"/>
      <c r="T84" s="1760"/>
      <c r="U84" s="1760"/>
      <c r="V84" s="1760"/>
      <c r="W84" s="1760"/>
      <c r="X84" s="1760"/>
      <c r="Y84" s="1760"/>
    </row>
    <row r="85" spans="1:28">
      <c r="D85" s="1793"/>
      <c r="O85" s="1760"/>
      <c r="P85" s="1760"/>
      <c r="Q85" s="1760"/>
      <c r="R85" s="1760"/>
      <c r="S85" s="1760"/>
      <c r="T85" s="1760"/>
      <c r="U85" s="1760"/>
      <c r="V85" s="1760"/>
      <c r="W85" s="1760"/>
      <c r="X85" s="1760"/>
      <c r="Y85" s="1760"/>
      <c r="Z85" s="1760"/>
    </row>
    <row r="86" spans="1:28">
      <c r="D86" s="1793"/>
      <c r="O86" s="1760"/>
      <c r="P86" s="1760"/>
      <c r="Q86" s="1760"/>
      <c r="R86" s="1760"/>
      <c r="S86" s="1760"/>
      <c r="T86" s="1760"/>
      <c r="U86" s="1760"/>
      <c r="V86" s="1760"/>
      <c r="W86" s="1760"/>
      <c r="X86" s="1760"/>
      <c r="Y86" s="1760"/>
      <c r="Z86" s="1760"/>
    </row>
    <row r="87" spans="1:28">
      <c r="D87" s="1793"/>
      <c r="O87" s="1760"/>
      <c r="P87" s="1760"/>
      <c r="Q87" s="1760"/>
      <c r="R87" s="1760"/>
      <c r="S87" s="1760"/>
      <c r="T87" s="1760"/>
      <c r="U87" s="1760"/>
      <c r="V87" s="1760"/>
      <c r="W87" s="1760"/>
      <c r="X87" s="1760"/>
      <c r="Y87" s="1760"/>
      <c r="Z87" s="1760"/>
    </row>
    <row r="88" spans="1:28">
      <c r="D88" s="1793"/>
      <c r="O88" s="1760"/>
      <c r="P88" s="1760"/>
      <c r="Q88" s="1760"/>
      <c r="R88" s="1760"/>
      <c r="S88" s="1760"/>
      <c r="T88" s="1760"/>
      <c r="U88" s="1760"/>
      <c r="V88" s="1760"/>
      <c r="W88" s="1760"/>
      <c r="X88" s="1760"/>
      <c r="Y88" s="1760"/>
      <c r="Z88" s="1760"/>
    </row>
    <row r="89" spans="1:28">
      <c r="D89" s="1793"/>
      <c r="O89" s="1760"/>
      <c r="P89" s="1760"/>
      <c r="Q89" s="1760"/>
      <c r="R89" s="1760"/>
      <c r="S89" s="1760"/>
      <c r="T89" s="1760"/>
      <c r="U89" s="1760"/>
      <c r="V89" s="1760"/>
      <c r="W89" s="1760"/>
      <c r="X89" s="1760"/>
      <c r="Y89" s="1760"/>
      <c r="Z89" s="1760"/>
    </row>
    <row r="90" spans="1:28">
      <c r="D90" s="1793"/>
      <c r="O90" s="1760"/>
      <c r="P90" s="1760"/>
      <c r="Q90" s="1760"/>
      <c r="R90" s="1760"/>
      <c r="S90" s="1760"/>
      <c r="T90" s="1760"/>
      <c r="U90" s="1760"/>
      <c r="V90" s="1760"/>
      <c r="W90" s="1760"/>
      <c r="X90" s="1760"/>
      <c r="Y90" s="1760"/>
      <c r="Z90" s="1760"/>
    </row>
    <row r="91" spans="1:28">
      <c r="D91" s="1793"/>
      <c r="O91" s="1760"/>
      <c r="P91" s="1760"/>
      <c r="Q91" s="1760"/>
      <c r="R91" s="1760"/>
      <c r="S91" s="1760"/>
      <c r="T91" s="1760"/>
      <c r="U91" s="1760"/>
      <c r="V91" s="1760"/>
      <c r="W91" s="1760"/>
      <c r="X91" s="1760"/>
      <c r="Y91" s="1760"/>
      <c r="Z91" s="1760"/>
    </row>
    <row r="92" spans="1:28">
      <c r="D92" s="1793"/>
      <c r="O92" s="1760"/>
      <c r="P92" s="1760"/>
      <c r="Q92" s="1760"/>
      <c r="R92" s="1760"/>
      <c r="S92" s="1760"/>
      <c r="T92" s="1760"/>
      <c r="U92" s="1760"/>
      <c r="V92" s="1760"/>
      <c r="W92" s="1760"/>
      <c r="X92" s="1760"/>
      <c r="Y92" s="1760"/>
      <c r="Z92" s="1760"/>
    </row>
    <row r="93" spans="1:28">
      <c r="C93" s="1174"/>
      <c r="D93" s="1174"/>
      <c r="E93" s="1174"/>
      <c r="F93" s="1174"/>
      <c r="G93" s="1174"/>
      <c r="H93" s="1174"/>
      <c r="I93" s="1174"/>
      <c r="J93" s="1174"/>
      <c r="K93" s="1174"/>
      <c r="L93" s="1174"/>
      <c r="M93" s="1174"/>
      <c r="N93" s="1174"/>
      <c r="O93" s="1174"/>
      <c r="P93" s="1174"/>
      <c r="Q93" s="1174"/>
      <c r="R93" s="1174"/>
      <c r="S93" s="1174"/>
      <c r="T93" s="1174"/>
      <c r="U93" s="1174"/>
      <c r="V93" s="1174"/>
      <c r="W93" s="1174"/>
      <c r="X93" s="1174"/>
      <c r="Y93" s="1760"/>
      <c r="Z93" s="1760"/>
    </row>
    <row r="94" spans="1:28">
      <c r="C94" s="1174"/>
      <c r="D94" s="1174"/>
      <c r="E94" s="1174"/>
      <c r="F94" s="1174"/>
      <c r="G94" s="1174"/>
      <c r="H94" s="1174"/>
      <c r="I94" s="1174"/>
      <c r="J94" s="1174"/>
      <c r="K94" s="1174"/>
      <c r="L94" s="1174"/>
      <c r="M94" s="1174"/>
      <c r="N94" s="1174"/>
      <c r="O94" s="1174"/>
      <c r="P94" s="1174"/>
      <c r="Q94" s="1174"/>
      <c r="R94" s="1174"/>
      <c r="S94" s="1174"/>
      <c r="T94" s="1174"/>
      <c r="U94" s="1174"/>
      <c r="V94" s="1174"/>
      <c r="W94" s="1174"/>
      <c r="X94" s="1174"/>
      <c r="Y94" s="1760"/>
      <c r="Z94" s="1760"/>
    </row>
    <row r="95" spans="1:28">
      <c r="C95" s="1174"/>
      <c r="D95" s="1174"/>
      <c r="E95" s="1174"/>
      <c r="F95" s="1174"/>
      <c r="G95" s="1174"/>
      <c r="H95" s="1174"/>
      <c r="I95" s="1174"/>
      <c r="J95" s="1174"/>
      <c r="K95" s="1174"/>
      <c r="L95" s="1174"/>
      <c r="M95" s="1174"/>
      <c r="N95" s="1174"/>
      <c r="O95" s="1174"/>
      <c r="P95" s="1174"/>
      <c r="Q95" s="1174"/>
      <c r="R95" s="1174"/>
      <c r="S95" s="1174"/>
      <c r="T95" s="1174"/>
      <c r="U95" s="1174"/>
      <c r="V95" s="1174"/>
      <c r="W95" s="1174"/>
      <c r="X95" s="1174"/>
      <c r="Y95" s="1760"/>
      <c r="Z95" s="1760"/>
    </row>
    <row r="96" spans="1:28">
      <c r="C96" s="1174"/>
      <c r="D96" s="1174"/>
      <c r="E96" s="1174"/>
      <c r="F96" s="1174"/>
      <c r="G96" s="1174"/>
      <c r="H96" s="1174"/>
      <c r="I96" s="1174"/>
      <c r="J96" s="1174"/>
      <c r="K96" s="1174"/>
      <c r="L96" s="1174"/>
      <c r="M96" s="1174"/>
      <c r="N96" s="1174"/>
      <c r="O96" s="1174"/>
      <c r="P96" s="1174"/>
      <c r="Q96" s="1174"/>
      <c r="R96" s="1174"/>
      <c r="S96" s="1174"/>
      <c r="T96" s="1174"/>
      <c r="U96" s="1174"/>
      <c r="V96" s="1174"/>
      <c r="W96" s="1174"/>
      <c r="X96" s="1174"/>
      <c r="Y96" s="1760"/>
      <c r="Z96" s="1760"/>
    </row>
    <row r="97" spans="3:26">
      <c r="C97" s="1174"/>
      <c r="D97" s="1174"/>
      <c r="E97" s="1174"/>
      <c r="F97" s="1174"/>
      <c r="G97" s="1174"/>
      <c r="H97" s="1174"/>
      <c r="I97" s="1174"/>
      <c r="J97" s="1174"/>
      <c r="K97" s="1174"/>
      <c r="L97" s="1174"/>
      <c r="M97" s="1174"/>
      <c r="N97" s="1174"/>
      <c r="O97" s="1174"/>
      <c r="P97" s="1174"/>
      <c r="Q97" s="1174"/>
      <c r="R97" s="1174"/>
      <c r="S97" s="1174"/>
      <c r="T97" s="1174"/>
      <c r="U97" s="1174"/>
      <c r="V97" s="1174"/>
      <c r="W97" s="1174"/>
      <c r="X97" s="1174"/>
      <c r="Y97" s="1760"/>
      <c r="Z97" s="1760"/>
    </row>
    <row r="98" spans="3:26">
      <c r="C98" s="1174"/>
      <c r="D98" s="1174"/>
      <c r="E98" s="1174"/>
      <c r="F98" s="1174"/>
      <c r="G98" s="1174"/>
      <c r="H98" s="1174"/>
      <c r="I98" s="1174"/>
      <c r="J98" s="1174"/>
      <c r="K98" s="1174"/>
      <c r="L98" s="1174"/>
      <c r="M98" s="1174"/>
      <c r="N98" s="1174"/>
      <c r="O98" s="1174"/>
      <c r="P98" s="1174"/>
      <c r="Q98" s="1174"/>
      <c r="R98" s="1174"/>
      <c r="S98" s="1174"/>
      <c r="T98" s="1174"/>
      <c r="U98" s="1174"/>
      <c r="V98" s="1174"/>
      <c r="W98" s="1174"/>
      <c r="X98" s="1174"/>
      <c r="Y98" s="1760"/>
      <c r="Z98" s="1760"/>
    </row>
    <row r="99" spans="3:26">
      <c r="C99" s="1174"/>
      <c r="D99" s="1174"/>
      <c r="E99" s="1174"/>
      <c r="F99" s="1174"/>
      <c r="G99" s="1174"/>
      <c r="H99" s="1174"/>
      <c r="I99" s="1174"/>
      <c r="J99" s="1174"/>
      <c r="K99" s="1174"/>
      <c r="L99" s="1174"/>
      <c r="M99" s="1174"/>
      <c r="N99" s="1174"/>
      <c r="O99" s="1174"/>
      <c r="P99" s="1174"/>
      <c r="Q99" s="1174"/>
      <c r="R99" s="1174"/>
      <c r="S99" s="1174"/>
      <c r="T99" s="1174"/>
      <c r="U99" s="1174"/>
      <c r="V99" s="1174"/>
      <c r="W99" s="1174"/>
      <c r="X99" s="1174"/>
      <c r="Y99" s="1760"/>
      <c r="Z99" s="1760"/>
    </row>
    <row r="100" spans="3:26">
      <c r="C100" s="1174"/>
      <c r="D100" s="1174"/>
      <c r="E100" s="1174"/>
      <c r="F100" s="1174"/>
      <c r="G100" s="1174"/>
      <c r="H100" s="1174"/>
      <c r="I100" s="1174"/>
      <c r="J100" s="1174"/>
      <c r="K100" s="1174"/>
      <c r="L100" s="1174"/>
      <c r="M100" s="1174"/>
      <c r="N100" s="1174"/>
      <c r="O100" s="1174"/>
      <c r="P100" s="1174"/>
      <c r="Q100" s="1174"/>
      <c r="R100" s="1174"/>
      <c r="S100" s="1174"/>
      <c r="T100" s="1174"/>
      <c r="U100" s="1174"/>
      <c r="V100" s="1174"/>
      <c r="W100" s="1174"/>
      <c r="X100" s="1174"/>
      <c r="Y100" s="1760"/>
      <c r="Z100" s="1760"/>
    </row>
    <row r="101" spans="3:26">
      <c r="C101" s="1174"/>
      <c r="D101" s="1174"/>
      <c r="E101" s="1174"/>
      <c r="F101" s="1174"/>
      <c r="G101" s="1174"/>
      <c r="H101" s="1174"/>
      <c r="I101" s="1174"/>
      <c r="J101" s="1174"/>
      <c r="K101" s="1174"/>
      <c r="L101" s="1174"/>
      <c r="M101" s="1174"/>
      <c r="N101" s="1174"/>
      <c r="O101" s="1174"/>
      <c r="P101" s="1174"/>
      <c r="Q101" s="1174"/>
      <c r="R101" s="1174"/>
      <c r="S101" s="1174"/>
      <c r="T101" s="1174"/>
      <c r="U101" s="1174"/>
      <c r="V101" s="1174"/>
      <c r="W101" s="1174"/>
      <c r="X101" s="1174"/>
      <c r="Y101" s="1760"/>
      <c r="Z101" s="1760"/>
    </row>
    <row r="102" spans="3:26">
      <c r="N102" s="1760"/>
      <c r="O102" s="1760"/>
      <c r="P102" s="1760"/>
      <c r="Q102" s="1760"/>
      <c r="R102" s="1760"/>
      <c r="S102" s="1760"/>
      <c r="T102" s="1760"/>
      <c r="U102" s="1760"/>
      <c r="V102" s="1760"/>
      <c r="W102" s="1760"/>
      <c r="X102" s="1760"/>
      <c r="Y102" s="1760"/>
      <c r="Z102" s="1760"/>
    </row>
    <row r="103" spans="3:26">
      <c r="N103" s="1760"/>
      <c r="O103" s="1760"/>
      <c r="P103" s="1760"/>
      <c r="Q103" s="1760"/>
      <c r="R103" s="1760"/>
      <c r="S103" s="1760"/>
      <c r="T103" s="1760"/>
      <c r="U103" s="1760"/>
      <c r="V103" s="1760"/>
      <c r="W103" s="1760"/>
      <c r="X103" s="1760"/>
      <c r="Y103" s="1760"/>
      <c r="Z103" s="1760"/>
    </row>
    <row r="104" spans="3:26">
      <c r="N104" s="1760"/>
      <c r="O104" s="1760"/>
      <c r="P104" s="1760"/>
      <c r="Q104" s="1760"/>
      <c r="R104" s="1760"/>
      <c r="S104" s="1760"/>
      <c r="T104" s="1760"/>
      <c r="U104" s="1760"/>
      <c r="V104" s="1760"/>
      <c r="W104" s="1760"/>
      <c r="X104" s="1760"/>
      <c r="Y104" s="1760"/>
      <c r="Z104" s="1760"/>
    </row>
    <row r="105" spans="3:26">
      <c r="N105" s="1760"/>
      <c r="O105" s="1760"/>
      <c r="P105" s="1760"/>
      <c r="Q105" s="1760"/>
      <c r="R105" s="1760"/>
      <c r="S105" s="1760"/>
      <c r="T105" s="1760"/>
      <c r="U105" s="1760"/>
      <c r="V105" s="1760"/>
      <c r="W105" s="1760"/>
      <c r="X105" s="1760"/>
      <c r="Y105" s="1760"/>
      <c r="Z105" s="1760"/>
    </row>
    <row r="106" spans="3:26">
      <c r="N106" s="1760"/>
      <c r="O106" s="1760"/>
      <c r="P106" s="1760"/>
      <c r="Q106" s="1760"/>
      <c r="R106" s="1760"/>
      <c r="S106" s="1760"/>
      <c r="T106" s="1760"/>
      <c r="U106" s="1760"/>
      <c r="V106" s="1760"/>
      <c r="W106" s="1760"/>
      <c r="X106" s="1760"/>
      <c r="Y106" s="1760"/>
      <c r="Z106" s="1760"/>
    </row>
    <row r="107" spans="3:26">
      <c r="N107" s="1760"/>
      <c r="O107" s="1760"/>
      <c r="P107" s="1760"/>
      <c r="Q107" s="1760"/>
      <c r="R107" s="1760"/>
      <c r="S107" s="1760"/>
      <c r="T107" s="1760"/>
      <c r="U107" s="1760"/>
      <c r="V107" s="1760"/>
      <c r="W107" s="1760"/>
      <c r="X107" s="1760"/>
      <c r="Y107" s="1760"/>
      <c r="Z107" s="1760"/>
    </row>
    <row r="108" spans="3:26">
      <c r="N108" s="1760"/>
      <c r="O108" s="1760"/>
      <c r="P108" s="1760"/>
      <c r="Q108" s="1760"/>
      <c r="R108" s="1760"/>
      <c r="S108" s="1760"/>
      <c r="T108" s="1760"/>
      <c r="U108" s="1760"/>
      <c r="V108" s="1760"/>
      <c r="W108" s="1760"/>
      <c r="X108" s="1760"/>
      <c r="Y108" s="1760"/>
      <c r="Z108" s="1760"/>
    </row>
    <row r="109" spans="3:26">
      <c r="N109" s="1760"/>
      <c r="O109" s="1760"/>
      <c r="P109" s="1760"/>
      <c r="Q109" s="1760"/>
      <c r="R109" s="1760"/>
      <c r="S109" s="1760"/>
      <c r="T109" s="1760"/>
      <c r="U109" s="1760"/>
      <c r="V109" s="1760"/>
      <c r="W109" s="1760"/>
      <c r="X109" s="1760"/>
      <c r="Y109" s="1760"/>
      <c r="Z109" s="1760"/>
    </row>
    <row r="110" spans="3:26">
      <c r="N110" s="1760"/>
      <c r="O110" s="1760"/>
      <c r="P110" s="1760"/>
      <c r="Q110" s="1760"/>
      <c r="R110" s="1760"/>
      <c r="S110" s="1760"/>
      <c r="T110" s="1760"/>
      <c r="U110" s="1760"/>
      <c r="V110" s="1760"/>
      <c r="W110" s="1760"/>
      <c r="X110" s="1760"/>
      <c r="Y110" s="1760"/>
      <c r="Z110" s="1760"/>
    </row>
    <row r="111" spans="3:26">
      <c r="N111" s="1760"/>
      <c r="O111" s="1760"/>
      <c r="P111" s="1760"/>
      <c r="Q111" s="1760"/>
      <c r="R111" s="1760"/>
      <c r="S111" s="1760"/>
      <c r="T111" s="1760"/>
      <c r="U111" s="1760"/>
      <c r="V111" s="1760"/>
      <c r="W111" s="1760"/>
      <c r="X111" s="1760"/>
      <c r="Y111" s="1760"/>
      <c r="Z111" s="1760"/>
    </row>
    <row r="112" spans="3:26">
      <c r="N112" s="1760"/>
      <c r="O112" s="1760"/>
      <c r="P112" s="1760"/>
      <c r="Q112" s="1760"/>
      <c r="R112" s="1760"/>
      <c r="S112" s="1760"/>
      <c r="T112" s="1760"/>
      <c r="U112" s="1760"/>
      <c r="V112" s="1760"/>
      <c r="W112" s="1760"/>
      <c r="X112" s="1760"/>
      <c r="Y112" s="1760"/>
      <c r="Z112" s="1760"/>
    </row>
    <row r="113" spans="14:26">
      <c r="N113" s="1760"/>
      <c r="O113" s="1760"/>
      <c r="P113" s="1760"/>
      <c r="Q113" s="1760"/>
      <c r="R113" s="1760"/>
      <c r="S113" s="1760"/>
      <c r="T113" s="1760"/>
      <c r="U113" s="1760"/>
      <c r="V113" s="1760"/>
      <c r="W113" s="1760"/>
      <c r="X113" s="1760"/>
      <c r="Y113" s="1760"/>
      <c r="Z113" s="1760"/>
    </row>
    <row r="114" spans="14:26">
      <c r="N114" s="1760"/>
      <c r="O114" s="1760"/>
      <c r="P114" s="1760"/>
      <c r="Q114" s="1760"/>
      <c r="R114" s="1760"/>
      <c r="S114" s="1760"/>
      <c r="T114" s="1760"/>
      <c r="U114" s="1760"/>
      <c r="V114" s="1760"/>
      <c r="W114" s="1760"/>
      <c r="X114" s="1760"/>
      <c r="Y114" s="1760"/>
      <c r="Z114" s="1760"/>
    </row>
    <row r="115" spans="14:26">
      <c r="N115" s="1760"/>
      <c r="O115" s="1760"/>
      <c r="P115" s="1760"/>
      <c r="Q115" s="1760"/>
      <c r="R115" s="1760"/>
      <c r="S115" s="1760"/>
      <c r="T115" s="1760"/>
      <c r="U115" s="1760"/>
      <c r="V115" s="1760"/>
      <c r="W115" s="1760"/>
      <c r="X115" s="1760"/>
      <c r="Y115" s="1760"/>
      <c r="Z115" s="1760"/>
    </row>
    <row r="116" spans="14:26">
      <c r="N116" s="1760"/>
      <c r="O116" s="1760"/>
      <c r="P116" s="1760"/>
      <c r="Q116" s="1760"/>
      <c r="R116" s="1760"/>
      <c r="S116" s="1760"/>
      <c r="T116" s="1760"/>
      <c r="U116" s="1760"/>
      <c r="V116" s="1760"/>
      <c r="W116" s="1760"/>
      <c r="X116" s="1760"/>
      <c r="Y116" s="1760"/>
      <c r="Z116" s="1760"/>
    </row>
    <row r="117" spans="14:26">
      <c r="N117" s="1760"/>
      <c r="O117" s="1760"/>
      <c r="P117" s="1760"/>
      <c r="Q117" s="1760"/>
      <c r="R117" s="1760"/>
      <c r="S117" s="1760"/>
      <c r="T117" s="1760"/>
      <c r="U117" s="1760"/>
      <c r="V117" s="1760"/>
      <c r="W117" s="1760"/>
      <c r="X117" s="1760"/>
      <c r="Y117" s="1760"/>
      <c r="Z117" s="1760"/>
    </row>
    <row r="118" spans="14:26">
      <c r="N118" s="1760"/>
      <c r="O118" s="1760"/>
      <c r="P118" s="1760"/>
      <c r="Q118" s="1760"/>
      <c r="R118" s="1760"/>
      <c r="S118" s="1760"/>
      <c r="T118" s="1760"/>
      <c r="U118" s="1760"/>
      <c r="V118" s="1760"/>
      <c r="W118" s="1760"/>
      <c r="X118" s="1760"/>
      <c r="Y118" s="1760"/>
      <c r="Z118" s="1760"/>
    </row>
    <row r="119" spans="14:26">
      <c r="N119" s="1760"/>
      <c r="O119" s="1760"/>
      <c r="P119" s="1760"/>
      <c r="Q119" s="1760"/>
      <c r="R119" s="1760"/>
      <c r="S119" s="1760"/>
      <c r="T119" s="1760"/>
      <c r="U119" s="1760"/>
      <c r="V119" s="1760"/>
      <c r="W119" s="1760"/>
      <c r="X119" s="1760"/>
      <c r="Y119" s="1760"/>
      <c r="Z119" s="1760"/>
    </row>
    <row r="120" spans="14:26">
      <c r="N120" s="1760"/>
      <c r="O120" s="1760"/>
      <c r="P120" s="1760"/>
      <c r="Q120" s="1760"/>
      <c r="R120" s="1760"/>
      <c r="S120" s="1760"/>
      <c r="T120" s="1760"/>
      <c r="U120" s="1760"/>
      <c r="V120" s="1760"/>
      <c r="W120" s="1760"/>
      <c r="X120" s="1760"/>
      <c r="Y120" s="1760"/>
      <c r="Z120" s="1760"/>
    </row>
    <row r="121" spans="14:26">
      <c r="N121" s="1760"/>
      <c r="O121" s="1760"/>
      <c r="P121" s="1760"/>
      <c r="Q121" s="1760"/>
      <c r="R121" s="1760"/>
      <c r="S121" s="1760"/>
      <c r="T121" s="1760"/>
      <c r="U121" s="1760"/>
      <c r="V121" s="1760"/>
      <c r="W121" s="1760"/>
      <c r="X121" s="1760"/>
      <c r="Y121" s="1760"/>
      <c r="Z121" s="1760"/>
    </row>
    <row r="122" spans="14:26">
      <c r="N122" s="1760"/>
      <c r="O122" s="1760"/>
      <c r="P122" s="1760"/>
      <c r="Q122" s="1760"/>
      <c r="R122" s="1760"/>
      <c r="S122" s="1760"/>
      <c r="T122" s="1760"/>
      <c r="U122" s="1760"/>
      <c r="V122" s="1760"/>
      <c r="W122" s="1760"/>
      <c r="X122" s="1760"/>
      <c r="Y122" s="1760"/>
      <c r="Z122" s="1760"/>
    </row>
    <row r="123" spans="14:26">
      <c r="N123" s="1760"/>
      <c r="O123" s="1760"/>
      <c r="P123" s="1760"/>
      <c r="Q123" s="1760"/>
      <c r="R123" s="1760"/>
      <c r="S123" s="1760"/>
      <c r="T123" s="1760"/>
      <c r="U123" s="1760"/>
      <c r="V123" s="1760"/>
      <c r="W123" s="1760"/>
      <c r="X123" s="1760"/>
      <c r="Y123" s="1760"/>
      <c r="Z123" s="1760"/>
    </row>
    <row r="124" spans="14:26">
      <c r="N124" s="1760"/>
      <c r="O124" s="1760"/>
      <c r="P124" s="1760"/>
      <c r="Q124" s="1760"/>
      <c r="R124" s="1760"/>
      <c r="S124" s="1760"/>
      <c r="T124" s="1760"/>
      <c r="U124" s="1760"/>
      <c r="V124" s="1760"/>
      <c r="W124" s="1760"/>
      <c r="X124" s="1760"/>
      <c r="Y124" s="1760"/>
      <c r="Z124" s="1760"/>
    </row>
    <row r="125" spans="14:26">
      <c r="N125" s="1760"/>
      <c r="O125" s="1760"/>
      <c r="P125" s="1760"/>
      <c r="Q125" s="1760"/>
      <c r="R125" s="1760"/>
      <c r="S125" s="1760"/>
      <c r="T125" s="1760"/>
      <c r="U125" s="1760"/>
      <c r="V125" s="1760"/>
      <c r="W125" s="1760"/>
      <c r="X125" s="1760"/>
      <c r="Y125" s="1760"/>
      <c r="Z125" s="1760"/>
    </row>
    <row r="126" spans="14:26">
      <c r="N126" s="1760"/>
      <c r="O126" s="1760"/>
      <c r="P126" s="1760"/>
      <c r="Q126" s="1760"/>
      <c r="R126" s="1760"/>
      <c r="S126" s="1760"/>
      <c r="T126" s="1760"/>
      <c r="U126" s="1760"/>
      <c r="V126" s="1760"/>
      <c r="W126" s="1760"/>
      <c r="X126" s="1760"/>
      <c r="Y126" s="1760"/>
      <c r="Z126" s="1760"/>
    </row>
    <row r="127" spans="14:26">
      <c r="N127" s="1760"/>
      <c r="O127" s="1760"/>
      <c r="P127" s="1760"/>
      <c r="Q127" s="1760"/>
      <c r="R127" s="1760"/>
      <c r="S127" s="1760"/>
      <c r="T127" s="1760"/>
      <c r="U127" s="1760"/>
      <c r="V127" s="1760"/>
      <c r="W127" s="1760"/>
      <c r="X127" s="1760"/>
      <c r="Y127" s="1760"/>
      <c r="Z127" s="1760"/>
    </row>
    <row r="128" spans="14:26">
      <c r="N128" s="1760"/>
      <c r="O128" s="1760"/>
      <c r="P128" s="1760"/>
      <c r="Q128" s="1760"/>
      <c r="R128" s="1760"/>
      <c r="S128" s="1760"/>
      <c r="T128" s="1760"/>
      <c r="U128" s="1760"/>
      <c r="V128" s="1760"/>
      <c r="W128" s="1760"/>
      <c r="X128" s="1760"/>
      <c r="Y128" s="1760"/>
      <c r="Z128" s="1760"/>
    </row>
    <row r="129" spans="14:26">
      <c r="N129" s="1760"/>
      <c r="O129" s="1760"/>
      <c r="P129" s="1760"/>
      <c r="Q129" s="1760"/>
      <c r="R129" s="1760"/>
      <c r="S129" s="1760"/>
      <c r="T129" s="1760"/>
      <c r="U129" s="1760"/>
      <c r="V129" s="1760"/>
      <c r="W129" s="1760"/>
      <c r="X129" s="1760"/>
      <c r="Y129" s="1760"/>
      <c r="Z129" s="1760"/>
    </row>
    <row r="130" spans="14:26">
      <c r="N130" s="1760"/>
      <c r="O130" s="1760"/>
      <c r="P130" s="1760"/>
      <c r="Q130" s="1760"/>
      <c r="R130" s="1760"/>
      <c r="S130" s="1760"/>
      <c r="T130" s="1760"/>
      <c r="U130" s="1760"/>
      <c r="V130" s="1760"/>
      <c r="W130" s="1760"/>
      <c r="X130" s="1760"/>
      <c r="Y130" s="1760"/>
      <c r="Z130" s="1760"/>
    </row>
    <row r="131" spans="14:26">
      <c r="N131" s="1760"/>
      <c r="O131" s="1760"/>
      <c r="P131" s="1760"/>
      <c r="Q131" s="1760"/>
      <c r="R131" s="1760"/>
      <c r="S131" s="1760"/>
      <c r="T131" s="1760"/>
      <c r="U131" s="1760"/>
      <c r="V131" s="1760"/>
      <c r="W131" s="1760"/>
      <c r="X131" s="1760"/>
      <c r="Y131" s="1760"/>
      <c r="Z131" s="1760"/>
    </row>
    <row r="132" spans="14:26">
      <c r="N132" s="1760"/>
      <c r="O132" s="1760"/>
      <c r="P132" s="1760"/>
      <c r="Q132" s="1760"/>
      <c r="R132" s="1760"/>
      <c r="S132" s="1760"/>
      <c r="T132" s="1760"/>
      <c r="U132" s="1760"/>
      <c r="V132" s="1760"/>
      <c r="W132" s="1760"/>
      <c r="X132" s="1760"/>
      <c r="Y132" s="1760"/>
      <c r="Z132" s="1760"/>
    </row>
    <row r="133" spans="14:26">
      <c r="N133" s="1760"/>
      <c r="O133" s="1760"/>
      <c r="P133" s="1760"/>
      <c r="Q133" s="1760"/>
      <c r="R133" s="1760"/>
      <c r="S133" s="1760"/>
      <c r="T133" s="1760"/>
      <c r="U133" s="1760"/>
      <c r="V133" s="1760"/>
      <c r="W133" s="1760"/>
      <c r="X133" s="1760"/>
      <c r="Y133" s="1760"/>
      <c r="Z133" s="1760"/>
    </row>
    <row r="134" spans="14:26">
      <c r="N134" s="1760"/>
      <c r="O134" s="1760"/>
      <c r="P134" s="1760"/>
      <c r="Q134" s="1760"/>
      <c r="R134" s="1760"/>
      <c r="S134" s="1760"/>
      <c r="T134" s="1760"/>
      <c r="U134" s="1760"/>
      <c r="V134" s="1760"/>
      <c r="W134" s="1760"/>
      <c r="X134" s="1760"/>
      <c r="Y134" s="1760"/>
      <c r="Z134" s="1760"/>
    </row>
    <row r="135" spans="14:26">
      <c r="N135" s="1760"/>
      <c r="O135" s="1760"/>
      <c r="P135" s="1760"/>
      <c r="Q135" s="1760"/>
      <c r="R135" s="1760"/>
      <c r="S135" s="1760"/>
      <c r="T135" s="1760"/>
      <c r="U135" s="1760"/>
      <c r="V135" s="1760"/>
      <c r="W135" s="1760"/>
      <c r="X135" s="1760"/>
      <c r="Y135" s="1760"/>
      <c r="Z135" s="1760"/>
    </row>
    <row r="136" spans="14:26">
      <c r="N136" s="1760"/>
      <c r="O136" s="1760"/>
      <c r="P136" s="1760"/>
      <c r="Q136" s="1760"/>
      <c r="R136" s="1760"/>
      <c r="S136" s="1760"/>
      <c r="T136" s="1760"/>
      <c r="U136" s="1760"/>
      <c r="V136" s="1760"/>
      <c r="W136" s="1760"/>
      <c r="X136" s="1760"/>
      <c r="Y136" s="1760"/>
      <c r="Z136" s="1760"/>
    </row>
    <row r="137" spans="14:26">
      <c r="N137" s="1760"/>
      <c r="O137" s="1760"/>
      <c r="P137" s="1760"/>
      <c r="Q137" s="1760"/>
      <c r="R137" s="1760"/>
      <c r="S137" s="1760"/>
      <c r="T137" s="1760"/>
      <c r="U137" s="1760"/>
      <c r="V137" s="1760"/>
      <c r="W137" s="1760"/>
      <c r="X137" s="1760"/>
      <c r="Y137" s="1760"/>
      <c r="Z137" s="1760"/>
    </row>
    <row r="138" spans="14:26">
      <c r="N138" s="1760"/>
      <c r="O138" s="1760"/>
      <c r="P138" s="1760"/>
      <c r="Q138" s="1760"/>
      <c r="R138" s="1760"/>
      <c r="S138" s="1760"/>
      <c r="T138" s="1760"/>
      <c r="U138" s="1760"/>
      <c r="V138" s="1760"/>
      <c r="W138" s="1760"/>
      <c r="X138" s="1760"/>
      <c r="Y138" s="1760"/>
      <c r="Z138" s="1760"/>
    </row>
    <row r="139" spans="14:26">
      <c r="N139" s="1760"/>
      <c r="O139" s="1760"/>
      <c r="P139" s="1760"/>
      <c r="Q139" s="1760"/>
      <c r="R139" s="1760"/>
      <c r="S139" s="1760"/>
      <c r="T139" s="1760"/>
      <c r="U139" s="1760"/>
      <c r="V139" s="1760"/>
      <c r="W139" s="1760"/>
      <c r="X139" s="1760"/>
      <c r="Y139" s="1760"/>
      <c r="Z139" s="1760"/>
    </row>
    <row r="140" spans="14:26">
      <c r="N140" s="1760"/>
      <c r="O140" s="1760"/>
      <c r="P140" s="1760"/>
      <c r="Q140" s="1760"/>
      <c r="R140" s="1760"/>
      <c r="S140" s="1760"/>
      <c r="T140" s="1760"/>
      <c r="U140" s="1760"/>
      <c r="V140" s="1760"/>
      <c r="W140" s="1760"/>
      <c r="X140" s="1760"/>
      <c r="Y140" s="1760"/>
      <c r="Z140" s="1760"/>
    </row>
    <row r="141" spans="14:26">
      <c r="N141" s="1760"/>
      <c r="O141" s="1760"/>
      <c r="P141" s="1760"/>
      <c r="Q141" s="1760"/>
      <c r="R141" s="1760"/>
      <c r="S141" s="1760"/>
      <c r="T141" s="1760"/>
      <c r="U141" s="1760"/>
      <c r="V141" s="1760"/>
      <c r="W141" s="1760"/>
      <c r="X141" s="1760"/>
      <c r="Y141" s="1760"/>
      <c r="Z141" s="1760"/>
    </row>
    <row r="142" spans="14:26">
      <c r="N142" s="1760"/>
      <c r="O142" s="1760"/>
      <c r="P142" s="1760"/>
      <c r="Q142" s="1760"/>
      <c r="R142" s="1760"/>
      <c r="S142" s="1760"/>
      <c r="T142" s="1760"/>
      <c r="U142" s="1760"/>
      <c r="V142" s="1760"/>
      <c r="W142" s="1760"/>
      <c r="X142" s="1760"/>
      <c r="Y142" s="1760"/>
      <c r="Z142" s="1760"/>
    </row>
    <row r="143" spans="14:26">
      <c r="N143" s="1760"/>
      <c r="O143" s="1760"/>
      <c r="P143" s="1760"/>
      <c r="Q143" s="1760"/>
      <c r="R143" s="1760"/>
      <c r="S143" s="1760"/>
      <c r="T143" s="1760"/>
      <c r="U143" s="1760"/>
      <c r="V143" s="1760"/>
      <c r="W143" s="1760"/>
      <c r="X143" s="1760"/>
      <c r="Y143" s="1760"/>
      <c r="Z143" s="1760"/>
    </row>
  </sheetData>
  <dataConsolidate/>
  <mergeCells count="131">
    <mergeCell ref="Z83:AB83"/>
    <mergeCell ref="C80:D80"/>
    <mergeCell ref="AA80:AB80"/>
    <mergeCell ref="C81:D81"/>
    <mergeCell ref="AA81:AB81"/>
    <mergeCell ref="Z82:AB82"/>
    <mergeCell ref="C77:D77"/>
    <mergeCell ref="AA77:AB77"/>
    <mergeCell ref="C78:D78"/>
    <mergeCell ref="AA78:AB78"/>
    <mergeCell ref="C79:D79"/>
    <mergeCell ref="AA79:AB79"/>
    <mergeCell ref="C74:D74"/>
    <mergeCell ref="AA74:AB74"/>
    <mergeCell ref="C75:D75"/>
    <mergeCell ref="AA75:AB75"/>
    <mergeCell ref="C76:D76"/>
    <mergeCell ref="AA76:AB76"/>
    <mergeCell ref="K71:K72"/>
    <mergeCell ref="U71:U72"/>
    <mergeCell ref="X71:X72"/>
    <mergeCell ref="C73:D73"/>
    <mergeCell ref="AA73:AB73"/>
    <mergeCell ref="R68:R72"/>
    <mergeCell ref="Y69:Y72"/>
    <mergeCell ref="Z69:Z72"/>
    <mergeCell ref="O70:O72"/>
    <mergeCell ref="Q70:Q72"/>
    <mergeCell ref="S70:S72"/>
    <mergeCell ref="C54:D72"/>
    <mergeCell ref="AA54:AB72"/>
    <mergeCell ref="H55:H58"/>
    <mergeCell ref="I55:I58"/>
    <mergeCell ref="J55:J59"/>
    <mergeCell ref="K55:K56"/>
    <mergeCell ref="L55:L61"/>
    <mergeCell ref="G63:G72"/>
    <mergeCell ref="E64:E71"/>
    <mergeCell ref="I64:I72"/>
    <mergeCell ref="L64:L72"/>
    <mergeCell ref="F65:F72"/>
    <mergeCell ref="T65:T72"/>
    <mergeCell ref="W65:W72"/>
    <mergeCell ref="J66:J72"/>
    <mergeCell ref="M66:M72"/>
    <mergeCell ref="N66:N72"/>
    <mergeCell ref="P66:P72"/>
    <mergeCell ref="V66:V72"/>
    <mergeCell ref="H68:H72"/>
    <mergeCell ref="M55:M59"/>
    <mergeCell ref="N55:N59"/>
    <mergeCell ref="O55:O57"/>
    <mergeCell ref="P55:P59"/>
    <mergeCell ref="Q55:Q60"/>
    <mergeCell ref="R55:R60"/>
    <mergeCell ref="C50:N50"/>
    <mergeCell ref="Q50:AB50"/>
    <mergeCell ref="C51:N51"/>
    <mergeCell ref="Q51:AB51"/>
    <mergeCell ref="C53:D53"/>
    <mergeCell ref="AA53:AB53"/>
    <mergeCell ref="Y55:Y60"/>
    <mergeCell ref="Z55:Z58"/>
    <mergeCell ref="U57:U59"/>
    <mergeCell ref="S55:S57"/>
    <mergeCell ref="T55:T62"/>
    <mergeCell ref="V55:V61"/>
    <mergeCell ref="W55:W62"/>
    <mergeCell ref="X55:X58"/>
    <mergeCell ref="E55:E59"/>
    <mergeCell ref="F55:F61"/>
    <mergeCell ref="G55:G61"/>
    <mergeCell ref="H59:H62"/>
    <mergeCell ref="C41:D41"/>
    <mergeCell ref="Y41:Z41"/>
    <mergeCell ref="C42:D42"/>
    <mergeCell ref="Y42:Z42"/>
    <mergeCell ref="C43:D43"/>
    <mergeCell ref="Y43:Z43"/>
    <mergeCell ref="C38:D38"/>
    <mergeCell ref="Y38:Z38"/>
    <mergeCell ref="C39:D39"/>
    <mergeCell ref="Y39:Z39"/>
    <mergeCell ref="C40:D40"/>
    <mergeCell ref="Y40:Z40"/>
    <mergeCell ref="C35:D35"/>
    <mergeCell ref="Y35:Z35"/>
    <mergeCell ref="C36:D36"/>
    <mergeCell ref="Y36:Z36"/>
    <mergeCell ref="C37:D37"/>
    <mergeCell ref="Y37:Z37"/>
    <mergeCell ref="C32:D32"/>
    <mergeCell ref="Y32:Z32"/>
    <mergeCell ref="C33:D33"/>
    <mergeCell ref="Y33:Z33"/>
    <mergeCell ref="C34:D34"/>
    <mergeCell ref="Y34:Z34"/>
    <mergeCell ref="C29:D29"/>
    <mergeCell ref="Y29:Z29"/>
    <mergeCell ref="C30:D30"/>
    <mergeCell ref="Y30:Z30"/>
    <mergeCell ref="C31:D31"/>
    <mergeCell ref="Y31:Z31"/>
    <mergeCell ref="C26:D26"/>
    <mergeCell ref="Y26:Z26"/>
    <mergeCell ref="C27:D27"/>
    <mergeCell ref="Y27:Z27"/>
    <mergeCell ref="C28:D28"/>
    <mergeCell ref="Y28:Z28"/>
    <mergeCell ref="C23:D23"/>
    <mergeCell ref="Y23:Z23"/>
    <mergeCell ref="C24:D24"/>
    <mergeCell ref="Y24:Z24"/>
    <mergeCell ref="C25:D25"/>
    <mergeCell ref="Y25:Z25"/>
    <mergeCell ref="C20:D20"/>
    <mergeCell ref="Y20:Z20"/>
    <mergeCell ref="C21:D21"/>
    <mergeCell ref="Y21:Z21"/>
    <mergeCell ref="C22:D22"/>
    <mergeCell ref="Y22:Z22"/>
    <mergeCell ref="Y7:Z18"/>
    <mergeCell ref="C8:D18"/>
    <mergeCell ref="E9:H9"/>
    <mergeCell ref="C19:D19"/>
    <mergeCell ref="Y19:Z19"/>
    <mergeCell ref="C3:N3"/>
    <mergeCell ref="O3:Z3"/>
    <mergeCell ref="C4:N4"/>
    <mergeCell ref="O4:Z4"/>
    <mergeCell ref="E7:H8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1" orientation="portrait" r:id="rId1"/>
  <headerFooter alignWithMargins="0">
    <oddFooter>&amp;C&amp;"Times New Roman (Arabic),Regular"&amp;22-65-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D1:R77"/>
  <sheetViews>
    <sheetView topLeftCell="A64" zoomScale="70" zoomScaleNormal="70" workbookViewId="0">
      <selection activeCell="D1" sqref="D1"/>
    </sheetView>
  </sheetViews>
  <sheetFormatPr defaultColWidth="10" defaultRowHeight="20.25"/>
  <cols>
    <col min="1" max="2" width="10" style="1174"/>
    <col min="3" max="3" width="10" style="1174" customWidth="1"/>
    <col min="4" max="4" width="12" style="1192" customWidth="1"/>
    <col min="5" max="5" width="1.140625" style="1192" customWidth="1"/>
    <col min="6" max="6" width="14.140625" style="1192" customWidth="1"/>
    <col min="7" max="7" width="17.42578125" style="1192" customWidth="1"/>
    <col min="8" max="8" width="11.42578125" style="1192" customWidth="1"/>
    <col min="9" max="9" width="10.28515625" style="1760" customWidth="1"/>
    <col min="10" max="10" width="11.140625" style="1192" customWidth="1"/>
    <col min="11" max="11" width="14.7109375" style="1192" customWidth="1"/>
    <col min="12" max="12" width="11.28515625" style="1192" customWidth="1"/>
    <col min="13" max="13" width="11" style="1760" customWidth="1"/>
    <col min="14" max="14" width="12.140625" style="1760" customWidth="1"/>
    <col min="15" max="15" width="1.7109375" style="1192" customWidth="1"/>
    <col min="16" max="16" width="7.5703125" style="3239" customWidth="1"/>
    <col min="17" max="17" width="1.7109375" style="1192" customWidth="1"/>
    <col min="18" max="258" width="10" style="1174"/>
    <col min="259" max="259" width="10" style="1174" customWidth="1"/>
    <col min="260" max="260" width="12" style="1174" customWidth="1"/>
    <col min="261" max="261" width="1.140625" style="1174" customWidth="1"/>
    <col min="262" max="262" width="14.140625" style="1174" customWidth="1"/>
    <col min="263" max="263" width="17.42578125" style="1174" customWidth="1"/>
    <col min="264" max="264" width="11.42578125" style="1174" customWidth="1"/>
    <col min="265" max="265" width="10.28515625" style="1174" customWidth="1"/>
    <col min="266" max="266" width="11.140625" style="1174" customWidth="1"/>
    <col min="267" max="267" width="14.7109375" style="1174" customWidth="1"/>
    <col min="268" max="268" width="11.28515625" style="1174" customWidth="1"/>
    <col min="269" max="269" width="11" style="1174" customWidth="1"/>
    <col min="270" max="270" width="12.140625" style="1174" customWidth="1"/>
    <col min="271" max="271" width="1.7109375" style="1174" customWidth="1"/>
    <col min="272" max="272" width="7.5703125" style="1174" customWidth="1"/>
    <col min="273" max="273" width="1.7109375" style="1174" customWidth="1"/>
    <col min="274" max="514" width="10" style="1174"/>
    <col min="515" max="515" width="10" style="1174" customWidth="1"/>
    <col min="516" max="516" width="12" style="1174" customWidth="1"/>
    <col min="517" max="517" width="1.140625" style="1174" customWidth="1"/>
    <col min="518" max="518" width="14.140625" style="1174" customWidth="1"/>
    <col min="519" max="519" width="17.42578125" style="1174" customWidth="1"/>
    <col min="520" max="520" width="11.42578125" style="1174" customWidth="1"/>
    <col min="521" max="521" width="10.28515625" style="1174" customWidth="1"/>
    <col min="522" max="522" width="11.140625" style="1174" customWidth="1"/>
    <col min="523" max="523" width="14.7109375" style="1174" customWidth="1"/>
    <col min="524" max="524" width="11.28515625" style="1174" customWidth="1"/>
    <col min="525" max="525" width="11" style="1174" customWidth="1"/>
    <col min="526" max="526" width="12.140625" style="1174" customWidth="1"/>
    <col min="527" max="527" width="1.7109375" style="1174" customWidth="1"/>
    <col min="528" max="528" width="7.5703125" style="1174" customWidth="1"/>
    <col min="529" max="529" width="1.7109375" style="1174" customWidth="1"/>
    <col min="530" max="770" width="10" style="1174"/>
    <col min="771" max="771" width="10" style="1174" customWidth="1"/>
    <col min="772" max="772" width="12" style="1174" customWidth="1"/>
    <col min="773" max="773" width="1.140625" style="1174" customWidth="1"/>
    <col min="774" max="774" width="14.140625" style="1174" customWidth="1"/>
    <col min="775" max="775" width="17.42578125" style="1174" customWidth="1"/>
    <col min="776" max="776" width="11.42578125" style="1174" customWidth="1"/>
    <col min="777" max="777" width="10.28515625" style="1174" customWidth="1"/>
    <col min="778" max="778" width="11.140625" style="1174" customWidth="1"/>
    <col min="779" max="779" width="14.7109375" style="1174" customWidth="1"/>
    <col min="780" max="780" width="11.28515625" style="1174" customWidth="1"/>
    <col min="781" max="781" width="11" style="1174" customWidth="1"/>
    <col min="782" max="782" width="12.140625" style="1174" customWidth="1"/>
    <col min="783" max="783" width="1.7109375" style="1174" customWidth="1"/>
    <col min="784" max="784" width="7.5703125" style="1174" customWidth="1"/>
    <col min="785" max="785" width="1.7109375" style="1174" customWidth="1"/>
    <col min="786" max="1026" width="10" style="1174"/>
    <col min="1027" max="1027" width="10" style="1174" customWidth="1"/>
    <col min="1028" max="1028" width="12" style="1174" customWidth="1"/>
    <col min="1029" max="1029" width="1.140625" style="1174" customWidth="1"/>
    <col min="1030" max="1030" width="14.140625" style="1174" customWidth="1"/>
    <col min="1031" max="1031" width="17.42578125" style="1174" customWidth="1"/>
    <col min="1032" max="1032" width="11.42578125" style="1174" customWidth="1"/>
    <col min="1033" max="1033" width="10.28515625" style="1174" customWidth="1"/>
    <col min="1034" max="1034" width="11.140625" style="1174" customWidth="1"/>
    <col min="1035" max="1035" width="14.7109375" style="1174" customWidth="1"/>
    <col min="1036" max="1036" width="11.28515625" style="1174" customWidth="1"/>
    <col min="1037" max="1037" width="11" style="1174" customWidth="1"/>
    <col min="1038" max="1038" width="12.140625" style="1174" customWidth="1"/>
    <col min="1039" max="1039" width="1.7109375" style="1174" customWidth="1"/>
    <col min="1040" max="1040" width="7.5703125" style="1174" customWidth="1"/>
    <col min="1041" max="1041" width="1.7109375" style="1174" customWidth="1"/>
    <col min="1042" max="1282" width="10" style="1174"/>
    <col min="1283" max="1283" width="10" style="1174" customWidth="1"/>
    <col min="1284" max="1284" width="12" style="1174" customWidth="1"/>
    <col min="1285" max="1285" width="1.140625" style="1174" customWidth="1"/>
    <col min="1286" max="1286" width="14.140625" style="1174" customWidth="1"/>
    <col min="1287" max="1287" width="17.42578125" style="1174" customWidth="1"/>
    <col min="1288" max="1288" width="11.42578125" style="1174" customWidth="1"/>
    <col min="1289" max="1289" width="10.28515625" style="1174" customWidth="1"/>
    <col min="1290" max="1290" width="11.140625" style="1174" customWidth="1"/>
    <col min="1291" max="1291" width="14.7109375" style="1174" customWidth="1"/>
    <col min="1292" max="1292" width="11.28515625" style="1174" customWidth="1"/>
    <col min="1293" max="1293" width="11" style="1174" customWidth="1"/>
    <col min="1294" max="1294" width="12.140625" style="1174" customWidth="1"/>
    <col min="1295" max="1295" width="1.7109375" style="1174" customWidth="1"/>
    <col min="1296" max="1296" width="7.5703125" style="1174" customWidth="1"/>
    <col min="1297" max="1297" width="1.7109375" style="1174" customWidth="1"/>
    <col min="1298" max="1538" width="10" style="1174"/>
    <col min="1539" max="1539" width="10" style="1174" customWidth="1"/>
    <col min="1540" max="1540" width="12" style="1174" customWidth="1"/>
    <col min="1541" max="1541" width="1.140625" style="1174" customWidth="1"/>
    <col min="1542" max="1542" width="14.140625" style="1174" customWidth="1"/>
    <col min="1543" max="1543" width="17.42578125" style="1174" customWidth="1"/>
    <col min="1544" max="1544" width="11.42578125" style="1174" customWidth="1"/>
    <col min="1545" max="1545" width="10.28515625" style="1174" customWidth="1"/>
    <col min="1546" max="1546" width="11.140625" style="1174" customWidth="1"/>
    <col min="1547" max="1547" width="14.7109375" style="1174" customWidth="1"/>
    <col min="1548" max="1548" width="11.28515625" style="1174" customWidth="1"/>
    <col min="1549" max="1549" width="11" style="1174" customWidth="1"/>
    <col min="1550" max="1550" width="12.140625" style="1174" customWidth="1"/>
    <col min="1551" max="1551" width="1.7109375" style="1174" customWidth="1"/>
    <col min="1552" max="1552" width="7.5703125" style="1174" customWidth="1"/>
    <col min="1553" max="1553" width="1.7109375" style="1174" customWidth="1"/>
    <col min="1554" max="1794" width="10" style="1174"/>
    <col min="1795" max="1795" width="10" style="1174" customWidth="1"/>
    <col min="1796" max="1796" width="12" style="1174" customWidth="1"/>
    <col min="1797" max="1797" width="1.140625" style="1174" customWidth="1"/>
    <col min="1798" max="1798" width="14.140625" style="1174" customWidth="1"/>
    <col min="1799" max="1799" width="17.42578125" style="1174" customWidth="1"/>
    <col min="1800" max="1800" width="11.42578125" style="1174" customWidth="1"/>
    <col min="1801" max="1801" width="10.28515625" style="1174" customWidth="1"/>
    <col min="1802" max="1802" width="11.140625" style="1174" customWidth="1"/>
    <col min="1803" max="1803" width="14.7109375" style="1174" customWidth="1"/>
    <col min="1804" max="1804" width="11.28515625" style="1174" customWidth="1"/>
    <col min="1805" max="1805" width="11" style="1174" customWidth="1"/>
    <col min="1806" max="1806" width="12.140625" style="1174" customWidth="1"/>
    <col min="1807" max="1807" width="1.7109375" style="1174" customWidth="1"/>
    <col min="1808" max="1808" width="7.5703125" style="1174" customWidth="1"/>
    <col min="1809" max="1809" width="1.7109375" style="1174" customWidth="1"/>
    <col min="1810" max="2050" width="10" style="1174"/>
    <col min="2051" max="2051" width="10" style="1174" customWidth="1"/>
    <col min="2052" max="2052" width="12" style="1174" customWidth="1"/>
    <col min="2053" max="2053" width="1.140625" style="1174" customWidth="1"/>
    <col min="2054" max="2054" width="14.140625" style="1174" customWidth="1"/>
    <col min="2055" max="2055" width="17.42578125" style="1174" customWidth="1"/>
    <col min="2056" max="2056" width="11.42578125" style="1174" customWidth="1"/>
    <col min="2057" max="2057" width="10.28515625" style="1174" customWidth="1"/>
    <col min="2058" max="2058" width="11.140625" style="1174" customWidth="1"/>
    <col min="2059" max="2059" width="14.7109375" style="1174" customWidth="1"/>
    <col min="2060" max="2060" width="11.28515625" style="1174" customWidth="1"/>
    <col min="2061" max="2061" width="11" style="1174" customWidth="1"/>
    <col min="2062" max="2062" width="12.140625" style="1174" customWidth="1"/>
    <col min="2063" max="2063" width="1.7109375" style="1174" customWidth="1"/>
    <col min="2064" max="2064" width="7.5703125" style="1174" customWidth="1"/>
    <col min="2065" max="2065" width="1.7109375" style="1174" customWidth="1"/>
    <col min="2066" max="2306" width="10" style="1174"/>
    <col min="2307" max="2307" width="10" style="1174" customWidth="1"/>
    <col min="2308" max="2308" width="12" style="1174" customWidth="1"/>
    <col min="2309" max="2309" width="1.140625" style="1174" customWidth="1"/>
    <col min="2310" max="2310" width="14.140625" style="1174" customWidth="1"/>
    <col min="2311" max="2311" width="17.42578125" style="1174" customWidth="1"/>
    <col min="2312" max="2312" width="11.42578125" style="1174" customWidth="1"/>
    <col min="2313" max="2313" width="10.28515625" style="1174" customWidth="1"/>
    <col min="2314" max="2314" width="11.140625" style="1174" customWidth="1"/>
    <col min="2315" max="2315" width="14.7109375" style="1174" customWidth="1"/>
    <col min="2316" max="2316" width="11.28515625" style="1174" customWidth="1"/>
    <col min="2317" max="2317" width="11" style="1174" customWidth="1"/>
    <col min="2318" max="2318" width="12.140625" style="1174" customWidth="1"/>
    <col min="2319" max="2319" width="1.7109375" style="1174" customWidth="1"/>
    <col min="2320" max="2320" width="7.5703125" style="1174" customWidth="1"/>
    <col min="2321" max="2321" width="1.7109375" style="1174" customWidth="1"/>
    <col min="2322" max="2562" width="10" style="1174"/>
    <col min="2563" max="2563" width="10" style="1174" customWidth="1"/>
    <col min="2564" max="2564" width="12" style="1174" customWidth="1"/>
    <col min="2565" max="2565" width="1.140625" style="1174" customWidth="1"/>
    <col min="2566" max="2566" width="14.140625" style="1174" customWidth="1"/>
    <col min="2567" max="2567" width="17.42578125" style="1174" customWidth="1"/>
    <col min="2568" max="2568" width="11.42578125" style="1174" customWidth="1"/>
    <col min="2569" max="2569" width="10.28515625" style="1174" customWidth="1"/>
    <col min="2570" max="2570" width="11.140625" style="1174" customWidth="1"/>
    <col min="2571" max="2571" width="14.7109375" style="1174" customWidth="1"/>
    <col min="2572" max="2572" width="11.28515625" style="1174" customWidth="1"/>
    <col min="2573" max="2573" width="11" style="1174" customWidth="1"/>
    <col min="2574" max="2574" width="12.140625" style="1174" customWidth="1"/>
    <col min="2575" max="2575" width="1.7109375" style="1174" customWidth="1"/>
    <col min="2576" max="2576" width="7.5703125" style="1174" customWidth="1"/>
    <col min="2577" max="2577" width="1.7109375" style="1174" customWidth="1"/>
    <col min="2578" max="2818" width="10" style="1174"/>
    <col min="2819" max="2819" width="10" style="1174" customWidth="1"/>
    <col min="2820" max="2820" width="12" style="1174" customWidth="1"/>
    <col min="2821" max="2821" width="1.140625" style="1174" customWidth="1"/>
    <col min="2822" max="2822" width="14.140625" style="1174" customWidth="1"/>
    <col min="2823" max="2823" width="17.42578125" style="1174" customWidth="1"/>
    <col min="2824" max="2824" width="11.42578125" style="1174" customWidth="1"/>
    <col min="2825" max="2825" width="10.28515625" style="1174" customWidth="1"/>
    <col min="2826" max="2826" width="11.140625" style="1174" customWidth="1"/>
    <col min="2827" max="2827" width="14.7109375" style="1174" customWidth="1"/>
    <col min="2828" max="2828" width="11.28515625" style="1174" customWidth="1"/>
    <col min="2829" max="2829" width="11" style="1174" customWidth="1"/>
    <col min="2830" max="2830" width="12.140625" style="1174" customWidth="1"/>
    <col min="2831" max="2831" width="1.7109375" style="1174" customWidth="1"/>
    <col min="2832" max="2832" width="7.5703125" style="1174" customWidth="1"/>
    <col min="2833" max="2833" width="1.7109375" style="1174" customWidth="1"/>
    <col min="2834" max="3074" width="10" style="1174"/>
    <col min="3075" max="3075" width="10" style="1174" customWidth="1"/>
    <col min="3076" max="3076" width="12" style="1174" customWidth="1"/>
    <col min="3077" max="3077" width="1.140625" style="1174" customWidth="1"/>
    <col min="3078" max="3078" width="14.140625" style="1174" customWidth="1"/>
    <col min="3079" max="3079" width="17.42578125" style="1174" customWidth="1"/>
    <col min="3080" max="3080" width="11.42578125" style="1174" customWidth="1"/>
    <col min="3081" max="3081" width="10.28515625" style="1174" customWidth="1"/>
    <col min="3082" max="3082" width="11.140625" style="1174" customWidth="1"/>
    <col min="3083" max="3083" width="14.7109375" style="1174" customWidth="1"/>
    <col min="3084" max="3084" width="11.28515625" style="1174" customWidth="1"/>
    <col min="3085" max="3085" width="11" style="1174" customWidth="1"/>
    <col min="3086" max="3086" width="12.140625" style="1174" customWidth="1"/>
    <col min="3087" max="3087" width="1.7109375" style="1174" customWidth="1"/>
    <col min="3088" max="3088" width="7.5703125" style="1174" customWidth="1"/>
    <col min="3089" max="3089" width="1.7109375" style="1174" customWidth="1"/>
    <col min="3090" max="3330" width="10" style="1174"/>
    <col min="3331" max="3331" width="10" style="1174" customWidth="1"/>
    <col min="3332" max="3332" width="12" style="1174" customWidth="1"/>
    <col min="3333" max="3333" width="1.140625" style="1174" customWidth="1"/>
    <col min="3334" max="3334" width="14.140625" style="1174" customWidth="1"/>
    <col min="3335" max="3335" width="17.42578125" style="1174" customWidth="1"/>
    <col min="3336" max="3336" width="11.42578125" style="1174" customWidth="1"/>
    <col min="3337" max="3337" width="10.28515625" style="1174" customWidth="1"/>
    <col min="3338" max="3338" width="11.140625" style="1174" customWidth="1"/>
    <col min="3339" max="3339" width="14.7109375" style="1174" customWidth="1"/>
    <col min="3340" max="3340" width="11.28515625" style="1174" customWidth="1"/>
    <col min="3341" max="3341" width="11" style="1174" customWidth="1"/>
    <col min="3342" max="3342" width="12.140625" style="1174" customWidth="1"/>
    <col min="3343" max="3343" width="1.7109375" style="1174" customWidth="1"/>
    <col min="3344" max="3344" width="7.5703125" style="1174" customWidth="1"/>
    <col min="3345" max="3345" width="1.7109375" style="1174" customWidth="1"/>
    <col min="3346" max="3586" width="10" style="1174"/>
    <col min="3587" max="3587" width="10" style="1174" customWidth="1"/>
    <col min="3588" max="3588" width="12" style="1174" customWidth="1"/>
    <col min="3589" max="3589" width="1.140625" style="1174" customWidth="1"/>
    <col min="3590" max="3590" width="14.140625" style="1174" customWidth="1"/>
    <col min="3591" max="3591" width="17.42578125" style="1174" customWidth="1"/>
    <col min="3592" max="3592" width="11.42578125" style="1174" customWidth="1"/>
    <col min="3593" max="3593" width="10.28515625" style="1174" customWidth="1"/>
    <col min="3594" max="3594" width="11.140625" style="1174" customWidth="1"/>
    <col min="3595" max="3595" width="14.7109375" style="1174" customWidth="1"/>
    <col min="3596" max="3596" width="11.28515625" style="1174" customWidth="1"/>
    <col min="3597" max="3597" width="11" style="1174" customWidth="1"/>
    <col min="3598" max="3598" width="12.140625" style="1174" customWidth="1"/>
    <col min="3599" max="3599" width="1.7109375" style="1174" customWidth="1"/>
    <col min="3600" max="3600" width="7.5703125" style="1174" customWidth="1"/>
    <col min="3601" max="3601" width="1.7109375" style="1174" customWidth="1"/>
    <col min="3602" max="3842" width="10" style="1174"/>
    <col min="3843" max="3843" width="10" style="1174" customWidth="1"/>
    <col min="3844" max="3844" width="12" style="1174" customWidth="1"/>
    <col min="3845" max="3845" width="1.140625" style="1174" customWidth="1"/>
    <col min="3846" max="3846" width="14.140625" style="1174" customWidth="1"/>
    <col min="3847" max="3847" width="17.42578125" style="1174" customWidth="1"/>
    <col min="3848" max="3848" width="11.42578125" style="1174" customWidth="1"/>
    <col min="3849" max="3849" width="10.28515625" style="1174" customWidth="1"/>
    <col min="3850" max="3850" width="11.140625" style="1174" customWidth="1"/>
    <col min="3851" max="3851" width="14.7109375" style="1174" customWidth="1"/>
    <col min="3852" max="3852" width="11.28515625" style="1174" customWidth="1"/>
    <col min="3853" max="3853" width="11" style="1174" customWidth="1"/>
    <col min="3854" max="3854" width="12.140625" style="1174" customWidth="1"/>
    <col min="3855" max="3855" width="1.7109375" style="1174" customWidth="1"/>
    <col min="3856" max="3856" width="7.5703125" style="1174" customWidth="1"/>
    <col min="3857" max="3857" width="1.7109375" style="1174" customWidth="1"/>
    <col min="3858" max="4098" width="10" style="1174"/>
    <col min="4099" max="4099" width="10" style="1174" customWidth="1"/>
    <col min="4100" max="4100" width="12" style="1174" customWidth="1"/>
    <col min="4101" max="4101" width="1.140625" style="1174" customWidth="1"/>
    <col min="4102" max="4102" width="14.140625" style="1174" customWidth="1"/>
    <col min="4103" max="4103" width="17.42578125" style="1174" customWidth="1"/>
    <col min="4104" max="4104" width="11.42578125" style="1174" customWidth="1"/>
    <col min="4105" max="4105" width="10.28515625" style="1174" customWidth="1"/>
    <col min="4106" max="4106" width="11.140625" style="1174" customWidth="1"/>
    <col min="4107" max="4107" width="14.7109375" style="1174" customWidth="1"/>
    <col min="4108" max="4108" width="11.28515625" style="1174" customWidth="1"/>
    <col min="4109" max="4109" width="11" style="1174" customWidth="1"/>
    <col min="4110" max="4110" width="12.140625" style="1174" customWidth="1"/>
    <col min="4111" max="4111" width="1.7109375" style="1174" customWidth="1"/>
    <col min="4112" max="4112" width="7.5703125" style="1174" customWidth="1"/>
    <col min="4113" max="4113" width="1.7109375" style="1174" customWidth="1"/>
    <col min="4114" max="4354" width="10" style="1174"/>
    <col min="4355" max="4355" width="10" style="1174" customWidth="1"/>
    <col min="4356" max="4356" width="12" style="1174" customWidth="1"/>
    <col min="4357" max="4357" width="1.140625" style="1174" customWidth="1"/>
    <col min="4358" max="4358" width="14.140625" style="1174" customWidth="1"/>
    <col min="4359" max="4359" width="17.42578125" style="1174" customWidth="1"/>
    <col min="4360" max="4360" width="11.42578125" style="1174" customWidth="1"/>
    <col min="4361" max="4361" width="10.28515625" style="1174" customWidth="1"/>
    <col min="4362" max="4362" width="11.140625" style="1174" customWidth="1"/>
    <col min="4363" max="4363" width="14.7109375" style="1174" customWidth="1"/>
    <col min="4364" max="4364" width="11.28515625" style="1174" customWidth="1"/>
    <col min="4365" max="4365" width="11" style="1174" customWidth="1"/>
    <col min="4366" max="4366" width="12.140625" style="1174" customWidth="1"/>
    <col min="4367" max="4367" width="1.7109375" style="1174" customWidth="1"/>
    <col min="4368" max="4368" width="7.5703125" style="1174" customWidth="1"/>
    <col min="4369" max="4369" width="1.7109375" style="1174" customWidth="1"/>
    <col min="4370" max="4610" width="10" style="1174"/>
    <col min="4611" max="4611" width="10" style="1174" customWidth="1"/>
    <col min="4612" max="4612" width="12" style="1174" customWidth="1"/>
    <col min="4613" max="4613" width="1.140625" style="1174" customWidth="1"/>
    <col min="4614" max="4614" width="14.140625" style="1174" customWidth="1"/>
    <col min="4615" max="4615" width="17.42578125" style="1174" customWidth="1"/>
    <col min="4616" max="4616" width="11.42578125" style="1174" customWidth="1"/>
    <col min="4617" max="4617" width="10.28515625" style="1174" customWidth="1"/>
    <col min="4618" max="4618" width="11.140625" style="1174" customWidth="1"/>
    <col min="4619" max="4619" width="14.7109375" style="1174" customWidth="1"/>
    <col min="4620" max="4620" width="11.28515625" style="1174" customWidth="1"/>
    <col min="4621" max="4621" width="11" style="1174" customWidth="1"/>
    <col min="4622" max="4622" width="12.140625" style="1174" customWidth="1"/>
    <col min="4623" max="4623" width="1.7109375" style="1174" customWidth="1"/>
    <col min="4624" max="4624" width="7.5703125" style="1174" customWidth="1"/>
    <col min="4625" max="4625" width="1.7109375" style="1174" customWidth="1"/>
    <col min="4626" max="4866" width="10" style="1174"/>
    <col min="4867" max="4867" width="10" style="1174" customWidth="1"/>
    <col min="4868" max="4868" width="12" style="1174" customWidth="1"/>
    <col min="4869" max="4869" width="1.140625" style="1174" customWidth="1"/>
    <col min="4870" max="4870" width="14.140625" style="1174" customWidth="1"/>
    <col min="4871" max="4871" width="17.42578125" style="1174" customWidth="1"/>
    <col min="4872" max="4872" width="11.42578125" style="1174" customWidth="1"/>
    <col min="4873" max="4873" width="10.28515625" style="1174" customWidth="1"/>
    <col min="4874" max="4874" width="11.140625" style="1174" customWidth="1"/>
    <col min="4875" max="4875" width="14.7109375" style="1174" customWidth="1"/>
    <col min="4876" max="4876" width="11.28515625" style="1174" customWidth="1"/>
    <col min="4877" max="4877" width="11" style="1174" customWidth="1"/>
    <col min="4878" max="4878" width="12.140625" style="1174" customWidth="1"/>
    <col min="4879" max="4879" width="1.7109375" style="1174" customWidth="1"/>
    <col min="4880" max="4880" width="7.5703125" style="1174" customWidth="1"/>
    <col min="4881" max="4881" width="1.7109375" style="1174" customWidth="1"/>
    <col min="4882" max="5122" width="10" style="1174"/>
    <col min="5123" max="5123" width="10" style="1174" customWidth="1"/>
    <col min="5124" max="5124" width="12" style="1174" customWidth="1"/>
    <col min="5125" max="5125" width="1.140625" style="1174" customWidth="1"/>
    <col min="5126" max="5126" width="14.140625" style="1174" customWidth="1"/>
    <col min="5127" max="5127" width="17.42578125" style="1174" customWidth="1"/>
    <col min="5128" max="5128" width="11.42578125" style="1174" customWidth="1"/>
    <col min="5129" max="5129" width="10.28515625" style="1174" customWidth="1"/>
    <col min="5130" max="5130" width="11.140625" style="1174" customWidth="1"/>
    <col min="5131" max="5131" width="14.7109375" style="1174" customWidth="1"/>
    <col min="5132" max="5132" width="11.28515625" style="1174" customWidth="1"/>
    <col min="5133" max="5133" width="11" style="1174" customWidth="1"/>
    <col min="5134" max="5134" width="12.140625" style="1174" customWidth="1"/>
    <col min="5135" max="5135" width="1.7109375" style="1174" customWidth="1"/>
    <col min="5136" max="5136" width="7.5703125" style="1174" customWidth="1"/>
    <col min="5137" max="5137" width="1.7109375" style="1174" customWidth="1"/>
    <col min="5138" max="5378" width="10" style="1174"/>
    <col min="5379" max="5379" width="10" style="1174" customWidth="1"/>
    <col min="5380" max="5380" width="12" style="1174" customWidth="1"/>
    <col min="5381" max="5381" width="1.140625" style="1174" customWidth="1"/>
    <col min="5382" max="5382" width="14.140625" style="1174" customWidth="1"/>
    <col min="5383" max="5383" width="17.42578125" style="1174" customWidth="1"/>
    <col min="5384" max="5384" width="11.42578125" style="1174" customWidth="1"/>
    <col min="5385" max="5385" width="10.28515625" style="1174" customWidth="1"/>
    <col min="5386" max="5386" width="11.140625" style="1174" customWidth="1"/>
    <col min="5387" max="5387" width="14.7109375" style="1174" customWidth="1"/>
    <col min="5388" max="5388" width="11.28515625" style="1174" customWidth="1"/>
    <col min="5389" max="5389" width="11" style="1174" customWidth="1"/>
    <col min="5390" max="5390" width="12.140625" style="1174" customWidth="1"/>
    <col min="5391" max="5391" width="1.7109375" style="1174" customWidth="1"/>
    <col min="5392" max="5392" width="7.5703125" style="1174" customWidth="1"/>
    <col min="5393" max="5393" width="1.7109375" style="1174" customWidth="1"/>
    <col min="5394" max="5634" width="10" style="1174"/>
    <col min="5635" max="5635" width="10" style="1174" customWidth="1"/>
    <col min="5636" max="5636" width="12" style="1174" customWidth="1"/>
    <col min="5637" max="5637" width="1.140625" style="1174" customWidth="1"/>
    <col min="5638" max="5638" width="14.140625" style="1174" customWidth="1"/>
    <col min="5639" max="5639" width="17.42578125" style="1174" customWidth="1"/>
    <col min="5640" max="5640" width="11.42578125" style="1174" customWidth="1"/>
    <col min="5641" max="5641" width="10.28515625" style="1174" customWidth="1"/>
    <col min="5642" max="5642" width="11.140625" style="1174" customWidth="1"/>
    <col min="5643" max="5643" width="14.7109375" style="1174" customWidth="1"/>
    <col min="5644" max="5644" width="11.28515625" style="1174" customWidth="1"/>
    <col min="5645" max="5645" width="11" style="1174" customWidth="1"/>
    <col min="5646" max="5646" width="12.140625" style="1174" customWidth="1"/>
    <col min="5647" max="5647" width="1.7109375" style="1174" customWidth="1"/>
    <col min="5648" max="5648" width="7.5703125" style="1174" customWidth="1"/>
    <col min="5649" max="5649" width="1.7109375" style="1174" customWidth="1"/>
    <col min="5650" max="5890" width="10" style="1174"/>
    <col min="5891" max="5891" width="10" style="1174" customWidth="1"/>
    <col min="5892" max="5892" width="12" style="1174" customWidth="1"/>
    <col min="5893" max="5893" width="1.140625" style="1174" customWidth="1"/>
    <col min="5894" max="5894" width="14.140625" style="1174" customWidth="1"/>
    <col min="5895" max="5895" width="17.42578125" style="1174" customWidth="1"/>
    <col min="5896" max="5896" width="11.42578125" style="1174" customWidth="1"/>
    <col min="5897" max="5897" width="10.28515625" style="1174" customWidth="1"/>
    <col min="5898" max="5898" width="11.140625" style="1174" customWidth="1"/>
    <col min="5899" max="5899" width="14.7109375" style="1174" customWidth="1"/>
    <col min="5900" max="5900" width="11.28515625" style="1174" customWidth="1"/>
    <col min="5901" max="5901" width="11" style="1174" customWidth="1"/>
    <col min="5902" max="5902" width="12.140625" style="1174" customWidth="1"/>
    <col min="5903" max="5903" width="1.7109375" style="1174" customWidth="1"/>
    <col min="5904" max="5904" width="7.5703125" style="1174" customWidth="1"/>
    <col min="5905" max="5905" width="1.7109375" style="1174" customWidth="1"/>
    <col min="5906" max="6146" width="10" style="1174"/>
    <col min="6147" max="6147" width="10" style="1174" customWidth="1"/>
    <col min="6148" max="6148" width="12" style="1174" customWidth="1"/>
    <col min="6149" max="6149" width="1.140625" style="1174" customWidth="1"/>
    <col min="6150" max="6150" width="14.140625" style="1174" customWidth="1"/>
    <col min="6151" max="6151" width="17.42578125" style="1174" customWidth="1"/>
    <col min="6152" max="6152" width="11.42578125" style="1174" customWidth="1"/>
    <col min="6153" max="6153" width="10.28515625" style="1174" customWidth="1"/>
    <col min="6154" max="6154" width="11.140625" style="1174" customWidth="1"/>
    <col min="6155" max="6155" width="14.7109375" style="1174" customWidth="1"/>
    <col min="6156" max="6156" width="11.28515625" style="1174" customWidth="1"/>
    <col min="6157" max="6157" width="11" style="1174" customWidth="1"/>
    <col min="6158" max="6158" width="12.140625" style="1174" customWidth="1"/>
    <col min="6159" max="6159" width="1.7109375" style="1174" customWidth="1"/>
    <col min="6160" max="6160" width="7.5703125" style="1174" customWidth="1"/>
    <col min="6161" max="6161" width="1.7109375" style="1174" customWidth="1"/>
    <col min="6162" max="6402" width="10" style="1174"/>
    <col min="6403" max="6403" width="10" style="1174" customWidth="1"/>
    <col min="6404" max="6404" width="12" style="1174" customWidth="1"/>
    <col min="6405" max="6405" width="1.140625" style="1174" customWidth="1"/>
    <col min="6406" max="6406" width="14.140625" style="1174" customWidth="1"/>
    <col min="6407" max="6407" width="17.42578125" style="1174" customWidth="1"/>
    <col min="6408" max="6408" width="11.42578125" style="1174" customWidth="1"/>
    <col min="6409" max="6409" width="10.28515625" style="1174" customWidth="1"/>
    <col min="6410" max="6410" width="11.140625" style="1174" customWidth="1"/>
    <col min="6411" max="6411" width="14.7109375" style="1174" customWidth="1"/>
    <col min="6412" max="6412" width="11.28515625" style="1174" customWidth="1"/>
    <col min="6413" max="6413" width="11" style="1174" customWidth="1"/>
    <col min="6414" max="6414" width="12.140625" style="1174" customWidth="1"/>
    <col min="6415" max="6415" width="1.7109375" style="1174" customWidth="1"/>
    <col min="6416" max="6416" width="7.5703125" style="1174" customWidth="1"/>
    <col min="6417" max="6417" width="1.7109375" style="1174" customWidth="1"/>
    <col min="6418" max="6658" width="10" style="1174"/>
    <col min="6659" max="6659" width="10" style="1174" customWidth="1"/>
    <col min="6660" max="6660" width="12" style="1174" customWidth="1"/>
    <col min="6661" max="6661" width="1.140625" style="1174" customWidth="1"/>
    <col min="6662" max="6662" width="14.140625" style="1174" customWidth="1"/>
    <col min="6663" max="6663" width="17.42578125" style="1174" customWidth="1"/>
    <col min="6664" max="6664" width="11.42578125" style="1174" customWidth="1"/>
    <col min="6665" max="6665" width="10.28515625" style="1174" customWidth="1"/>
    <col min="6666" max="6666" width="11.140625" style="1174" customWidth="1"/>
    <col min="6667" max="6667" width="14.7109375" style="1174" customWidth="1"/>
    <col min="6668" max="6668" width="11.28515625" style="1174" customWidth="1"/>
    <col min="6669" max="6669" width="11" style="1174" customWidth="1"/>
    <col min="6670" max="6670" width="12.140625" style="1174" customWidth="1"/>
    <col min="6671" max="6671" width="1.7109375" style="1174" customWidth="1"/>
    <col min="6672" max="6672" width="7.5703125" style="1174" customWidth="1"/>
    <col min="6673" max="6673" width="1.7109375" style="1174" customWidth="1"/>
    <col min="6674" max="6914" width="10" style="1174"/>
    <col min="6915" max="6915" width="10" style="1174" customWidth="1"/>
    <col min="6916" max="6916" width="12" style="1174" customWidth="1"/>
    <col min="6917" max="6917" width="1.140625" style="1174" customWidth="1"/>
    <col min="6918" max="6918" width="14.140625" style="1174" customWidth="1"/>
    <col min="6919" max="6919" width="17.42578125" style="1174" customWidth="1"/>
    <col min="6920" max="6920" width="11.42578125" style="1174" customWidth="1"/>
    <col min="6921" max="6921" width="10.28515625" style="1174" customWidth="1"/>
    <col min="6922" max="6922" width="11.140625" style="1174" customWidth="1"/>
    <col min="6923" max="6923" width="14.7109375" style="1174" customWidth="1"/>
    <col min="6924" max="6924" width="11.28515625" style="1174" customWidth="1"/>
    <col min="6925" max="6925" width="11" style="1174" customWidth="1"/>
    <col min="6926" max="6926" width="12.140625" style="1174" customWidth="1"/>
    <col min="6927" max="6927" width="1.7109375" style="1174" customWidth="1"/>
    <col min="6928" max="6928" width="7.5703125" style="1174" customWidth="1"/>
    <col min="6929" max="6929" width="1.7109375" style="1174" customWidth="1"/>
    <col min="6930" max="7170" width="10" style="1174"/>
    <col min="7171" max="7171" width="10" style="1174" customWidth="1"/>
    <col min="7172" max="7172" width="12" style="1174" customWidth="1"/>
    <col min="7173" max="7173" width="1.140625" style="1174" customWidth="1"/>
    <col min="7174" max="7174" width="14.140625" style="1174" customWidth="1"/>
    <col min="7175" max="7175" width="17.42578125" style="1174" customWidth="1"/>
    <col min="7176" max="7176" width="11.42578125" style="1174" customWidth="1"/>
    <col min="7177" max="7177" width="10.28515625" style="1174" customWidth="1"/>
    <col min="7178" max="7178" width="11.140625" style="1174" customWidth="1"/>
    <col min="7179" max="7179" width="14.7109375" style="1174" customWidth="1"/>
    <col min="7180" max="7180" width="11.28515625" style="1174" customWidth="1"/>
    <col min="7181" max="7181" width="11" style="1174" customWidth="1"/>
    <col min="7182" max="7182" width="12.140625" style="1174" customWidth="1"/>
    <col min="7183" max="7183" width="1.7109375" style="1174" customWidth="1"/>
    <col min="7184" max="7184" width="7.5703125" style="1174" customWidth="1"/>
    <col min="7185" max="7185" width="1.7109375" style="1174" customWidth="1"/>
    <col min="7186" max="7426" width="10" style="1174"/>
    <col min="7427" max="7427" width="10" style="1174" customWidth="1"/>
    <col min="7428" max="7428" width="12" style="1174" customWidth="1"/>
    <col min="7429" max="7429" width="1.140625" style="1174" customWidth="1"/>
    <col min="7430" max="7430" width="14.140625" style="1174" customWidth="1"/>
    <col min="7431" max="7431" width="17.42578125" style="1174" customWidth="1"/>
    <col min="7432" max="7432" width="11.42578125" style="1174" customWidth="1"/>
    <col min="7433" max="7433" width="10.28515625" style="1174" customWidth="1"/>
    <col min="7434" max="7434" width="11.140625" style="1174" customWidth="1"/>
    <col min="7435" max="7435" width="14.7109375" style="1174" customWidth="1"/>
    <col min="7436" max="7436" width="11.28515625" style="1174" customWidth="1"/>
    <col min="7437" max="7437" width="11" style="1174" customWidth="1"/>
    <col min="7438" max="7438" width="12.140625" style="1174" customWidth="1"/>
    <col min="7439" max="7439" width="1.7109375" style="1174" customWidth="1"/>
    <col min="7440" max="7440" width="7.5703125" style="1174" customWidth="1"/>
    <col min="7441" max="7441" width="1.7109375" style="1174" customWidth="1"/>
    <col min="7442" max="7682" width="10" style="1174"/>
    <col min="7683" max="7683" width="10" style="1174" customWidth="1"/>
    <col min="7684" max="7684" width="12" style="1174" customWidth="1"/>
    <col min="7685" max="7685" width="1.140625" style="1174" customWidth="1"/>
    <col min="7686" max="7686" width="14.140625" style="1174" customWidth="1"/>
    <col min="7687" max="7687" width="17.42578125" style="1174" customWidth="1"/>
    <col min="7688" max="7688" width="11.42578125" style="1174" customWidth="1"/>
    <col min="7689" max="7689" width="10.28515625" style="1174" customWidth="1"/>
    <col min="7690" max="7690" width="11.140625" style="1174" customWidth="1"/>
    <col min="7691" max="7691" width="14.7109375" style="1174" customWidth="1"/>
    <col min="7692" max="7692" width="11.28515625" style="1174" customWidth="1"/>
    <col min="7693" max="7693" width="11" style="1174" customWidth="1"/>
    <col min="7694" max="7694" width="12.140625" style="1174" customWidth="1"/>
    <col min="7695" max="7695" width="1.7109375" style="1174" customWidth="1"/>
    <col min="7696" max="7696" width="7.5703125" style="1174" customWidth="1"/>
    <col min="7697" max="7697" width="1.7109375" style="1174" customWidth="1"/>
    <col min="7698" max="7938" width="10" style="1174"/>
    <col min="7939" max="7939" width="10" style="1174" customWidth="1"/>
    <col min="7940" max="7940" width="12" style="1174" customWidth="1"/>
    <col min="7941" max="7941" width="1.140625" style="1174" customWidth="1"/>
    <col min="7942" max="7942" width="14.140625" style="1174" customWidth="1"/>
    <col min="7943" max="7943" width="17.42578125" style="1174" customWidth="1"/>
    <col min="7944" max="7944" width="11.42578125" style="1174" customWidth="1"/>
    <col min="7945" max="7945" width="10.28515625" style="1174" customWidth="1"/>
    <col min="7946" max="7946" width="11.140625" style="1174" customWidth="1"/>
    <col min="7947" max="7947" width="14.7109375" style="1174" customWidth="1"/>
    <col min="7948" max="7948" width="11.28515625" style="1174" customWidth="1"/>
    <col min="7949" max="7949" width="11" style="1174" customWidth="1"/>
    <col min="7950" max="7950" width="12.140625" style="1174" customWidth="1"/>
    <col min="7951" max="7951" width="1.7109375" style="1174" customWidth="1"/>
    <col min="7952" max="7952" width="7.5703125" style="1174" customWidth="1"/>
    <col min="7953" max="7953" width="1.7109375" style="1174" customWidth="1"/>
    <col min="7954" max="8194" width="10" style="1174"/>
    <col min="8195" max="8195" width="10" style="1174" customWidth="1"/>
    <col min="8196" max="8196" width="12" style="1174" customWidth="1"/>
    <col min="8197" max="8197" width="1.140625" style="1174" customWidth="1"/>
    <col min="8198" max="8198" width="14.140625" style="1174" customWidth="1"/>
    <col min="8199" max="8199" width="17.42578125" style="1174" customWidth="1"/>
    <col min="8200" max="8200" width="11.42578125" style="1174" customWidth="1"/>
    <col min="8201" max="8201" width="10.28515625" style="1174" customWidth="1"/>
    <col min="8202" max="8202" width="11.140625" style="1174" customWidth="1"/>
    <col min="8203" max="8203" width="14.7109375" style="1174" customWidth="1"/>
    <col min="8204" max="8204" width="11.28515625" style="1174" customWidth="1"/>
    <col min="8205" max="8205" width="11" style="1174" customWidth="1"/>
    <col min="8206" max="8206" width="12.140625" style="1174" customWidth="1"/>
    <col min="8207" max="8207" width="1.7109375" style="1174" customWidth="1"/>
    <col min="8208" max="8208" width="7.5703125" style="1174" customWidth="1"/>
    <col min="8209" max="8209" width="1.7109375" style="1174" customWidth="1"/>
    <col min="8210" max="8450" width="10" style="1174"/>
    <col min="8451" max="8451" width="10" style="1174" customWidth="1"/>
    <col min="8452" max="8452" width="12" style="1174" customWidth="1"/>
    <col min="8453" max="8453" width="1.140625" style="1174" customWidth="1"/>
    <col min="8454" max="8454" width="14.140625" style="1174" customWidth="1"/>
    <col min="8455" max="8455" width="17.42578125" style="1174" customWidth="1"/>
    <col min="8456" max="8456" width="11.42578125" style="1174" customWidth="1"/>
    <col min="8457" max="8457" width="10.28515625" style="1174" customWidth="1"/>
    <col min="8458" max="8458" width="11.140625" style="1174" customWidth="1"/>
    <col min="8459" max="8459" width="14.7109375" style="1174" customWidth="1"/>
    <col min="8460" max="8460" width="11.28515625" style="1174" customWidth="1"/>
    <col min="8461" max="8461" width="11" style="1174" customWidth="1"/>
    <col min="8462" max="8462" width="12.140625" style="1174" customWidth="1"/>
    <col min="8463" max="8463" width="1.7109375" style="1174" customWidth="1"/>
    <col min="8464" max="8464" width="7.5703125" style="1174" customWidth="1"/>
    <col min="8465" max="8465" width="1.7109375" style="1174" customWidth="1"/>
    <col min="8466" max="8706" width="10" style="1174"/>
    <col min="8707" max="8707" width="10" style="1174" customWidth="1"/>
    <col min="8708" max="8708" width="12" style="1174" customWidth="1"/>
    <col min="8709" max="8709" width="1.140625" style="1174" customWidth="1"/>
    <col min="8710" max="8710" width="14.140625" style="1174" customWidth="1"/>
    <col min="8711" max="8711" width="17.42578125" style="1174" customWidth="1"/>
    <col min="8712" max="8712" width="11.42578125" style="1174" customWidth="1"/>
    <col min="8713" max="8713" width="10.28515625" style="1174" customWidth="1"/>
    <col min="8714" max="8714" width="11.140625" style="1174" customWidth="1"/>
    <col min="8715" max="8715" width="14.7109375" style="1174" customWidth="1"/>
    <col min="8716" max="8716" width="11.28515625" style="1174" customWidth="1"/>
    <col min="8717" max="8717" width="11" style="1174" customWidth="1"/>
    <col min="8718" max="8718" width="12.140625" style="1174" customWidth="1"/>
    <col min="8719" max="8719" width="1.7109375" style="1174" customWidth="1"/>
    <col min="8720" max="8720" width="7.5703125" style="1174" customWidth="1"/>
    <col min="8721" max="8721" width="1.7109375" style="1174" customWidth="1"/>
    <col min="8722" max="8962" width="10" style="1174"/>
    <col min="8963" max="8963" width="10" style="1174" customWidth="1"/>
    <col min="8964" max="8964" width="12" style="1174" customWidth="1"/>
    <col min="8965" max="8965" width="1.140625" style="1174" customWidth="1"/>
    <col min="8966" max="8966" width="14.140625" style="1174" customWidth="1"/>
    <col min="8967" max="8967" width="17.42578125" style="1174" customWidth="1"/>
    <col min="8968" max="8968" width="11.42578125" style="1174" customWidth="1"/>
    <col min="8969" max="8969" width="10.28515625" style="1174" customWidth="1"/>
    <col min="8970" max="8970" width="11.140625" style="1174" customWidth="1"/>
    <col min="8971" max="8971" width="14.7109375" style="1174" customWidth="1"/>
    <col min="8972" max="8972" width="11.28515625" style="1174" customWidth="1"/>
    <col min="8973" max="8973" width="11" style="1174" customWidth="1"/>
    <col min="8974" max="8974" width="12.140625" style="1174" customWidth="1"/>
    <col min="8975" max="8975" width="1.7109375" style="1174" customWidth="1"/>
    <col min="8976" max="8976" width="7.5703125" style="1174" customWidth="1"/>
    <col min="8977" max="8977" width="1.7109375" style="1174" customWidth="1"/>
    <col min="8978" max="9218" width="10" style="1174"/>
    <col min="9219" max="9219" width="10" style="1174" customWidth="1"/>
    <col min="9220" max="9220" width="12" style="1174" customWidth="1"/>
    <col min="9221" max="9221" width="1.140625" style="1174" customWidth="1"/>
    <col min="9222" max="9222" width="14.140625" style="1174" customWidth="1"/>
    <col min="9223" max="9223" width="17.42578125" style="1174" customWidth="1"/>
    <col min="9224" max="9224" width="11.42578125" style="1174" customWidth="1"/>
    <col min="9225" max="9225" width="10.28515625" style="1174" customWidth="1"/>
    <col min="9226" max="9226" width="11.140625" style="1174" customWidth="1"/>
    <col min="9227" max="9227" width="14.7109375" style="1174" customWidth="1"/>
    <col min="9228" max="9228" width="11.28515625" style="1174" customWidth="1"/>
    <col min="9229" max="9229" width="11" style="1174" customWidth="1"/>
    <col min="9230" max="9230" width="12.140625" style="1174" customWidth="1"/>
    <col min="9231" max="9231" width="1.7109375" style="1174" customWidth="1"/>
    <col min="9232" max="9232" width="7.5703125" style="1174" customWidth="1"/>
    <col min="9233" max="9233" width="1.7109375" style="1174" customWidth="1"/>
    <col min="9234" max="9474" width="10" style="1174"/>
    <col min="9475" max="9475" width="10" style="1174" customWidth="1"/>
    <col min="9476" max="9476" width="12" style="1174" customWidth="1"/>
    <col min="9477" max="9477" width="1.140625" style="1174" customWidth="1"/>
    <col min="9478" max="9478" width="14.140625" style="1174" customWidth="1"/>
    <col min="9479" max="9479" width="17.42578125" style="1174" customWidth="1"/>
    <col min="9480" max="9480" width="11.42578125" style="1174" customWidth="1"/>
    <col min="9481" max="9481" width="10.28515625" style="1174" customWidth="1"/>
    <col min="9482" max="9482" width="11.140625" style="1174" customWidth="1"/>
    <col min="9483" max="9483" width="14.7109375" style="1174" customWidth="1"/>
    <col min="9484" max="9484" width="11.28515625" style="1174" customWidth="1"/>
    <col min="9485" max="9485" width="11" style="1174" customWidth="1"/>
    <col min="9486" max="9486" width="12.140625" style="1174" customWidth="1"/>
    <col min="9487" max="9487" width="1.7109375" style="1174" customWidth="1"/>
    <col min="9488" max="9488" width="7.5703125" style="1174" customWidth="1"/>
    <col min="9489" max="9489" width="1.7109375" style="1174" customWidth="1"/>
    <col min="9490" max="9730" width="10" style="1174"/>
    <col min="9731" max="9731" width="10" style="1174" customWidth="1"/>
    <col min="9732" max="9732" width="12" style="1174" customWidth="1"/>
    <col min="9733" max="9733" width="1.140625" style="1174" customWidth="1"/>
    <col min="9734" max="9734" width="14.140625" style="1174" customWidth="1"/>
    <col min="9735" max="9735" width="17.42578125" style="1174" customWidth="1"/>
    <col min="9736" max="9736" width="11.42578125" style="1174" customWidth="1"/>
    <col min="9737" max="9737" width="10.28515625" style="1174" customWidth="1"/>
    <col min="9738" max="9738" width="11.140625" style="1174" customWidth="1"/>
    <col min="9739" max="9739" width="14.7109375" style="1174" customWidth="1"/>
    <col min="9740" max="9740" width="11.28515625" style="1174" customWidth="1"/>
    <col min="9741" max="9741" width="11" style="1174" customWidth="1"/>
    <col min="9742" max="9742" width="12.140625" style="1174" customWidth="1"/>
    <col min="9743" max="9743" width="1.7109375" style="1174" customWidth="1"/>
    <col min="9744" max="9744" width="7.5703125" style="1174" customWidth="1"/>
    <col min="9745" max="9745" width="1.7109375" style="1174" customWidth="1"/>
    <col min="9746" max="9986" width="10" style="1174"/>
    <col min="9987" max="9987" width="10" style="1174" customWidth="1"/>
    <col min="9988" max="9988" width="12" style="1174" customWidth="1"/>
    <col min="9989" max="9989" width="1.140625" style="1174" customWidth="1"/>
    <col min="9990" max="9990" width="14.140625" style="1174" customWidth="1"/>
    <col min="9991" max="9991" width="17.42578125" style="1174" customWidth="1"/>
    <col min="9992" max="9992" width="11.42578125" style="1174" customWidth="1"/>
    <col min="9993" max="9993" width="10.28515625" style="1174" customWidth="1"/>
    <col min="9994" max="9994" width="11.140625" style="1174" customWidth="1"/>
    <col min="9995" max="9995" width="14.7109375" style="1174" customWidth="1"/>
    <col min="9996" max="9996" width="11.28515625" style="1174" customWidth="1"/>
    <col min="9997" max="9997" width="11" style="1174" customWidth="1"/>
    <col min="9998" max="9998" width="12.140625" style="1174" customWidth="1"/>
    <col min="9999" max="9999" width="1.7109375" style="1174" customWidth="1"/>
    <col min="10000" max="10000" width="7.5703125" style="1174" customWidth="1"/>
    <col min="10001" max="10001" width="1.7109375" style="1174" customWidth="1"/>
    <col min="10002" max="10242" width="10" style="1174"/>
    <col min="10243" max="10243" width="10" style="1174" customWidth="1"/>
    <col min="10244" max="10244" width="12" style="1174" customWidth="1"/>
    <col min="10245" max="10245" width="1.140625" style="1174" customWidth="1"/>
    <col min="10246" max="10246" width="14.140625" style="1174" customWidth="1"/>
    <col min="10247" max="10247" width="17.42578125" style="1174" customWidth="1"/>
    <col min="10248" max="10248" width="11.42578125" style="1174" customWidth="1"/>
    <col min="10249" max="10249" width="10.28515625" style="1174" customWidth="1"/>
    <col min="10250" max="10250" width="11.140625" style="1174" customWidth="1"/>
    <col min="10251" max="10251" width="14.7109375" style="1174" customWidth="1"/>
    <col min="10252" max="10252" width="11.28515625" style="1174" customWidth="1"/>
    <col min="10253" max="10253" width="11" style="1174" customWidth="1"/>
    <col min="10254" max="10254" width="12.140625" style="1174" customWidth="1"/>
    <col min="10255" max="10255" width="1.7109375" style="1174" customWidth="1"/>
    <col min="10256" max="10256" width="7.5703125" style="1174" customWidth="1"/>
    <col min="10257" max="10257" width="1.7109375" style="1174" customWidth="1"/>
    <col min="10258" max="10498" width="10" style="1174"/>
    <col min="10499" max="10499" width="10" style="1174" customWidth="1"/>
    <col min="10500" max="10500" width="12" style="1174" customWidth="1"/>
    <col min="10501" max="10501" width="1.140625" style="1174" customWidth="1"/>
    <col min="10502" max="10502" width="14.140625" style="1174" customWidth="1"/>
    <col min="10503" max="10503" width="17.42578125" style="1174" customWidth="1"/>
    <col min="10504" max="10504" width="11.42578125" style="1174" customWidth="1"/>
    <col min="10505" max="10505" width="10.28515625" style="1174" customWidth="1"/>
    <col min="10506" max="10506" width="11.140625" style="1174" customWidth="1"/>
    <col min="10507" max="10507" width="14.7109375" style="1174" customWidth="1"/>
    <col min="10508" max="10508" width="11.28515625" style="1174" customWidth="1"/>
    <col min="10509" max="10509" width="11" style="1174" customWidth="1"/>
    <col min="10510" max="10510" width="12.140625" style="1174" customWidth="1"/>
    <col min="10511" max="10511" width="1.7109375" style="1174" customWidth="1"/>
    <col min="10512" max="10512" width="7.5703125" style="1174" customWidth="1"/>
    <col min="10513" max="10513" width="1.7109375" style="1174" customWidth="1"/>
    <col min="10514" max="10754" width="10" style="1174"/>
    <col min="10755" max="10755" width="10" style="1174" customWidth="1"/>
    <col min="10756" max="10756" width="12" style="1174" customWidth="1"/>
    <col min="10757" max="10757" width="1.140625" style="1174" customWidth="1"/>
    <col min="10758" max="10758" width="14.140625" style="1174" customWidth="1"/>
    <col min="10759" max="10759" width="17.42578125" style="1174" customWidth="1"/>
    <col min="10760" max="10760" width="11.42578125" style="1174" customWidth="1"/>
    <col min="10761" max="10761" width="10.28515625" style="1174" customWidth="1"/>
    <col min="10762" max="10762" width="11.140625" style="1174" customWidth="1"/>
    <col min="10763" max="10763" width="14.7109375" style="1174" customWidth="1"/>
    <col min="10764" max="10764" width="11.28515625" style="1174" customWidth="1"/>
    <col min="10765" max="10765" width="11" style="1174" customWidth="1"/>
    <col min="10766" max="10766" width="12.140625" style="1174" customWidth="1"/>
    <col min="10767" max="10767" width="1.7109375" style="1174" customWidth="1"/>
    <col min="10768" max="10768" width="7.5703125" style="1174" customWidth="1"/>
    <col min="10769" max="10769" width="1.7109375" style="1174" customWidth="1"/>
    <col min="10770" max="11010" width="10" style="1174"/>
    <col min="11011" max="11011" width="10" style="1174" customWidth="1"/>
    <col min="11012" max="11012" width="12" style="1174" customWidth="1"/>
    <col min="11013" max="11013" width="1.140625" style="1174" customWidth="1"/>
    <col min="11014" max="11014" width="14.140625" style="1174" customWidth="1"/>
    <col min="11015" max="11015" width="17.42578125" style="1174" customWidth="1"/>
    <col min="11016" max="11016" width="11.42578125" style="1174" customWidth="1"/>
    <col min="11017" max="11017" width="10.28515625" style="1174" customWidth="1"/>
    <col min="11018" max="11018" width="11.140625" style="1174" customWidth="1"/>
    <col min="11019" max="11019" width="14.7109375" style="1174" customWidth="1"/>
    <col min="11020" max="11020" width="11.28515625" style="1174" customWidth="1"/>
    <col min="11021" max="11021" width="11" style="1174" customWidth="1"/>
    <col min="11022" max="11022" width="12.140625" style="1174" customWidth="1"/>
    <col min="11023" max="11023" width="1.7109375" style="1174" customWidth="1"/>
    <col min="11024" max="11024" width="7.5703125" style="1174" customWidth="1"/>
    <col min="11025" max="11025" width="1.7109375" style="1174" customWidth="1"/>
    <col min="11026" max="11266" width="10" style="1174"/>
    <col min="11267" max="11267" width="10" style="1174" customWidth="1"/>
    <col min="11268" max="11268" width="12" style="1174" customWidth="1"/>
    <col min="11269" max="11269" width="1.140625" style="1174" customWidth="1"/>
    <col min="11270" max="11270" width="14.140625" style="1174" customWidth="1"/>
    <col min="11271" max="11271" width="17.42578125" style="1174" customWidth="1"/>
    <col min="11272" max="11272" width="11.42578125" style="1174" customWidth="1"/>
    <col min="11273" max="11273" width="10.28515625" style="1174" customWidth="1"/>
    <col min="11274" max="11274" width="11.140625" style="1174" customWidth="1"/>
    <col min="11275" max="11275" width="14.7109375" style="1174" customWidth="1"/>
    <col min="11276" max="11276" width="11.28515625" style="1174" customWidth="1"/>
    <col min="11277" max="11277" width="11" style="1174" customWidth="1"/>
    <col min="11278" max="11278" width="12.140625" style="1174" customWidth="1"/>
    <col min="11279" max="11279" width="1.7109375" style="1174" customWidth="1"/>
    <col min="11280" max="11280" width="7.5703125" style="1174" customWidth="1"/>
    <col min="11281" max="11281" width="1.7109375" style="1174" customWidth="1"/>
    <col min="11282" max="11522" width="10" style="1174"/>
    <col min="11523" max="11523" width="10" style="1174" customWidth="1"/>
    <col min="11524" max="11524" width="12" style="1174" customWidth="1"/>
    <col min="11525" max="11525" width="1.140625" style="1174" customWidth="1"/>
    <col min="11526" max="11526" width="14.140625" style="1174" customWidth="1"/>
    <col min="11527" max="11527" width="17.42578125" style="1174" customWidth="1"/>
    <col min="11528" max="11528" width="11.42578125" style="1174" customWidth="1"/>
    <col min="11529" max="11529" width="10.28515625" style="1174" customWidth="1"/>
    <col min="11530" max="11530" width="11.140625" style="1174" customWidth="1"/>
    <col min="11531" max="11531" width="14.7109375" style="1174" customWidth="1"/>
    <col min="11532" max="11532" width="11.28515625" style="1174" customWidth="1"/>
    <col min="11533" max="11533" width="11" style="1174" customWidth="1"/>
    <col min="11534" max="11534" width="12.140625" style="1174" customWidth="1"/>
    <col min="11535" max="11535" width="1.7109375" style="1174" customWidth="1"/>
    <col min="11536" max="11536" width="7.5703125" style="1174" customWidth="1"/>
    <col min="11537" max="11537" width="1.7109375" style="1174" customWidth="1"/>
    <col min="11538" max="11778" width="10" style="1174"/>
    <col min="11779" max="11779" width="10" style="1174" customWidth="1"/>
    <col min="11780" max="11780" width="12" style="1174" customWidth="1"/>
    <col min="11781" max="11781" width="1.140625" style="1174" customWidth="1"/>
    <col min="11782" max="11782" width="14.140625" style="1174" customWidth="1"/>
    <col min="11783" max="11783" width="17.42578125" style="1174" customWidth="1"/>
    <col min="11784" max="11784" width="11.42578125" style="1174" customWidth="1"/>
    <col min="11785" max="11785" width="10.28515625" style="1174" customWidth="1"/>
    <col min="11786" max="11786" width="11.140625" style="1174" customWidth="1"/>
    <col min="11787" max="11787" width="14.7109375" style="1174" customWidth="1"/>
    <col min="11788" max="11788" width="11.28515625" style="1174" customWidth="1"/>
    <col min="11789" max="11789" width="11" style="1174" customWidth="1"/>
    <col min="11790" max="11790" width="12.140625" style="1174" customWidth="1"/>
    <col min="11791" max="11791" width="1.7109375" style="1174" customWidth="1"/>
    <col min="11792" max="11792" width="7.5703125" style="1174" customWidth="1"/>
    <col min="11793" max="11793" width="1.7109375" style="1174" customWidth="1"/>
    <col min="11794" max="12034" width="10" style="1174"/>
    <col min="12035" max="12035" width="10" style="1174" customWidth="1"/>
    <col min="12036" max="12036" width="12" style="1174" customWidth="1"/>
    <col min="12037" max="12037" width="1.140625" style="1174" customWidth="1"/>
    <col min="12038" max="12038" width="14.140625" style="1174" customWidth="1"/>
    <col min="12039" max="12039" width="17.42578125" style="1174" customWidth="1"/>
    <col min="12040" max="12040" width="11.42578125" style="1174" customWidth="1"/>
    <col min="12041" max="12041" width="10.28515625" style="1174" customWidth="1"/>
    <col min="12042" max="12042" width="11.140625" style="1174" customWidth="1"/>
    <col min="12043" max="12043" width="14.7109375" style="1174" customWidth="1"/>
    <col min="12044" max="12044" width="11.28515625" style="1174" customWidth="1"/>
    <col min="12045" max="12045" width="11" style="1174" customWidth="1"/>
    <col min="12046" max="12046" width="12.140625" style="1174" customWidth="1"/>
    <col min="12047" max="12047" width="1.7109375" style="1174" customWidth="1"/>
    <col min="12048" max="12048" width="7.5703125" style="1174" customWidth="1"/>
    <col min="12049" max="12049" width="1.7109375" style="1174" customWidth="1"/>
    <col min="12050" max="12290" width="10" style="1174"/>
    <col min="12291" max="12291" width="10" style="1174" customWidth="1"/>
    <col min="12292" max="12292" width="12" style="1174" customWidth="1"/>
    <col min="12293" max="12293" width="1.140625" style="1174" customWidth="1"/>
    <col min="12294" max="12294" width="14.140625" style="1174" customWidth="1"/>
    <col min="12295" max="12295" width="17.42578125" style="1174" customWidth="1"/>
    <col min="12296" max="12296" width="11.42578125" style="1174" customWidth="1"/>
    <col min="12297" max="12297" width="10.28515625" style="1174" customWidth="1"/>
    <col min="12298" max="12298" width="11.140625" style="1174" customWidth="1"/>
    <col min="12299" max="12299" width="14.7109375" style="1174" customWidth="1"/>
    <col min="12300" max="12300" width="11.28515625" style="1174" customWidth="1"/>
    <col min="12301" max="12301" width="11" style="1174" customWidth="1"/>
    <col min="12302" max="12302" width="12.140625" style="1174" customWidth="1"/>
    <col min="12303" max="12303" width="1.7109375" style="1174" customWidth="1"/>
    <col min="12304" max="12304" width="7.5703125" style="1174" customWidth="1"/>
    <col min="12305" max="12305" width="1.7109375" style="1174" customWidth="1"/>
    <col min="12306" max="12546" width="10" style="1174"/>
    <col min="12547" max="12547" width="10" style="1174" customWidth="1"/>
    <col min="12548" max="12548" width="12" style="1174" customWidth="1"/>
    <col min="12549" max="12549" width="1.140625" style="1174" customWidth="1"/>
    <col min="12550" max="12550" width="14.140625" style="1174" customWidth="1"/>
    <col min="12551" max="12551" width="17.42578125" style="1174" customWidth="1"/>
    <col min="12552" max="12552" width="11.42578125" style="1174" customWidth="1"/>
    <col min="12553" max="12553" width="10.28515625" style="1174" customWidth="1"/>
    <col min="12554" max="12554" width="11.140625" style="1174" customWidth="1"/>
    <col min="12555" max="12555" width="14.7109375" style="1174" customWidth="1"/>
    <col min="12556" max="12556" width="11.28515625" style="1174" customWidth="1"/>
    <col min="12557" max="12557" width="11" style="1174" customWidth="1"/>
    <col min="12558" max="12558" width="12.140625" style="1174" customWidth="1"/>
    <col min="12559" max="12559" width="1.7109375" style="1174" customWidth="1"/>
    <col min="12560" max="12560" width="7.5703125" style="1174" customWidth="1"/>
    <col min="12561" max="12561" width="1.7109375" style="1174" customWidth="1"/>
    <col min="12562" max="12802" width="10" style="1174"/>
    <col min="12803" max="12803" width="10" style="1174" customWidth="1"/>
    <col min="12804" max="12804" width="12" style="1174" customWidth="1"/>
    <col min="12805" max="12805" width="1.140625" style="1174" customWidth="1"/>
    <col min="12806" max="12806" width="14.140625" style="1174" customWidth="1"/>
    <col min="12807" max="12807" width="17.42578125" style="1174" customWidth="1"/>
    <col min="12808" max="12808" width="11.42578125" style="1174" customWidth="1"/>
    <col min="12809" max="12809" width="10.28515625" style="1174" customWidth="1"/>
    <col min="12810" max="12810" width="11.140625" style="1174" customWidth="1"/>
    <col min="12811" max="12811" width="14.7109375" style="1174" customWidth="1"/>
    <col min="12812" max="12812" width="11.28515625" style="1174" customWidth="1"/>
    <col min="12813" max="12813" width="11" style="1174" customWidth="1"/>
    <col min="12814" max="12814" width="12.140625" style="1174" customWidth="1"/>
    <col min="12815" max="12815" width="1.7109375" style="1174" customWidth="1"/>
    <col min="12816" max="12816" width="7.5703125" style="1174" customWidth="1"/>
    <col min="12817" max="12817" width="1.7109375" style="1174" customWidth="1"/>
    <col min="12818" max="13058" width="10" style="1174"/>
    <col min="13059" max="13059" width="10" style="1174" customWidth="1"/>
    <col min="13060" max="13060" width="12" style="1174" customWidth="1"/>
    <col min="13061" max="13061" width="1.140625" style="1174" customWidth="1"/>
    <col min="13062" max="13062" width="14.140625" style="1174" customWidth="1"/>
    <col min="13063" max="13063" width="17.42578125" style="1174" customWidth="1"/>
    <col min="13064" max="13064" width="11.42578125" style="1174" customWidth="1"/>
    <col min="13065" max="13065" width="10.28515625" style="1174" customWidth="1"/>
    <col min="13066" max="13066" width="11.140625" style="1174" customWidth="1"/>
    <col min="13067" max="13067" width="14.7109375" style="1174" customWidth="1"/>
    <col min="13068" max="13068" width="11.28515625" style="1174" customWidth="1"/>
    <col min="13069" max="13069" width="11" style="1174" customWidth="1"/>
    <col min="13070" max="13070" width="12.140625" style="1174" customWidth="1"/>
    <col min="13071" max="13071" width="1.7109375" style="1174" customWidth="1"/>
    <col min="13072" max="13072" width="7.5703125" style="1174" customWidth="1"/>
    <col min="13073" max="13073" width="1.7109375" style="1174" customWidth="1"/>
    <col min="13074" max="13314" width="10" style="1174"/>
    <col min="13315" max="13315" width="10" style="1174" customWidth="1"/>
    <col min="13316" max="13316" width="12" style="1174" customWidth="1"/>
    <col min="13317" max="13317" width="1.140625" style="1174" customWidth="1"/>
    <col min="13318" max="13318" width="14.140625" style="1174" customWidth="1"/>
    <col min="13319" max="13319" width="17.42578125" style="1174" customWidth="1"/>
    <col min="13320" max="13320" width="11.42578125" style="1174" customWidth="1"/>
    <col min="13321" max="13321" width="10.28515625" style="1174" customWidth="1"/>
    <col min="13322" max="13322" width="11.140625" style="1174" customWidth="1"/>
    <col min="13323" max="13323" width="14.7109375" style="1174" customWidth="1"/>
    <col min="13324" max="13324" width="11.28515625" style="1174" customWidth="1"/>
    <col min="13325" max="13325" width="11" style="1174" customWidth="1"/>
    <col min="13326" max="13326" width="12.140625" style="1174" customWidth="1"/>
    <col min="13327" max="13327" width="1.7109375" style="1174" customWidth="1"/>
    <col min="13328" max="13328" width="7.5703125" style="1174" customWidth="1"/>
    <col min="13329" max="13329" width="1.7109375" style="1174" customWidth="1"/>
    <col min="13330" max="13570" width="10" style="1174"/>
    <col min="13571" max="13571" width="10" style="1174" customWidth="1"/>
    <col min="13572" max="13572" width="12" style="1174" customWidth="1"/>
    <col min="13573" max="13573" width="1.140625" style="1174" customWidth="1"/>
    <col min="13574" max="13574" width="14.140625" style="1174" customWidth="1"/>
    <col min="13575" max="13575" width="17.42578125" style="1174" customWidth="1"/>
    <col min="13576" max="13576" width="11.42578125" style="1174" customWidth="1"/>
    <col min="13577" max="13577" width="10.28515625" style="1174" customWidth="1"/>
    <col min="13578" max="13578" width="11.140625" style="1174" customWidth="1"/>
    <col min="13579" max="13579" width="14.7109375" style="1174" customWidth="1"/>
    <col min="13580" max="13580" width="11.28515625" style="1174" customWidth="1"/>
    <col min="13581" max="13581" width="11" style="1174" customWidth="1"/>
    <col min="13582" max="13582" width="12.140625" style="1174" customWidth="1"/>
    <col min="13583" max="13583" width="1.7109375" style="1174" customWidth="1"/>
    <col min="13584" max="13584" width="7.5703125" style="1174" customWidth="1"/>
    <col min="13585" max="13585" width="1.7109375" style="1174" customWidth="1"/>
    <col min="13586" max="13826" width="10" style="1174"/>
    <col min="13827" max="13827" width="10" style="1174" customWidth="1"/>
    <col min="13828" max="13828" width="12" style="1174" customWidth="1"/>
    <col min="13829" max="13829" width="1.140625" style="1174" customWidth="1"/>
    <col min="13830" max="13830" width="14.140625" style="1174" customWidth="1"/>
    <col min="13831" max="13831" width="17.42578125" style="1174" customWidth="1"/>
    <col min="13832" max="13832" width="11.42578125" style="1174" customWidth="1"/>
    <col min="13833" max="13833" width="10.28515625" style="1174" customWidth="1"/>
    <col min="13834" max="13834" width="11.140625" style="1174" customWidth="1"/>
    <col min="13835" max="13835" width="14.7109375" style="1174" customWidth="1"/>
    <col min="13836" max="13836" width="11.28515625" style="1174" customWidth="1"/>
    <col min="13837" max="13837" width="11" style="1174" customWidth="1"/>
    <col min="13838" max="13838" width="12.140625" style="1174" customWidth="1"/>
    <col min="13839" max="13839" width="1.7109375" style="1174" customWidth="1"/>
    <col min="13840" max="13840" width="7.5703125" style="1174" customWidth="1"/>
    <col min="13841" max="13841" width="1.7109375" style="1174" customWidth="1"/>
    <col min="13842" max="14082" width="10" style="1174"/>
    <col min="14083" max="14083" width="10" style="1174" customWidth="1"/>
    <col min="14084" max="14084" width="12" style="1174" customWidth="1"/>
    <col min="14085" max="14085" width="1.140625" style="1174" customWidth="1"/>
    <col min="14086" max="14086" width="14.140625" style="1174" customWidth="1"/>
    <col min="14087" max="14087" width="17.42578125" style="1174" customWidth="1"/>
    <col min="14088" max="14088" width="11.42578125" style="1174" customWidth="1"/>
    <col min="14089" max="14089" width="10.28515625" style="1174" customWidth="1"/>
    <col min="14090" max="14090" width="11.140625" style="1174" customWidth="1"/>
    <col min="14091" max="14091" width="14.7109375" style="1174" customWidth="1"/>
    <col min="14092" max="14092" width="11.28515625" style="1174" customWidth="1"/>
    <col min="14093" max="14093" width="11" style="1174" customWidth="1"/>
    <col min="14094" max="14094" width="12.140625" style="1174" customWidth="1"/>
    <col min="14095" max="14095" width="1.7109375" style="1174" customWidth="1"/>
    <col min="14096" max="14096" width="7.5703125" style="1174" customWidth="1"/>
    <col min="14097" max="14097" width="1.7109375" style="1174" customWidth="1"/>
    <col min="14098" max="14338" width="10" style="1174"/>
    <col min="14339" max="14339" width="10" style="1174" customWidth="1"/>
    <col min="14340" max="14340" width="12" style="1174" customWidth="1"/>
    <col min="14341" max="14341" width="1.140625" style="1174" customWidth="1"/>
    <col min="14342" max="14342" width="14.140625" style="1174" customWidth="1"/>
    <col min="14343" max="14343" width="17.42578125" style="1174" customWidth="1"/>
    <col min="14344" max="14344" width="11.42578125" style="1174" customWidth="1"/>
    <col min="14345" max="14345" width="10.28515625" style="1174" customWidth="1"/>
    <col min="14346" max="14346" width="11.140625" style="1174" customWidth="1"/>
    <col min="14347" max="14347" width="14.7109375" style="1174" customWidth="1"/>
    <col min="14348" max="14348" width="11.28515625" style="1174" customWidth="1"/>
    <col min="14349" max="14349" width="11" style="1174" customWidth="1"/>
    <col min="14350" max="14350" width="12.140625" style="1174" customWidth="1"/>
    <col min="14351" max="14351" width="1.7109375" style="1174" customWidth="1"/>
    <col min="14352" max="14352" width="7.5703125" style="1174" customWidth="1"/>
    <col min="14353" max="14353" width="1.7109375" style="1174" customWidth="1"/>
    <col min="14354" max="14594" width="10" style="1174"/>
    <col min="14595" max="14595" width="10" style="1174" customWidth="1"/>
    <col min="14596" max="14596" width="12" style="1174" customWidth="1"/>
    <col min="14597" max="14597" width="1.140625" style="1174" customWidth="1"/>
    <col min="14598" max="14598" width="14.140625" style="1174" customWidth="1"/>
    <col min="14599" max="14599" width="17.42578125" style="1174" customWidth="1"/>
    <col min="14600" max="14600" width="11.42578125" style="1174" customWidth="1"/>
    <col min="14601" max="14601" width="10.28515625" style="1174" customWidth="1"/>
    <col min="14602" max="14602" width="11.140625" style="1174" customWidth="1"/>
    <col min="14603" max="14603" width="14.7109375" style="1174" customWidth="1"/>
    <col min="14604" max="14604" width="11.28515625" style="1174" customWidth="1"/>
    <col min="14605" max="14605" width="11" style="1174" customWidth="1"/>
    <col min="14606" max="14606" width="12.140625" style="1174" customWidth="1"/>
    <col min="14607" max="14607" width="1.7109375" style="1174" customWidth="1"/>
    <col min="14608" max="14608" width="7.5703125" style="1174" customWidth="1"/>
    <col min="14609" max="14609" width="1.7109375" style="1174" customWidth="1"/>
    <col min="14610" max="14850" width="10" style="1174"/>
    <col min="14851" max="14851" width="10" style="1174" customWidth="1"/>
    <col min="14852" max="14852" width="12" style="1174" customWidth="1"/>
    <col min="14853" max="14853" width="1.140625" style="1174" customWidth="1"/>
    <col min="14854" max="14854" width="14.140625" style="1174" customWidth="1"/>
    <col min="14855" max="14855" width="17.42578125" style="1174" customWidth="1"/>
    <col min="14856" max="14856" width="11.42578125" style="1174" customWidth="1"/>
    <col min="14857" max="14857" width="10.28515625" style="1174" customWidth="1"/>
    <col min="14858" max="14858" width="11.140625" style="1174" customWidth="1"/>
    <col min="14859" max="14859" width="14.7109375" style="1174" customWidth="1"/>
    <col min="14860" max="14860" width="11.28515625" style="1174" customWidth="1"/>
    <col min="14861" max="14861" width="11" style="1174" customWidth="1"/>
    <col min="14862" max="14862" width="12.140625" style="1174" customWidth="1"/>
    <col min="14863" max="14863" width="1.7109375" style="1174" customWidth="1"/>
    <col min="14864" max="14864" width="7.5703125" style="1174" customWidth="1"/>
    <col min="14865" max="14865" width="1.7109375" style="1174" customWidth="1"/>
    <col min="14866" max="15106" width="10" style="1174"/>
    <col min="15107" max="15107" width="10" style="1174" customWidth="1"/>
    <col min="15108" max="15108" width="12" style="1174" customWidth="1"/>
    <col min="15109" max="15109" width="1.140625" style="1174" customWidth="1"/>
    <col min="15110" max="15110" width="14.140625" style="1174" customWidth="1"/>
    <col min="15111" max="15111" width="17.42578125" style="1174" customWidth="1"/>
    <col min="15112" max="15112" width="11.42578125" style="1174" customWidth="1"/>
    <col min="15113" max="15113" width="10.28515625" style="1174" customWidth="1"/>
    <col min="15114" max="15114" width="11.140625" style="1174" customWidth="1"/>
    <col min="15115" max="15115" width="14.7109375" style="1174" customWidth="1"/>
    <col min="15116" max="15116" width="11.28515625" style="1174" customWidth="1"/>
    <col min="15117" max="15117" width="11" style="1174" customWidth="1"/>
    <col min="15118" max="15118" width="12.140625" style="1174" customWidth="1"/>
    <col min="15119" max="15119" width="1.7109375" style="1174" customWidth="1"/>
    <col min="15120" max="15120" width="7.5703125" style="1174" customWidth="1"/>
    <col min="15121" max="15121" width="1.7109375" style="1174" customWidth="1"/>
    <col min="15122" max="15362" width="10" style="1174"/>
    <col min="15363" max="15363" width="10" style="1174" customWidth="1"/>
    <col min="15364" max="15364" width="12" style="1174" customWidth="1"/>
    <col min="15365" max="15365" width="1.140625" style="1174" customWidth="1"/>
    <col min="15366" max="15366" width="14.140625" style="1174" customWidth="1"/>
    <col min="15367" max="15367" width="17.42578125" style="1174" customWidth="1"/>
    <col min="15368" max="15368" width="11.42578125" style="1174" customWidth="1"/>
    <col min="15369" max="15369" width="10.28515625" style="1174" customWidth="1"/>
    <col min="15370" max="15370" width="11.140625" style="1174" customWidth="1"/>
    <col min="15371" max="15371" width="14.7109375" style="1174" customWidth="1"/>
    <col min="15372" max="15372" width="11.28515625" style="1174" customWidth="1"/>
    <col min="15373" max="15373" width="11" style="1174" customWidth="1"/>
    <col min="15374" max="15374" width="12.140625" style="1174" customWidth="1"/>
    <col min="15375" max="15375" width="1.7109375" style="1174" customWidth="1"/>
    <col min="15376" max="15376" width="7.5703125" style="1174" customWidth="1"/>
    <col min="15377" max="15377" width="1.7109375" style="1174" customWidth="1"/>
    <col min="15378" max="15618" width="10" style="1174"/>
    <col min="15619" max="15619" width="10" style="1174" customWidth="1"/>
    <col min="15620" max="15620" width="12" style="1174" customWidth="1"/>
    <col min="15621" max="15621" width="1.140625" style="1174" customWidth="1"/>
    <col min="15622" max="15622" width="14.140625" style="1174" customWidth="1"/>
    <col min="15623" max="15623" width="17.42578125" style="1174" customWidth="1"/>
    <col min="15624" max="15624" width="11.42578125" style="1174" customWidth="1"/>
    <col min="15625" max="15625" width="10.28515625" style="1174" customWidth="1"/>
    <col min="15626" max="15626" width="11.140625" style="1174" customWidth="1"/>
    <col min="15627" max="15627" width="14.7109375" style="1174" customWidth="1"/>
    <col min="15628" max="15628" width="11.28515625" style="1174" customWidth="1"/>
    <col min="15629" max="15629" width="11" style="1174" customWidth="1"/>
    <col min="15630" max="15630" width="12.140625" style="1174" customWidth="1"/>
    <col min="15631" max="15631" width="1.7109375" style="1174" customWidth="1"/>
    <col min="15632" max="15632" width="7.5703125" style="1174" customWidth="1"/>
    <col min="15633" max="15633" width="1.7109375" style="1174" customWidth="1"/>
    <col min="15634" max="15874" width="10" style="1174"/>
    <col min="15875" max="15875" width="10" style="1174" customWidth="1"/>
    <col min="15876" max="15876" width="12" style="1174" customWidth="1"/>
    <col min="15877" max="15877" width="1.140625" style="1174" customWidth="1"/>
    <col min="15878" max="15878" width="14.140625" style="1174" customWidth="1"/>
    <col min="15879" max="15879" width="17.42578125" style="1174" customWidth="1"/>
    <col min="15880" max="15880" width="11.42578125" style="1174" customWidth="1"/>
    <col min="15881" max="15881" width="10.28515625" style="1174" customWidth="1"/>
    <col min="15882" max="15882" width="11.140625" style="1174" customWidth="1"/>
    <col min="15883" max="15883" width="14.7109375" style="1174" customWidth="1"/>
    <col min="15884" max="15884" width="11.28515625" style="1174" customWidth="1"/>
    <col min="15885" max="15885" width="11" style="1174" customWidth="1"/>
    <col min="15886" max="15886" width="12.140625" style="1174" customWidth="1"/>
    <col min="15887" max="15887" width="1.7109375" style="1174" customWidth="1"/>
    <col min="15888" max="15888" width="7.5703125" style="1174" customWidth="1"/>
    <col min="15889" max="15889" width="1.7109375" style="1174" customWidth="1"/>
    <col min="15890" max="16130" width="10" style="1174"/>
    <col min="16131" max="16131" width="10" style="1174" customWidth="1"/>
    <col min="16132" max="16132" width="12" style="1174" customWidth="1"/>
    <col min="16133" max="16133" width="1.140625" style="1174" customWidth="1"/>
    <col min="16134" max="16134" width="14.140625" style="1174" customWidth="1"/>
    <col min="16135" max="16135" width="17.42578125" style="1174" customWidth="1"/>
    <col min="16136" max="16136" width="11.42578125" style="1174" customWidth="1"/>
    <col min="16137" max="16137" width="10.28515625" style="1174" customWidth="1"/>
    <col min="16138" max="16138" width="11.140625" style="1174" customWidth="1"/>
    <col min="16139" max="16139" width="14.7109375" style="1174" customWidth="1"/>
    <col min="16140" max="16140" width="11.28515625" style="1174" customWidth="1"/>
    <col min="16141" max="16141" width="11" style="1174" customWidth="1"/>
    <col min="16142" max="16142" width="12.140625" style="1174" customWidth="1"/>
    <col min="16143" max="16143" width="1.7109375" style="1174" customWidth="1"/>
    <col min="16144" max="16144" width="7.5703125" style="1174" customWidth="1"/>
    <col min="16145" max="16145" width="1.7109375" style="1174" customWidth="1"/>
    <col min="16146" max="16384" width="10" style="1174"/>
  </cols>
  <sheetData>
    <row r="1" spans="4:17" ht="35.1" customHeight="1"/>
    <row r="2" spans="4:17" ht="35.1" customHeight="1"/>
    <row r="3" spans="4:17" s="1845" customFormat="1" ht="35.1" customHeight="1">
      <c r="D3" s="5093" t="s">
        <v>1754</v>
      </c>
      <c r="E3" s="5093"/>
      <c r="F3" s="5093"/>
      <c r="G3" s="5093"/>
      <c r="H3" s="5093"/>
      <c r="I3" s="5093"/>
      <c r="J3" s="5093"/>
      <c r="K3" s="5093"/>
      <c r="L3" s="5093"/>
      <c r="M3" s="5093"/>
      <c r="N3" s="5093"/>
      <c r="O3" s="5093"/>
      <c r="P3" s="5093"/>
      <c r="Q3" s="5093"/>
    </row>
    <row r="4" spans="4:17" s="2498" customFormat="1" ht="35.1" customHeight="1">
      <c r="D4" s="5094" t="s">
        <v>1755</v>
      </c>
      <c r="E4" s="5094"/>
      <c r="F4" s="5094"/>
      <c r="G4" s="5094"/>
      <c r="H4" s="5094"/>
      <c r="I4" s="5094"/>
      <c r="J4" s="5094"/>
      <c r="K4" s="5094"/>
      <c r="L4" s="5094"/>
      <c r="M4" s="5094"/>
      <c r="N4" s="5094"/>
      <c r="O4" s="5094"/>
      <c r="P4" s="5094"/>
      <c r="Q4" s="5094"/>
    </row>
    <row r="5" spans="4:17" s="1849" customFormat="1" ht="18" customHeight="1">
      <c r="D5" s="2334" t="s">
        <v>1482</v>
      </c>
      <c r="E5" s="3054"/>
      <c r="F5" s="3375"/>
      <c r="G5" s="3375"/>
      <c r="H5" s="3375"/>
      <c r="I5" s="3054"/>
      <c r="J5" s="3375"/>
      <c r="K5" s="3375"/>
      <c r="L5" s="3375"/>
      <c r="M5" s="3054"/>
      <c r="N5" s="3054"/>
      <c r="O5" s="3375"/>
      <c r="P5" s="2544"/>
      <c r="Q5" s="3696"/>
    </row>
    <row r="6" spans="4:17" ht="3.75" customHeight="1">
      <c r="D6" s="1323"/>
      <c r="E6" s="1323"/>
      <c r="F6" s="1323"/>
      <c r="G6" s="1323"/>
      <c r="H6" s="1323"/>
      <c r="I6" s="2103"/>
      <c r="J6" s="1323"/>
      <c r="K6" s="1323"/>
      <c r="L6" s="1323"/>
      <c r="M6" s="2103"/>
      <c r="N6" s="2103"/>
      <c r="O6" s="1323"/>
      <c r="P6" s="2773"/>
      <c r="Q6" s="1323"/>
    </row>
    <row r="7" spans="4:17">
      <c r="D7" s="1991"/>
      <c r="E7" s="1992"/>
      <c r="F7" s="1992"/>
      <c r="G7" s="1992"/>
      <c r="H7" s="1992"/>
      <c r="I7" s="3697"/>
      <c r="J7" s="1992"/>
      <c r="K7" s="1992"/>
      <c r="L7" s="1992"/>
      <c r="M7" s="1868"/>
      <c r="N7" s="3698"/>
      <c r="O7" s="1992"/>
      <c r="P7" s="2132"/>
      <c r="Q7" s="2133"/>
    </row>
    <row r="8" spans="4:17" ht="26.25" customHeight="1">
      <c r="D8" s="3191" t="s">
        <v>1756</v>
      </c>
      <c r="E8" s="2591"/>
      <c r="F8" s="1283"/>
      <c r="G8" s="1283"/>
      <c r="H8" s="1283"/>
      <c r="I8" s="3339" t="s">
        <v>1757</v>
      </c>
      <c r="J8" s="1283" t="s">
        <v>1758</v>
      </c>
      <c r="K8" s="1283"/>
      <c r="L8" s="1283"/>
      <c r="M8" s="2290" t="s">
        <v>1759</v>
      </c>
      <c r="N8" s="2561" t="s">
        <v>1760</v>
      </c>
      <c r="O8" s="1283"/>
      <c r="P8" s="2290"/>
      <c r="Q8" s="1294"/>
    </row>
    <row r="9" spans="4:17" ht="21" customHeight="1">
      <c r="D9" s="3699"/>
      <c r="E9" s="2550"/>
      <c r="F9" s="1283"/>
      <c r="G9" s="1283"/>
      <c r="H9" s="1283"/>
      <c r="I9" s="3700"/>
      <c r="J9" s="2523"/>
      <c r="K9" s="1283"/>
      <c r="L9" s="1283"/>
      <c r="M9" s="2728"/>
      <c r="N9" s="2561" t="s">
        <v>1761</v>
      </c>
      <c r="O9" s="1283"/>
      <c r="P9" s="2290"/>
      <c r="Q9" s="1294"/>
    </row>
    <row r="10" spans="4:17">
      <c r="D10" s="3379"/>
      <c r="E10" s="1822"/>
      <c r="F10" s="1384"/>
      <c r="G10" s="1384"/>
      <c r="H10" s="2521" t="s">
        <v>1762</v>
      </c>
      <c r="I10" s="2548"/>
      <c r="J10" s="1384"/>
      <c r="K10" s="2548" t="s">
        <v>1763</v>
      </c>
      <c r="L10" s="2548" t="s">
        <v>1764</v>
      </c>
      <c r="M10" s="2548"/>
      <c r="N10" s="2344" t="s">
        <v>395</v>
      </c>
      <c r="O10" s="4750"/>
      <c r="P10" s="4750"/>
      <c r="Q10" s="4751"/>
    </row>
    <row r="11" spans="4:17">
      <c r="D11" s="2513" t="s">
        <v>1765</v>
      </c>
      <c r="E11" s="2514"/>
      <c r="F11" s="2271" t="s">
        <v>1766</v>
      </c>
      <c r="G11" s="2271" t="s">
        <v>1767</v>
      </c>
      <c r="H11" s="2295" t="s">
        <v>1768</v>
      </c>
      <c r="I11" s="2271" t="s">
        <v>1769</v>
      </c>
      <c r="J11" s="2271" t="s">
        <v>1770</v>
      </c>
      <c r="K11" s="2271" t="s">
        <v>1771</v>
      </c>
      <c r="L11" s="2271" t="s">
        <v>1772</v>
      </c>
      <c r="M11" s="2271" t="s">
        <v>1769</v>
      </c>
      <c r="N11" s="3123"/>
      <c r="O11" s="4750"/>
      <c r="P11" s="4750"/>
      <c r="Q11" s="4751"/>
    </row>
    <row r="12" spans="4:17" s="2117" customFormat="1" ht="19.5">
      <c r="D12" s="3701"/>
      <c r="E12" s="1824"/>
      <c r="F12" s="1776"/>
      <c r="G12" s="1776"/>
      <c r="H12" s="1823"/>
      <c r="I12" s="1776"/>
      <c r="J12" s="1776"/>
      <c r="K12" s="1776" t="s">
        <v>1773</v>
      </c>
      <c r="L12" s="1776"/>
      <c r="M12" s="1776"/>
      <c r="N12" s="3702"/>
      <c r="O12" s="3703"/>
      <c r="P12" s="3704"/>
      <c r="Q12" s="3705"/>
    </row>
    <row r="13" spans="4:17" s="2117" customFormat="1" ht="19.5">
      <c r="D13" s="3701"/>
      <c r="E13" s="1824"/>
      <c r="F13" s="1776"/>
      <c r="G13" s="1776" t="s">
        <v>1774</v>
      </c>
      <c r="H13" s="1823" t="s">
        <v>1775</v>
      </c>
      <c r="I13" s="1776"/>
      <c r="J13" s="1776"/>
      <c r="K13" s="1776" t="s">
        <v>1776</v>
      </c>
      <c r="L13" s="1776" t="s">
        <v>1777</v>
      </c>
      <c r="M13" s="1776"/>
      <c r="N13" s="3702" t="s">
        <v>401</v>
      </c>
      <c r="O13" s="3703"/>
      <c r="P13" s="3704"/>
      <c r="Q13" s="3705"/>
    </row>
    <row r="14" spans="4:17" s="2117" customFormat="1" ht="19.5">
      <c r="D14" s="3706" t="s">
        <v>1778</v>
      </c>
      <c r="E14" s="3707"/>
      <c r="F14" s="3708" t="s">
        <v>1779</v>
      </c>
      <c r="G14" s="3708" t="s">
        <v>1780</v>
      </c>
      <c r="H14" s="3709" t="s">
        <v>1780</v>
      </c>
      <c r="I14" s="3708" t="s">
        <v>401</v>
      </c>
      <c r="J14" s="3708" t="s">
        <v>1781</v>
      </c>
      <c r="K14" s="3708" t="s">
        <v>1781</v>
      </c>
      <c r="L14" s="3708" t="s">
        <v>1782</v>
      </c>
      <c r="M14" s="3708" t="s">
        <v>401</v>
      </c>
      <c r="N14" s="1788" t="s">
        <v>1495</v>
      </c>
      <c r="O14" s="3710"/>
      <c r="P14" s="3711"/>
      <c r="Q14" s="3712"/>
    </row>
    <row r="15" spans="4:17" ht="18.95" customHeight="1">
      <c r="D15" s="1740">
        <v>5.3829539790662899</v>
      </c>
      <c r="E15" s="1724"/>
      <c r="F15" s="1724">
        <v>59.221658206429773</v>
      </c>
      <c r="G15" s="1724">
        <v>7.7430555555555554</v>
      </c>
      <c r="H15" s="1724">
        <v>226.20027434842248</v>
      </c>
      <c r="I15" s="1724">
        <v>25.611564121571533</v>
      </c>
      <c r="J15" s="1724">
        <v>63.97041278931043</v>
      </c>
      <c r="K15" s="1724">
        <v>22.42749731471536</v>
      </c>
      <c r="L15" s="1724">
        <v>126.03021978021978</v>
      </c>
      <c r="M15" s="1724">
        <v>45.323741007194243</v>
      </c>
      <c r="N15" s="1345">
        <v>36.635105608157318</v>
      </c>
      <c r="O15" s="1197"/>
      <c r="P15" s="1757">
        <v>1968</v>
      </c>
      <c r="Q15" s="1589"/>
    </row>
    <row r="16" spans="4:17" ht="18.95" customHeight="1">
      <c r="D16" s="3169">
        <v>2.890845655424489</v>
      </c>
      <c r="E16" s="2044"/>
      <c r="F16" s="2044">
        <v>59.165256627185556</v>
      </c>
      <c r="G16" s="2044">
        <v>11.875</v>
      </c>
      <c r="H16" s="2044">
        <v>206.85871056241427</v>
      </c>
      <c r="I16" s="2044">
        <v>25.648628613787995</v>
      </c>
      <c r="J16" s="2044">
        <v>120.32927702219041</v>
      </c>
      <c r="K16" s="2044">
        <v>38.195488721804516</v>
      </c>
      <c r="L16" s="2044">
        <v>216.00274725274727</v>
      </c>
      <c r="M16" s="2044">
        <v>72.589928057553962</v>
      </c>
      <c r="N16" s="3170">
        <v>51.930080116533126</v>
      </c>
      <c r="O16" s="2265"/>
      <c r="P16" s="3713">
        <v>1969</v>
      </c>
      <c r="Q16" s="3714"/>
    </row>
    <row r="17" spans="4:17" ht="18.95" customHeight="1">
      <c r="D17" s="1740">
        <v>2.691476989533145</v>
      </c>
      <c r="E17" s="1724"/>
      <c r="F17" s="1724">
        <v>41.060349689791309</v>
      </c>
      <c r="G17" s="1724">
        <v>12.291666666666666</v>
      </c>
      <c r="H17" s="1724">
        <v>210.69958847736623</v>
      </c>
      <c r="I17" s="1724">
        <v>24.017790956263894</v>
      </c>
      <c r="J17" s="1724">
        <v>15.223097112860891</v>
      </c>
      <c r="K17" s="1724">
        <v>12.309344790547797</v>
      </c>
      <c r="L17" s="1724">
        <v>67.582417582417591</v>
      </c>
      <c r="M17" s="1724">
        <v>27.302158273381298</v>
      </c>
      <c r="N17" s="1345">
        <v>25.819373634377275</v>
      </c>
      <c r="O17" s="1197"/>
      <c r="P17" s="1757">
        <v>1970</v>
      </c>
      <c r="Q17" s="1589"/>
    </row>
    <row r="18" spans="4:17" ht="18.95" customHeight="1">
      <c r="D18" s="3169">
        <v>2.3093537132414026</v>
      </c>
      <c r="E18" s="2044"/>
      <c r="F18" s="2044">
        <v>41.6243654822335</v>
      </c>
      <c r="G18" s="2044">
        <v>16.944444444444443</v>
      </c>
      <c r="H18" s="2044">
        <v>249.24554183813439</v>
      </c>
      <c r="I18" s="2044">
        <v>28.539659006671609</v>
      </c>
      <c r="J18" s="2044">
        <v>93.915533285612028</v>
      </c>
      <c r="K18" s="2044">
        <v>21.503759398496239</v>
      </c>
      <c r="L18" s="2044">
        <v>208.03571428571428</v>
      </c>
      <c r="M18" s="2044">
        <v>55.899280575539564</v>
      </c>
      <c r="N18" s="3170">
        <v>44.537509104151489</v>
      </c>
      <c r="O18" s="2265"/>
      <c r="P18" s="3713">
        <v>1971</v>
      </c>
      <c r="Q18" s="3714"/>
    </row>
    <row r="19" spans="4:17" ht="18.95" customHeight="1">
      <c r="D19" s="1740">
        <v>3.2729689317162318</v>
      </c>
      <c r="E19" s="1724"/>
      <c r="F19" s="1724">
        <v>46.362098138747882</v>
      </c>
      <c r="G19" s="1724">
        <v>24.131944444444446</v>
      </c>
      <c r="H19" s="1724">
        <v>230.58984910836759</v>
      </c>
      <c r="I19" s="1724">
        <v>31.764269829503334</v>
      </c>
      <c r="J19" s="1724">
        <v>177.69028871391077</v>
      </c>
      <c r="K19" s="1724">
        <v>34.006444683136415</v>
      </c>
      <c r="L19" s="1724">
        <v>258.79120879120882</v>
      </c>
      <c r="M19" s="1724">
        <v>81.906474820143885</v>
      </c>
      <c r="N19" s="1345">
        <v>61.10706482155863</v>
      </c>
      <c r="O19" s="1197"/>
      <c r="P19" s="1757">
        <v>1972</v>
      </c>
      <c r="Q19" s="1589"/>
    </row>
    <row r="20" spans="4:17" ht="18.95" customHeight="1">
      <c r="D20" s="3169">
        <v>4.8014620368832031</v>
      </c>
      <c r="E20" s="2044"/>
      <c r="F20" s="2044">
        <v>57.416807670614766</v>
      </c>
      <c r="G20" s="2044">
        <v>25.416666666666664</v>
      </c>
      <c r="H20" s="2044">
        <v>284.77366255144034</v>
      </c>
      <c r="I20" s="2044">
        <v>37.398072646404742</v>
      </c>
      <c r="J20" s="2044">
        <v>26.413743736578382</v>
      </c>
      <c r="K20" s="2044">
        <v>29.344790547798066</v>
      </c>
      <c r="L20" s="2044">
        <v>66.071428571428584</v>
      </c>
      <c r="M20" s="2044">
        <v>30.39568345323741</v>
      </c>
      <c r="N20" s="3170">
        <v>33.284777858703571</v>
      </c>
      <c r="O20" s="2265"/>
      <c r="P20" s="3713">
        <v>1973</v>
      </c>
      <c r="Q20" s="3714"/>
    </row>
    <row r="21" spans="4:17" ht="18.95" customHeight="1">
      <c r="D21" s="1740">
        <v>6.7286924738328633</v>
      </c>
      <c r="E21" s="1724"/>
      <c r="F21" s="1724">
        <v>52.622673434856168</v>
      </c>
      <c r="G21" s="1724">
        <v>19.340277777777779</v>
      </c>
      <c r="H21" s="1724">
        <v>128.80658436213992</v>
      </c>
      <c r="I21" s="1724">
        <v>25.240919199406964</v>
      </c>
      <c r="J21" s="1724">
        <v>205.75041756144117</v>
      </c>
      <c r="K21" s="1724">
        <v>40.128893662728245</v>
      </c>
      <c r="L21" s="1724">
        <v>313.39285714285717</v>
      </c>
      <c r="M21" s="1724">
        <v>92.374100719424462</v>
      </c>
      <c r="N21" s="1345">
        <v>64.530225782957018</v>
      </c>
      <c r="O21" s="1197"/>
      <c r="P21" s="1757">
        <v>1974</v>
      </c>
      <c r="Q21" s="1589"/>
    </row>
    <row r="22" spans="4:17" ht="18.95" customHeight="1">
      <c r="D22" s="3169">
        <v>16.61405549094534</v>
      </c>
      <c r="E22" s="2044"/>
      <c r="F22" s="2044">
        <v>56.401579244218837</v>
      </c>
      <c r="G22" s="2044">
        <v>34.722222222222221</v>
      </c>
      <c r="H22" s="2044">
        <v>137.1742112482853</v>
      </c>
      <c r="I22" s="2044">
        <v>37.064492216456635</v>
      </c>
      <c r="J22" s="2044">
        <v>23.860653781913623</v>
      </c>
      <c r="K22" s="2044">
        <v>21.482277121374864</v>
      </c>
      <c r="L22" s="2044">
        <v>68.681318681318686</v>
      </c>
      <c r="M22" s="2044">
        <v>35.97122302158273</v>
      </c>
      <c r="N22" s="3170">
        <v>36.416605972323374</v>
      </c>
      <c r="O22" s="2265"/>
      <c r="P22" s="3713">
        <v>1975</v>
      </c>
      <c r="Q22" s="3714"/>
    </row>
    <row r="23" spans="4:17" ht="18.95" customHeight="1">
      <c r="D23" s="1740">
        <v>30.951985379631168</v>
      </c>
      <c r="E23" s="1724"/>
      <c r="F23" s="1724">
        <v>47.82853919909757</v>
      </c>
      <c r="G23" s="1724">
        <v>40.902777777777779</v>
      </c>
      <c r="H23" s="1724">
        <v>112.89437585733882</v>
      </c>
      <c r="I23" s="1724">
        <v>42.587101556708674</v>
      </c>
      <c r="J23" s="1724">
        <v>114.22094965402052</v>
      </c>
      <c r="K23" s="1724">
        <v>23.458646616541355</v>
      </c>
      <c r="L23" s="1724">
        <v>88.392857142857139</v>
      </c>
      <c r="M23" s="1724">
        <v>51.510791366906474</v>
      </c>
      <c r="N23" s="1345">
        <v>47.815003641660596</v>
      </c>
      <c r="O23" s="1197"/>
      <c r="P23" s="1757">
        <v>1976</v>
      </c>
      <c r="Q23" s="1589"/>
    </row>
    <row r="24" spans="4:17" ht="18.95" customHeight="1">
      <c r="D24" s="3169">
        <v>41.153015451071603</v>
      </c>
      <c r="E24" s="2044"/>
      <c r="F24" s="2044">
        <v>54.59672870840383</v>
      </c>
      <c r="G24" s="2044">
        <v>49.097222222222229</v>
      </c>
      <c r="H24" s="2044">
        <v>135.3909465020576</v>
      </c>
      <c r="I24" s="2044">
        <v>52.149740548554476</v>
      </c>
      <c r="J24" s="2044">
        <v>41.780004772130752</v>
      </c>
      <c r="K24" s="2044">
        <v>40.042964554242751</v>
      </c>
      <c r="L24" s="2044">
        <v>79.670329670329679</v>
      </c>
      <c r="M24" s="2044">
        <v>43.920863309352512</v>
      </c>
      <c r="N24" s="3170">
        <v>47.305171158048068</v>
      </c>
      <c r="O24" s="2265"/>
      <c r="P24" s="3713">
        <v>1977</v>
      </c>
      <c r="Q24" s="3714"/>
    </row>
    <row r="25" spans="4:17" ht="18.95" customHeight="1">
      <c r="D25" s="1740">
        <v>50.955308190729355</v>
      </c>
      <c r="E25" s="1724"/>
      <c r="F25" s="1724">
        <v>60.8009024252679</v>
      </c>
      <c r="G25" s="1724">
        <v>42.916666666666664</v>
      </c>
      <c r="H25" s="1724">
        <v>131.96159122085047</v>
      </c>
      <c r="I25" s="1724">
        <v>52.928094885100073</v>
      </c>
      <c r="J25" s="1724">
        <v>188.02195180147936</v>
      </c>
      <c r="K25" s="1724">
        <v>64.618689581095595</v>
      </c>
      <c r="L25" s="1724">
        <v>80.425824175824175</v>
      </c>
      <c r="M25" s="1724">
        <v>94.496402877697832</v>
      </c>
      <c r="N25" s="1345">
        <v>77.312454479242533</v>
      </c>
      <c r="O25" s="1197"/>
      <c r="P25" s="1757">
        <v>1978</v>
      </c>
      <c r="Q25" s="1589"/>
    </row>
    <row r="26" spans="4:17" ht="18.95" customHeight="1">
      <c r="D26" s="3169">
        <v>54.809769064628675</v>
      </c>
      <c r="E26" s="2044"/>
      <c r="F26" s="2044">
        <v>53.355893965031008</v>
      </c>
      <c r="G26" s="2044">
        <v>57.638888888888886</v>
      </c>
      <c r="H26" s="2044">
        <v>123.3196159122085</v>
      </c>
      <c r="I26" s="2044">
        <v>60.118606375092654</v>
      </c>
      <c r="J26" s="2044">
        <v>34.700000000000003</v>
      </c>
      <c r="K26" s="2044">
        <v>41.525241675617622</v>
      </c>
      <c r="L26" s="2044">
        <v>28.502747252747252</v>
      </c>
      <c r="M26" s="2044">
        <v>48.741007194244609</v>
      </c>
      <c r="N26" s="3170">
        <v>53.459577567370722</v>
      </c>
      <c r="O26" s="2265"/>
      <c r="P26" s="3713">
        <v>1979</v>
      </c>
      <c r="Q26" s="3714"/>
    </row>
    <row r="27" spans="4:17" ht="18.95" customHeight="1">
      <c r="D27" s="1740">
        <v>63.5</v>
      </c>
      <c r="E27" s="1724"/>
      <c r="F27" s="1724">
        <v>81.400000000000006</v>
      </c>
      <c r="G27" s="1724">
        <v>47.3</v>
      </c>
      <c r="H27" s="1724">
        <v>74.400000000000006</v>
      </c>
      <c r="I27" s="1724">
        <v>59.7</v>
      </c>
      <c r="J27" s="1724">
        <v>225.7</v>
      </c>
      <c r="K27" s="1724">
        <v>93.9</v>
      </c>
      <c r="L27" s="1724">
        <v>181.1</v>
      </c>
      <c r="M27" s="1724">
        <v>116</v>
      </c>
      <c r="N27" s="1345">
        <v>91.9</v>
      </c>
      <c r="O27" s="1197"/>
      <c r="P27" s="1757">
        <v>1980</v>
      </c>
      <c r="Q27" s="1589"/>
    </row>
    <row r="28" spans="4:17" ht="18.95" customHeight="1">
      <c r="D28" s="3169">
        <v>65.400000000000006</v>
      </c>
      <c r="E28" s="2044"/>
      <c r="F28" s="2044">
        <v>74.3</v>
      </c>
      <c r="G28" s="2044">
        <v>47.3</v>
      </c>
      <c r="H28" s="2044">
        <v>78.3</v>
      </c>
      <c r="I28" s="2044">
        <v>59.8</v>
      </c>
      <c r="J28" s="2044">
        <v>96.1</v>
      </c>
      <c r="K28" s="2044">
        <v>111</v>
      </c>
      <c r="L28" s="2044">
        <v>95.4</v>
      </c>
      <c r="M28" s="2044">
        <v>93.6</v>
      </c>
      <c r="N28" s="3170">
        <v>79.099999999999994</v>
      </c>
      <c r="O28" s="2265"/>
      <c r="P28" s="3713">
        <v>1981</v>
      </c>
      <c r="Q28" s="3714"/>
    </row>
    <row r="29" spans="4:17" ht="18.95" customHeight="1">
      <c r="D29" s="1740">
        <v>70.2</v>
      </c>
      <c r="E29" s="1724"/>
      <c r="F29" s="1724">
        <v>85.3</v>
      </c>
      <c r="G29" s="1724">
        <v>51.8</v>
      </c>
      <c r="H29" s="1724">
        <v>79.900000000000006</v>
      </c>
      <c r="I29" s="1724">
        <v>64.599999999999994</v>
      </c>
      <c r="J29" s="1724">
        <v>204.9</v>
      </c>
      <c r="K29" s="1724">
        <v>108</v>
      </c>
      <c r="L29" s="1724">
        <v>99</v>
      </c>
      <c r="M29" s="1724">
        <v>104.5</v>
      </c>
      <c r="N29" s="1345">
        <v>87.3</v>
      </c>
      <c r="O29" s="1197"/>
      <c r="P29" s="1757">
        <v>1982</v>
      </c>
      <c r="Q29" s="1589"/>
    </row>
    <row r="30" spans="4:17" ht="18.95" customHeight="1">
      <c r="D30" s="3169">
        <v>79.8</v>
      </c>
      <c r="E30" s="2044"/>
      <c r="F30" s="2044">
        <v>80.7</v>
      </c>
      <c r="G30" s="2044">
        <v>75.5</v>
      </c>
      <c r="H30" s="2044">
        <v>93.4</v>
      </c>
      <c r="I30" s="2044">
        <v>79.900000000000006</v>
      </c>
      <c r="J30" s="2044">
        <v>112.7</v>
      </c>
      <c r="K30" s="2044">
        <v>110.7</v>
      </c>
      <c r="L30" s="2044">
        <v>187.2</v>
      </c>
      <c r="M30" s="2044">
        <v>110.2</v>
      </c>
      <c r="N30" s="3170">
        <v>97.1</v>
      </c>
      <c r="O30" s="2265"/>
      <c r="P30" s="3713">
        <v>1983</v>
      </c>
      <c r="Q30" s="3714"/>
    </row>
    <row r="31" spans="4:17" ht="18.95" customHeight="1">
      <c r="D31" s="1740">
        <v>75</v>
      </c>
      <c r="E31" s="1724"/>
      <c r="F31" s="1724">
        <v>88.5</v>
      </c>
      <c r="G31" s="1724">
        <v>89.1</v>
      </c>
      <c r="H31" s="1724">
        <v>90.9</v>
      </c>
      <c r="I31" s="1724">
        <v>86.9</v>
      </c>
      <c r="J31" s="1724">
        <v>253.6</v>
      </c>
      <c r="K31" s="1724">
        <v>72</v>
      </c>
      <c r="L31" s="1724">
        <v>77</v>
      </c>
      <c r="M31" s="1724">
        <v>101.8</v>
      </c>
      <c r="N31" s="1345">
        <v>95.4</v>
      </c>
      <c r="O31" s="1197"/>
      <c r="P31" s="1757">
        <v>1984</v>
      </c>
      <c r="Q31" s="1589"/>
    </row>
    <row r="32" spans="4:17" ht="18.95" customHeight="1">
      <c r="D32" s="3169">
        <v>100</v>
      </c>
      <c r="E32" s="2044"/>
      <c r="F32" s="2043">
        <v>100</v>
      </c>
      <c r="G32" s="2043">
        <v>100</v>
      </c>
      <c r="H32" s="2043">
        <v>100</v>
      </c>
      <c r="I32" s="2043">
        <v>100</v>
      </c>
      <c r="J32" s="2044">
        <v>100</v>
      </c>
      <c r="K32" s="2043">
        <v>100</v>
      </c>
      <c r="L32" s="2043">
        <v>100</v>
      </c>
      <c r="M32" s="2043">
        <v>100</v>
      </c>
      <c r="N32" s="3170">
        <v>100</v>
      </c>
      <c r="O32" s="2265"/>
      <c r="P32" s="3713">
        <v>1985</v>
      </c>
      <c r="Q32" s="3714"/>
    </row>
    <row r="33" spans="4:18" ht="18.95" customHeight="1">
      <c r="D33" s="1740">
        <v>96.2</v>
      </c>
      <c r="E33" s="1724"/>
      <c r="F33" s="1724">
        <v>91.6</v>
      </c>
      <c r="G33" s="1724">
        <v>115.5</v>
      </c>
      <c r="H33" s="1724">
        <v>60.1</v>
      </c>
      <c r="I33" s="1724">
        <v>98.1</v>
      </c>
      <c r="J33" s="1724">
        <v>161.30000000000001</v>
      </c>
      <c r="K33" s="1724">
        <v>155.9</v>
      </c>
      <c r="L33" s="1724">
        <v>52.1</v>
      </c>
      <c r="M33" s="1724">
        <v>115.3</v>
      </c>
      <c r="N33" s="1345">
        <v>107.9</v>
      </c>
      <c r="O33" s="1197"/>
      <c r="P33" s="1757">
        <v>1986</v>
      </c>
      <c r="Q33" s="1589"/>
    </row>
    <row r="34" spans="4:18" ht="18.95" customHeight="1">
      <c r="D34" s="3169">
        <v>81.7</v>
      </c>
      <c r="E34" s="2044"/>
      <c r="F34" s="2043">
        <v>109</v>
      </c>
      <c r="G34" s="2043">
        <v>114.5</v>
      </c>
      <c r="H34" s="2043">
        <v>73</v>
      </c>
      <c r="I34" s="2043">
        <v>100.8</v>
      </c>
      <c r="J34" s="2044">
        <v>103.8</v>
      </c>
      <c r="K34" s="2043">
        <v>175.7</v>
      </c>
      <c r="L34" s="2043">
        <v>125.1</v>
      </c>
      <c r="M34" s="2043">
        <v>133.30000000000001</v>
      </c>
      <c r="N34" s="3170">
        <v>119.3</v>
      </c>
      <c r="O34" s="2265"/>
      <c r="P34" s="3713">
        <v>1987</v>
      </c>
      <c r="Q34" s="3714"/>
    </row>
    <row r="35" spans="4:18" ht="18.95" customHeight="1">
      <c r="D35" s="1740">
        <v>73.099999999999994</v>
      </c>
      <c r="E35" s="1724"/>
      <c r="F35" s="1724">
        <v>117.6</v>
      </c>
      <c r="G35" s="1724">
        <v>123.6</v>
      </c>
      <c r="H35" s="1724">
        <v>76.400000000000006</v>
      </c>
      <c r="I35" s="1724">
        <v>105.6</v>
      </c>
      <c r="J35" s="1724">
        <v>359.4</v>
      </c>
      <c r="K35" s="1724">
        <v>193.1</v>
      </c>
      <c r="L35" s="1724">
        <v>142.19999999999999</v>
      </c>
      <c r="M35" s="1724">
        <v>167.2</v>
      </c>
      <c r="N35" s="1345">
        <v>140.6</v>
      </c>
      <c r="O35" s="1197"/>
      <c r="P35" s="1757">
        <v>1988</v>
      </c>
      <c r="Q35" s="1589"/>
    </row>
    <row r="36" spans="4:18" ht="18.95" customHeight="1">
      <c r="D36" s="3169">
        <v>67.3</v>
      </c>
      <c r="E36" s="2044"/>
      <c r="F36" s="2043">
        <v>123</v>
      </c>
      <c r="G36" s="2043">
        <v>78.2</v>
      </c>
      <c r="H36" s="2043">
        <v>85.9</v>
      </c>
      <c r="I36" s="2043">
        <v>83.9</v>
      </c>
      <c r="J36" s="2044">
        <v>130.4</v>
      </c>
      <c r="K36" s="2043">
        <v>203</v>
      </c>
      <c r="L36" s="2043">
        <v>89</v>
      </c>
      <c r="M36" s="2043">
        <v>125.4</v>
      </c>
      <c r="N36" s="3170">
        <v>107.5</v>
      </c>
      <c r="O36" s="2265"/>
      <c r="P36" s="3713">
        <v>1989</v>
      </c>
      <c r="Q36" s="3714"/>
    </row>
    <row r="37" spans="4:18" ht="18.95" customHeight="1">
      <c r="D37" s="1740">
        <v>101.9</v>
      </c>
      <c r="E37" s="1724"/>
      <c r="F37" s="1724">
        <v>170.7</v>
      </c>
      <c r="G37" s="1724">
        <v>90.9</v>
      </c>
      <c r="H37" s="1724">
        <v>92.8</v>
      </c>
      <c r="I37" s="1724">
        <v>104</v>
      </c>
      <c r="J37" s="1724">
        <v>323.2</v>
      </c>
      <c r="K37" s="1724">
        <v>249.1</v>
      </c>
      <c r="L37" s="1724">
        <v>136</v>
      </c>
      <c r="M37" s="1724">
        <v>187.8</v>
      </c>
      <c r="N37" s="1345">
        <v>151.69999999999999</v>
      </c>
      <c r="O37" s="1197"/>
      <c r="P37" s="1757">
        <v>1990</v>
      </c>
      <c r="Q37" s="1589"/>
    </row>
    <row r="38" spans="4:18" ht="18.95" customHeight="1">
      <c r="D38" s="3169">
        <v>140</v>
      </c>
      <c r="E38" s="2044"/>
      <c r="F38" s="2043">
        <v>277.5</v>
      </c>
      <c r="G38" s="2043">
        <v>109.1</v>
      </c>
      <c r="H38" s="2043">
        <v>154</v>
      </c>
      <c r="I38" s="2043">
        <v>145.80000000000001</v>
      </c>
      <c r="J38" s="2044">
        <v>205.9</v>
      </c>
      <c r="K38" s="2043">
        <v>258.7</v>
      </c>
      <c r="L38" s="2043">
        <v>108.5</v>
      </c>
      <c r="M38" s="2043">
        <v>159.30000000000001</v>
      </c>
      <c r="N38" s="3170">
        <v>153.5</v>
      </c>
      <c r="O38" s="2265"/>
      <c r="P38" s="3713">
        <v>1991</v>
      </c>
      <c r="Q38" s="3714"/>
    </row>
    <row r="39" spans="4:18" ht="18.95" customHeight="1">
      <c r="D39" s="1740">
        <v>149</v>
      </c>
      <c r="E39" s="1724"/>
      <c r="F39" s="1724">
        <v>277.5</v>
      </c>
      <c r="G39" s="1724">
        <v>127.3</v>
      </c>
      <c r="H39" s="1724">
        <v>154.1</v>
      </c>
      <c r="I39" s="1724">
        <v>156.19999999999999</v>
      </c>
      <c r="J39" s="1724">
        <v>415.3</v>
      </c>
      <c r="K39" s="1724">
        <v>276</v>
      </c>
      <c r="L39" s="1724">
        <v>168.5</v>
      </c>
      <c r="M39" s="1724">
        <v>213.7</v>
      </c>
      <c r="N39" s="1345">
        <v>188.9</v>
      </c>
      <c r="O39" s="1197"/>
      <c r="P39" s="1757">
        <v>1992</v>
      </c>
      <c r="Q39" s="1589"/>
    </row>
    <row r="40" spans="4:18" ht="18.95" customHeight="1">
      <c r="D40" s="3169">
        <v>165.8</v>
      </c>
      <c r="E40" s="2044"/>
      <c r="F40" s="2044">
        <v>295.10000000000002</v>
      </c>
      <c r="G40" s="2044">
        <v>151.6</v>
      </c>
      <c r="H40" s="2044">
        <v>173.5</v>
      </c>
      <c r="I40" s="2044">
        <v>176.8</v>
      </c>
      <c r="J40" s="2044">
        <v>161.5</v>
      </c>
      <c r="K40" s="2044">
        <v>212</v>
      </c>
      <c r="L40" s="2044">
        <v>101.3</v>
      </c>
      <c r="M40" s="2044">
        <v>144.5</v>
      </c>
      <c r="N40" s="3170">
        <v>158.5</v>
      </c>
      <c r="O40" s="2265"/>
      <c r="P40" s="3713">
        <v>1993</v>
      </c>
      <c r="Q40" s="3714"/>
    </row>
    <row r="41" spans="4:18" ht="18.95" customHeight="1">
      <c r="D41" s="1740">
        <v>167.5</v>
      </c>
      <c r="E41" s="1724"/>
      <c r="F41" s="1724">
        <v>268.10000000000002</v>
      </c>
      <c r="G41" s="1724">
        <v>170.9</v>
      </c>
      <c r="H41" s="1724">
        <v>147.6</v>
      </c>
      <c r="I41" s="1724">
        <v>178.2</v>
      </c>
      <c r="J41" s="1724">
        <v>477.5</v>
      </c>
      <c r="K41" s="1724">
        <v>303.89999999999998</v>
      </c>
      <c r="L41" s="1724">
        <v>91.8</v>
      </c>
      <c r="M41" s="1724">
        <v>208.9</v>
      </c>
      <c r="N41" s="1345">
        <v>195.7</v>
      </c>
      <c r="O41" s="1197"/>
      <c r="P41" s="1757">
        <v>1994</v>
      </c>
      <c r="Q41" s="1589"/>
    </row>
    <row r="42" spans="4:18" ht="18.95" customHeight="1">
      <c r="D42" s="3169">
        <v>137.5</v>
      </c>
      <c r="E42" s="2044"/>
      <c r="F42" s="2044">
        <v>260.3</v>
      </c>
      <c r="G42" s="2044">
        <v>194.5</v>
      </c>
      <c r="H42" s="2044">
        <v>132.9</v>
      </c>
      <c r="I42" s="2044">
        <v>182.1</v>
      </c>
      <c r="J42" s="2044">
        <v>320.60000000000002</v>
      </c>
      <c r="K42" s="2044">
        <v>252.2</v>
      </c>
      <c r="L42" s="2044">
        <v>106.1</v>
      </c>
      <c r="M42" s="2044">
        <v>201.2</v>
      </c>
      <c r="N42" s="3170">
        <v>193</v>
      </c>
      <c r="O42" s="2265"/>
      <c r="P42" s="3713">
        <v>1995</v>
      </c>
      <c r="Q42" s="3714"/>
    </row>
    <row r="43" spans="4:18" ht="16.5" customHeight="1">
      <c r="D43" s="1737">
        <v>139.6</v>
      </c>
      <c r="E43" s="1725"/>
      <c r="F43" s="1725">
        <v>292.3</v>
      </c>
      <c r="G43" s="1725">
        <v>181.8</v>
      </c>
      <c r="H43" s="1725">
        <v>146.4</v>
      </c>
      <c r="I43" s="1725">
        <v>182.7</v>
      </c>
      <c r="J43" s="1725">
        <v>449.7</v>
      </c>
      <c r="K43" s="1725">
        <v>240.8</v>
      </c>
      <c r="L43" s="1725">
        <v>93.5</v>
      </c>
      <c r="M43" s="1725">
        <v>192</v>
      </c>
      <c r="N43" s="1346">
        <v>188</v>
      </c>
      <c r="O43" s="1666"/>
      <c r="P43" s="1660">
        <v>1996</v>
      </c>
      <c r="Q43" s="1652"/>
    </row>
    <row r="44" spans="4:18" s="1191" customFormat="1" ht="6.95" customHeight="1">
      <c r="D44" s="3715"/>
      <c r="E44" s="3716"/>
      <c r="F44" s="3715"/>
      <c r="G44" s="3716"/>
      <c r="H44" s="3716"/>
      <c r="I44" s="3717"/>
      <c r="J44" s="3716"/>
      <c r="K44" s="3716"/>
      <c r="L44" s="3716"/>
      <c r="M44" s="3717"/>
      <c r="N44" s="3578"/>
      <c r="O44" s="3716"/>
      <c r="P44" s="3718"/>
      <c r="Q44" s="2576"/>
    </row>
    <row r="45" spans="4:18" s="1191" customFormat="1" ht="18" customHeight="1">
      <c r="D45" s="3719" t="s">
        <v>1783</v>
      </c>
      <c r="E45" s="2162"/>
      <c r="F45" s="2218"/>
      <c r="G45" s="2162"/>
      <c r="H45" s="2162"/>
      <c r="I45" s="1915"/>
      <c r="J45" s="2162"/>
      <c r="K45" s="2162"/>
      <c r="L45" s="2162"/>
      <c r="M45" s="1915"/>
      <c r="N45" s="3579"/>
      <c r="O45" s="2162"/>
      <c r="P45" s="3720" t="s">
        <v>1784</v>
      </c>
      <c r="Q45" s="1649"/>
      <c r="R45" s="2254"/>
    </row>
    <row r="46" spans="4:18" s="1849" customFormat="1" ht="18" customHeight="1">
      <c r="D46" s="2334" t="s">
        <v>1785</v>
      </c>
      <c r="E46" s="3054"/>
      <c r="F46" s="3375"/>
      <c r="G46" s="3375"/>
      <c r="H46" s="3375"/>
      <c r="I46" s="3054"/>
      <c r="J46" s="3375"/>
      <c r="K46" s="3375"/>
      <c r="L46" s="3375"/>
      <c r="M46" s="3054"/>
      <c r="N46" s="3054"/>
      <c r="O46" s="3375"/>
      <c r="P46" s="2544"/>
      <c r="Q46" s="2544"/>
    </row>
    <row r="47" spans="4:18" ht="6" customHeight="1">
      <c r="D47" s="1991"/>
      <c r="E47" s="1992"/>
      <c r="F47" s="1992"/>
      <c r="G47" s="1992"/>
      <c r="H47" s="1994"/>
      <c r="I47" s="1868"/>
      <c r="J47" s="2182"/>
      <c r="K47" s="1994"/>
      <c r="L47" s="1992"/>
      <c r="M47" s="3697"/>
      <c r="N47" s="1868"/>
      <c r="O47" s="1994"/>
      <c r="P47" s="2132"/>
      <c r="Q47" s="2133"/>
    </row>
    <row r="48" spans="4:18" ht="19.5" customHeight="1">
      <c r="D48" s="3191"/>
      <c r="E48" s="2591"/>
      <c r="F48" s="1283"/>
      <c r="G48" s="2290"/>
      <c r="H48" s="2293"/>
      <c r="I48" s="2296"/>
      <c r="J48" s="2514"/>
      <c r="K48" s="2293"/>
      <c r="L48" s="1283"/>
      <c r="M48" s="3339"/>
      <c r="N48" s="1251" t="s">
        <v>1760</v>
      </c>
      <c r="O48" s="2293"/>
      <c r="P48" s="2290"/>
      <c r="Q48" s="1294"/>
    </row>
    <row r="49" spans="4:18">
      <c r="D49" s="4774"/>
      <c r="E49" s="4672"/>
      <c r="F49" s="4672"/>
      <c r="G49" s="4685"/>
      <c r="H49" s="4683"/>
      <c r="I49" s="4672"/>
      <c r="J49" s="4685"/>
      <c r="K49" s="4683"/>
      <c r="L49" s="4672"/>
      <c r="M49" s="4685"/>
      <c r="N49" s="1251" t="s">
        <v>1761</v>
      </c>
      <c r="O49" s="3070"/>
      <c r="P49" s="1243"/>
      <c r="Q49" s="1237"/>
    </row>
    <row r="50" spans="4:18" ht="18" customHeight="1">
      <c r="D50" s="4774" t="s">
        <v>1786</v>
      </c>
      <c r="E50" s="4672"/>
      <c r="F50" s="4672"/>
      <c r="G50" s="4685"/>
      <c r="H50" s="4683" t="s">
        <v>3014</v>
      </c>
      <c r="I50" s="4672"/>
      <c r="J50" s="4685"/>
      <c r="K50" s="4683" t="s">
        <v>1787</v>
      </c>
      <c r="L50" s="4672"/>
      <c r="M50" s="4685"/>
      <c r="N50" s="1251" t="s">
        <v>395</v>
      </c>
      <c r="O50" s="4683"/>
      <c r="P50" s="4672"/>
      <c r="Q50" s="4752"/>
    </row>
    <row r="51" spans="4:18" ht="17.25" customHeight="1">
      <c r="D51" s="3699"/>
      <c r="E51" s="2296"/>
      <c r="F51" s="2296"/>
      <c r="G51" s="2296"/>
      <c r="H51" s="3721"/>
      <c r="I51" s="2343"/>
      <c r="J51" s="2514"/>
      <c r="K51" s="3721"/>
      <c r="L51" s="1234"/>
      <c r="M51" s="1233"/>
      <c r="N51" s="1236"/>
      <c r="O51" s="4683"/>
      <c r="P51" s="4672"/>
      <c r="Q51" s="4752"/>
    </row>
    <row r="52" spans="4:18">
      <c r="D52" s="2513"/>
      <c r="E52" s="2296"/>
      <c r="F52" s="2296"/>
      <c r="G52" s="2296"/>
      <c r="H52" s="2295"/>
      <c r="I52" s="2343"/>
      <c r="J52" s="2514"/>
      <c r="K52" s="2295"/>
      <c r="L52" s="2296"/>
      <c r="M52" s="2344"/>
      <c r="N52" s="1251" t="s">
        <v>401</v>
      </c>
      <c r="O52" s="3070"/>
      <c r="P52" s="1243"/>
      <c r="Q52" s="1237"/>
    </row>
    <row r="53" spans="4:18" ht="18" customHeight="1">
      <c r="D53" s="4775" t="s">
        <v>1788</v>
      </c>
      <c r="E53" s="4624"/>
      <c r="F53" s="4624"/>
      <c r="G53" s="4679"/>
      <c r="H53" s="4623" t="s">
        <v>1789</v>
      </c>
      <c r="I53" s="4624"/>
      <c r="J53" s="4679"/>
      <c r="K53" s="4623" t="s">
        <v>1790</v>
      </c>
      <c r="L53" s="4624"/>
      <c r="M53" s="4679"/>
      <c r="N53" s="1368" t="s">
        <v>1495</v>
      </c>
      <c r="O53" s="3276"/>
      <c r="P53" s="2288"/>
      <c r="Q53" s="1252"/>
    </row>
    <row r="54" spans="4:18" ht="20.100000000000001" customHeight="1">
      <c r="D54" s="3722">
        <v>53.361792956243328</v>
      </c>
      <c r="E54" s="3723"/>
      <c r="F54" s="3723"/>
      <c r="G54" s="3723"/>
      <c r="H54" s="3723">
        <v>60.53268765133172</v>
      </c>
      <c r="I54" s="3723"/>
      <c r="J54" s="3723"/>
      <c r="K54" s="3723">
        <v>154.80000000000001</v>
      </c>
      <c r="L54" s="3723"/>
      <c r="M54" s="3723"/>
      <c r="N54" s="3724">
        <v>61.7</v>
      </c>
      <c r="O54" s="2265"/>
      <c r="P54" s="3713">
        <v>1997</v>
      </c>
      <c r="Q54" s="3714"/>
    </row>
    <row r="55" spans="4:18" ht="20.100000000000001" customHeight="1">
      <c r="D55" s="1430">
        <v>87.566702241195287</v>
      </c>
      <c r="E55" s="3400"/>
      <c r="F55" s="1168"/>
      <c r="G55" s="3400"/>
      <c r="H55" s="1168">
        <v>66.707021791767559</v>
      </c>
      <c r="I55" s="3400"/>
      <c r="J55" s="3400"/>
      <c r="K55" s="1168">
        <v>136.5</v>
      </c>
      <c r="L55" s="3400"/>
      <c r="M55" s="3400"/>
      <c r="N55" s="1752">
        <v>77.7</v>
      </c>
      <c r="O55" s="1728"/>
      <c r="P55" s="1728">
        <v>1998</v>
      </c>
      <c r="Q55" s="1729"/>
    </row>
    <row r="56" spans="4:18" ht="20.100000000000001" customHeight="1">
      <c r="D56" s="3722">
        <v>57.897545357524017</v>
      </c>
      <c r="E56" s="3723"/>
      <c r="F56" s="3723"/>
      <c r="G56" s="3723"/>
      <c r="H56" s="3723">
        <v>72.094430992736079</v>
      </c>
      <c r="I56" s="3723"/>
      <c r="J56" s="3723"/>
      <c r="K56" s="3723">
        <v>41.6</v>
      </c>
      <c r="L56" s="3723"/>
      <c r="M56" s="3723"/>
      <c r="N56" s="1754">
        <v>64.5</v>
      </c>
      <c r="O56" s="1726"/>
      <c r="P56" s="1726">
        <v>1999</v>
      </c>
      <c r="Q56" s="1727"/>
    </row>
    <row r="57" spans="4:18" ht="20.100000000000001" customHeight="1">
      <c r="D57" s="1430">
        <v>96.531483457844175</v>
      </c>
      <c r="E57" s="3400"/>
      <c r="F57" s="1168"/>
      <c r="G57" s="3400"/>
      <c r="H57" s="1168">
        <v>73.91041162227603</v>
      </c>
      <c r="I57" s="3400"/>
      <c r="J57" s="3400"/>
      <c r="K57" s="1168">
        <v>141.5</v>
      </c>
      <c r="L57" s="3400"/>
      <c r="M57" s="3400"/>
      <c r="N57" s="1752">
        <v>86.7</v>
      </c>
      <c r="O57" s="1728"/>
      <c r="P57" s="1728">
        <v>2000</v>
      </c>
      <c r="Q57" s="1729"/>
    </row>
    <row r="58" spans="4:18" ht="20.100000000000001" customHeight="1">
      <c r="D58" s="3722">
        <v>68.143009605122728</v>
      </c>
      <c r="E58" s="3723"/>
      <c r="F58" s="3723"/>
      <c r="G58" s="3723"/>
      <c r="H58" s="3723">
        <v>70.460048426150138</v>
      </c>
      <c r="I58" s="3723"/>
      <c r="J58" s="3723"/>
      <c r="K58" s="3723">
        <v>102.3</v>
      </c>
      <c r="L58" s="3723"/>
      <c r="M58" s="3723"/>
      <c r="N58" s="1754">
        <v>69.400000000000006</v>
      </c>
      <c r="O58" s="1726"/>
      <c r="P58" s="1726">
        <v>2001</v>
      </c>
      <c r="Q58" s="1727"/>
    </row>
    <row r="59" spans="4:18" ht="20.100000000000001" customHeight="1">
      <c r="D59" s="1430">
        <v>128.49519743863394</v>
      </c>
      <c r="E59" s="3400"/>
      <c r="F59" s="1168"/>
      <c r="G59" s="3400"/>
      <c r="H59" s="1168">
        <v>91.949152542372886</v>
      </c>
      <c r="I59" s="3400"/>
      <c r="J59" s="3400"/>
      <c r="K59" s="1168">
        <v>201.9</v>
      </c>
      <c r="L59" s="3400"/>
      <c r="M59" s="3400"/>
      <c r="N59" s="1752">
        <v>112.6</v>
      </c>
      <c r="O59" s="1728"/>
      <c r="P59" s="1728">
        <v>2002</v>
      </c>
      <c r="Q59" s="1729"/>
    </row>
    <row r="60" spans="4:18" ht="20.100000000000001" customHeight="1">
      <c r="D60" s="3722">
        <v>119.15688367129135</v>
      </c>
      <c r="E60" s="3723"/>
      <c r="F60" s="3723"/>
      <c r="G60" s="3723"/>
      <c r="H60" s="3723">
        <v>88.559322033898312</v>
      </c>
      <c r="I60" s="3723"/>
      <c r="J60" s="3723"/>
      <c r="K60" s="3723">
        <v>137.6</v>
      </c>
      <c r="L60" s="3723"/>
      <c r="M60" s="3723"/>
      <c r="N60" s="1754">
        <v>103.9</v>
      </c>
      <c r="O60" s="1726"/>
      <c r="P60" s="1726">
        <v>2003</v>
      </c>
      <c r="Q60" s="1727"/>
    </row>
    <row r="61" spans="4:18" s="1801" customFormat="1" ht="24" customHeight="1">
      <c r="D61" s="1430">
        <v>117.6093916755603</v>
      </c>
      <c r="E61" s="3400"/>
      <c r="F61" s="1168"/>
      <c r="G61" s="3400"/>
      <c r="H61" s="1168">
        <v>104.72154963680389</v>
      </c>
      <c r="I61" s="1168"/>
      <c r="J61" s="1168"/>
      <c r="K61" s="1168">
        <v>125.5</v>
      </c>
      <c r="L61" s="3400"/>
      <c r="M61" s="3400"/>
      <c r="N61" s="1752">
        <v>111.2</v>
      </c>
      <c r="O61" s="1728"/>
      <c r="P61" s="1728">
        <v>2004</v>
      </c>
      <c r="Q61" s="1729"/>
      <c r="R61" s="1174"/>
    </row>
    <row r="62" spans="4:18" s="1801" customFormat="1" ht="24" customHeight="1">
      <c r="D62" s="3722">
        <v>101.4941302027748</v>
      </c>
      <c r="E62" s="3723"/>
      <c r="F62" s="3723"/>
      <c r="G62" s="3723"/>
      <c r="H62" s="3723">
        <v>117.37288135593222</v>
      </c>
      <c r="I62" s="3723"/>
      <c r="J62" s="3723"/>
      <c r="K62" s="3723">
        <v>174.1</v>
      </c>
      <c r="L62" s="3723"/>
      <c r="M62" s="3723"/>
      <c r="N62" s="1754">
        <v>113.1</v>
      </c>
      <c r="O62" s="1726"/>
      <c r="P62" s="1726">
        <v>2005</v>
      </c>
      <c r="Q62" s="1727"/>
      <c r="R62" s="1174"/>
    </row>
    <row r="63" spans="4:18" s="1801" customFormat="1" ht="24" customHeight="1">
      <c r="D63" s="1430">
        <v>116.008537886873</v>
      </c>
      <c r="E63" s="3400"/>
      <c r="F63" s="1168"/>
      <c r="G63" s="3400"/>
      <c r="H63" s="1168">
        <v>108.23244552058114</v>
      </c>
      <c r="I63" s="3400"/>
      <c r="J63" s="3400"/>
      <c r="K63" s="1168">
        <v>108.5</v>
      </c>
      <c r="L63" s="3400"/>
      <c r="M63" s="3400"/>
      <c r="N63" s="1752">
        <v>111.6</v>
      </c>
      <c r="O63" s="1728"/>
      <c r="P63" s="1728">
        <v>2006</v>
      </c>
      <c r="Q63" s="1729"/>
      <c r="R63" s="1174"/>
    </row>
    <row r="64" spans="4:18" s="2149" customFormat="1">
      <c r="D64" s="5095">
        <v>100</v>
      </c>
      <c r="E64" s="4726"/>
      <c r="F64" s="4726"/>
      <c r="G64" s="4726"/>
      <c r="H64" s="4726">
        <v>100</v>
      </c>
      <c r="I64" s="4726"/>
      <c r="J64" s="4726"/>
      <c r="K64" s="4726">
        <v>100</v>
      </c>
      <c r="L64" s="4726"/>
      <c r="M64" s="4726"/>
      <c r="N64" s="1754">
        <v>100</v>
      </c>
      <c r="O64" s="4703">
        <v>2007</v>
      </c>
      <c r="P64" s="4694"/>
      <c r="Q64" s="4695"/>
    </row>
    <row r="65" spans="4:17" s="1801" customFormat="1">
      <c r="D65" s="4945">
        <v>93.9</v>
      </c>
      <c r="E65" s="4725"/>
      <c r="F65" s="4725"/>
      <c r="G65" s="4725"/>
      <c r="H65" s="4725">
        <v>102.8</v>
      </c>
      <c r="I65" s="4725"/>
      <c r="J65" s="4725"/>
      <c r="K65" s="4725">
        <v>65.7</v>
      </c>
      <c r="L65" s="4725"/>
      <c r="M65" s="4725"/>
      <c r="N65" s="1752">
        <v>98.6</v>
      </c>
      <c r="O65" s="4691">
        <v>2008</v>
      </c>
      <c r="P65" s="4684"/>
      <c r="Q65" s="4692"/>
    </row>
    <row r="66" spans="4:17" s="2127" customFormat="1">
      <c r="D66" s="5095">
        <v>116.1</v>
      </c>
      <c r="E66" s="4726"/>
      <c r="F66" s="4726"/>
      <c r="G66" s="4726"/>
      <c r="H66" s="4726">
        <v>106.4</v>
      </c>
      <c r="I66" s="4726"/>
      <c r="J66" s="4726"/>
      <c r="K66" s="4726">
        <v>91.8</v>
      </c>
      <c r="L66" s="4726"/>
      <c r="M66" s="4726"/>
      <c r="N66" s="1754">
        <v>109.5</v>
      </c>
      <c r="O66" s="4703">
        <v>2009</v>
      </c>
      <c r="P66" s="4694"/>
      <c r="Q66" s="4695"/>
    </row>
    <row r="67" spans="4:17" s="1801" customFormat="1">
      <c r="D67" s="4945">
        <v>125.5</v>
      </c>
      <c r="E67" s="4725"/>
      <c r="F67" s="4725"/>
      <c r="G67" s="4725"/>
      <c r="H67" s="4725">
        <v>125.7</v>
      </c>
      <c r="I67" s="4725"/>
      <c r="J67" s="4725"/>
      <c r="K67" s="4725">
        <v>129.9</v>
      </c>
      <c r="L67" s="4725"/>
      <c r="M67" s="4725"/>
      <c r="N67" s="1752">
        <v>125.8</v>
      </c>
      <c r="O67" s="4691">
        <v>2010</v>
      </c>
      <c r="P67" s="4684"/>
      <c r="Q67" s="4692"/>
    </row>
    <row r="68" spans="4:17" s="1801" customFormat="1">
      <c r="D68" s="5095">
        <v>116.7</v>
      </c>
      <c r="E68" s="4726"/>
      <c r="F68" s="4726"/>
      <c r="G68" s="4726"/>
      <c r="H68" s="4726">
        <v>143.6</v>
      </c>
      <c r="I68" s="4726"/>
      <c r="J68" s="4726"/>
      <c r="K68" s="4726">
        <v>131</v>
      </c>
      <c r="L68" s="4726"/>
      <c r="M68" s="4726"/>
      <c r="N68" s="1754">
        <v>133.5</v>
      </c>
      <c r="O68" s="4703">
        <v>2011</v>
      </c>
      <c r="P68" s="4694"/>
      <c r="Q68" s="4695"/>
    </row>
    <row r="69" spans="4:17" s="1801" customFormat="1">
      <c r="D69" s="4945">
        <v>124.3</v>
      </c>
      <c r="E69" s="4725"/>
      <c r="F69" s="4725"/>
      <c r="G69" s="4725"/>
      <c r="H69" s="4725">
        <v>113.5</v>
      </c>
      <c r="I69" s="4725"/>
      <c r="J69" s="4725"/>
      <c r="K69" s="4725">
        <v>142.19999999999999</v>
      </c>
      <c r="L69" s="4725"/>
      <c r="M69" s="4725"/>
      <c r="N69" s="1752">
        <v>118.2</v>
      </c>
      <c r="O69" s="4691">
        <v>2012</v>
      </c>
      <c r="P69" s="4684"/>
      <c r="Q69" s="4692"/>
    </row>
    <row r="70" spans="4:17" s="1801" customFormat="1" ht="24">
      <c r="D70" s="5095">
        <v>116.1</v>
      </c>
      <c r="E70" s="4726"/>
      <c r="F70" s="4726"/>
      <c r="G70" s="4726"/>
      <c r="H70" s="4726">
        <v>128.30000000000001</v>
      </c>
      <c r="I70" s="4726"/>
      <c r="J70" s="4726"/>
      <c r="K70" s="4726">
        <v>158</v>
      </c>
      <c r="L70" s="4726"/>
      <c r="M70" s="4726"/>
      <c r="N70" s="1754">
        <v>124.7</v>
      </c>
      <c r="O70" s="1618"/>
      <c r="P70" s="1569" t="s">
        <v>1186</v>
      </c>
      <c r="Q70" s="1619"/>
    </row>
    <row r="71" spans="4:17" s="1801" customFormat="1" ht="24">
      <c r="D71" s="4945">
        <v>122.8</v>
      </c>
      <c r="E71" s="4725"/>
      <c r="F71" s="4725"/>
      <c r="G71" s="4725"/>
      <c r="H71" s="4725">
        <v>140.6</v>
      </c>
      <c r="I71" s="4725"/>
      <c r="J71" s="4725"/>
      <c r="K71" s="4725">
        <v>153.1</v>
      </c>
      <c r="L71" s="4725"/>
      <c r="M71" s="4725"/>
      <c r="N71" s="1752">
        <v>134.5</v>
      </c>
      <c r="O71" s="5100" t="s">
        <v>2563</v>
      </c>
      <c r="P71" s="4684"/>
      <c r="Q71" s="4692"/>
    </row>
    <row r="72" spans="4:17" s="1801" customFormat="1" ht="24">
      <c r="D72" s="5095">
        <v>165.5</v>
      </c>
      <c r="E72" s="4726"/>
      <c r="F72" s="4726"/>
      <c r="G72" s="4726"/>
      <c r="H72" s="4726">
        <v>147.6</v>
      </c>
      <c r="I72" s="4726"/>
      <c r="J72" s="4726"/>
      <c r="K72" s="4726">
        <v>166.7</v>
      </c>
      <c r="L72" s="4726"/>
      <c r="M72" s="4726"/>
      <c r="N72" s="1754">
        <v>154.6</v>
      </c>
      <c r="O72" s="1618"/>
      <c r="P72" s="1671" t="s">
        <v>2613</v>
      </c>
      <c r="Q72" s="1619"/>
    </row>
    <row r="73" spans="4:17" s="1801" customFormat="1" ht="24">
      <c r="D73" s="4945">
        <v>145.1</v>
      </c>
      <c r="E73" s="4725"/>
      <c r="F73" s="4725"/>
      <c r="G73" s="4725"/>
      <c r="H73" s="4725">
        <v>173.3</v>
      </c>
      <c r="I73" s="4725"/>
      <c r="J73" s="4725"/>
      <c r="K73" s="4725">
        <v>187.6</v>
      </c>
      <c r="L73" s="4725"/>
      <c r="M73" s="4725"/>
      <c r="N73" s="1752">
        <v>163.5</v>
      </c>
      <c r="O73" s="5100" t="s">
        <v>2618</v>
      </c>
      <c r="P73" s="4684"/>
      <c r="Q73" s="4692"/>
    </row>
    <row r="74" spans="4:17" s="1801" customFormat="1" ht="24">
      <c r="D74" s="5096">
        <v>143</v>
      </c>
      <c r="E74" s="4733"/>
      <c r="F74" s="4733"/>
      <c r="G74" s="4733"/>
      <c r="H74" s="3395"/>
      <c r="I74" s="3395">
        <v>127</v>
      </c>
      <c r="J74" s="3395"/>
      <c r="K74" s="3395"/>
      <c r="L74" s="3725">
        <v>175.7</v>
      </c>
      <c r="M74" s="3395"/>
      <c r="N74" s="3726">
        <v>134.1</v>
      </c>
      <c r="O74" s="5097" t="s">
        <v>3015</v>
      </c>
      <c r="P74" s="5098"/>
      <c r="Q74" s="5099"/>
    </row>
    <row r="75" spans="4:17" s="1801" customFormat="1" ht="6.95" customHeight="1">
      <c r="D75" s="1723"/>
      <c r="E75" s="1723"/>
      <c r="F75" s="1723"/>
      <c r="G75" s="1723"/>
      <c r="H75" s="1723"/>
      <c r="I75" s="1723"/>
      <c r="J75" s="1723"/>
      <c r="K75" s="1723"/>
      <c r="L75" s="1723"/>
      <c r="M75" s="1723"/>
      <c r="N75" s="1754"/>
      <c r="O75" s="1569"/>
      <c r="P75" s="1569"/>
      <c r="Q75" s="1569"/>
    </row>
    <row r="76" spans="4:17" ht="15.75" customHeight="1">
      <c r="D76" s="3719" t="s">
        <v>1333</v>
      </c>
      <c r="E76" s="2162"/>
      <c r="F76" s="2218"/>
      <c r="G76" s="1318"/>
      <c r="H76" s="1318"/>
      <c r="I76" s="1850"/>
      <c r="J76" s="1318"/>
      <c r="K76" s="1318"/>
      <c r="L76" s="1318"/>
      <c r="M76" s="1850"/>
      <c r="N76" s="3579"/>
      <c r="O76" s="2162"/>
      <c r="P76" s="3720" t="s">
        <v>1434</v>
      </c>
      <c r="Q76" s="1397"/>
    </row>
    <row r="77" spans="4:17" ht="15.75" customHeight="1">
      <c r="D77" s="1979" t="s">
        <v>1791</v>
      </c>
      <c r="E77" s="1318"/>
      <c r="F77" s="1318"/>
      <c r="G77" s="1318"/>
      <c r="H77" s="1318"/>
      <c r="I77" s="1850"/>
      <c r="J77" s="1318"/>
      <c r="K77" s="1318"/>
      <c r="L77" s="1318"/>
      <c r="M77" s="1850"/>
      <c r="N77" s="1850"/>
      <c r="O77" s="1318"/>
      <c r="P77" s="3727" t="s">
        <v>1792</v>
      </c>
      <c r="Q77" s="1323"/>
    </row>
  </sheetData>
  <mergeCells count="55">
    <mergeCell ref="D74:G74"/>
    <mergeCell ref="O74:Q74"/>
    <mergeCell ref="O71:Q71"/>
    <mergeCell ref="D73:G73"/>
    <mergeCell ref="H73:J73"/>
    <mergeCell ref="K73:M73"/>
    <mergeCell ref="O73:Q73"/>
    <mergeCell ref="D72:G72"/>
    <mergeCell ref="H72:J72"/>
    <mergeCell ref="K72:M72"/>
    <mergeCell ref="D71:G71"/>
    <mergeCell ref="H71:J71"/>
    <mergeCell ref="K71:M71"/>
    <mergeCell ref="O64:Q64"/>
    <mergeCell ref="D65:G65"/>
    <mergeCell ref="H65:J65"/>
    <mergeCell ref="K65:M65"/>
    <mergeCell ref="O65:Q65"/>
    <mergeCell ref="D70:G70"/>
    <mergeCell ref="H70:J70"/>
    <mergeCell ref="K70:M70"/>
    <mergeCell ref="D53:G53"/>
    <mergeCell ref="H53:J53"/>
    <mergeCell ref="K53:M53"/>
    <mergeCell ref="D64:G64"/>
    <mergeCell ref="H64:J64"/>
    <mergeCell ref="K64:M64"/>
    <mergeCell ref="D66:G66"/>
    <mergeCell ref="H66:J66"/>
    <mergeCell ref="K66:M66"/>
    <mergeCell ref="O68:Q68"/>
    <mergeCell ref="D69:G69"/>
    <mergeCell ref="H69:J69"/>
    <mergeCell ref="K69:M69"/>
    <mergeCell ref="O69:Q69"/>
    <mergeCell ref="D68:G68"/>
    <mergeCell ref="H68:J68"/>
    <mergeCell ref="K68:M68"/>
    <mergeCell ref="O66:Q66"/>
    <mergeCell ref="D67:G67"/>
    <mergeCell ref="H67:J67"/>
    <mergeCell ref="K67:M67"/>
    <mergeCell ref="O67:Q67"/>
    <mergeCell ref="D50:G50"/>
    <mergeCell ref="H50:J50"/>
    <mergeCell ref="K50:M50"/>
    <mergeCell ref="O50:Q50"/>
    <mergeCell ref="O51:Q51"/>
    <mergeCell ref="D3:Q3"/>
    <mergeCell ref="D4:Q4"/>
    <mergeCell ref="O10:Q10"/>
    <mergeCell ref="O11:Q11"/>
    <mergeCell ref="D49:G49"/>
    <mergeCell ref="H49:J49"/>
    <mergeCell ref="K49:M49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3" orientation="portrait" horizontalDpi="300" verticalDpi="300" r:id="rId1"/>
  <headerFooter alignWithMargins="0">
    <oddFooter>&amp;C&amp;"+,Regular"&amp;22-66-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21"/>
  <sheetViews>
    <sheetView topLeftCell="A70" zoomScale="75" zoomScaleNormal="75" workbookViewId="0">
      <selection activeCell="K2" sqref="K2"/>
    </sheetView>
  </sheetViews>
  <sheetFormatPr defaultColWidth="11.42578125" defaultRowHeight="20.25"/>
  <cols>
    <col min="1" max="1" width="11.42578125" style="1174" customWidth="1"/>
    <col min="2" max="2" width="2.28515625" style="1801" customWidth="1"/>
    <col min="3" max="3" width="2" style="1793" customWidth="1"/>
    <col min="4" max="4" width="21.5703125" style="1793" customWidth="1"/>
    <col min="5" max="8" width="16.7109375" style="1192" customWidth="1"/>
    <col min="9" max="9" width="16.7109375" style="1400" customWidth="1"/>
    <col min="10" max="11" width="19.7109375" style="1192" customWidth="1"/>
    <col min="12" max="12" width="7.42578125" style="1192" customWidth="1"/>
    <col min="13" max="13" width="2" style="1192" customWidth="1"/>
    <col min="14" max="14" width="3.5703125" style="1192" customWidth="1"/>
    <col min="15" max="15" width="0.7109375" style="1192" customWidth="1"/>
    <col min="16" max="16" width="18.140625" style="1174" customWidth="1"/>
    <col min="17" max="28" width="11.42578125" style="1174" customWidth="1"/>
    <col min="29" max="29" width="10.7109375" style="2298" customWidth="1"/>
    <col min="30" max="16384" width="11.42578125" style="1174"/>
  </cols>
  <sheetData>
    <row r="1" spans="1:33" ht="35.1" customHeight="1"/>
    <row r="2" spans="1:33" ht="35.1" customHeight="1"/>
    <row r="3" spans="1:33" s="2849" customFormat="1" ht="35.1" customHeight="1">
      <c r="B3" s="3728"/>
      <c r="C3" s="4856" t="s">
        <v>1793</v>
      </c>
      <c r="D3" s="4856"/>
      <c r="E3" s="4856"/>
      <c r="F3" s="4856"/>
      <c r="G3" s="4856"/>
      <c r="H3" s="4856"/>
      <c r="I3" s="4856"/>
      <c r="J3" s="4856"/>
      <c r="K3" s="4856"/>
      <c r="L3" s="4856"/>
      <c r="M3" s="4856"/>
      <c r="N3" s="4856"/>
      <c r="O3" s="4856"/>
      <c r="P3" s="3729"/>
      <c r="AC3" s="2887"/>
    </row>
    <row r="4" spans="1:33" s="2498" customFormat="1" ht="35.1" customHeight="1">
      <c r="A4" s="3178"/>
      <c r="B4" s="3730"/>
      <c r="C4" s="4713" t="s">
        <v>1794</v>
      </c>
      <c r="D4" s="4713"/>
      <c r="E4" s="4713"/>
      <c r="F4" s="4713"/>
      <c r="G4" s="4713"/>
      <c r="H4" s="4713"/>
      <c r="I4" s="4713"/>
      <c r="J4" s="4713"/>
      <c r="K4" s="4713"/>
      <c r="L4" s="4713"/>
      <c r="M4" s="4713"/>
      <c r="N4" s="4713"/>
      <c r="O4" s="4713"/>
      <c r="P4" s="1848"/>
      <c r="Q4" s="3178"/>
      <c r="R4" s="3178"/>
      <c r="S4" s="3178"/>
      <c r="T4" s="3178"/>
      <c r="U4" s="3178"/>
      <c r="V4" s="3178"/>
      <c r="W4" s="3178"/>
      <c r="X4" s="3178"/>
      <c r="Y4" s="3178"/>
      <c r="Z4" s="3178"/>
      <c r="AA4" s="3178"/>
      <c r="AB4" s="3178"/>
      <c r="AC4" s="3731"/>
    </row>
    <row r="5" spans="1:33" s="2498" customFormat="1" ht="18" customHeight="1">
      <c r="A5" s="3178"/>
      <c r="B5" s="3730"/>
      <c r="C5" s="1919"/>
      <c r="D5" s="1920"/>
      <c r="E5" s="1919"/>
      <c r="F5" s="1919"/>
      <c r="G5" s="1920"/>
      <c r="H5" s="2213"/>
      <c r="I5" s="1920"/>
      <c r="J5" s="1920"/>
      <c r="K5" s="3732"/>
      <c r="L5" s="3732"/>
      <c r="M5" s="3732"/>
      <c r="N5" s="3732"/>
      <c r="O5" s="3732"/>
      <c r="P5" s="1848"/>
      <c r="Q5" s="3178"/>
      <c r="R5" s="3178"/>
      <c r="S5" s="3178"/>
      <c r="T5" s="3178"/>
      <c r="U5" s="3178"/>
      <c r="V5" s="3178"/>
      <c r="W5" s="3178"/>
      <c r="X5" s="3178"/>
      <c r="Y5" s="3178"/>
      <c r="Z5" s="3178"/>
      <c r="AA5" s="3178"/>
      <c r="AB5" s="3178"/>
      <c r="AC5" s="3178"/>
    </row>
    <row r="6" spans="1:33" ht="6" customHeight="1">
      <c r="A6" s="1801"/>
      <c r="B6" s="1808"/>
      <c r="C6" s="1861"/>
      <c r="D6" s="1861"/>
      <c r="E6" s="2103"/>
      <c r="F6" s="2103"/>
      <c r="G6" s="3733"/>
      <c r="H6" s="3376"/>
      <c r="I6" s="3376"/>
      <c r="J6" s="3733"/>
      <c r="K6" s="3734"/>
      <c r="L6" s="3734"/>
      <c r="M6" s="3734"/>
      <c r="N6" s="3734"/>
      <c r="O6" s="3734"/>
      <c r="P6" s="1808"/>
      <c r="Q6" s="1801"/>
      <c r="R6" s="1801"/>
      <c r="S6" s="1801"/>
      <c r="T6" s="1801"/>
      <c r="U6" s="1801"/>
      <c r="V6" s="1801"/>
      <c r="W6" s="1801"/>
      <c r="X6" s="1801"/>
      <c r="Y6" s="1801"/>
      <c r="Z6" s="1801"/>
      <c r="AA6" s="1801"/>
      <c r="AB6" s="1801"/>
      <c r="AC6" s="1801"/>
    </row>
    <row r="7" spans="1:33" ht="6" customHeight="1">
      <c r="B7" s="1808"/>
      <c r="C7" s="3735"/>
      <c r="D7" s="1868"/>
      <c r="E7" s="1867"/>
      <c r="F7" s="3736"/>
      <c r="G7" s="1868"/>
      <c r="H7" s="1868"/>
      <c r="I7" s="3737"/>
      <c r="J7" s="3738"/>
      <c r="K7" s="3739"/>
      <c r="L7" s="4433"/>
      <c r="M7" s="1992"/>
      <c r="N7" s="1992"/>
      <c r="O7" s="2133"/>
      <c r="P7" s="1801"/>
      <c r="Q7" s="1801"/>
      <c r="R7" s="1801"/>
      <c r="S7" s="1801"/>
      <c r="T7" s="1801"/>
      <c r="U7" s="1801"/>
      <c r="V7" s="1801"/>
      <c r="W7" s="1801"/>
      <c r="X7" s="1801"/>
      <c r="Y7" s="2298"/>
      <c r="AC7" s="1174"/>
    </row>
    <row r="8" spans="1:33" ht="30.75" customHeight="1">
      <c r="B8" s="1808"/>
      <c r="C8" s="2286"/>
      <c r="D8" s="2523"/>
      <c r="E8" s="1282" t="s">
        <v>1795</v>
      </c>
      <c r="F8" s="1232"/>
      <c r="G8" s="1232"/>
      <c r="H8" s="1232"/>
      <c r="I8" s="1233"/>
      <c r="J8" s="1282" t="s">
        <v>1796</v>
      </c>
      <c r="K8" s="1233"/>
      <c r="L8" s="4397"/>
      <c r="M8" s="1283"/>
      <c r="N8" s="1283"/>
      <c r="O8" s="1294"/>
      <c r="P8" s="1801"/>
      <c r="Q8" s="1801"/>
      <c r="R8" s="1801"/>
      <c r="S8" s="1801"/>
      <c r="T8" s="1801"/>
      <c r="U8" s="1801"/>
      <c r="V8" s="1801"/>
      <c r="W8" s="1801"/>
      <c r="X8" s="1801"/>
      <c r="Y8" s="1801"/>
      <c r="AC8" s="1174"/>
    </row>
    <row r="9" spans="1:33" ht="9.75" customHeight="1">
      <c r="B9" s="3269"/>
      <c r="C9" s="3740"/>
      <c r="D9" s="3741"/>
      <c r="E9" s="3721"/>
      <c r="F9" s="1232"/>
      <c r="G9" s="1232"/>
      <c r="H9" s="1232"/>
      <c r="I9" s="1233"/>
      <c r="J9" s="2293"/>
      <c r="K9" s="3742"/>
      <c r="L9" s="1283"/>
      <c r="M9" s="1283"/>
      <c r="N9" s="1283"/>
      <c r="O9" s="1294"/>
      <c r="P9" s="1801"/>
      <c r="Q9" s="1801"/>
      <c r="R9" s="1801"/>
      <c r="S9" s="1801"/>
      <c r="T9" s="1801"/>
      <c r="U9" s="1801"/>
      <c r="V9" s="1801"/>
      <c r="W9" s="1801"/>
      <c r="X9" s="2298"/>
      <c r="AC9" s="1174"/>
    </row>
    <row r="10" spans="1:33">
      <c r="B10" s="3269"/>
      <c r="C10" s="3740"/>
      <c r="D10" s="3741"/>
      <c r="E10" s="1282" t="s">
        <v>1654</v>
      </c>
      <c r="F10" s="1232"/>
      <c r="G10" s="1232"/>
      <c r="H10" s="1232"/>
      <c r="I10" s="1233"/>
      <c r="J10" s="1284" t="s">
        <v>1797</v>
      </c>
      <c r="K10" s="3743"/>
      <c r="L10" s="1283"/>
      <c r="M10" s="1283"/>
      <c r="N10" s="1283"/>
      <c r="O10" s="1294"/>
      <c r="P10" s="1801"/>
      <c r="Q10" s="1801"/>
      <c r="R10" s="1801"/>
      <c r="S10" s="1801"/>
      <c r="T10" s="1801"/>
      <c r="U10" s="1801"/>
      <c r="V10" s="1801"/>
      <c r="W10" s="1801"/>
      <c r="X10" s="2298"/>
      <c r="AC10" s="1174"/>
    </row>
    <row r="11" spans="1:33" s="1190" customFormat="1" ht="12.75" customHeight="1">
      <c r="B11" s="1804"/>
      <c r="C11" s="2294"/>
      <c r="D11" s="3741"/>
      <c r="E11" s="2147"/>
      <c r="F11" s="1375"/>
      <c r="G11" s="2526"/>
      <c r="H11" s="3744"/>
      <c r="I11" s="3745"/>
      <c r="J11" s="4434"/>
      <c r="K11" s="3347"/>
      <c r="L11" s="2523"/>
      <c r="M11" s="2523"/>
      <c r="N11" s="2523"/>
      <c r="O11" s="2729"/>
      <c r="P11" s="1808"/>
      <c r="Q11" s="1808"/>
      <c r="R11" s="1808"/>
      <c r="S11" s="1808"/>
      <c r="T11" s="1808"/>
      <c r="U11" s="1808"/>
      <c r="V11" s="1808"/>
      <c r="W11" s="1808"/>
      <c r="X11" s="3746"/>
    </row>
    <row r="12" spans="1:33" s="1190" customFormat="1" ht="11.25" customHeight="1">
      <c r="B12" s="1804"/>
      <c r="C12" s="2294"/>
      <c r="D12" s="3741"/>
      <c r="E12" s="2532"/>
      <c r="F12" s="3220"/>
      <c r="G12" s="2532"/>
      <c r="H12" s="4410"/>
      <c r="I12" s="2532"/>
      <c r="J12" s="2529"/>
      <c r="K12" s="2529"/>
      <c r="L12" s="2523"/>
      <c r="M12" s="2523"/>
      <c r="N12" s="2523"/>
      <c r="O12" s="2729"/>
      <c r="P12" s="1808"/>
      <c r="Q12" s="1808"/>
      <c r="R12" s="1808"/>
      <c r="S12" s="1808"/>
      <c r="T12" s="1808"/>
      <c r="U12" s="1808"/>
      <c r="V12" s="1808"/>
      <c r="W12" s="1808"/>
      <c r="X12" s="3746"/>
    </row>
    <row r="13" spans="1:33" ht="18.95" customHeight="1">
      <c r="B13" s="1807"/>
      <c r="C13" s="4407"/>
      <c r="D13" s="4394"/>
      <c r="E13" s="4393" t="s">
        <v>1798</v>
      </c>
      <c r="F13" s="4382"/>
      <c r="G13" s="4393"/>
      <c r="H13" s="4393" t="s">
        <v>1799</v>
      </c>
      <c r="I13" s="4393"/>
      <c r="J13" s="4393"/>
      <c r="K13" s="4393"/>
      <c r="L13" s="4397"/>
      <c r="M13" s="4397"/>
      <c r="N13" s="1283"/>
      <c r="O13" s="1294"/>
      <c r="P13" s="1801"/>
      <c r="Q13" s="1801"/>
      <c r="R13" s="1801"/>
      <c r="S13" s="1801"/>
      <c r="T13" s="1801"/>
      <c r="U13" s="1801"/>
      <c r="V13" s="1801"/>
      <c r="W13" s="1801"/>
      <c r="X13" s="1801"/>
      <c r="Y13" s="1801"/>
      <c r="Z13" s="2298"/>
      <c r="AC13" s="1174"/>
    </row>
    <row r="14" spans="1:33" ht="18.95" customHeight="1">
      <c r="B14" s="1807"/>
      <c r="C14" s="4407"/>
      <c r="D14" s="4394" t="s">
        <v>1610</v>
      </c>
      <c r="E14" s="4393" t="s">
        <v>1800</v>
      </c>
      <c r="F14" s="4382" t="s">
        <v>1801</v>
      </c>
      <c r="G14" s="4393" t="s">
        <v>1802</v>
      </c>
      <c r="H14" s="4393" t="s">
        <v>1390</v>
      </c>
      <c r="I14" s="4393" t="s">
        <v>1803</v>
      </c>
      <c r="J14" s="4393" t="s">
        <v>1573</v>
      </c>
      <c r="K14" s="4393" t="s">
        <v>1575</v>
      </c>
      <c r="L14" s="4397"/>
      <c r="M14" s="4397"/>
      <c r="N14" s="1283"/>
      <c r="O14" s="1294"/>
      <c r="P14" s="1801"/>
      <c r="Q14" s="1801"/>
      <c r="R14" s="1801"/>
      <c r="S14" s="1801"/>
      <c r="T14" s="1801"/>
      <c r="U14" s="1801"/>
      <c r="V14" s="1801"/>
      <c r="W14" s="1801"/>
      <c r="X14" s="1801"/>
      <c r="Y14" s="1801"/>
      <c r="Z14" s="2298"/>
      <c r="AC14" s="1174"/>
    </row>
    <row r="15" spans="1:33" s="1190" customFormat="1" ht="18.95" customHeight="1">
      <c r="B15" s="1807"/>
      <c r="C15" s="4407"/>
      <c r="D15" s="4394"/>
      <c r="E15" s="4393" t="s">
        <v>1804</v>
      </c>
      <c r="F15" s="4393"/>
      <c r="G15" s="4393"/>
      <c r="H15" s="4393" t="s">
        <v>1805</v>
      </c>
      <c r="I15" s="4393"/>
      <c r="J15" s="1249"/>
      <c r="K15" s="1249"/>
      <c r="L15" s="4397"/>
      <c r="M15" s="4397"/>
      <c r="N15" s="2523"/>
      <c r="O15" s="2729"/>
      <c r="P15" s="1808"/>
      <c r="Q15" s="1808"/>
      <c r="R15" s="1808"/>
      <c r="S15" s="1808"/>
      <c r="T15" s="1808"/>
      <c r="U15" s="1808"/>
      <c r="V15" s="1808"/>
      <c r="W15" s="1808"/>
      <c r="X15" s="1808"/>
      <c r="Y15" s="1808"/>
      <c r="Z15" s="3746"/>
    </row>
    <row r="16" spans="1:33" s="1190" customFormat="1">
      <c r="B16" s="1807"/>
      <c r="C16" s="4407"/>
      <c r="D16" s="4394" t="s">
        <v>1639</v>
      </c>
      <c r="E16" s="4393" t="s">
        <v>1806</v>
      </c>
      <c r="F16" s="4393" t="s">
        <v>1807</v>
      </c>
      <c r="G16" s="4393" t="s">
        <v>1808</v>
      </c>
      <c r="H16" s="4393" t="s">
        <v>1809</v>
      </c>
      <c r="I16" s="4393" t="s">
        <v>1587</v>
      </c>
      <c r="J16" s="4393" t="s">
        <v>1586</v>
      </c>
      <c r="K16" s="4393" t="s">
        <v>1588</v>
      </c>
      <c r="L16" s="4397"/>
      <c r="M16" s="4397"/>
      <c r="N16" s="2523"/>
      <c r="O16" s="2729"/>
      <c r="P16" s="1808"/>
      <c r="Q16" s="1808"/>
      <c r="R16" s="1808"/>
      <c r="S16" s="1808"/>
      <c r="T16" s="1808"/>
      <c r="U16" s="1808"/>
      <c r="V16" s="1808"/>
      <c r="W16" s="1808"/>
      <c r="X16" s="1808"/>
      <c r="Y16" s="1808"/>
      <c r="Z16" s="3746"/>
      <c r="AA16" s="1808"/>
      <c r="AB16" s="1808"/>
      <c r="AC16" s="1808"/>
      <c r="AD16" s="1808"/>
      <c r="AE16" s="1808"/>
      <c r="AF16" s="1808"/>
      <c r="AG16" s="1808"/>
    </row>
    <row r="17" spans="2:33" s="1190" customFormat="1" ht="12.75" customHeight="1">
      <c r="B17" s="1807"/>
      <c r="C17" s="4407"/>
      <c r="D17" s="4394"/>
      <c r="E17" s="4418"/>
      <c r="F17" s="4418"/>
      <c r="G17" s="4418"/>
      <c r="H17" s="4418"/>
      <c r="I17" s="4418"/>
      <c r="J17" s="4418"/>
      <c r="K17" s="4418"/>
      <c r="L17" s="4397"/>
      <c r="M17" s="4397"/>
      <c r="N17" s="2523"/>
      <c r="O17" s="2729"/>
      <c r="P17" s="1808"/>
      <c r="Q17" s="1808"/>
      <c r="R17" s="1808"/>
      <c r="S17" s="1808"/>
      <c r="T17" s="1808"/>
      <c r="U17" s="1808"/>
      <c r="V17" s="1808"/>
      <c r="W17" s="1808"/>
      <c r="X17" s="1808"/>
      <c r="Y17" s="1808"/>
      <c r="Z17" s="3746"/>
      <c r="AA17" s="1808"/>
      <c r="AB17" s="1808"/>
      <c r="AC17" s="1808"/>
      <c r="AD17" s="1808"/>
      <c r="AE17" s="1808"/>
      <c r="AF17" s="1808"/>
      <c r="AG17" s="1808"/>
    </row>
    <row r="18" spans="2:33" s="1808" customFormat="1" ht="18" customHeight="1">
      <c r="B18" s="1807"/>
      <c r="C18" s="3747"/>
      <c r="D18" s="4411"/>
      <c r="E18" s="3748"/>
      <c r="F18" s="3748"/>
      <c r="G18" s="3748"/>
      <c r="H18" s="3748"/>
      <c r="I18" s="3748"/>
      <c r="J18" s="3748"/>
      <c r="K18" s="3748"/>
      <c r="L18" s="4805"/>
      <c r="M18" s="4806"/>
      <c r="N18" s="4806"/>
      <c r="O18" s="5105"/>
      <c r="Z18" s="3746"/>
    </row>
    <row r="19" spans="2:33" s="1808" customFormat="1" ht="18" customHeight="1">
      <c r="B19" s="4430"/>
      <c r="C19" s="4400"/>
      <c r="D19" s="4408" t="s">
        <v>1810</v>
      </c>
      <c r="E19" s="3748" t="s">
        <v>1811</v>
      </c>
      <c r="F19" s="3748" t="s">
        <v>1811</v>
      </c>
      <c r="G19" s="3748" t="s">
        <v>1811</v>
      </c>
      <c r="H19" s="3748" t="s">
        <v>1811</v>
      </c>
      <c r="I19" s="3748" t="s">
        <v>1811</v>
      </c>
      <c r="J19" s="3748" t="s">
        <v>1811</v>
      </c>
      <c r="K19" s="3748" t="s">
        <v>1811</v>
      </c>
      <c r="L19" s="4749" t="s">
        <v>1812</v>
      </c>
      <c r="M19" s="4750"/>
      <c r="N19" s="4750"/>
      <c r="O19" s="4751"/>
      <c r="Z19" s="3746"/>
    </row>
    <row r="20" spans="2:33" s="1808" customFormat="1" ht="18" customHeight="1">
      <c r="B20" s="4430"/>
      <c r="C20" s="4400"/>
      <c r="D20" s="4383"/>
      <c r="E20" s="4382"/>
      <c r="F20" s="4382"/>
      <c r="G20" s="4382"/>
      <c r="H20" s="4382"/>
      <c r="I20" s="3748"/>
      <c r="J20" s="4382"/>
      <c r="K20" s="4382"/>
      <c r="L20" s="4749"/>
      <c r="M20" s="4750"/>
      <c r="N20" s="4750"/>
      <c r="O20" s="4751"/>
      <c r="Z20" s="3746"/>
    </row>
    <row r="21" spans="2:33" s="1808" customFormat="1" ht="18" customHeight="1">
      <c r="B21" s="4430"/>
      <c r="C21" s="4401"/>
      <c r="D21" s="4381" t="s">
        <v>1813</v>
      </c>
      <c r="E21" s="4404" t="s">
        <v>1814</v>
      </c>
      <c r="F21" s="4404" t="s">
        <v>1814</v>
      </c>
      <c r="G21" s="4404" t="s">
        <v>1814</v>
      </c>
      <c r="H21" s="4404" t="s">
        <v>1814</v>
      </c>
      <c r="I21" s="3749" t="s">
        <v>1814</v>
      </c>
      <c r="J21" s="4404" t="s">
        <v>1814</v>
      </c>
      <c r="K21" s="4404" t="s">
        <v>1814</v>
      </c>
      <c r="L21" s="4611" t="s">
        <v>1815</v>
      </c>
      <c r="M21" s="4612"/>
      <c r="N21" s="4612"/>
      <c r="O21" s="4759"/>
      <c r="Z21" s="3746"/>
    </row>
    <row r="22" spans="2:33" s="1801" customFormat="1" ht="21.75" customHeight="1">
      <c r="B22" s="4429"/>
      <c r="C22" s="4425"/>
      <c r="D22" s="4391">
        <v>135.69999999999999</v>
      </c>
      <c r="E22" s="4391">
        <v>227.3</v>
      </c>
      <c r="F22" s="4391">
        <v>307.8</v>
      </c>
      <c r="G22" s="4391" t="s">
        <v>77</v>
      </c>
      <c r="H22" s="4391" t="s">
        <v>77</v>
      </c>
      <c r="I22" s="4391" t="s">
        <v>77</v>
      </c>
      <c r="J22" s="4391" t="s">
        <v>77</v>
      </c>
      <c r="K22" s="1172">
        <v>603.9</v>
      </c>
      <c r="L22" s="4684">
        <v>1964</v>
      </c>
      <c r="M22" s="4684"/>
      <c r="N22" s="4684"/>
      <c r="O22" s="4692"/>
      <c r="Z22" s="2298"/>
    </row>
    <row r="23" spans="2:33" s="1801" customFormat="1" ht="21.75" customHeight="1">
      <c r="B23" s="4429"/>
      <c r="C23" s="4435"/>
      <c r="D23" s="4390">
        <v>155.9</v>
      </c>
      <c r="E23" s="4390">
        <v>262.2</v>
      </c>
      <c r="F23" s="4390">
        <v>341</v>
      </c>
      <c r="G23" s="3750" t="s">
        <v>77</v>
      </c>
      <c r="H23" s="3750" t="s">
        <v>77</v>
      </c>
      <c r="I23" s="3750" t="s">
        <v>77</v>
      </c>
      <c r="J23" s="3750" t="s">
        <v>77</v>
      </c>
      <c r="K23" s="1195">
        <v>842.4</v>
      </c>
      <c r="L23" s="4694">
        <v>1965</v>
      </c>
      <c r="M23" s="4694"/>
      <c r="N23" s="4694"/>
      <c r="O23" s="4695"/>
      <c r="Z23" s="2298"/>
    </row>
    <row r="24" spans="2:33" s="1801" customFormat="1" ht="21.75" customHeight="1">
      <c r="B24" s="4429"/>
      <c r="C24" s="4425"/>
      <c r="D24" s="4391">
        <v>177</v>
      </c>
      <c r="E24" s="4391">
        <v>430.4</v>
      </c>
      <c r="F24" s="4391">
        <v>375.3</v>
      </c>
      <c r="G24" s="4391" t="s">
        <v>77</v>
      </c>
      <c r="H24" s="4391" t="s">
        <v>77</v>
      </c>
      <c r="I24" s="4391" t="s">
        <v>77</v>
      </c>
      <c r="J24" s="4391" t="s">
        <v>77</v>
      </c>
      <c r="K24" s="1172">
        <v>1000.8</v>
      </c>
      <c r="L24" s="4684">
        <v>1966</v>
      </c>
      <c r="M24" s="4684"/>
      <c r="N24" s="4684"/>
      <c r="O24" s="4692"/>
      <c r="Z24" s="2298"/>
    </row>
    <row r="25" spans="2:33" s="1801" customFormat="1" ht="21.75" customHeight="1">
      <c r="B25" s="4429"/>
      <c r="C25" s="4435"/>
      <c r="D25" s="4390">
        <v>91.1</v>
      </c>
      <c r="E25" s="4390">
        <v>392.6</v>
      </c>
      <c r="F25" s="4390">
        <v>289.2</v>
      </c>
      <c r="G25" s="3750" t="s">
        <v>77</v>
      </c>
      <c r="H25" s="3750" t="s">
        <v>77</v>
      </c>
      <c r="I25" s="3750" t="s">
        <v>77</v>
      </c>
      <c r="J25" s="3750" t="s">
        <v>77</v>
      </c>
      <c r="K25" s="1195">
        <v>1237</v>
      </c>
      <c r="L25" s="4694">
        <v>1967</v>
      </c>
      <c r="M25" s="4694"/>
      <c r="N25" s="4694"/>
      <c r="O25" s="4695"/>
      <c r="Z25" s="2298"/>
    </row>
    <row r="26" spans="2:33" s="1801" customFormat="1" ht="21.75" customHeight="1">
      <c r="B26" s="4429"/>
      <c r="C26" s="4425"/>
      <c r="D26" s="4391">
        <v>104.5</v>
      </c>
      <c r="E26" s="4391">
        <v>392.9</v>
      </c>
      <c r="F26" s="4391">
        <v>375.6</v>
      </c>
      <c r="G26" s="4391" t="s">
        <v>77</v>
      </c>
      <c r="H26" s="4391" t="s">
        <v>77</v>
      </c>
      <c r="I26" s="4391" t="s">
        <v>77</v>
      </c>
      <c r="J26" s="4391" t="s">
        <v>77</v>
      </c>
      <c r="K26" s="1172">
        <v>1590.9</v>
      </c>
      <c r="L26" s="4684">
        <v>1968</v>
      </c>
      <c r="M26" s="4684"/>
      <c r="N26" s="4684"/>
      <c r="O26" s="4692"/>
      <c r="Z26" s="2298"/>
    </row>
    <row r="27" spans="2:33" s="1801" customFormat="1" ht="21.75" customHeight="1">
      <c r="B27" s="4429"/>
      <c r="C27" s="4435"/>
      <c r="D27" s="4390">
        <v>122.7</v>
      </c>
      <c r="E27" s="4390">
        <v>464.1</v>
      </c>
      <c r="F27" s="4390">
        <v>480.4</v>
      </c>
      <c r="G27" s="3750" t="s">
        <v>77</v>
      </c>
      <c r="H27" s="3750" t="s">
        <v>77</v>
      </c>
      <c r="I27" s="3750" t="s">
        <v>77</v>
      </c>
      <c r="J27" s="3750" t="s">
        <v>77</v>
      </c>
      <c r="K27" s="1195">
        <v>1087.3</v>
      </c>
      <c r="L27" s="4694">
        <v>1969</v>
      </c>
      <c r="M27" s="4694"/>
      <c r="N27" s="4694"/>
      <c r="O27" s="4695"/>
      <c r="Z27" s="2298"/>
    </row>
    <row r="28" spans="2:33" s="1801" customFormat="1" ht="21.75" customHeight="1">
      <c r="B28" s="4429"/>
      <c r="C28" s="4425"/>
      <c r="D28" s="4391">
        <v>120</v>
      </c>
      <c r="E28" s="4391">
        <v>445.8</v>
      </c>
      <c r="F28" s="4391">
        <v>377.6</v>
      </c>
      <c r="G28" s="4391" t="s">
        <v>77</v>
      </c>
      <c r="H28" s="4391" t="s">
        <v>77</v>
      </c>
      <c r="I28" s="4391" t="s">
        <v>77</v>
      </c>
      <c r="J28" s="4391" t="s">
        <v>77</v>
      </c>
      <c r="K28" s="1172">
        <v>938.9</v>
      </c>
      <c r="L28" s="4684">
        <v>1970</v>
      </c>
      <c r="M28" s="4684"/>
      <c r="N28" s="4684"/>
      <c r="O28" s="4692"/>
      <c r="Z28" s="2298"/>
    </row>
    <row r="29" spans="2:33" s="1801" customFormat="1" ht="21.75" customHeight="1">
      <c r="B29" s="4429"/>
      <c r="C29" s="4435"/>
      <c r="D29" s="4390">
        <v>133.69999999999999</v>
      </c>
      <c r="E29" s="4390">
        <v>556.70000000000005</v>
      </c>
      <c r="F29" s="4390">
        <v>418.9</v>
      </c>
      <c r="G29" s="3750" t="s">
        <v>77</v>
      </c>
      <c r="H29" s="3750" t="s">
        <v>77</v>
      </c>
      <c r="I29" s="3750" t="s">
        <v>77</v>
      </c>
      <c r="J29" s="3750" t="s">
        <v>77</v>
      </c>
      <c r="K29" s="1195">
        <v>640</v>
      </c>
      <c r="L29" s="4694">
        <v>1971</v>
      </c>
      <c r="M29" s="4694"/>
      <c r="N29" s="4694"/>
      <c r="O29" s="4695"/>
      <c r="Z29" s="2298"/>
    </row>
    <row r="30" spans="2:33" s="1801" customFormat="1" ht="21.75" customHeight="1">
      <c r="B30" s="4429"/>
      <c r="C30" s="4425"/>
      <c r="D30" s="4391">
        <v>158</v>
      </c>
      <c r="E30" s="4391">
        <v>605.1</v>
      </c>
      <c r="F30" s="4391">
        <v>661.3</v>
      </c>
      <c r="G30" s="4391" t="s">
        <v>77</v>
      </c>
      <c r="H30" s="4391" t="s">
        <v>77</v>
      </c>
      <c r="I30" s="4391" t="s">
        <v>77</v>
      </c>
      <c r="J30" s="4391" t="s">
        <v>77</v>
      </c>
      <c r="K30" s="1172">
        <v>709</v>
      </c>
      <c r="L30" s="4684">
        <v>1972</v>
      </c>
      <c r="M30" s="4684"/>
      <c r="N30" s="4684"/>
      <c r="O30" s="4692"/>
      <c r="Z30" s="2298"/>
    </row>
    <row r="31" spans="2:33" s="1801" customFormat="1" ht="21.75" customHeight="1">
      <c r="B31" s="4429"/>
      <c r="C31" s="4435"/>
      <c r="D31" s="4390">
        <v>181.4</v>
      </c>
      <c r="E31" s="4390">
        <v>675.3</v>
      </c>
      <c r="F31" s="4390">
        <v>616.79999999999995</v>
      </c>
      <c r="G31" s="3750" t="s">
        <v>77</v>
      </c>
      <c r="H31" s="3750" t="s">
        <v>77</v>
      </c>
      <c r="I31" s="3750" t="s">
        <v>77</v>
      </c>
      <c r="J31" s="3750" t="s">
        <v>77</v>
      </c>
      <c r="K31" s="1195">
        <v>1080.9000000000001</v>
      </c>
      <c r="L31" s="4694">
        <v>1973</v>
      </c>
      <c r="M31" s="4694"/>
      <c r="N31" s="4694"/>
      <c r="O31" s="4695"/>
      <c r="Z31" s="2298"/>
    </row>
    <row r="32" spans="2:33" s="1801" customFormat="1" ht="21.75" customHeight="1">
      <c r="B32" s="4429"/>
      <c r="C32" s="4425"/>
      <c r="D32" s="4391">
        <v>213.4</v>
      </c>
      <c r="E32" s="4391">
        <v>748.4</v>
      </c>
      <c r="F32" s="4391">
        <v>614.70000000000005</v>
      </c>
      <c r="G32" s="4391" t="s">
        <v>77</v>
      </c>
      <c r="H32" s="4391" t="s">
        <v>77</v>
      </c>
      <c r="I32" s="4391" t="s">
        <v>77</v>
      </c>
      <c r="J32" s="4391" t="s">
        <v>77</v>
      </c>
      <c r="K32" s="1172">
        <v>1674.8</v>
      </c>
      <c r="L32" s="4684">
        <v>1974</v>
      </c>
      <c r="M32" s="4684"/>
      <c r="N32" s="4684"/>
      <c r="O32" s="4692"/>
      <c r="Z32" s="2298"/>
    </row>
    <row r="33" spans="2:26" s="1801" customFormat="1" ht="21.75" customHeight="1">
      <c r="B33" s="4429"/>
      <c r="C33" s="4435"/>
      <c r="D33" s="4390">
        <v>256.7</v>
      </c>
      <c r="E33" s="4390">
        <v>828.2</v>
      </c>
      <c r="F33" s="4390">
        <v>598.20000000000005</v>
      </c>
      <c r="G33" s="3750" t="s">
        <v>77</v>
      </c>
      <c r="H33" s="3750" t="s">
        <v>77</v>
      </c>
      <c r="I33" s="3750" t="s">
        <v>77</v>
      </c>
      <c r="J33" s="3750" t="s">
        <v>77</v>
      </c>
      <c r="K33" s="1195">
        <v>1352.5</v>
      </c>
      <c r="L33" s="4694">
        <v>1975</v>
      </c>
      <c r="M33" s="4694"/>
      <c r="N33" s="4694"/>
      <c r="O33" s="4695"/>
      <c r="Z33" s="2298"/>
    </row>
    <row r="34" spans="2:26" s="1801" customFormat="1" ht="21.75" customHeight="1">
      <c r="B34" s="4429"/>
      <c r="C34" s="4425"/>
      <c r="D34" s="4391">
        <v>386</v>
      </c>
      <c r="E34" s="4391">
        <v>1145</v>
      </c>
      <c r="F34" s="4391">
        <v>582.4</v>
      </c>
      <c r="G34" s="4391" t="s">
        <v>77</v>
      </c>
      <c r="H34" s="4391" t="s">
        <v>77</v>
      </c>
      <c r="I34" s="4391" t="s">
        <v>77</v>
      </c>
      <c r="J34" s="4391" t="s">
        <v>77</v>
      </c>
      <c r="K34" s="1172">
        <v>1701.8</v>
      </c>
      <c r="L34" s="4684">
        <v>1976</v>
      </c>
      <c r="M34" s="4684"/>
      <c r="N34" s="4684"/>
      <c r="O34" s="4692"/>
      <c r="Z34" s="2298"/>
    </row>
    <row r="35" spans="2:26" s="1801" customFormat="1" ht="21.75" customHeight="1">
      <c r="B35" s="4429"/>
      <c r="C35" s="4435"/>
      <c r="D35" s="4390">
        <v>551.4</v>
      </c>
      <c r="E35" s="4390">
        <v>1145.5</v>
      </c>
      <c r="F35" s="4390">
        <v>537.6</v>
      </c>
      <c r="G35" s="3750" t="s">
        <v>77</v>
      </c>
      <c r="H35" s="3750" t="s">
        <v>77</v>
      </c>
      <c r="I35" s="3750" t="s">
        <v>77</v>
      </c>
      <c r="J35" s="3750" t="s">
        <v>77</v>
      </c>
      <c r="K35" s="1195">
        <v>1771.1</v>
      </c>
      <c r="L35" s="4694">
        <v>1977</v>
      </c>
      <c r="M35" s="4694"/>
      <c r="N35" s="4694"/>
      <c r="O35" s="4695"/>
      <c r="Z35" s="2298"/>
    </row>
    <row r="36" spans="2:26" s="1801" customFormat="1" ht="21.75" customHeight="1">
      <c r="B36" s="4429"/>
      <c r="C36" s="4425"/>
      <c r="D36" s="4391">
        <v>649.1</v>
      </c>
      <c r="E36" s="4391">
        <v>1396.6</v>
      </c>
      <c r="F36" s="4391">
        <v>553</v>
      </c>
      <c r="G36" s="4391" t="s">
        <v>77</v>
      </c>
      <c r="H36" s="4391" t="s">
        <v>77</v>
      </c>
      <c r="I36" s="4391" t="s">
        <v>77</v>
      </c>
      <c r="J36" s="4391" t="s">
        <v>77</v>
      </c>
      <c r="K36" s="1172">
        <v>2302.6999999999998</v>
      </c>
      <c r="L36" s="4684">
        <v>1978</v>
      </c>
      <c r="M36" s="4684"/>
      <c r="N36" s="4684"/>
      <c r="O36" s="4692"/>
      <c r="Z36" s="2298"/>
    </row>
    <row r="37" spans="2:26" s="1801" customFormat="1" ht="21.75" customHeight="1">
      <c r="B37" s="4429"/>
      <c r="C37" s="4435"/>
      <c r="D37" s="4390">
        <v>842.1</v>
      </c>
      <c r="E37" s="4390">
        <v>1612.4</v>
      </c>
      <c r="F37" s="4390">
        <v>623.20000000000005</v>
      </c>
      <c r="G37" s="3750" t="s">
        <v>77</v>
      </c>
      <c r="H37" s="3750" t="s">
        <v>77</v>
      </c>
      <c r="I37" s="3750" t="s">
        <v>77</v>
      </c>
      <c r="J37" s="3750" t="s">
        <v>77</v>
      </c>
      <c r="K37" s="1195">
        <v>2845.5</v>
      </c>
      <c r="L37" s="4694">
        <v>1979</v>
      </c>
      <c r="M37" s="4694"/>
      <c r="N37" s="4694"/>
      <c r="O37" s="4695"/>
      <c r="Z37" s="2298"/>
    </row>
    <row r="38" spans="2:26" s="1801" customFormat="1" ht="21.75" customHeight="1">
      <c r="B38" s="4429"/>
      <c r="C38" s="4425"/>
      <c r="D38" s="4391">
        <v>1051.4000000000001</v>
      </c>
      <c r="E38" s="4391">
        <v>1760</v>
      </c>
      <c r="F38" s="4391">
        <v>912.7</v>
      </c>
      <c r="G38" s="4391" t="s">
        <v>77</v>
      </c>
      <c r="H38" s="4391" t="s">
        <v>77</v>
      </c>
      <c r="I38" s="4391" t="s">
        <v>77</v>
      </c>
      <c r="J38" s="4391" t="s">
        <v>77</v>
      </c>
      <c r="K38" s="1172">
        <v>3906.8</v>
      </c>
      <c r="L38" s="4684">
        <v>1980</v>
      </c>
      <c r="M38" s="4684"/>
      <c r="N38" s="4684"/>
      <c r="O38" s="4692"/>
      <c r="Z38" s="2298"/>
    </row>
    <row r="39" spans="2:26" s="1801" customFormat="1" ht="21.75" customHeight="1">
      <c r="B39" s="4429"/>
      <c r="C39" s="4435"/>
      <c r="D39" s="4390">
        <v>1174.9000000000001</v>
      </c>
      <c r="E39" s="4390">
        <v>2126</v>
      </c>
      <c r="F39" s="4390">
        <v>964.7</v>
      </c>
      <c r="G39" s="3750" t="s">
        <v>77</v>
      </c>
      <c r="H39" s="3750" t="s">
        <v>77</v>
      </c>
      <c r="I39" s="3750" t="s">
        <v>77</v>
      </c>
      <c r="J39" s="3750" t="s">
        <v>77</v>
      </c>
      <c r="K39" s="1195">
        <v>4243.7</v>
      </c>
      <c r="L39" s="4694">
        <v>1981</v>
      </c>
      <c r="M39" s="4694"/>
      <c r="N39" s="4694"/>
      <c r="O39" s="4695"/>
      <c r="Z39" s="2298"/>
    </row>
    <row r="40" spans="2:26" s="1801" customFormat="1" ht="21.75" customHeight="1">
      <c r="B40" s="4429"/>
      <c r="C40" s="4425"/>
      <c r="D40" s="4391">
        <v>1387.2</v>
      </c>
      <c r="E40" s="4391">
        <v>2463.9</v>
      </c>
      <c r="F40" s="4391">
        <v>788.4</v>
      </c>
      <c r="G40" s="4391" t="s">
        <v>77</v>
      </c>
      <c r="H40" s="4391" t="s">
        <v>77</v>
      </c>
      <c r="I40" s="4391">
        <v>116.4</v>
      </c>
      <c r="J40" s="4391">
        <v>15</v>
      </c>
      <c r="K40" s="1172">
        <v>4390.3999999999996</v>
      </c>
      <c r="L40" s="4684">
        <v>1982</v>
      </c>
      <c r="M40" s="4684"/>
      <c r="N40" s="4684"/>
      <c r="O40" s="4692"/>
      <c r="Z40" s="2298"/>
    </row>
    <row r="41" spans="2:26" s="1801" customFormat="1" ht="21.75" customHeight="1">
      <c r="B41" s="4429"/>
      <c r="C41" s="4435"/>
      <c r="D41" s="4390">
        <v>1699.9</v>
      </c>
      <c r="E41" s="4390">
        <v>2499</v>
      </c>
      <c r="F41" s="4390">
        <v>1269</v>
      </c>
      <c r="G41" s="3750" t="s">
        <v>77</v>
      </c>
      <c r="H41" s="4390">
        <v>632.5</v>
      </c>
      <c r="I41" s="4390">
        <v>301.60000000000002</v>
      </c>
      <c r="J41" s="4390">
        <v>282.8</v>
      </c>
      <c r="K41" s="1195">
        <v>4748.5</v>
      </c>
      <c r="L41" s="4694">
        <v>1983</v>
      </c>
      <c r="M41" s="4694"/>
      <c r="N41" s="4694"/>
      <c r="O41" s="4695"/>
      <c r="Z41" s="2298"/>
    </row>
    <row r="42" spans="2:26" s="1801" customFormat="1" ht="21.75" customHeight="1">
      <c r="B42" s="4429"/>
      <c r="C42" s="4425"/>
      <c r="D42" s="4391">
        <v>1967</v>
      </c>
      <c r="E42" s="4391">
        <v>2510.9</v>
      </c>
      <c r="F42" s="4391">
        <v>2026.3</v>
      </c>
      <c r="G42" s="4391" t="s">
        <v>77</v>
      </c>
      <c r="H42" s="4391">
        <v>1194.5999999999999</v>
      </c>
      <c r="I42" s="4391">
        <v>541</v>
      </c>
      <c r="J42" s="4391">
        <v>486.9</v>
      </c>
      <c r="K42" s="1172">
        <v>6262</v>
      </c>
      <c r="L42" s="4684">
        <v>1984</v>
      </c>
      <c r="M42" s="4684"/>
      <c r="N42" s="4684"/>
      <c r="O42" s="4692"/>
      <c r="Z42" s="2298"/>
    </row>
    <row r="43" spans="2:26" s="1801" customFormat="1" ht="21.75" customHeight="1">
      <c r="B43" s="4429"/>
      <c r="C43" s="4435"/>
      <c r="D43" s="4390">
        <v>2154</v>
      </c>
      <c r="E43" s="4390">
        <v>2423.9</v>
      </c>
      <c r="F43" s="4390">
        <v>2022.9</v>
      </c>
      <c r="G43" s="3750" t="s">
        <v>77</v>
      </c>
      <c r="H43" s="4390">
        <v>1007.6</v>
      </c>
      <c r="I43" s="4390">
        <v>510.5</v>
      </c>
      <c r="J43" s="4390">
        <v>908.6</v>
      </c>
      <c r="K43" s="1195">
        <v>5918.8</v>
      </c>
      <c r="L43" s="4694">
        <v>1985</v>
      </c>
      <c r="M43" s="4694"/>
      <c r="N43" s="4694"/>
      <c r="O43" s="4695"/>
      <c r="Z43" s="2298"/>
    </row>
    <row r="44" spans="2:26" s="1801" customFormat="1" ht="21.75" customHeight="1">
      <c r="B44" s="4429"/>
      <c r="C44" s="4425"/>
      <c r="D44" s="4391">
        <v>2646.8</v>
      </c>
      <c r="E44" s="4391">
        <v>2257.1</v>
      </c>
      <c r="F44" s="4391">
        <v>1794.7</v>
      </c>
      <c r="G44" s="4391" t="s">
        <v>77</v>
      </c>
      <c r="H44" s="4391">
        <v>1024.8</v>
      </c>
      <c r="I44" s="4391">
        <v>551.1</v>
      </c>
      <c r="J44" s="4391">
        <v>1103.7</v>
      </c>
      <c r="K44" s="1172">
        <v>6249.2</v>
      </c>
      <c r="L44" s="4684">
        <v>1986</v>
      </c>
      <c r="M44" s="4684"/>
      <c r="N44" s="4684"/>
      <c r="O44" s="4692"/>
      <c r="Z44" s="2298"/>
    </row>
    <row r="45" spans="2:26" s="1801" customFormat="1" ht="21.75" customHeight="1">
      <c r="B45" s="4429"/>
      <c r="C45" s="4435"/>
      <c r="D45" s="4390">
        <v>3123.8</v>
      </c>
      <c r="E45" s="4390">
        <v>2404.5</v>
      </c>
      <c r="F45" s="4390">
        <v>2371.6</v>
      </c>
      <c r="G45" s="3750" t="s">
        <v>77</v>
      </c>
      <c r="H45" s="4390">
        <v>1103.2</v>
      </c>
      <c r="I45" s="4390">
        <v>604</v>
      </c>
      <c r="J45" s="4390">
        <v>1203.4000000000001</v>
      </c>
      <c r="K45" s="1195">
        <v>6801</v>
      </c>
      <c r="L45" s="4694">
        <v>1987</v>
      </c>
      <c r="M45" s="4694"/>
      <c r="N45" s="4694"/>
      <c r="O45" s="4695"/>
      <c r="Z45" s="2298"/>
    </row>
    <row r="46" spans="2:26" s="1801" customFormat="1" ht="21.75" customHeight="1">
      <c r="B46" s="4429"/>
      <c r="C46" s="4425"/>
      <c r="D46" s="4391">
        <v>2887.1</v>
      </c>
      <c r="E46" s="4391">
        <v>2316</v>
      </c>
      <c r="F46" s="4391">
        <v>1777.6</v>
      </c>
      <c r="G46" s="4391" t="s">
        <v>77</v>
      </c>
      <c r="H46" s="4391">
        <v>1157</v>
      </c>
      <c r="I46" s="4391">
        <v>615.79999999999995</v>
      </c>
      <c r="J46" s="4391">
        <v>1309.5999999999999</v>
      </c>
      <c r="K46" s="1172">
        <v>5668.2</v>
      </c>
      <c r="L46" s="4684">
        <v>1988</v>
      </c>
      <c r="M46" s="4684"/>
      <c r="N46" s="4684"/>
      <c r="O46" s="4692"/>
      <c r="Z46" s="2298"/>
    </row>
    <row r="47" spans="2:26" s="1801" customFormat="1" ht="21.75" customHeight="1">
      <c r="B47" s="4429"/>
      <c r="C47" s="4435"/>
      <c r="D47" s="4390">
        <v>3061.5</v>
      </c>
      <c r="E47" s="4390">
        <v>2335.1</v>
      </c>
      <c r="F47" s="4390">
        <v>1930</v>
      </c>
      <c r="G47" s="3750" t="s">
        <v>77</v>
      </c>
      <c r="H47" s="4390">
        <v>1169.5</v>
      </c>
      <c r="I47" s="4390">
        <v>602.70000000000005</v>
      </c>
      <c r="J47" s="4390">
        <v>1320.4</v>
      </c>
      <c r="K47" s="1195">
        <v>6928.7</v>
      </c>
      <c r="L47" s="4694">
        <v>1989</v>
      </c>
      <c r="M47" s="4694"/>
      <c r="N47" s="4694"/>
      <c r="O47" s="4695"/>
      <c r="Z47" s="2298"/>
    </row>
    <row r="48" spans="2:26" s="1801" customFormat="1" ht="21.75" customHeight="1">
      <c r="B48" s="4429"/>
      <c r="C48" s="4425"/>
      <c r="D48" s="4391">
        <v>3284.8</v>
      </c>
      <c r="E48" s="4391">
        <v>2593.8000000000002</v>
      </c>
      <c r="F48" s="4391">
        <v>2786.5</v>
      </c>
      <c r="G48" s="4391" t="s">
        <v>77</v>
      </c>
      <c r="H48" s="4391">
        <v>1135.5</v>
      </c>
      <c r="I48" s="4391">
        <v>595.79999999999995</v>
      </c>
      <c r="J48" s="4391">
        <v>1402.7</v>
      </c>
      <c r="K48" s="1172">
        <v>6082.2</v>
      </c>
      <c r="L48" s="4684">
        <v>1990</v>
      </c>
      <c r="M48" s="4684"/>
      <c r="N48" s="4684"/>
      <c r="O48" s="4692"/>
      <c r="Z48" s="2298"/>
    </row>
    <row r="49" spans="2:26" s="1801" customFormat="1" ht="21.75" customHeight="1">
      <c r="B49" s="4429"/>
      <c r="C49" s="4435"/>
      <c r="D49" s="4390">
        <v>3395</v>
      </c>
      <c r="E49" s="4390">
        <v>2307.1999999999998</v>
      </c>
      <c r="F49" s="4390">
        <v>2751.5</v>
      </c>
      <c r="G49" s="3750" t="s">
        <v>77</v>
      </c>
      <c r="H49" s="4390">
        <v>1299.7</v>
      </c>
      <c r="I49" s="4390">
        <v>602.1</v>
      </c>
      <c r="J49" s="4390">
        <v>1364.1</v>
      </c>
      <c r="K49" s="1195">
        <v>4934.3999999999996</v>
      </c>
      <c r="L49" s="4694">
        <v>1991</v>
      </c>
      <c r="M49" s="4694"/>
      <c r="N49" s="4694"/>
      <c r="O49" s="4695"/>
      <c r="Z49" s="2298"/>
    </row>
    <row r="50" spans="2:26" s="1801" customFormat="1" ht="21.75" customHeight="1">
      <c r="B50" s="4429"/>
      <c r="C50" s="4425"/>
      <c r="D50" s="4391">
        <v>4062.8</v>
      </c>
      <c r="E50" s="4391">
        <v>2839.6</v>
      </c>
      <c r="F50" s="4391">
        <v>2746</v>
      </c>
      <c r="G50" s="4391" t="s">
        <v>77</v>
      </c>
      <c r="H50" s="4391">
        <v>1110.3</v>
      </c>
      <c r="I50" s="4391">
        <v>553.6</v>
      </c>
      <c r="J50" s="4391">
        <v>1346</v>
      </c>
      <c r="K50" s="1172">
        <v>5270.8</v>
      </c>
      <c r="L50" s="4684">
        <v>1992</v>
      </c>
      <c r="M50" s="4684"/>
      <c r="N50" s="4684"/>
      <c r="O50" s="4692"/>
      <c r="Z50" s="2298"/>
    </row>
    <row r="51" spans="2:26" s="1801" customFormat="1" ht="21.75" customHeight="1">
      <c r="B51" s="4429"/>
      <c r="C51" s="4435"/>
      <c r="D51" s="4390">
        <v>4435.2</v>
      </c>
      <c r="E51" s="4390">
        <v>2814.5</v>
      </c>
      <c r="F51" s="4390">
        <v>3078.9</v>
      </c>
      <c r="G51" s="3750" t="s">
        <v>77</v>
      </c>
      <c r="H51" s="4390">
        <v>848.8</v>
      </c>
      <c r="I51" s="4390">
        <v>469.9</v>
      </c>
      <c r="J51" s="4390">
        <v>1370.1</v>
      </c>
      <c r="K51" s="1195">
        <v>4282.6000000000004</v>
      </c>
      <c r="L51" s="4694">
        <v>1993</v>
      </c>
      <c r="M51" s="4694"/>
      <c r="N51" s="4694"/>
      <c r="O51" s="4695"/>
      <c r="Z51" s="2298"/>
    </row>
    <row r="52" spans="2:26" s="1801" customFormat="1" ht="21.75" customHeight="1">
      <c r="B52" s="4429"/>
      <c r="C52" s="4425"/>
      <c r="D52" s="4391">
        <v>4988.6000000000004</v>
      </c>
      <c r="E52" s="4391">
        <v>2915.8</v>
      </c>
      <c r="F52" s="4391">
        <v>3392.4</v>
      </c>
      <c r="G52" s="4391">
        <v>3076</v>
      </c>
      <c r="H52" s="4391">
        <v>1381.6</v>
      </c>
      <c r="I52" s="4391">
        <v>749.7</v>
      </c>
      <c r="J52" s="4391">
        <v>1550.3</v>
      </c>
      <c r="K52" s="1172">
        <v>4216.5</v>
      </c>
      <c r="L52" s="4684">
        <v>1994</v>
      </c>
      <c r="M52" s="4684"/>
      <c r="N52" s="4684"/>
      <c r="O52" s="4692"/>
      <c r="Z52" s="2298"/>
    </row>
    <row r="53" spans="2:26" s="1801" customFormat="1" ht="21.75" customHeight="1">
      <c r="B53" s="4429"/>
      <c r="C53" s="4435"/>
      <c r="D53" s="4390">
        <v>5519.5</v>
      </c>
      <c r="E53" s="4390">
        <v>3100.8</v>
      </c>
      <c r="F53" s="4390">
        <v>3414.8</v>
      </c>
      <c r="G53" s="4390">
        <v>3151.9</v>
      </c>
      <c r="H53" s="4390">
        <v>1337.5</v>
      </c>
      <c r="I53" s="4390">
        <v>729.3</v>
      </c>
      <c r="J53" s="4390">
        <v>1780</v>
      </c>
      <c r="K53" s="1195">
        <v>4983.8999999999996</v>
      </c>
      <c r="L53" s="4694">
        <v>1995</v>
      </c>
      <c r="M53" s="4694"/>
      <c r="N53" s="4694"/>
      <c r="O53" s="4695"/>
      <c r="Z53" s="2298"/>
    </row>
    <row r="54" spans="2:26" s="1801" customFormat="1" ht="21.75" customHeight="1">
      <c r="B54" s="4429"/>
      <c r="C54" s="4425"/>
      <c r="D54" s="4391">
        <v>5951.7</v>
      </c>
      <c r="E54" s="4391">
        <v>3154.2</v>
      </c>
      <c r="F54" s="4391">
        <v>3512.2</v>
      </c>
      <c r="G54" s="4391">
        <v>2983</v>
      </c>
      <c r="H54" s="4391">
        <v>1262.3</v>
      </c>
      <c r="I54" s="4391">
        <v>670.7</v>
      </c>
      <c r="J54" s="4391">
        <v>1765.3</v>
      </c>
      <c r="K54" s="1172">
        <v>5355.1</v>
      </c>
      <c r="L54" s="4684">
        <v>1996</v>
      </c>
      <c r="M54" s="4684"/>
      <c r="N54" s="4684"/>
      <c r="O54" s="4692"/>
      <c r="Z54" s="2298"/>
    </row>
    <row r="55" spans="2:26" s="1801" customFormat="1" ht="21.75" customHeight="1">
      <c r="B55" s="4429"/>
      <c r="C55" s="4435"/>
      <c r="D55" s="4390">
        <v>6180.2</v>
      </c>
      <c r="E55" s="4390">
        <v>3257.3</v>
      </c>
      <c r="F55" s="4390">
        <v>3250.5</v>
      </c>
      <c r="G55" s="4390">
        <v>3054.5</v>
      </c>
      <c r="H55" s="4390">
        <v>1369.1</v>
      </c>
      <c r="I55" s="4390">
        <v>711.2</v>
      </c>
      <c r="J55" s="4390">
        <v>1415.6</v>
      </c>
      <c r="K55" s="1195">
        <v>5895.6</v>
      </c>
      <c r="L55" s="4694">
        <v>1997</v>
      </c>
      <c r="M55" s="4694"/>
      <c r="N55" s="4694"/>
      <c r="O55" s="4695"/>
      <c r="Z55" s="2298"/>
    </row>
    <row r="56" spans="2:26" s="1801" customFormat="1" ht="21.75" customHeight="1">
      <c r="B56" s="4429"/>
      <c r="C56" s="4425"/>
      <c r="D56" s="4391">
        <v>6570</v>
      </c>
      <c r="E56" s="4391">
        <v>3236.9</v>
      </c>
      <c r="F56" s="4391">
        <v>2650.3</v>
      </c>
      <c r="G56" s="4391">
        <v>2441.6999999999998</v>
      </c>
      <c r="H56" s="4391">
        <v>1712.2</v>
      </c>
      <c r="I56" s="4391">
        <v>849.6</v>
      </c>
      <c r="J56" s="4391">
        <v>1526.9</v>
      </c>
      <c r="K56" s="1172">
        <v>5924.6</v>
      </c>
      <c r="L56" s="4684">
        <v>1998</v>
      </c>
      <c r="M56" s="4684"/>
      <c r="N56" s="4684"/>
      <c r="O56" s="4692"/>
      <c r="Z56" s="2298"/>
    </row>
    <row r="57" spans="2:26" s="1801" customFormat="1" ht="21.75" customHeight="1">
      <c r="B57" s="4429"/>
      <c r="C57" s="4435"/>
      <c r="D57" s="4390">
        <v>6900.2</v>
      </c>
      <c r="E57" s="4390">
        <v>3266</v>
      </c>
      <c r="F57" s="4390">
        <v>2687</v>
      </c>
      <c r="G57" s="4390">
        <v>2445.1</v>
      </c>
      <c r="H57" s="4390">
        <v>1688.6</v>
      </c>
      <c r="I57" s="4390">
        <v>813.5</v>
      </c>
      <c r="J57" s="4390">
        <v>1800.2</v>
      </c>
      <c r="K57" s="1195">
        <v>6013.6</v>
      </c>
      <c r="L57" s="4694">
        <v>1999</v>
      </c>
      <c r="M57" s="4694"/>
      <c r="N57" s="4694"/>
      <c r="O57" s="4695"/>
      <c r="Z57" s="2298"/>
    </row>
    <row r="58" spans="2:26" s="1801" customFormat="1" ht="21.75" customHeight="1">
      <c r="B58" s="4429"/>
      <c r="C58" s="4425"/>
      <c r="D58" s="4391">
        <v>7208.2</v>
      </c>
      <c r="E58" s="4391">
        <v>3578.2</v>
      </c>
      <c r="F58" s="4391">
        <v>2639.9</v>
      </c>
      <c r="G58" s="4391">
        <v>2400</v>
      </c>
      <c r="H58" s="4391">
        <v>1684</v>
      </c>
      <c r="I58" s="4391">
        <v>619.5</v>
      </c>
      <c r="J58" s="4391">
        <v>1936.3</v>
      </c>
      <c r="K58" s="1172">
        <v>5506.1</v>
      </c>
      <c r="L58" s="4684">
        <v>2000</v>
      </c>
      <c r="M58" s="4684"/>
      <c r="N58" s="4684"/>
      <c r="O58" s="4692"/>
      <c r="Z58" s="2298"/>
    </row>
    <row r="59" spans="2:26" s="1801" customFormat="1" ht="21.75" customHeight="1">
      <c r="B59" s="4429"/>
      <c r="C59" s="4435"/>
      <c r="D59" s="4390">
        <v>7365.7</v>
      </c>
      <c r="E59" s="4390">
        <v>3596.8</v>
      </c>
      <c r="F59" s="4390">
        <v>3173.3</v>
      </c>
      <c r="G59" s="4390">
        <v>2896.4</v>
      </c>
      <c r="H59" s="4390">
        <v>1407.5</v>
      </c>
      <c r="I59" s="4390">
        <v>670.5</v>
      </c>
      <c r="J59" s="4390">
        <v>1962.6</v>
      </c>
      <c r="K59" s="1195">
        <v>5878.1</v>
      </c>
      <c r="L59" s="4694">
        <v>2001</v>
      </c>
      <c r="M59" s="4694"/>
      <c r="N59" s="4694"/>
      <c r="O59" s="4695"/>
      <c r="Z59" s="2298"/>
    </row>
    <row r="60" spans="2:26" s="1801" customFormat="1" ht="21.75" customHeight="1">
      <c r="B60" s="4429"/>
      <c r="C60" s="4425"/>
      <c r="D60" s="4391">
        <v>7864.9</v>
      </c>
      <c r="E60" s="4391">
        <v>3627.2</v>
      </c>
      <c r="F60" s="4391">
        <v>3557.5</v>
      </c>
      <c r="G60" s="4391">
        <v>3222.1</v>
      </c>
      <c r="H60" s="4391">
        <v>1649.1</v>
      </c>
      <c r="I60" s="4391">
        <v>695.3</v>
      </c>
      <c r="J60" s="4391">
        <v>1956.2</v>
      </c>
      <c r="K60" s="1172">
        <v>7107.2</v>
      </c>
      <c r="L60" s="4684">
        <v>2002</v>
      </c>
      <c r="M60" s="4684"/>
      <c r="N60" s="4684"/>
      <c r="O60" s="4692"/>
      <c r="Z60" s="2298"/>
    </row>
    <row r="61" spans="2:26" s="1801" customFormat="1" ht="21.75" customHeight="1">
      <c r="B61" s="4429"/>
      <c r="C61" s="4435"/>
      <c r="D61" s="4390">
        <v>7721.4</v>
      </c>
      <c r="E61" s="4390">
        <v>3694.6</v>
      </c>
      <c r="F61" s="4390">
        <v>3514.9</v>
      </c>
      <c r="G61" s="4390">
        <v>3170.1</v>
      </c>
      <c r="H61" s="4390">
        <v>1499.3</v>
      </c>
      <c r="I61" s="4390">
        <v>634</v>
      </c>
      <c r="J61" s="4390">
        <v>1961.1</v>
      </c>
      <c r="K61" s="1195">
        <v>6762.3</v>
      </c>
      <c r="L61" s="4694">
        <v>2003</v>
      </c>
      <c r="M61" s="4694"/>
      <c r="N61" s="4694"/>
      <c r="O61" s="4695"/>
      <c r="Z61" s="2298"/>
    </row>
    <row r="62" spans="2:26" s="1801" customFormat="1" ht="21.75" customHeight="1">
      <c r="B62" s="4429"/>
      <c r="C62" s="4425"/>
      <c r="D62" s="4391">
        <v>8708.9</v>
      </c>
      <c r="E62" s="4391">
        <v>3946.5</v>
      </c>
      <c r="F62" s="4391">
        <v>3907.6</v>
      </c>
      <c r="G62" s="4391">
        <v>3401.3</v>
      </c>
      <c r="H62" s="4391">
        <v>1650.6</v>
      </c>
      <c r="I62" s="4391">
        <v>779.1</v>
      </c>
      <c r="J62" s="4391">
        <v>1929</v>
      </c>
      <c r="K62" s="1172">
        <v>6222.9</v>
      </c>
      <c r="L62" s="4684">
        <v>2004</v>
      </c>
      <c r="M62" s="4684"/>
      <c r="N62" s="4684"/>
      <c r="O62" s="4692"/>
      <c r="Z62" s="2298"/>
    </row>
    <row r="63" spans="2:26" s="1801" customFormat="1" ht="21.75" customHeight="1">
      <c r="B63" s="4429"/>
      <c r="C63" s="4435"/>
      <c r="D63" s="4390">
        <v>9359.2999999999993</v>
      </c>
      <c r="E63" s="4390">
        <v>4213.7</v>
      </c>
      <c r="F63" s="4390">
        <v>4045.9</v>
      </c>
      <c r="G63" s="4390">
        <v>3374.7</v>
      </c>
      <c r="H63" s="4390">
        <v>1613.6</v>
      </c>
      <c r="I63" s="4390">
        <v>790.3</v>
      </c>
      <c r="J63" s="4390">
        <v>1829.1</v>
      </c>
      <c r="K63" s="1195">
        <v>6374.7</v>
      </c>
      <c r="L63" s="4694">
        <v>2005</v>
      </c>
      <c r="M63" s="4694"/>
      <c r="N63" s="4694"/>
      <c r="O63" s="4695"/>
      <c r="Z63" s="2298"/>
    </row>
    <row r="64" spans="2:26" s="1801" customFormat="1" ht="21.75" customHeight="1">
      <c r="B64" s="4429"/>
      <c r="C64" s="4425"/>
      <c r="D64" s="4391">
        <v>9227.1</v>
      </c>
      <c r="E64" s="4391">
        <v>4017.2</v>
      </c>
      <c r="F64" s="4391">
        <v>3967.4</v>
      </c>
      <c r="G64" s="4391">
        <v>3419.2</v>
      </c>
      <c r="H64" s="4391">
        <v>1668.6</v>
      </c>
      <c r="I64" s="4391">
        <v>861.8</v>
      </c>
      <c r="J64" s="4391">
        <v>1699.4</v>
      </c>
      <c r="K64" s="1172">
        <v>5870.8</v>
      </c>
      <c r="L64" s="4684">
        <v>2006</v>
      </c>
      <c r="M64" s="4684"/>
      <c r="N64" s="4684"/>
      <c r="O64" s="4692"/>
      <c r="Z64" s="2298"/>
    </row>
    <row r="65" spans="2:26" s="1801" customFormat="1" ht="21.75" customHeight="1">
      <c r="B65" s="4429"/>
      <c r="C65" s="4435"/>
      <c r="D65" s="4390">
        <v>10077.5</v>
      </c>
      <c r="E65" s="4390">
        <v>3740.4</v>
      </c>
      <c r="F65" s="4390">
        <v>3969.2999999999997</v>
      </c>
      <c r="G65" s="4390">
        <v>3367.2000000000003</v>
      </c>
      <c r="H65" s="4390">
        <v>1501.9999999999998</v>
      </c>
      <c r="I65" s="4390">
        <v>831</v>
      </c>
      <c r="J65" s="4390">
        <v>1794.4</v>
      </c>
      <c r="K65" s="1195">
        <v>5541.4</v>
      </c>
      <c r="L65" s="4694">
        <v>2007</v>
      </c>
      <c r="M65" s="4694"/>
      <c r="N65" s="4694"/>
      <c r="O65" s="4695"/>
      <c r="P65" s="4429"/>
      <c r="Z65" s="2298"/>
    </row>
    <row r="66" spans="2:26" s="1801" customFormat="1" ht="21.75" customHeight="1">
      <c r="B66" s="4429"/>
      <c r="C66" s="4425"/>
      <c r="D66" s="4391">
        <v>9023.2999999999993</v>
      </c>
      <c r="E66" s="4391">
        <v>3670.2400000000007</v>
      </c>
      <c r="F66" s="4391">
        <v>4283.6820000000007</v>
      </c>
      <c r="G66" s="4391">
        <v>3578.8289999999997</v>
      </c>
      <c r="H66" s="4391">
        <v>1393.2109999999998</v>
      </c>
      <c r="I66" s="4391">
        <v>787.77</v>
      </c>
      <c r="J66" s="4391">
        <v>2004.6299999999999</v>
      </c>
      <c r="K66" s="1172">
        <v>6265.5999999999995</v>
      </c>
      <c r="L66" s="4684">
        <v>2008</v>
      </c>
      <c r="M66" s="4684"/>
      <c r="N66" s="4684"/>
      <c r="O66" s="4692"/>
      <c r="Z66" s="2298"/>
    </row>
    <row r="67" spans="2:26" s="1801" customFormat="1" ht="21.75" customHeight="1">
      <c r="B67" s="4429"/>
      <c r="C67" s="4435"/>
      <c r="D67" s="4390">
        <v>8130.1</v>
      </c>
      <c r="E67" s="4390">
        <v>3538.6</v>
      </c>
      <c r="F67" s="4390">
        <v>4081.3</v>
      </c>
      <c r="G67" s="4390">
        <v>3064.4</v>
      </c>
      <c r="H67" s="4390">
        <v>1433.7</v>
      </c>
      <c r="I67" s="4390">
        <v>721.1</v>
      </c>
      <c r="J67" s="4390">
        <v>1122.5999999999999</v>
      </c>
      <c r="K67" s="1195">
        <v>5152.8999999999996</v>
      </c>
      <c r="L67" s="4694">
        <v>2009</v>
      </c>
      <c r="M67" s="4694"/>
      <c r="N67" s="4694"/>
      <c r="O67" s="4695"/>
      <c r="Z67" s="2298"/>
    </row>
    <row r="68" spans="2:26" s="1801" customFormat="1" ht="21.75" customHeight="1">
      <c r="B68" s="4429"/>
      <c r="C68" s="4425"/>
      <c r="D68" s="4391">
        <v>7805.5</v>
      </c>
      <c r="E68" s="4391">
        <v>3349.8</v>
      </c>
      <c r="F68" s="4391">
        <v>3928.7</v>
      </c>
      <c r="G68" s="4391">
        <v>1698.6</v>
      </c>
      <c r="H68" s="4391">
        <v>1576.2</v>
      </c>
      <c r="I68" s="4391">
        <v>759.9</v>
      </c>
      <c r="J68" s="4391">
        <v>1933.5</v>
      </c>
      <c r="K68" s="1172">
        <v>6528.7</v>
      </c>
      <c r="L68" s="4684">
        <v>2010</v>
      </c>
      <c r="M68" s="4684"/>
      <c r="N68" s="4684"/>
      <c r="O68" s="4692"/>
      <c r="Z68" s="2298"/>
    </row>
    <row r="69" spans="2:26" s="2127" customFormat="1" ht="21.75" customHeight="1">
      <c r="B69" s="2125"/>
      <c r="C69" s="4435"/>
      <c r="D69" s="4390">
        <v>8160.4000000000015</v>
      </c>
      <c r="E69" s="4390">
        <v>3158.2</v>
      </c>
      <c r="F69" s="4390" t="s">
        <v>2382</v>
      </c>
      <c r="G69" s="4390">
        <v>1205.5999999999999</v>
      </c>
      <c r="H69" s="4390">
        <v>1413</v>
      </c>
      <c r="I69" s="4390">
        <v>722.7</v>
      </c>
      <c r="J69" s="4390">
        <v>2258.6</v>
      </c>
      <c r="K69" s="1195">
        <v>7593.8999999999987</v>
      </c>
      <c r="L69" s="4694">
        <v>2011</v>
      </c>
      <c r="M69" s="4694"/>
      <c r="N69" s="4694"/>
      <c r="O69" s="4695"/>
      <c r="Z69" s="3751"/>
    </row>
    <row r="70" spans="2:26" s="2127" customFormat="1" ht="21.75" customHeight="1">
      <c r="B70" s="2125"/>
      <c r="C70" s="4425"/>
      <c r="D70" s="4391">
        <v>7895.5</v>
      </c>
      <c r="E70" s="4391">
        <v>3476</v>
      </c>
      <c r="F70" s="4391" t="s">
        <v>2382</v>
      </c>
      <c r="G70" s="4391">
        <v>1025.8</v>
      </c>
      <c r="H70" s="4391">
        <v>1290.7</v>
      </c>
      <c r="I70" s="4391">
        <v>640.29999999999995</v>
      </c>
      <c r="J70" s="4391">
        <v>1823.4</v>
      </c>
      <c r="K70" s="1172">
        <v>6382.9</v>
      </c>
      <c r="L70" s="4684">
        <v>2012</v>
      </c>
      <c r="M70" s="4684"/>
      <c r="N70" s="4684"/>
      <c r="O70" s="4692"/>
      <c r="Z70" s="3751"/>
    </row>
    <row r="71" spans="2:26" s="2127" customFormat="1" ht="21.75" customHeight="1">
      <c r="B71" s="2125"/>
      <c r="C71" s="4435"/>
      <c r="D71" s="4390">
        <v>7539.3</v>
      </c>
      <c r="E71" s="4390">
        <v>3081.9</v>
      </c>
      <c r="F71" s="4390" t="s">
        <v>2382</v>
      </c>
      <c r="G71" s="4390">
        <v>906.1</v>
      </c>
      <c r="H71" s="4390">
        <v>1266.4000000000001</v>
      </c>
      <c r="I71" s="4390">
        <v>678.1</v>
      </c>
      <c r="J71" s="4390">
        <v>1728.4</v>
      </c>
      <c r="K71" s="1195">
        <v>5274.2</v>
      </c>
      <c r="L71" s="4694" t="s">
        <v>1332</v>
      </c>
      <c r="M71" s="4694"/>
      <c r="N71" s="4694"/>
      <c r="O71" s="4695"/>
      <c r="Z71" s="3751"/>
    </row>
    <row r="72" spans="2:26" s="2127" customFormat="1" ht="21.75" customHeight="1">
      <c r="B72" s="2125"/>
      <c r="C72" s="4425"/>
      <c r="D72" s="4391">
        <v>8147.9</v>
      </c>
      <c r="E72" s="4391">
        <v>3007.1</v>
      </c>
      <c r="F72" s="4391" t="s">
        <v>2382</v>
      </c>
      <c r="G72" s="4391">
        <v>865</v>
      </c>
      <c r="H72" s="4391">
        <v>1441.5</v>
      </c>
      <c r="I72" s="4391">
        <v>886</v>
      </c>
      <c r="J72" s="4391">
        <v>2086.1999999999998</v>
      </c>
      <c r="K72" s="1172">
        <v>7108.9</v>
      </c>
      <c r="L72" s="5106" t="s">
        <v>2564</v>
      </c>
      <c r="M72" s="4684"/>
      <c r="N72" s="4684"/>
      <c r="O72" s="4692"/>
      <c r="Z72" s="3751"/>
    </row>
    <row r="73" spans="2:26" s="2127" customFormat="1" ht="21.75" customHeight="1">
      <c r="B73" s="2125"/>
      <c r="C73" s="4435"/>
      <c r="D73" s="4390">
        <v>6557.3620000000001</v>
      </c>
      <c r="E73" s="4390">
        <v>3211.8869999999997</v>
      </c>
      <c r="F73" s="4390" t="s">
        <v>2382</v>
      </c>
      <c r="G73" s="4390">
        <v>652.54200000000003</v>
      </c>
      <c r="H73" s="4390">
        <v>1205.848</v>
      </c>
      <c r="I73" s="4390">
        <v>619.35500000000002</v>
      </c>
      <c r="J73" s="4390">
        <v>2354.9560000000001</v>
      </c>
      <c r="K73" s="1195">
        <v>8263.5</v>
      </c>
      <c r="L73" s="5102" t="s">
        <v>2614</v>
      </c>
      <c r="M73" s="4694"/>
      <c r="N73" s="4694"/>
      <c r="O73" s="4695"/>
      <c r="Z73" s="3751"/>
    </row>
    <row r="74" spans="2:26" s="2127" customFormat="1" ht="21.75" customHeight="1">
      <c r="B74" s="2125"/>
      <c r="C74" s="4425"/>
      <c r="D74" s="4391">
        <v>4536.2</v>
      </c>
      <c r="E74" s="4391">
        <v>2793.3</v>
      </c>
      <c r="F74" s="4391" t="s">
        <v>2382</v>
      </c>
      <c r="G74" s="4391">
        <v>574.5</v>
      </c>
      <c r="H74" s="4391">
        <v>1083</v>
      </c>
      <c r="I74" s="4391">
        <v>547.4</v>
      </c>
      <c r="J74" s="4391">
        <v>2003.5</v>
      </c>
      <c r="K74" s="1172">
        <v>7988.9</v>
      </c>
      <c r="L74" s="5106" t="s">
        <v>2688</v>
      </c>
      <c r="M74" s="4684"/>
      <c r="N74" s="4684"/>
      <c r="O74" s="4692"/>
      <c r="Z74" s="3751"/>
    </row>
    <row r="75" spans="2:26" s="2127" customFormat="1" ht="21.75" customHeight="1">
      <c r="B75" s="2125"/>
      <c r="C75" s="4435"/>
      <c r="D75" s="4390">
        <v>4721.8</v>
      </c>
      <c r="E75" s="4390">
        <v>2603.8000000000002</v>
      </c>
      <c r="F75" s="4390" t="s">
        <v>2382</v>
      </c>
      <c r="G75" s="4390">
        <v>543</v>
      </c>
      <c r="H75" s="4390">
        <v>1308.5999999999999</v>
      </c>
      <c r="I75" s="4390">
        <v>695.3</v>
      </c>
      <c r="J75" s="4390">
        <v>2320</v>
      </c>
      <c r="K75" s="1195">
        <v>8665.6</v>
      </c>
      <c r="L75" s="5101" t="s">
        <v>2752</v>
      </c>
      <c r="M75" s="5102"/>
      <c r="N75" s="5102"/>
      <c r="O75" s="5103"/>
      <c r="Z75" s="3751"/>
    </row>
    <row r="76" spans="2:26" s="2127" customFormat="1" ht="21.75" customHeight="1">
      <c r="B76" s="2125"/>
      <c r="C76" s="4425"/>
      <c r="D76" s="4391">
        <v>2270.1738070000001</v>
      </c>
      <c r="E76" s="4391">
        <v>2212.7580000000003</v>
      </c>
      <c r="F76" s="4391" t="s">
        <v>2382</v>
      </c>
      <c r="G76" s="4391">
        <v>587.23500000000001</v>
      </c>
      <c r="H76" s="4391">
        <v>1375.3869999999999</v>
      </c>
      <c r="I76" s="4391">
        <v>882.02499999999986</v>
      </c>
      <c r="J76" s="4391">
        <v>2434.462</v>
      </c>
      <c r="K76" s="1172">
        <v>7986.621000000001</v>
      </c>
      <c r="L76" s="5106" t="s">
        <v>3016</v>
      </c>
      <c r="M76" s="4684"/>
      <c r="N76" s="4684"/>
      <c r="O76" s="4692"/>
      <c r="Z76" s="3751"/>
    </row>
    <row r="77" spans="2:26" s="2127" customFormat="1" ht="21.75" customHeight="1">
      <c r="B77" s="2125"/>
      <c r="C77" s="4435"/>
      <c r="D77" s="4390">
        <v>973.3</v>
      </c>
      <c r="E77" s="4390">
        <v>2274</v>
      </c>
      <c r="F77" s="4390" t="s">
        <v>2382</v>
      </c>
      <c r="G77" s="4390">
        <v>282.10000000000002</v>
      </c>
      <c r="H77" s="4390">
        <v>1291.9000000000001</v>
      </c>
      <c r="I77" s="4390">
        <v>747.8</v>
      </c>
      <c r="J77" s="4390">
        <v>2486.6999999999998</v>
      </c>
      <c r="K77" s="4390">
        <v>9088.5</v>
      </c>
      <c r="L77" s="5102" t="s">
        <v>3032</v>
      </c>
      <c r="M77" s="5102"/>
      <c r="N77" s="5102"/>
      <c r="O77" s="5103"/>
      <c r="Z77" s="3751"/>
    </row>
    <row r="78" spans="2:26" s="2127" customFormat="1" ht="21.75" customHeight="1">
      <c r="B78" s="2125"/>
      <c r="C78" s="4524"/>
      <c r="D78" s="4517">
        <v>1030.789</v>
      </c>
      <c r="E78" s="4517">
        <v>1855.1070000000002</v>
      </c>
      <c r="F78" s="4517" t="s">
        <v>2382</v>
      </c>
      <c r="G78" s="4517">
        <v>292.85600000000005</v>
      </c>
      <c r="H78" s="4517">
        <v>1391.7349999999999</v>
      </c>
      <c r="I78" s="4517">
        <v>929.21299999999997</v>
      </c>
      <c r="J78" s="4517">
        <v>2455.4839999999999</v>
      </c>
      <c r="K78" s="4517">
        <v>8616.0370000000003</v>
      </c>
      <c r="L78" s="5106" t="s">
        <v>3045</v>
      </c>
      <c r="M78" s="4684"/>
      <c r="N78" s="4684"/>
      <c r="O78" s="4692"/>
      <c r="Z78" s="3751"/>
    </row>
    <row r="79" spans="2:26" s="2127" customFormat="1" ht="21.75" customHeight="1">
      <c r="B79" s="2125"/>
      <c r="C79" s="4527"/>
      <c r="D79" s="4518">
        <v>1321.8534910000001</v>
      </c>
      <c r="E79" s="4518">
        <v>1764.9920000000002</v>
      </c>
      <c r="F79" s="4518" t="s">
        <v>2382</v>
      </c>
      <c r="G79" s="4518">
        <v>216</v>
      </c>
      <c r="H79" s="4518">
        <v>1562.2970000000003</v>
      </c>
      <c r="I79" s="4518">
        <v>1055.1179999999999</v>
      </c>
      <c r="J79" s="4518">
        <v>2562.4800000000005</v>
      </c>
      <c r="K79" s="1195">
        <v>9840.5220000000008</v>
      </c>
      <c r="L79" s="5101" t="s">
        <v>3122</v>
      </c>
      <c r="M79" s="5102"/>
      <c r="N79" s="5102"/>
      <c r="O79" s="5103"/>
      <c r="Z79" s="3751"/>
    </row>
    <row r="80" spans="2:26" s="2127" customFormat="1" ht="21.75" customHeight="1">
      <c r="B80" s="2125"/>
      <c r="C80" s="4522"/>
      <c r="D80" s="4523">
        <v>1146.8</v>
      </c>
      <c r="E80" s="4523">
        <v>1625.5</v>
      </c>
      <c r="F80" s="4523" t="s">
        <v>2382</v>
      </c>
      <c r="G80" s="4523">
        <v>190.3</v>
      </c>
      <c r="H80" s="4523">
        <v>1584.3</v>
      </c>
      <c r="I80" s="4523">
        <v>952.6</v>
      </c>
      <c r="J80" s="4523">
        <v>2684</v>
      </c>
      <c r="K80" s="1207">
        <v>10957</v>
      </c>
      <c r="L80" s="5104" t="s">
        <v>3123</v>
      </c>
      <c r="M80" s="4688"/>
      <c r="N80" s="4688"/>
      <c r="O80" s="4689"/>
      <c r="Z80" s="3751"/>
    </row>
    <row r="81" spans="1:29" s="1191" customFormat="1" ht="18" customHeight="1">
      <c r="A81" s="3752"/>
      <c r="B81" s="3753"/>
      <c r="C81" s="1453" t="s">
        <v>1816</v>
      </c>
      <c r="D81" s="1318"/>
      <c r="E81" s="2088"/>
      <c r="F81" s="1318"/>
      <c r="G81" s="1318"/>
      <c r="H81" s="1453"/>
      <c r="I81" s="1318"/>
      <c r="J81" s="1318"/>
      <c r="K81" s="4422"/>
      <c r="L81" s="1318"/>
      <c r="M81" s="4422"/>
      <c r="N81" s="1318"/>
      <c r="O81" s="1397" t="s">
        <v>1817</v>
      </c>
      <c r="Z81" s="3754"/>
    </row>
    <row r="82" spans="1:29" s="1191" customFormat="1" ht="18">
      <c r="B82" s="2086"/>
      <c r="C82" s="2159" t="s">
        <v>1818</v>
      </c>
      <c r="D82" s="1318"/>
      <c r="E82" s="2084"/>
      <c r="F82" s="1838"/>
      <c r="G82" s="1838"/>
      <c r="H82" s="1318"/>
      <c r="I82" s="1318"/>
      <c r="J82" s="1318"/>
      <c r="K82" s="4422"/>
      <c r="L82" s="2842"/>
      <c r="M82" s="4422"/>
      <c r="N82" s="1318"/>
      <c r="O82" s="2836" t="s">
        <v>1819</v>
      </c>
      <c r="AC82" s="3754"/>
    </row>
    <row r="83" spans="1:29" ht="18" customHeight="1">
      <c r="C83" s="1838"/>
      <c r="D83" s="1838" t="s">
        <v>1820</v>
      </c>
      <c r="E83" s="1838"/>
      <c r="F83" s="1838"/>
      <c r="G83" s="1838"/>
      <c r="H83" s="1838"/>
      <c r="I83" s="1838"/>
      <c r="J83" s="1838"/>
      <c r="K83" s="2088"/>
      <c r="L83" s="3755"/>
      <c r="M83" s="1838"/>
      <c r="N83" s="1838"/>
      <c r="O83" s="2836" t="s">
        <v>1821</v>
      </c>
      <c r="P83" s="1801"/>
    </row>
    <row r="84" spans="1:29" ht="20.100000000000001" customHeight="1">
      <c r="B84" s="1808"/>
      <c r="C84" s="1844"/>
      <c r="D84" s="1844"/>
      <c r="E84" s="1844"/>
      <c r="F84" s="3756"/>
      <c r="G84" s="1844"/>
      <c r="H84" s="1844"/>
      <c r="I84" s="3756"/>
      <c r="J84" s="3419"/>
      <c r="K84" s="3419"/>
      <c r="L84" s="2259"/>
      <c r="M84" s="1793"/>
      <c r="N84" s="1793"/>
      <c r="O84" s="1793"/>
      <c r="P84" s="1801"/>
    </row>
    <row r="85" spans="1:29">
      <c r="B85" s="1808"/>
      <c r="C85" s="1844"/>
      <c r="D85" s="1844"/>
      <c r="E85" s="1844"/>
      <c r="F85" s="3756"/>
      <c r="G85" s="1844"/>
      <c r="H85" s="1844"/>
      <c r="I85" s="3756"/>
      <c r="J85" s="2648"/>
      <c r="K85" s="2648"/>
      <c r="L85" s="2259"/>
      <c r="M85" s="1793"/>
      <c r="N85" s="1793"/>
      <c r="O85" s="1793"/>
      <c r="P85" s="1801"/>
    </row>
    <row r="86" spans="1:29">
      <c r="B86" s="3269"/>
      <c r="C86" s="3756"/>
      <c r="D86" s="3756"/>
      <c r="E86" s="3756"/>
      <c r="F86" s="1844"/>
      <c r="G86" s="2259"/>
      <c r="H86" s="2259"/>
      <c r="I86" s="1844"/>
      <c r="J86" s="1793"/>
      <c r="K86" s="1844"/>
      <c r="L86" s="1793"/>
      <c r="M86" s="1793"/>
      <c r="N86" s="1793"/>
      <c r="O86" s="1793"/>
      <c r="P86" s="1801"/>
    </row>
    <row r="87" spans="1:29">
      <c r="B87" s="3269"/>
      <c r="C87" s="3756"/>
      <c r="D87" s="3756"/>
      <c r="E87" s="3756"/>
      <c r="F87" s="1844"/>
      <c r="G87" s="1844"/>
      <c r="H87" s="3756"/>
      <c r="I87" s="1844"/>
      <c r="J87" s="3419"/>
      <c r="K87" s="3419"/>
      <c r="L87" s="1793"/>
      <c r="M87" s="1793"/>
      <c r="N87" s="1793"/>
      <c r="O87" s="1793"/>
      <c r="P87" s="1801"/>
    </row>
    <row r="88" spans="1:29">
      <c r="B88" s="1804"/>
      <c r="C88" s="2259"/>
      <c r="D88" s="3756"/>
      <c r="E88" s="3209"/>
      <c r="F88" s="1793"/>
      <c r="G88" s="1844"/>
      <c r="H88" s="3756"/>
      <c r="I88" s="1844"/>
      <c r="J88" s="2259"/>
      <c r="K88" s="2259"/>
      <c r="L88" s="1844"/>
      <c r="M88" s="1844"/>
      <c r="N88" s="1844"/>
      <c r="O88" s="1844"/>
      <c r="P88" s="1801"/>
    </row>
    <row r="89" spans="1:29">
      <c r="B89" s="1804"/>
      <c r="C89" s="2259"/>
      <c r="D89" s="3756"/>
      <c r="E89" s="3209"/>
      <c r="F89" s="1793"/>
      <c r="G89" s="1844"/>
      <c r="H89" s="3756"/>
      <c r="I89" s="1844"/>
      <c r="J89" s="2259"/>
      <c r="K89" s="2259"/>
      <c r="L89" s="1844"/>
      <c r="M89" s="1844"/>
      <c r="N89" s="1844"/>
      <c r="O89" s="1844"/>
      <c r="P89" s="1801"/>
    </row>
    <row r="90" spans="1:29">
      <c r="B90" s="1804"/>
      <c r="C90" s="2259"/>
      <c r="D90" s="3756"/>
      <c r="E90" s="2091"/>
      <c r="F90" s="3209"/>
      <c r="G90" s="1844"/>
      <c r="H90" s="2091"/>
      <c r="I90" s="1844"/>
      <c r="J90" s="2259"/>
      <c r="K90" s="2259"/>
      <c r="L90" s="1844"/>
      <c r="M90" s="1844"/>
      <c r="N90" s="1844"/>
      <c r="O90" s="1844"/>
      <c r="P90" s="1801"/>
    </row>
    <row r="91" spans="1:29">
      <c r="B91" s="1807"/>
      <c r="C91" s="2091"/>
      <c r="D91" s="3757"/>
      <c r="E91" s="3758"/>
      <c r="F91" s="3758"/>
      <c r="G91" s="3758"/>
      <c r="H91" s="3758"/>
      <c r="I91" s="3758"/>
      <c r="J91" s="2091"/>
      <c r="K91" s="2091"/>
      <c r="L91" s="2259"/>
      <c r="M91" s="2259"/>
      <c r="N91" s="1793"/>
      <c r="O91" s="1793"/>
      <c r="P91" s="1801"/>
    </row>
    <row r="92" spans="1:29">
      <c r="B92" s="1807"/>
      <c r="C92" s="2091"/>
      <c r="D92" s="3759"/>
      <c r="E92" s="2091"/>
      <c r="F92" s="2091"/>
      <c r="G92" s="2091"/>
      <c r="H92" s="2091"/>
      <c r="I92" s="2259"/>
      <c r="J92" s="2259"/>
      <c r="K92" s="2259"/>
      <c r="L92" s="2259"/>
      <c r="M92" s="2259"/>
      <c r="N92" s="1793"/>
      <c r="O92" s="1793"/>
      <c r="P92" s="1801"/>
    </row>
    <row r="93" spans="1:29">
      <c r="B93" s="1807"/>
      <c r="C93" s="2091"/>
      <c r="D93" s="3759"/>
      <c r="E93" s="2091"/>
      <c r="F93" s="1793"/>
      <c r="G93" s="2091"/>
      <c r="H93" s="2091"/>
      <c r="I93" s="1844"/>
      <c r="J93" s="2259"/>
      <c r="K93" s="2259"/>
      <c r="L93" s="2259"/>
      <c r="M93" s="2259"/>
      <c r="N93" s="1844"/>
      <c r="O93" s="1844"/>
      <c r="P93" s="1801"/>
    </row>
    <row r="94" spans="1:29">
      <c r="B94" s="1807"/>
      <c r="C94" s="2091"/>
      <c r="D94" s="3757"/>
      <c r="E94" s="3758"/>
      <c r="F94" s="3758"/>
      <c r="G94" s="3758"/>
      <c r="H94" s="3758"/>
      <c r="I94" s="3758"/>
      <c r="J94" s="2091"/>
      <c r="K94" s="2091"/>
      <c r="L94" s="2259"/>
      <c r="M94" s="2259"/>
      <c r="N94" s="1844"/>
      <c r="O94" s="1844"/>
      <c r="P94" s="1801"/>
    </row>
    <row r="95" spans="1:29">
      <c r="B95" s="1807"/>
      <c r="C95" s="2091"/>
      <c r="D95" s="3758"/>
      <c r="E95" s="3758"/>
      <c r="F95" s="3758"/>
      <c r="G95" s="3758"/>
      <c r="H95" s="3758"/>
      <c r="I95" s="3758"/>
      <c r="J95" s="3760"/>
      <c r="K95" s="3760"/>
      <c r="L95" s="3493"/>
      <c r="M95" s="3493"/>
      <c r="N95" s="3493"/>
      <c r="O95" s="3493"/>
      <c r="P95" s="1801"/>
    </row>
    <row r="96" spans="1:29">
      <c r="B96" s="1807"/>
      <c r="C96" s="2091"/>
      <c r="D96" s="3758"/>
      <c r="E96" s="2091"/>
      <c r="F96" s="2091"/>
      <c r="G96" s="2091"/>
      <c r="H96" s="2091"/>
      <c r="I96" s="2091"/>
      <c r="J96" s="2091"/>
      <c r="K96" s="2091"/>
      <c r="L96" s="2495"/>
      <c r="M96" s="2495"/>
      <c r="N96" s="1844"/>
      <c r="O96" s="1844"/>
      <c r="P96" s="1801"/>
    </row>
    <row r="97" spans="2:16">
      <c r="B97" s="4430"/>
      <c r="C97" s="2089"/>
      <c r="D97" s="3758"/>
      <c r="E97" s="3758"/>
      <c r="F97" s="3758"/>
      <c r="G97" s="3758"/>
      <c r="H97" s="3758"/>
      <c r="I97" s="3758"/>
      <c r="J97" s="2089"/>
      <c r="K97" s="2089"/>
      <c r="L97" s="3493"/>
      <c r="M97" s="3493"/>
      <c r="N97" s="3493"/>
      <c r="O97" s="3493"/>
      <c r="P97" s="1801"/>
    </row>
    <row r="98" spans="2:16">
      <c r="B98" s="4429"/>
      <c r="C98" s="3677"/>
      <c r="D98" s="3677"/>
      <c r="E98" s="3677"/>
      <c r="F98" s="3677"/>
      <c r="G98" s="3677"/>
      <c r="H98" s="3677"/>
      <c r="I98" s="3677"/>
      <c r="J98" s="3677"/>
      <c r="K98" s="3677"/>
      <c r="L98" s="3419"/>
      <c r="M98" s="3419"/>
      <c r="N98" s="3419"/>
      <c r="O98" s="1793"/>
      <c r="P98" s="1801"/>
    </row>
    <row r="99" spans="2:16">
      <c r="D99" s="3761"/>
      <c r="E99" s="1793"/>
      <c r="F99" s="1793"/>
      <c r="G99" s="1793"/>
      <c r="H99" s="1793"/>
      <c r="I99" s="2091"/>
      <c r="J99" s="3677"/>
      <c r="K99" s="3677"/>
      <c r="L99" s="3419"/>
      <c r="M99" s="3419"/>
      <c r="N99" s="3419"/>
      <c r="O99" s="1793"/>
      <c r="P99" s="1801"/>
    </row>
    <row r="100" spans="2:16">
      <c r="D100" s="3762"/>
      <c r="E100" s="1793"/>
      <c r="F100" s="1793"/>
      <c r="G100" s="1793"/>
      <c r="H100" s="1793"/>
      <c r="I100" s="2091"/>
      <c r="J100" s="3677"/>
      <c r="K100" s="3677"/>
      <c r="L100" s="2648"/>
      <c r="M100" s="2648"/>
      <c r="N100" s="2648"/>
      <c r="O100" s="1793"/>
      <c r="P100" s="1801"/>
    </row>
    <row r="101" spans="2:16">
      <c r="D101" s="3763"/>
      <c r="E101" s="1793"/>
      <c r="F101" s="1793"/>
      <c r="G101" s="1793"/>
      <c r="H101" s="1793"/>
      <c r="I101" s="2091"/>
      <c r="J101" s="3677"/>
      <c r="K101" s="3677"/>
      <c r="L101" s="2648"/>
      <c r="M101" s="2648"/>
      <c r="N101" s="2648"/>
      <c r="O101" s="3758"/>
      <c r="P101" s="1801"/>
    </row>
    <row r="102" spans="2:16">
      <c r="D102" s="3762"/>
      <c r="E102" s="1793"/>
      <c r="F102" s="1793"/>
      <c r="G102" s="1793"/>
      <c r="H102" s="1793"/>
      <c r="I102" s="2091"/>
      <c r="J102" s="3677"/>
      <c r="K102" s="3677"/>
      <c r="L102" s="2648"/>
      <c r="M102" s="2648"/>
      <c r="N102" s="2648"/>
      <c r="O102" s="3758"/>
      <c r="P102" s="1801"/>
    </row>
    <row r="103" spans="2:16">
      <c r="D103" s="3762"/>
      <c r="E103" s="1793"/>
      <c r="F103" s="1793"/>
      <c r="G103" s="1793"/>
      <c r="H103" s="1793"/>
      <c r="I103" s="2091"/>
      <c r="J103" s="3677"/>
      <c r="K103" s="3677"/>
      <c r="L103" s="2648"/>
      <c r="M103" s="2648"/>
      <c r="N103" s="2648"/>
      <c r="O103" s="3758"/>
      <c r="P103" s="1801"/>
    </row>
    <row r="104" spans="2:16">
      <c r="D104" s="3762"/>
      <c r="E104" s="1793"/>
      <c r="F104" s="1793"/>
      <c r="G104" s="1793"/>
      <c r="H104" s="1793"/>
      <c r="I104" s="2091"/>
      <c r="J104" s="3677"/>
      <c r="K104" s="3677"/>
      <c r="L104" s="2648"/>
      <c r="M104" s="2648"/>
      <c r="N104" s="2648"/>
      <c r="O104" s="3758"/>
      <c r="P104" s="1801"/>
    </row>
    <row r="105" spans="2:16">
      <c r="D105" s="3762"/>
      <c r="E105" s="1793"/>
      <c r="F105" s="1793"/>
      <c r="G105" s="1793"/>
      <c r="H105" s="1793"/>
      <c r="I105" s="2091"/>
      <c r="J105" s="3677"/>
      <c r="K105" s="3677"/>
      <c r="L105" s="2648"/>
      <c r="M105" s="2648"/>
      <c r="N105" s="2648"/>
      <c r="O105" s="3758"/>
      <c r="P105" s="1801"/>
    </row>
    <row r="106" spans="2:16">
      <c r="D106" s="3762"/>
      <c r="E106" s="1793"/>
      <c r="F106" s="1793"/>
      <c r="G106" s="1793"/>
      <c r="H106" s="1793"/>
      <c r="I106" s="2091"/>
      <c r="J106" s="3677"/>
      <c r="K106" s="3677"/>
      <c r="L106" s="2648"/>
      <c r="M106" s="2648"/>
      <c r="N106" s="2648"/>
      <c r="O106" s="3758"/>
      <c r="P106" s="1801"/>
    </row>
    <row r="107" spans="2:16">
      <c r="D107" s="3762"/>
      <c r="E107" s="1793"/>
      <c r="F107" s="1793"/>
      <c r="G107" s="1793"/>
      <c r="H107" s="1793"/>
      <c r="I107" s="2091"/>
      <c r="J107" s="3677"/>
      <c r="K107" s="3677"/>
      <c r="L107" s="2648"/>
      <c r="M107" s="2648"/>
      <c r="N107" s="2648"/>
      <c r="O107" s="3758"/>
      <c r="P107" s="1801"/>
    </row>
    <row r="108" spans="2:16">
      <c r="D108" s="3762"/>
      <c r="E108" s="1793"/>
      <c r="F108" s="1793"/>
      <c r="G108" s="1793"/>
      <c r="H108" s="1793"/>
      <c r="I108" s="2091"/>
      <c r="J108" s="3677"/>
      <c r="K108" s="3677"/>
      <c r="L108" s="2648"/>
      <c r="M108" s="2648"/>
      <c r="N108" s="2648"/>
      <c r="O108" s="3758"/>
      <c r="P108" s="1801"/>
    </row>
    <row r="109" spans="2:16">
      <c r="D109" s="3762"/>
      <c r="E109" s="1793"/>
      <c r="F109" s="1793"/>
      <c r="G109" s="1793"/>
      <c r="H109" s="1793"/>
      <c r="I109" s="2091"/>
      <c r="J109" s="3677"/>
      <c r="K109" s="3677"/>
      <c r="L109" s="2648"/>
      <c r="M109" s="2648"/>
      <c r="N109" s="2648"/>
      <c r="O109" s="3758"/>
      <c r="P109" s="1801"/>
    </row>
    <row r="110" spans="2:16">
      <c r="D110" s="3762"/>
      <c r="E110" s="1793"/>
      <c r="F110" s="1793"/>
      <c r="G110" s="1793"/>
      <c r="H110" s="1793"/>
      <c r="I110" s="2091"/>
      <c r="J110" s="1793"/>
      <c r="K110" s="3762"/>
      <c r="L110" s="3762"/>
      <c r="M110" s="3764"/>
      <c r="N110" s="1793"/>
      <c r="O110" s="1793"/>
      <c r="P110" s="1801"/>
    </row>
    <row r="111" spans="2:16">
      <c r="D111" s="3762"/>
      <c r="E111" s="1793"/>
      <c r="F111" s="1793"/>
      <c r="G111" s="1793"/>
      <c r="H111" s="1793"/>
      <c r="I111" s="2091"/>
      <c r="J111" s="1793"/>
      <c r="K111" s="3762"/>
      <c r="L111" s="3762"/>
      <c r="M111" s="3764"/>
      <c r="N111" s="1793"/>
      <c r="O111" s="1793"/>
      <c r="P111" s="1801"/>
    </row>
    <row r="112" spans="2:16">
      <c r="D112" s="3762"/>
      <c r="E112" s="1793"/>
      <c r="F112" s="1793"/>
      <c r="G112" s="1793"/>
      <c r="H112" s="1793"/>
      <c r="I112" s="2091"/>
      <c r="J112" s="1793"/>
      <c r="K112" s="3762"/>
      <c r="L112" s="3762"/>
      <c r="M112" s="3764"/>
      <c r="N112" s="1793"/>
      <c r="O112" s="1793"/>
      <c r="P112" s="1801"/>
    </row>
    <row r="113" spans="4:16">
      <c r="D113" s="3762"/>
      <c r="E113" s="1793"/>
      <c r="F113" s="1793"/>
      <c r="G113" s="1793"/>
      <c r="H113" s="1793"/>
      <c r="I113" s="2091"/>
      <c r="J113" s="1793"/>
      <c r="K113" s="3762"/>
      <c r="L113" s="3762"/>
      <c r="M113" s="3764"/>
      <c r="N113" s="1793"/>
      <c r="O113" s="1793"/>
      <c r="P113" s="1801"/>
    </row>
    <row r="114" spans="4:16">
      <c r="D114" s="3762"/>
      <c r="E114" s="1793"/>
      <c r="F114" s="1793"/>
      <c r="G114" s="1793"/>
      <c r="H114" s="1793"/>
      <c r="I114" s="2091"/>
      <c r="J114" s="1793"/>
      <c r="K114" s="3762"/>
      <c r="L114" s="3762"/>
      <c r="M114" s="3764"/>
      <c r="N114" s="1793"/>
      <c r="O114" s="1793"/>
      <c r="P114" s="1801"/>
    </row>
    <row r="115" spans="4:16">
      <c r="D115" s="3762"/>
      <c r="E115" s="1793"/>
      <c r="F115" s="1793"/>
      <c r="G115" s="1793"/>
      <c r="H115" s="1793"/>
      <c r="I115" s="2091"/>
      <c r="J115" s="1793"/>
      <c r="K115" s="3762"/>
      <c r="L115" s="3762"/>
      <c r="M115" s="3764"/>
      <c r="N115" s="1793"/>
      <c r="O115" s="1793"/>
      <c r="P115" s="1801"/>
    </row>
    <row r="116" spans="4:16">
      <c r="D116" s="3762"/>
      <c r="E116" s="1793"/>
      <c r="F116" s="1793"/>
      <c r="G116" s="1793"/>
      <c r="H116" s="1793"/>
      <c r="I116" s="2091"/>
      <c r="J116" s="1793"/>
      <c r="K116" s="3762"/>
      <c r="L116" s="3762"/>
      <c r="M116" s="3757"/>
      <c r="N116" s="1793"/>
      <c r="O116" s="1793"/>
      <c r="P116" s="1801"/>
    </row>
    <row r="117" spans="4:16">
      <c r="D117" s="3762"/>
      <c r="E117" s="1793"/>
      <c r="F117" s="1793"/>
      <c r="G117" s="1793"/>
      <c r="H117" s="1793"/>
      <c r="I117" s="2091"/>
      <c r="J117" s="1793"/>
      <c r="K117" s="3762"/>
      <c r="L117" s="3762"/>
      <c r="M117" s="3757"/>
      <c r="N117" s="1793"/>
      <c r="O117" s="1793"/>
      <c r="P117" s="1801"/>
    </row>
    <row r="118" spans="4:16">
      <c r="D118" s="3762"/>
      <c r="E118" s="1793"/>
      <c r="F118" s="1793"/>
      <c r="G118" s="1793"/>
      <c r="H118" s="1793"/>
      <c r="I118" s="2091"/>
      <c r="J118" s="1793"/>
      <c r="K118" s="3762"/>
      <c r="L118" s="3762"/>
      <c r="M118" s="3757"/>
      <c r="N118" s="1793"/>
      <c r="O118" s="1793"/>
      <c r="P118" s="1801"/>
    </row>
    <row r="119" spans="4:16">
      <c r="E119" s="1793"/>
      <c r="F119" s="1793"/>
      <c r="G119" s="1793"/>
      <c r="H119" s="1793"/>
      <c r="I119" s="2091"/>
      <c r="J119" s="1793"/>
      <c r="K119" s="1793"/>
      <c r="L119" s="1793"/>
      <c r="M119" s="1793"/>
      <c r="N119" s="1793"/>
      <c r="O119" s="1793"/>
      <c r="P119" s="1801"/>
    </row>
    <row r="120" spans="4:16">
      <c r="E120" s="1793"/>
      <c r="F120" s="1793"/>
      <c r="G120" s="1793"/>
      <c r="H120" s="1793"/>
      <c r="I120" s="2091"/>
      <c r="J120" s="1793"/>
      <c r="K120" s="1793"/>
      <c r="L120" s="1793"/>
      <c r="M120" s="1793"/>
      <c r="N120" s="1793"/>
      <c r="O120" s="1793"/>
      <c r="P120" s="1801"/>
    </row>
    <row r="121" spans="4:16">
      <c r="E121" s="1793"/>
      <c r="F121" s="1793"/>
      <c r="G121" s="1793"/>
      <c r="H121" s="1793"/>
      <c r="I121" s="2091"/>
      <c r="J121" s="1793"/>
      <c r="K121" s="1793"/>
      <c r="L121" s="1793"/>
      <c r="M121" s="1793"/>
      <c r="N121" s="1793"/>
      <c r="O121" s="1793"/>
      <c r="P121" s="1801"/>
    </row>
  </sheetData>
  <mergeCells count="65">
    <mergeCell ref="L78:O78"/>
    <mergeCell ref="L73:O73"/>
    <mergeCell ref="L74:O74"/>
    <mergeCell ref="L75:O75"/>
    <mergeCell ref="L76:O76"/>
    <mergeCell ref="L77:O77"/>
    <mergeCell ref="L68:O68"/>
    <mergeCell ref="L69:O69"/>
    <mergeCell ref="L70:O70"/>
    <mergeCell ref="L71:O71"/>
    <mergeCell ref="L72:O72"/>
    <mergeCell ref="L63:O63"/>
    <mergeCell ref="L64:O64"/>
    <mergeCell ref="L65:O65"/>
    <mergeCell ref="L66:O66"/>
    <mergeCell ref="L67:O67"/>
    <mergeCell ref="L31:O31"/>
    <mergeCell ref="L32:O32"/>
    <mergeCell ref="L33:O33"/>
    <mergeCell ref="L34:O34"/>
    <mergeCell ref="L35:O35"/>
    <mergeCell ref="L26:O26"/>
    <mergeCell ref="L27:O27"/>
    <mergeCell ref="L28:O28"/>
    <mergeCell ref="L29:O29"/>
    <mergeCell ref="L30:O30"/>
    <mergeCell ref="L62:O62"/>
    <mergeCell ref="L56:O56"/>
    <mergeCell ref="L57:O57"/>
    <mergeCell ref="L58:O58"/>
    <mergeCell ref="L59:O59"/>
    <mergeCell ref="L60:O60"/>
    <mergeCell ref="L61:O61"/>
    <mergeCell ref="L51:O51"/>
    <mergeCell ref="L52:O52"/>
    <mergeCell ref="L53:O53"/>
    <mergeCell ref="L54:O54"/>
    <mergeCell ref="L55:O55"/>
    <mergeCell ref="L46:O46"/>
    <mergeCell ref="L47:O47"/>
    <mergeCell ref="L48:O48"/>
    <mergeCell ref="L49:O49"/>
    <mergeCell ref="L50:O50"/>
    <mergeCell ref="L45:O45"/>
    <mergeCell ref="L36:O36"/>
    <mergeCell ref="L37:O37"/>
    <mergeCell ref="L38:O38"/>
    <mergeCell ref="L39:O39"/>
    <mergeCell ref="L40:O40"/>
    <mergeCell ref="L79:O79"/>
    <mergeCell ref="L80:O80"/>
    <mergeCell ref="C3:O3"/>
    <mergeCell ref="C4:O4"/>
    <mergeCell ref="L18:O18"/>
    <mergeCell ref="L19:O19"/>
    <mergeCell ref="L20:O20"/>
    <mergeCell ref="L21:O21"/>
    <mergeCell ref="L22:O22"/>
    <mergeCell ref="L23:O23"/>
    <mergeCell ref="L24:O24"/>
    <mergeCell ref="L25:O25"/>
    <mergeCell ref="L41:O41"/>
    <mergeCell ref="L42:O42"/>
    <mergeCell ref="L43:O43"/>
    <mergeCell ref="L44:O44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5" orientation="portrait" horizontalDpi="300" verticalDpi="300" r:id="rId1"/>
  <headerFooter alignWithMargins="0">
    <oddFooter>&amp;C&amp;"+,Regular"&amp;22-67-</oddFooter>
  </headerFooter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38"/>
  <sheetViews>
    <sheetView topLeftCell="A52" zoomScale="75" zoomScaleNormal="75" workbookViewId="0">
      <selection activeCell="E1" sqref="E1"/>
    </sheetView>
  </sheetViews>
  <sheetFormatPr defaultColWidth="10" defaultRowHeight="20.25"/>
  <cols>
    <col min="1" max="3" width="10" style="17" customWidth="1"/>
    <col min="4" max="4" width="1.42578125" style="1" customWidth="1"/>
    <col min="5" max="5" width="8.85546875" style="1" customWidth="1"/>
    <col min="6" max="6" width="12.42578125" style="18" customWidth="1"/>
    <col min="7" max="7" width="10.28515625" style="18" bestFit="1" customWidth="1"/>
    <col min="8" max="8" width="12.140625" style="1" bestFit="1" customWidth="1"/>
    <col min="9" max="9" width="9.42578125" style="1" customWidth="1"/>
    <col min="10" max="10" width="14.85546875" style="1" customWidth="1"/>
    <col min="11" max="12" width="11.140625" style="18" customWidth="1"/>
    <col min="13" max="13" width="9.42578125" style="18" customWidth="1"/>
    <col min="14" max="14" width="9.5703125" style="1" bestFit="1" customWidth="1"/>
    <col min="15" max="15" width="9.42578125" style="2" customWidth="1"/>
    <col min="16" max="16" width="11.5703125" style="1" customWidth="1"/>
    <col min="17" max="17" width="10.42578125" style="1" bestFit="1" customWidth="1"/>
    <col min="18" max="18" width="11.28515625" style="1" customWidth="1"/>
    <col min="19" max="19" width="10.42578125" style="2" customWidth="1"/>
    <col min="20" max="20" width="10.5703125" style="1" customWidth="1"/>
    <col min="21" max="21" width="12" style="1" customWidth="1"/>
    <col min="22" max="22" width="9.42578125" style="1" customWidth="1"/>
    <col min="23" max="23" width="12.28515625" style="1" customWidth="1"/>
    <col min="24" max="24" width="9.42578125" style="1" customWidth="1"/>
    <col min="25" max="25" width="11.42578125" style="1" customWidth="1"/>
    <col min="26" max="26" width="9.42578125" style="1" customWidth="1"/>
    <col min="27" max="27" width="11.42578125" style="214" customWidth="1"/>
    <col min="28" max="29" width="11.42578125" style="1" customWidth="1"/>
    <col min="30" max="30" width="1.140625" style="1" customWidth="1"/>
    <col min="31" max="31" width="8.28515625" style="1" customWidth="1"/>
    <col min="32" max="32" width="0.7109375" style="18" customWidth="1"/>
    <col min="33" max="33" width="6.5703125" style="1" customWidth="1"/>
    <col min="34" max="34" width="1.42578125" style="1" customWidth="1"/>
    <col min="35" max="35" width="5.85546875" style="1" customWidth="1"/>
    <col min="36" max="36" width="0.5703125" style="1" customWidth="1"/>
    <col min="37" max="37" width="15.85546875" style="1" customWidth="1"/>
    <col min="38" max="49" width="10" style="1" customWidth="1"/>
    <col min="50" max="50" width="9.42578125" style="33" customWidth="1"/>
    <col min="51" max="257" width="10" style="1"/>
    <col min="258" max="258" width="8" style="1" customWidth="1"/>
    <col min="259" max="259" width="10" style="1" customWidth="1"/>
    <col min="260" max="260" width="1.42578125" style="1" customWidth="1"/>
    <col min="261" max="261" width="8.85546875" style="1" customWidth="1"/>
    <col min="262" max="262" width="12.42578125" style="1" customWidth="1"/>
    <col min="263" max="263" width="10.28515625" style="1" bestFit="1" customWidth="1"/>
    <col min="264" max="264" width="12.140625" style="1" bestFit="1" customWidth="1"/>
    <col min="265" max="265" width="9.42578125" style="1" customWidth="1"/>
    <col min="266" max="266" width="14.85546875" style="1" customWidth="1"/>
    <col min="267" max="268" width="11.140625" style="1" customWidth="1"/>
    <col min="269" max="269" width="9.42578125" style="1" customWidth="1"/>
    <col min="270" max="270" width="9.5703125" style="1" bestFit="1" customWidth="1"/>
    <col min="271" max="271" width="9.42578125" style="1" customWidth="1"/>
    <col min="272" max="272" width="11.5703125" style="1" customWidth="1"/>
    <col min="273" max="273" width="10.42578125" style="1" bestFit="1" customWidth="1"/>
    <col min="274" max="274" width="11.28515625" style="1" customWidth="1"/>
    <col min="275" max="275" width="10.42578125" style="1" customWidth="1"/>
    <col min="276" max="276" width="10.5703125" style="1" customWidth="1"/>
    <col min="277" max="277" width="12" style="1" customWidth="1"/>
    <col min="278" max="278" width="9.42578125" style="1" customWidth="1"/>
    <col min="279" max="279" width="12.28515625" style="1" customWidth="1"/>
    <col min="280" max="280" width="9.42578125" style="1" customWidth="1"/>
    <col min="281" max="281" width="11.42578125" style="1" customWidth="1"/>
    <col min="282" max="282" width="9.42578125" style="1" customWidth="1"/>
    <col min="283" max="285" width="11.42578125" style="1" customWidth="1"/>
    <col min="286" max="286" width="1.140625" style="1" customWidth="1"/>
    <col min="287" max="287" width="8.28515625" style="1" customWidth="1"/>
    <col min="288" max="288" width="0.7109375" style="1" customWidth="1"/>
    <col min="289" max="289" width="6.5703125" style="1" customWidth="1"/>
    <col min="290" max="290" width="1.42578125" style="1" customWidth="1"/>
    <col min="291" max="291" width="5.85546875" style="1" customWidth="1"/>
    <col min="292" max="292" width="0.5703125" style="1" customWidth="1"/>
    <col min="293" max="293" width="15.85546875" style="1" customWidth="1"/>
    <col min="294" max="305" width="10" style="1" customWidth="1"/>
    <col min="306" max="306" width="9.42578125" style="1" customWidth="1"/>
    <col min="307" max="513" width="10" style="1"/>
    <col min="514" max="514" width="8" style="1" customWidth="1"/>
    <col min="515" max="515" width="10" style="1" customWidth="1"/>
    <col min="516" max="516" width="1.42578125" style="1" customWidth="1"/>
    <col min="517" max="517" width="8.85546875" style="1" customWidth="1"/>
    <col min="518" max="518" width="12.42578125" style="1" customWidth="1"/>
    <col min="519" max="519" width="10.28515625" style="1" bestFit="1" customWidth="1"/>
    <col min="520" max="520" width="12.140625" style="1" bestFit="1" customWidth="1"/>
    <col min="521" max="521" width="9.42578125" style="1" customWidth="1"/>
    <col min="522" max="522" width="14.85546875" style="1" customWidth="1"/>
    <col min="523" max="524" width="11.140625" style="1" customWidth="1"/>
    <col min="525" max="525" width="9.42578125" style="1" customWidth="1"/>
    <col min="526" max="526" width="9.5703125" style="1" bestFit="1" customWidth="1"/>
    <col min="527" max="527" width="9.42578125" style="1" customWidth="1"/>
    <col min="528" max="528" width="11.5703125" style="1" customWidth="1"/>
    <col min="529" max="529" width="10.42578125" style="1" bestFit="1" customWidth="1"/>
    <col min="530" max="530" width="11.28515625" style="1" customWidth="1"/>
    <col min="531" max="531" width="10.42578125" style="1" customWidth="1"/>
    <col min="532" max="532" width="10.5703125" style="1" customWidth="1"/>
    <col min="533" max="533" width="12" style="1" customWidth="1"/>
    <col min="534" max="534" width="9.42578125" style="1" customWidth="1"/>
    <col min="535" max="535" width="12.28515625" style="1" customWidth="1"/>
    <col min="536" max="536" width="9.42578125" style="1" customWidth="1"/>
    <col min="537" max="537" width="11.42578125" style="1" customWidth="1"/>
    <col min="538" max="538" width="9.42578125" style="1" customWidth="1"/>
    <col min="539" max="541" width="11.42578125" style="1" customWidth="1"/>
    <col min="542" max="542" width="1.140625" style="1" customWidth="1"/>
    <col min="543" max="543" width="8.28515625" style="1" customWidth="1"/>
    <col min="544" max="544" width="0.7109375" style="1" customWidth="1"/>
    <col min="545" max="545" width="6.5703125" style="1" customWidth="1"/>
    <col min="546" max="546" width="1.42578125" style="1" customWidth="1"/>
    <col min="547" max="547" width="5.85546875" style="1" customWidth="1"/>
    <col min="548" max="548" width="0.5703125" style="1" customWidth="1"/>
    <col min="549" max="549" width="15.85546875" style="1" customWidth="1"/>
    <col min="550" max="561" width="10" style="1" customWidth="1"/>
    <col min="562" max="562" width="9.42578125" style="1" customWidth="1"/>
    <col min="563" max="769" width="10" style="1"/>
    <col min="770" max="770" width="8" style="1" customWidth="1"/>
    <col min="771" max="771" width="10" style="1" customWidth="1"/>
    <col min="772" max="772" width="1.42578125" style="1" customWidth="1"/>
    <col min="773" max="773" width="8.85546875" style="1" customWidth="1"/>
    <col min="774" max="774" width="12.42578125" style="1" customWidth="1"/>
    <col min="775" max="775" width="10.28515625" style="1" bestFit="1" customWidth="1"/>
    <col min="776" max="776" width="12.140625" style="1" bestFit="1" customWidth="1"/>
    <col min="777" max="777" width="9.42578125" style="1" customWidth="1"/>
    <col min="778" max="778" width="14.85546875" style="1" customWidth="1"/>
    <col min="779" max="780" width="11.140625" style="1" customWidth="1"/>
    <col min="781" max="781" width="9.42578125" style="1" customWidth="1"/>
    <col min="782" max="782" width="9.5703125" style="1" bestFit="1" customWidth="1"/>
    <col min="783" max="783" width="9.42578125" style="1" customWidth="1"/>
    <col min="784" max="784" width="11.5703125" style="1" customWidth="1"/>
    <col min="785" max="785" width="10.42578125" style="1" bestFit="1" customWidth="1"/>
    <col min="786" max="786" width="11.28515625" style="1" customWidth="1"/>
    <col min="787" max="787" width="10.42578125" style="1" customWidth="1"/>
    <col min="788" max="788" width="10.5703125" style="1" customWidth="1"/>
    <col min="789" max="789" width="12" style="1" customWidth="1"/>
    <col min="790" max="790" width="9.42578125" style="1" customWidth="1"/>
    <col min="791" max="791" width="12.28515625" style="1" customWidth="1"/>
    <col min="792" max="792" width="9.42578125" style="1" customWidth="1"/>
    <col min="793" max="793" width="11.42578125" style="1" customWidth="1"/>
    <col min="794" max="794" width="9.42578125" style="1" customWidth="1"/>
    <col min="795" max="797" width="11.42578125" style="1" customWidth="1"/>
    <col min="798" max="798" width="1.140625" style="1" customWidth="1"/>
    <col min="799" max="799" width="8.28515625" style="1" customWidth="1"/>
    <col min="800" max="800" width="0.7109375" style="1" customWidth="1"/>
    <col min="801" max="801" width="6.5703125" style="1" customWidth="1"/>
    <col min="802" max="802" width="1.42578125" style="1" customWidth="1"/>
    <col min="803" max="803" width="5.85546875" style="1" customWidth="1"/>
    <col min="804" max="804" width="0.5703125" style="1" customWidth="1"/>
    <col min="805" max="805" width="15.85546875" style="1" customWidth="1"/>
    <col min="806" max="817" width="10" style="1" customWidth="1"/>
    <col min="818" max="818" width="9.42578125" style="1" customWidth="1"/>
    <col min="819" max="1025" width="10" style="1"/>
    <col min="1026" max="1026" width="8" style="1" customWidth="1"/>
    <col min="1027" max="1027" width="10" style="1" customWidth="1"/>
    <col min="1028" max="1028" width="1.42578125" style="1" customWidth="1"/>
    <col min="1029" max="1029" width="8.85546875" style="1" customWidth="1"/>
    <col min="1030" max="1030" width="12.42578125" style="1" customWidth="1"/>
    <col min="1031" max="1031" width="10.28515625" style="1" bestFit="1" customWidth="1"/>
    <col min="1032" max="1032" width="12.140625" style="1" bestFit="1" customWidth="1"/>
    <col min="1033" max="1033" width="9.42578125" style="1" customWidth="1"/>
    <col min="1034" max="1034" width="14.85546875" style="1" customWidth="1"/>
    <col min="1035" max="1036" width="11.140625" style="1" customWidth="1"/>
    <col min="1037" max="1037" width="9.42578125" style="1" customWidth="1"/>
    <col min="1038" max="1038" width="9.5703125" style="1" bestFit="1" customWidth="1"/>
    <col min="1039" max="1039" width="9.42578125" style="1" customWidth="1"/>
    <col min="1040" max="1040" width="11.5703125" style="1" customWidth="1"/>
    <col min="1041" max="1041" width="10.42578125" style="1" bestFit="1" customWidth="1"/>
    <col min="1042" max="1042" width="11.28515625" style="1" customWidth="1"/>
    <col min="1043" max="1043" width="10.42578125" style="1" customWidth="1"/>
    <col min="1044" max="1044" width="10.5703125" style="1" customWidth="1"/>
    <col min="1045" max="1045" width="12" style="1" customWidth="1"/>
    <col min="1046" max="1046" width="9.42578125" style="1" customWidth="1"/>
    <col min="1047" max="1047" width="12.28515625" style="1" customWidth="1"/>
    <col min="1048" max="1048" width="9.42578125" style="1" customWidth="1"/>
    <col min="1049" max="1049" width="11.42578125" style="1" customWidth="1"/>
    <col min="1050" max="1050" width="9.42578125" style="1" customWidth="1"/>
    <col min="1051" max="1053" width="11.42578125" style="1" customWidth="1"/>
    <col min="1054" max="1054" width="1.140625" style="1" customWidth="1"/>
    <col min="1055" max="1055" width="8.28515625" style="1" customWidth="1"/>
    <col min="1056" max="1056" width="0.7109375" style="1" customWidth="1"/>
    <col min="1057" max="1057" width="6.5703125" style="1" customWidth="1"/>
    <col min="1058" max="1058" width="1.42578125" style="1" customWidth="1"/>
    <col min="1059" max="1059" width="5.85546875" style="1" customWidth="1"/>
    <col min="1060" max="1060" width="0.5703125" style="1" customWidth="1"/>
    <col min="1061" max="1061" width="15.85546875" style="1" customWidth="1"/>
    <col min="1062" max="1073" width="10" style="1" customWidth="1"/>
    <col min="1074" max="1074" width="9.42578125" style="1" customWidth="1"/>
    <col min="1075" max="1281" width="10" style="1"/>
    <col min="1282" max="1282" width="8" style="1" customWidth="1"/>
    <col min="1283" max="1283" width="10" style="1" customWidth="1"/>
    <col min="1284" max="1284" width="1.42578125" style="1" customWidth="1"/>
    <col min="1285" max="1285" width="8.85546875" style="1" customWidth="1"/>
    <col min="1286" max="1286" width="12.42578125" style="1" customWidth="1"/>
    <col min="1287" max="1287" width="10.28515625" style="1" bestFit="1" customWidth="1"/>
    <col min="1288" max="1288" width="12.140625" style="1" bestFit="1" customWidth="1"/>
    <col min="1289" max="1289" width="9.42578125" style="1" customWidth="1"/>
    <col min="1290" max="1290" width="14.85546875" style="1" customWidth="1"/>
    <col min="1291" max="1292" width="11.140625" style="1" customWidth="1"/>
    <col min="1293" max="1293" width="9.42578125" style="1" customWidth="1"/>
    <col min="1294" max="1294" width="9.5703125" style="1" bestFit="1" customWidth="1"/>
    <col min="1295" max="1295" width="9.42578125" style="1" customWidth="1"/>
    <col min="1296" max="1296" width="11.5703125" style="1" customWidth="1"/>
    <col min="1297" max="1297" width="10.42578125" style="1" bestFit="1" customWidth="1"/>
    <col min="1298" max="1298" width="11.28515625" style="1" customWidth="1"/>
    <col min="1299" max="1299" width="10.42578125" style="1" customWidth="1"/>
    <col min="1300" max="1300" width="10.5703125" style="1" customWidth="1"/>
    <col min="1301" max="1301" width="12" style="1" customWidth="1"/>
    <col min="1302" max="1302" width="9.42578125" style="1" customWidth="1"/>
    <col min="1303" max="1303" width="12.28515625" style="1" customWidth="1"/>
    <col min="1304" max="1304" width="9.42578125" style="1" customWidth="1"/>
    <col min="1305" max="1305" width="11.42578125" style="1" customWidth="1"/>
    <col min="1306" max="1306" width="9.42578125" style="1" customWidth="1"/>
    <col min="1307" max="1309" width="11.42578125" style="1" customWidth="1"/>
    <col min="1310" max="1310" width="1.140625" style="1" customWidth="1"/>
    <col min="1311" max="1311" width="8.28515625" style="1" customWidth="1"/>
    <col min="1312" max="1312" width="0.7109375" style="1" customWidth="1"/>
    <col min="1313" max="1313" width="6.5703125" style="1" customWidth="1"/>
    <col min="1314" max="1314" width="1.42578125" style="1" customWidth="1"/>
    <col min="1315" max="1315" width="5.85546875" style="1" customWidth="1"/>
    <col min="1316" max="1316" width="0.5703125" style="1" customWidth="1"/>
    <col min="1317" max="1317" width="15.85546875" style="1" customWidth="1"/>
    <col min="1318" max="1329" width="10" style="1" customWidth="1"/>
    <col min="1330" max="1330" width="9.42578125" style="1" customWidth="1"/>
    <col min="1331" max="1537" width="10" style="1"/>
    <col min="1538" max="1538" width="8" style="1" customWidth="1"/>
    <col min="1539" max="1539" width="10" style="1" customWidth="1"/>
    <col min="1540" max="1540" width="1.42578125" style="1" customWidth="1"/>
    <col min="1541" max="1541" width="8.85546875" style="1" customWidth="1"/>
    <col min="1542" max="1542" width="12.42578125" style="1" customWidth="1"/>
    <col min="1543" max="1543" width="10.28515625" style="1" bestFit="1" customWidth="1"/>
    <col min="1544" max="1544" width="12.140625" style="1" bestFit="1" customWidth="1"/>
    <col min="1545" max="1545" width="9.42578125" style="1" customWidth="1"/>
    <col min="1546" max="1546" width="14.85546875" style="1" customWidth="1"/>
    <col min="1547" max="1548" width="11.140625" style="1" customWidth="1"/>
    <col min="1549" max="1549" width="9.42578125" style="1" customWidth="1"/>
    <col min="1550" max="1550" width="9.5703125" style="1" bestFit="1" customWidth="1"/>
    <col min="1551" max="1551" width="9.42578125" style="1" customWidth="1"/>
    <col min="1552" max="1552" width="11.5703125" style="1" customWidth="1"/>
    <col min="1553" max="1553" width="10.42578125" style="1" bestFit="1" customWidth="1"/>
    <col min="1554" max="1554" width="11.28515625" style="1" customWidth="1"/>
    <col min="1555" max="1555" width="10.42578125" style="1" customWidth="1"/>
    <col min="1556" max="1556" width="10.5703125" style="1" customWidth="1"/>
    <col min="1557" max="1557" width="12" style="1" customWidth="1"/>
    <col min="1558" max="1558" width="9.42578125" style="1" customWidth="1"/>
    <col min="1559" max="1559" width="12.28515625" style="1" customWidth="1"/>
    <col min="1560" max="1560" width="9.42578125" style="1" customWidth="1"/>
    <col min="1561" max="1561" width="11.42578125" style="1" customWidth="1"/>
    <col min="1562" max="1562" width="9.42578125" style="1" customWidth="1"/>
    <col min="1563" max="1565" width="11.42578125" style="1" customWidth="1"/>
    <col min="1566" max="1566" width="1.140625" style="1" customWidth="1"/>
    <col min="1567" max="1567" width="8.28515625" style="1" customWidth="1"/>
    <col min="1568" max="1568" width="0.7109375" style="1" customWidth="1"/>
    <col min="1569" max="1569" width="6.5703125" style="1" customWidth="1"/>
    <col min="1570" max="1570" width="1.42578125" style="1" customWidth="1"/>
    <col min="1571" max="1571" width="5.85546875" style="1" customWidth="1"/>
    <col min="1572" max="1572" width="0.5703125" style="1" customWidth="1"/>
    <col min="1573" max="1573" width="15.85546875" style="1" customWidth="1"/>
    <col min="1574" max="1585" width="10" style="1" customWidth="1"/>
    <col min="1586" max="1586" width="9.42578125" style="1" customWidth="1"/>
    <col min="1587" max="1793" width="10" style="1"/>
    <col min="1794" max="1794" width="8" style="1" customWidth="1"/>
    <col min="1795" max="1795" width="10" style="1" customWidth="1"/>
    <col min="1796" max="1796" width="1.42578125" style="1" customWidth="1"/>
    <col min="1797" max="1797" width="8.85546875" style="1" customWidth="1"/>
    <col min="1798" max="1798" width="12.42578125" style="1" customWidth="1"/>
    <col min="1799" max="1799" width="10.28515625" style="1" bestFit="1" customWidth="1"/>
    <col min="1800" max="1800" width="12.140625" style="1" bestFit="1" customWidth="1"/>
    <col min="1801" max="1801" width="9.42578125" style="1" customWidth="1"/>
    <col min="1802" max="1802" width="14.85546875" style="1" customWidth="1"/>
    <col min="1803" max="1804" width="11.140625" style="1" customWidth="1"/>
    <col min="1805" max="1805" width="9.42578125" style="1" customWidth="1"/>
    <col min="1806" max="1806" width="9.5703125" style="1" bestFit="1" customWidth="1"/>
    <col min="1807" max="1807" width="9.42578125" style="1" customWidth="1"/>
    <col min="1808" max="1808" width="11.5703125" style="1" customWidth="1"/>
    <col min="1809" max="1809" width="10.42578125" style="1" bestFit="1" customWidth="1"/>
    <col min="1810" max="1810" width="11.28515625" style="1" customWidth="1"/>
    <col min="1811" max="1811" width="10.42578125" style="1" customWidth="1"/>
    <col min="1812" max="1812" width="10.5703125" style="1" customWidth="1"/>
    <col min="1813" max="1813" width="12" style="1" customWidth="1"/>
    <col min="1814" max="1814" width="9.42578125" style="1" customWidth="1"/>
    <col min="1815" max="1815" width="12.28515625" style="1" customWidth="1"/>
    <col min="1816" max="1816" width="9.42578125" style="1" customWidth="1"/>
    <col min="1817" max="1817" width="11.42578125" style="1" customWidth="1"/>
    <col min="1818" max="1818" width="9.42578125" style="1" customWidth="1"/>
    <col min="1819" max="1821" width="11.42578125" style="1" customWidth="1"/>
    <col min="1822" max="1822" width="1.140625" style="1" customWidth="1"/>
    <col min="1823" max="1823" width="8.28515625" style="1" customWidth="1"/>
    <col min="1824" max="1824" width="0.7109375" style="1" customWidth="1"/>
    <col min="1825" max="1825" width="6.5703125" style="1" customWidth="1"/>
    <col min="1826" max="1826" width="1.42578125" style="1" customWidth="1"/>
    <col min="1827" max="1827" width="5.85546875" style="1" customWidth="1"/>
    <col min="1828" max="1828" width="0.5703125" style="1" customWidth="1"/>
    <col min="1829" max="1829" width="15.85546875" style="1" customWidth="1"/>
    <col min="1830" max="1841" width="10" style="1" customWidth="1"/>
    <col min="1842" max="1842" width="9.42578125" style="1" customWidth="1"/>
    <col min="1843" max="2049" width="10" style="1"/>
    <col min="2050" max="2050" width="8" style="1" customWidth="1"/>
    <col min="2051" max="2051" width="10" style="1" customWidth="1"/>
    <col min="2052" max="2052" width="1.42578125" style="1" customWidth="1"/>
    <col min="2053" max="2053" width="8.85546875" style="1" customWidth="1"/>
    <col min="2054" max="2054" width="12.42578125" style="1" customWidth="1"/>
    <col min="2055" max="2055" width="10.28515625" style="1" bestFit="1" customWidth="1"/>
    <col min="2056" max="2056" width="12.140625" style="1" bestFit="1" customWidth="1"/>
    <col min="2057" max="2057" width="9.42578125" style="1" customWidth="1"/>
    <col min="2058" max="2058" width="14.85546875" style="1" customWidth="1"/>
    <col min="2059" max="2060" width="11.140625" style="1" customWidth="1"/>
    <col min="2061" max="2061" width="9.42578125" style="1" customWidth="1"/>
    <col min="2062" max="2062" width="9.5703125" style="1" bestFit="1" customWidth="1"/>
    <col min="2063" max="2063" width="9.42578125" style="1" customWidth="1"/>
    <col min="2064" max="2064" width="11.5703125" style="1" customWidth="1"/>
    <col min="2065" max="2065" width="10.42578125" style="1" bestFit="1" customWidth="1"/>
    <col min="2066" max="2066" width="11.28515625" style="1" customWidth="1"/>
    <col min="2067" max="2067" width="10.42578125" style="1" customWidth="1"/>
    <col min="2068" max="2068" width="10.5703125" style="1" customWidth="1"/>
    <col min="2069" max="2069" width="12" style="1" customWidth="1"/>
    <col min="2070" max="2070" width="9.42578125" style="1" customWidth="1"/>
    <col min="2071" max="2071" width="12.28515625" style="1" customWidth="1"/>
    <col min="2072" max="2072" width="9.42578125" style="1" customWidth="1"/>
    <col min="2073" max="2073" width="11.42578125" style="1" customWidth="1"/>
    <col min="2074" max="2074" width="9.42578125" style="1" customWidth="1"/>
    <col min="2075" max="2077" width="11.42578125" style="1" customWidth="1"/>
    <col min="2078" max="2078" width="1.140625" style="1" customWidth="1"/>
    <col min="2079" max="2079" width="8.28515625" style="1" customWidth="1"/>
    <col min="2080" max="2080" width="0.7109375" style="1" customWidth="1"/>
    <col min="2081" max="2081" width="6.5703125" style="1" customWidth="1"/>
    <col min="2082" max="2082" width="1.42578125" style="1" customWidth="1"/>
    <col min="2083" max="2083" width="5.85546875" style="1" customWidth="1"/>
    <col min="2084" max="2084" width="0.5703125" style="1" customWidth="1"/>
    <col min="2085" max="2085" width="15.85546875" style="1" customWidth="1"/>
    <col min="2086" max="2097" width="10" style="1" customWidth="1"/>
    <col min="2098" max="2098" width="9.42578125" style="1" customWidth="1"/>
    <col min="2099" max="2305" width="10" style="1"/>
    <col min="2306" max="2306" width="8" style="1" customWidth="1"/>
    <col min="2307" max="2307" width="10" style="1" customWidth="1"/>
    <col min="2308" max="2308" width="1.42578125" style="1" customWidth="1"/>
    <col min="2309" max="2309" width="8.85546875" style="1" customWidth="1"/>
    <col min="2310" max="2310" width="12.42578125" style="1" customWidth="1"/>
    <col min="2311" max="2311" width="10.28515625" style="1" bestFit="1" customWidth="1"/>
    <col min="2312" max="2312" width="12.140625" style="1" bestFit="1" customWidth="1"/>
    <col min="2313" max="2313" width="9.42578125" style="1" customWidth="1"/>
    <col min="2314" max="2314" width="14.85546875" style="1" customWidth="1"/>
    <col min="2315" max="2316" width="11.140625" style="1" customWidth="1"/>
    <col min="2317" max="2317" width="9.42578125" style="1" customWidth="1"/>
    <col min="2318" max="2318" width="9.5703125" style="1" bestFit="1" customWidth="1"/>
    <col min="2319" max="2319" width="9.42578125" style="1" customWidth="1"/>
    <col min="2320" max="2320" width="11.5703125" style="1" customWidth="1"/>
    <col min="2321" max="2321" width="10.42578125" style="1" bestFit="1" customWidth="1"/>
    <col min="2322" max="2322" width="11.28515625" style="1" customWidth="1"/>
    <col min="2323" max="2323" width="10.42578125" style="1" customWidth="1"/>
    <col min="2324" max="2324" width="10.5703125" style="1" customWidth="1"/>
    <col min="2325" max="2325" width="12" style="1" customWidth="1"/>
    <col min="2326" max="2326" width="9.42578125" style="1" customWidth="1"/>
    <col min="2327" max="2327" width="12.28515625" style="1" customWidth="1"/>
    <col min="2328" max="2328" width="9.42578125" style="1" customWidth="1"/>
    <col min="2329" max="2329" width="11.42578125" style="1" customWidth="1"/>
    <col min="2330" max="2330" width="9.42578125" style="1" customWidth="1"/>
    <col min="2331" max="2333" width="11.42578125" style="1" customWidth="1"/>
    <col min="2334" max="2334" width="1.140625" style="1" customWidth="1"/>
    <col min="2335" max="2335" width="8.28515625" style="1" customWidth="1"/>
    <col min="2336" max="2336" width="0.7109375" style="1" customWidth="1"/>
    <col min="2337" max="2337" width="6.5703125" style="1" customWidth="1"/>
    <col min="2338" max="2338" width="1.42578125" style="1" customWidth="1"/>
    <col min="2339" max="2339" width="5.85546875" style="1" customWidth="1"/>
    <col min="2340" max="2340" width="0.5703125" style="1" customWidth="1"/>
    <col min="2341" max="2341" width="15.85546875" style="1" customWidth="1"/>
    <col min="2342" max="2353" width="10" style="1" customWidth="1"/>
    <col min="2354" max="2354" width="9.42578125" style="1" customWidth="1"/>
    <col min="2355" max="2561" width="10" style="1"/>
    <col min="2562" max="2562" width="8" style="1" customWidth="1"/>
    <col min="2563" max="2563" width="10" style="1" customWidth="1"/>
    <col min="2564" max="2564" width="1.42578125" style="1" customWidth="1"/>
    <col min="2565" max="2565" width="8.85546875" style="1" customWidth="1"/>
    <col min="2566" max="2566" width="12.42578125" style="1" customWidth="1"/>
    <col min="2567" max="2567" width="10.28515625" style="1" bestFit="1" customWidth="1"/>
    <col min="2568" max="2568" width="12.140625" style="1" bestFit="1" customWidth="1"/>
    <col min="2569" max="2569" width="9.42578125" style="1" customWidth="1"/>
    <col min="2570" max="2570" width="14.85546875" style="1" customWidth="1"/>
    <col min="2571" max="2572" width="11.140625" style="1" customWidth="1"/>
    <col min="2573" max="2573" width="9.42578125" style="1" customWidth="1"/>
    <col min="2574" max="2574" width="9.5703125" style="1" bestFit="1" customWidth="1"/>
    <col min="2575" max="2575" width="9.42578125" style="1" customWidth="1"/>
    <col min="2576" max="2576" width="11.5703125" style="1" customWidth="1"/>
    <col min="2577" max="2577" width="10.42578125" style="1" bestFit="1" customWidth="1"/>
    <col min="2578" max="2578" width="11.28515625" style="1" customWidth="1"/>
    <col min="2579" max="2579" width="10.42578125" style="1" customWidth="1"/>
    <col min="2580" max="2580" width="10.5703125" style="1" customWidth="1"/>
    <col min="2581" max="2581" width="12" style="1" customWidth="1"/>
    <col min="2582" max="2582" width="9.42578125" style="1" customWidth="1"/>
    <col min="2583" max="2583" width="12.28515625" style="1" customWidth="1"/>
    <col min="2584" max="2584" width="9.42578125" style="1" customWidth="1"/>
    <col min="2585" max="2585" width="11.42578125" style="1" customWidth="1"/>
    <col min="2586" max="2586" width="9.42578125" style="1" customWidth="1"/>
    <col min="2587" max="2589" width="11.42578125" style="1" customWidth="1"/>
    <col min="2590" max="2590" width="1.140625" style="1" customWidth="1"/>
    <col min="2591" max="2591" width="8.28515625" style="1" customWidth="1"/>
    <col min="2592" max="2592" width="0.7109375" style="1" customWidth="1"/>
    <col min="2593" max="2593" width="6.5703125" style="1" customWidth="1"/>
    <col min="2594" max="2594" width="1.42578125" style="1" customWidth="1"/>
    <col min="2595" max="2595" width="5.85546875" style="1" customWidth="1"/>
    <col min="2596" max="2596" width="0.5703125" style="1" customWidth="1"/>
    <col min="2597" max="2597" width="15.85546875" style="1" customWidth="1"/>
    <col min="2598" max="2609" width="10" style="1" customWidth="1"/>
    <col min="2610" max="2610" width="9.42578125" style="1" customWidth="1"/>
    <col min="2611" max="2817" width="10" style="1"/>
    <col min="2818" max="2818" width="8" style="1" customWidth="1"/>
    <col min="2819" max="2819" width="10" style="1" customWidth="1"/>
    <col min="2820" max="2820" width="1.42578125" style="1" customWidth="1"/>
    <col min="2821" max="2821" width="8.85546875" style="1" customWidth="1"/>
    <col min="2822" max="2822" width="12.42578125" style="1" customWidth="1"/>
    <col min="2823" max="2823" width="10.28515625" style="1" bestFit="1" customWidth="1"/>
    <col min="2824" max="2824" width="12.140625" style="1" bestFit="1" customWidth="1"/>
    <col min="2825" max="2825" width="9.42578125" style="1" customWidth="1"/>
    <col min="2826" max="2826" width="14.85546875" style="1" customWidth="1"/>
    <col min="2827" max="2828" width="11.140625" style="1" customWidth="1"/>
    <col min="2829" max="2829" width="9.42578125" style="1" customWidth="1"/>
    <col min="2830" max="2830" width="9.5703125" style="1" bestFit="1" customWidth="1"/>
    <col min="2831" max="2831" width="9.42578125" style="1" customWidth="1"/>
    <col min="2832" max="2832" width="11.5703125" style="1" customWidth="1"/>
    <col min="2833" max="2833" width="10.42578125" style="1" bestFit="1" customWidth="1"/>
    <col min="2834" max="2834" width="11.28515625" style="1" customWidth="1"/>
    <col min="2835" max="2835" width="10.42578125" style="1" customWidth="1"/>
    <col min="2836" max="2836" width="10.5703125" style="1" customWidth="1"/>
    <col min="2837" max="2837" width="12" style="1" customWidth="1"/>
    <col min="2838" max="2838" width="9.42578125" style="1" customWidth="1"/>
    <col min="2839" max="2839" width="12.28515625" style="1" customWidth="1"/>
    <col min="2840" max="2840" width="9.42578125" style="1" customWidth="1"/>
    <col min="2841" max="2841" width="11.42578125" style="1" customWidth="1"/>
    <col min="2842" max="2842" width="9.42578125" style="1" customWidth="1"/>
    <col min="2843" max="2845" width="11.42578125" style="1" customWidth="1"/>
    <col min="2846" max="2846" width="1.140625" style="1" customWidth="1"/>
    <col min="2847" max="2847" width="8.28515625" style="1" customWidth="1"/>
    <col min="2848" max="2848" width="0.7109375" style="1" customWidth="1"/>
    <col min="2849" max="2849" width="6.5703125" style="1" customWidth="1"/>
    <col min="2850" max="2850" width="1.42578125" style="1" customWidth="1"/>
    <col min="2851" max="2851" width="5.85546875" style="1" customWidth="1"/>
    <col min="2852" max="2852" width="0.5703125" style="1" customWidth="1"/>
    <col min="2853" max="2853" width="15.85546875" style="1" customWidth="1"/>
    <col min="2854" max="2865" width="10" style="1" customWidth="1"/>
    <col min="2866" max="2866" width="9.42578125" style="1" customWidth="1"/>
    <col min="2867" max="3073" width="10" style="1"/>
    <col min="3074" max="3074" width="8" style="1" customWidth="1"/>
    <col min="3075" max="3075" width="10" style="1" customWidth="1"/>
    <col min="3076" max="3076" width="1.42578125" style="1" customWidth="1"/>
    <col min="3077" max="3077" width="8.85546875" style="1" customWidth="1"/>
    <col min="3078" max="3078" width="12.42578125" style="1" customWidth="1"/>
    <col min="3079" max="3079" width="10.28515625" style="1" bestFit="1" customWidth="1"/>
    <col min="3080" max="3080" width="12.140625" style="1" bestFit="1" customWidth="1"/>
    <col min="3081" max="3081" width="9.42578125" style="1" customWidth="1"/>
    <col min="3082" max="3082" width="14.85546875" style="1" customWidth="1"/>
    <col min="3083" max="3084" width="11.140625" style="1" customWidth="1"/>
    <col min="3085" max="3085" width="9.42578125" style="1" customWidth="1"/>
    <col min="3086" max="3086" width="9.5703125" style="1" bestFit="1" customWidth="1"/>
    <col min="3087" max="3087" width="9.42578125" style="1" customWidth="1"/>
    <col min="3088" max="3088" width="11.5703125" style="1" customWidth="1"/>
    <col min="3089" max="3089" width="10.42578125" style="1" bestFit="1" customWidth="1"/>
    <col min="3090" max="3090" width="11.28515625" style="1" customWidth="1"/>
    <col min="3091" max="3091" width="10.42578125" style="1" customWidth="1"/>
    <col min="3092" max="3092" width="10.5703125" style="1" customWidth="1"/>
    <col min="3093" max="3093" width="12" style="1" customWidth="1"/>
    <col min="3094" max="3094" width="9.42578125" style="1" customWidth="1"/>
    <col min="3095" max="3095" width="12.28515625" style="1" customWidth="1"/>
    <col min="3096" max="3096" width="9.42578125" style="1" customWidth="1"/>
    <col min="3097" max="3097" width="11.42578125" style="1" customWidth="1"/>
    <col min="3098" max="3098" width="9.42578125" style="1" customWidth="1"/>
    <col min="3099" max="3101" width="11.42578125" style="1" customWidth="1"/>
    <col min="3102" max="3102" width="1.140625" style="1" customWidth="1"/>
    <col min="3103" max="3103" width="8.28515625" style="1" customWidth="1"/>
    <col min="3104" max="3104" width="0.7109375" style="1" customWidth="1"/>
    <col min="3105" max="3105" width="6.5703125" style="1" customWidth="1"/>
    <col min="3106" max="3106" width="1.42578125" style="1" customWidth="1"/>
    <col min="3107" max="3107" width="5.85546875" style="1" customWidth="1"/>
    <col min="3108" max="3108" width="0.5703125" style="1" customWidth="1"/>
    <col min="3109" max="3109" width="15.85546875" style="1" customWidth="1"/>
    <col min="3110" max="3121" width="10" style="1" customWidth="1"/>
    <col min="3122" max="3122" width="9.42578125" style="1" customWidth="1"/>
    <col min="3123" max="3329" width="10" style="1"/>
    <col min="3330" max="3330" width="8" style="1" customWidth="1"/>
    <col min="3331" max="3331" width="10" style="1" customWidth="1"/>
    <col min="3332" max="3332" width="1.42578125" style="1" customWidth="1"/>
    <col min="3333" max="3333" width="8.85546875" style="1" customWidth="1"/>
    <col min="3334" max="3334" width="12.42578125" style="1" customWidth="1"/>
    <col min="3335" max="3335" width="10.28515625" style="1" bestFit="1" customWidth="1"/>
    <col min="3336" max="3336" width="12.140625" style="1" bestFit="1" customWidth="1"/>
    <col min="3337" max="3337" width="9.42578125" style="1" customWidth="1"/>
    <col min="3338" max="3338" width="14.85546875" style="1" customWidth="1"/>
    <col min="3339" max="3340" width="11.140625" style="1" customWidth="1"/>
    <col min="3341" max="3341" width="9.42578125" style="1" customWidth="1"/>
    <col min="3342" max="3342" width="9.5703125" style="1" bestFit="1" customWidth="1"/>
    <col min="3343" max="3343" width="9.42578125" style="1" customWidth="1"/>
    <col min="3344" max="3344" width="11.5703125" style="1" customWidth="1"/>
    <col min="3345" max="3345" width="10.42578125" style="1" bestFit="1" customWidth="1"/>
    <col min="3346" max="3346" width="11.28515625" style="1" customWidth="1"/>
    <col min="3347" max="3347" width="10.42578125" style="1" customWidth="1"/>
    <col min="3348" max="3348" width="10.5703125" style="1" customWidth="1"/>
    <col min="3349" max="3349" width="12" style="1" customWidth="1"/>
    <col min="3350" max="3350" width="9.42578125" style="1" customWidth="1"/>
    <col min="3351" max="3351" width="12.28515625" style="1" customWidth="1"/>
    <col min="3352" max="3352" width="9.42578125" style="1" customWidth="1"/>
    <col min="3353" max="3353" width="11.42578125" style="1" customWidth="1"/>
    <col min="3354" max="3354" width="9.42578125" style="1" customWidth="1"/>
    <col min="3355" max="3357" width="11.42578125" style="1" customWidth="1"/>
    <col min="3358" max="3358" width="1.140625" style="1" customWidth="1"/>
    <col min="3359" max="3359" width="8.28515625" style="1" customWidth="1"/>
    <col min="3360" max="3360" width="0.7109375" style="1" customWidth="1"/>
    <col min="3361" max="3361" width="6.5703125" style="1" customWidth="1"/>
    <col min="3362" max="3362" width="1.42578125" style="1" customWidth="1"/>
    <col min="3363" max="3363" width="5.85546875" style="1" customWidth="1"/>
    <col min="3364" max="3364" width="0.5703125" style="1" customWidth="1"/>
    <col min="3365" max="3365" width="15.85546875" style="1" customWidth="1"/>
    <col min="3366" max="3377" width="10" style="1" customWidth="1"/>
    <col min="3378" max="3378" width="9.42578125" style="1" customWidth="1"/>
    <col min="3379" max="3585" width="10" style="1"/>
    <col min="3586" max="3586" width="8" style="1" customWidth="1"/>
    <col min="3587" max="3587" width="10" style="1" customWidth="1"/>
    <col min="3588" max="3588" width="1.42578125" style="1" customWidth="1"/>
    <col min="3589" max="3589" width="8.85546875" style="1" customWidth="1"/>
    <col min="3590" max="3590" width="12.42578125" style="1" customWidth="1"/>
    <col min="3591" max="3591" width="10.28515625" style="1" bestFit="1" customWidth="1"/>
    <col min="3592" max="3592" width="12.140625" style="1" bestFit="1" customWidth="1"/>
    <col min="3593" max="3593" width="9.42578125" style="1" customWidth="1"/>
    <col min="3594" max="3594" width="14.85546875" style="1" customWidth="1"/>
    <col min="3595" max="3596" width="11.140625" style="1" customWidth="1"/>
    <col min="3597" max="3597" width="9.42578125" style="1" customWidth="1"/>
    <col min="3598" max="3598" width="9.5703125" style="1" bestFit="1" customWidth="1"/>
    <col min="3599" max="3599" width="9.42578125" style="1" customWidth="1"/>
    <col min="3600" max="3600" width="11.5703125" style="1" customWidth="1"/>
    <col min="3601" max="3601" width="10.42578125" style="1" bestFit="1" customWidth="1"/>
    <col min="3602" max="3602" width="11.28515625" style="1" customWidth="1"/>
    <col min="3603" max="3603" width="10.42578125" style="1" customWidth="1"/>
    <col min="3604" max="3604" width="10.5703125" style="1" customWidth="1"/>
    <col min="3605" max="3605" width="12" style="1" customWidth="1"/>
    <col min="3606" max="3606" width="9.42578125" style="1" customWidth="1"/>
    <col min="3607" max="3607" width="12.28515625" style="1" customWidth="1"/>
    <col min="3608" max="3608" width="9.42578125" style="1" customWidth="1"/>
    <col min="3609" max="3609" width="11.42578125" style="1" customWidth="1"/>
    <col min="3610" max="3610" width="9.42578125" style="1" customWidth="1"/>
    <col min="3611" max="3613" width="11.42578125" style="1" customWidth="1"/>
    <col min="3614" max="3614" width="1.140625" style="1" customWidth="1"/>
    <col min="3615" max="3615" width="8.28515625" style="1" customWidth="1"/>
    <col min="3616" max="3616" width="0.7109375" style="1" customWidth="1"/>
    <col min="3617" max="3617" width="6.5703125" style="1" customWidth="1"/>
    <col min="3618" max="3618" width="1.42578125" style="1" customWidth="1"/>
    <col min="3619" max="3619" width="5.85546875" style="1" customWidth="1"/>
    <col min="3620" max="3620" width="0.5703125" style="1" customWidth="1"/>
    <col min="3621" max="3621" width="15.85546875" style="1" customWidth="1"/>
    <col min="3622" max="3633" width="10" style="1" customWidth="1"/>
    <col min="3634" max="3634" width="9.42578125" style="1" customWidth="1"/>
    <col min="3635" max="3841" width="10" style="1"/>
    <col min="3842" max="3842" width="8" style="1" customWidth="1"/>
    <col min="3843" max="3843" width="10" style="1" customWidth="1"/>
    <col min="3844" max="3844" width="1.42578125" style="1" customWidth="1"/>
    <col min="3845" max="3845" width="8.85546875" style="1" customWidth="1"/>
    <col min="3846" max="3846" width="12.42578125" style="1" customWidth="1"/>
    <col min="3847" max="3847" width="10.28515625" style="1" bestFit="1" customWidth="1"/>
    <col min="3848" max="3848" width="12.140625" style="1" bestFit="1" customWidth="1"/>
    <col min="3849" max="3849" width="9.42578125" style="1" customWidth="1"/>
    <col min="3850" max="3850" width="14.85546875" style="1" customWidth="1"/>
    <col min="3851" max="3852" width="11.140625" style="1" customWidth="1"/>
    <col min="3853" max="3853" width="9.42578125" style="1" customWidth="1"/>
    <col min="3854" max="3854" width="9.5703125" style="1" bestFit="1" customWidth="1"/>
    <col min="3855" max="3855" width="9.42578125" style="1" customWidth="1"/>
    <col min="3856" max="3856" width="11.5703125" style="1" customWidth="1"/>
    <col min="3857" max="3857" width="10.42578125" style="1" bestFit="1" customWidth="1"/>
    <col min="3858" max="3858" width="11.28515625" style="1" customWidth="1"/>
    <col min="3859" max="3859" width="10.42578125" style="1" customWidth="1"/>
    <col min="3860" max="3860" width="10.5703125" style="1" customWidth="1"/>
    <col min="3861" max="3861" width="12" style="1" customWidth="1"/>
    <col min="3862" max="3862" width="9.42578125" style="1" customWidth="1"/>
    <col min="3863" max="3863" width="12.28515625" style="1" customWidth="1"/>
    <col min="3864" max="3864" width="9.42578125" style="1" customWidth="1"/>
    <col min="3865" max="3865" width="11.42578125" style="1" customWidth="1"/>
    <col min="3866" max="3866" width="9.42578125" style="1" customWidth="1"/>
    <col min="3867" max="3869" width="11.42578125" style="1" customWidth="1"/>
    <col min="3870" max="3870" width="1.140625" style="1" customWidth="1"/>
    <col min="3871" max="3871" width="8.28515625" style="1" customWidth="1"/>
    <col min="3872" max="3872" width="0.7109375" style="1" customWidth="1"/>
    <col min="3873" max="3873" width="6.5703125" style="1" customWidth="1"/>
    <col min="3874" max="3874" width="1.42578125" style="1" customWidth="1"/>
    <col min="3875" max="3875" width="5.85546875" style="1" customWidth="1"/>
    <col min="3876" max="3876" width="0.5703125" style="1" customWidth="1"/>
    <col min="3877" max="3877" width="15.85546875" style="1" customWidth="1"/>
    <col min="3878" max="3889" width="10" style="1" customWidth="1"/>
    <col min="3890" max="3890" width="9.42578125" style="1" customWidth="1"/>
    <col min="3891" max="4097" width="10" style="1"/>
    <col min="4098" max="4098" width="8" style="1" customWidth="1"/>
    <col min="4099" max="4099" width="10" style="1" customWidth="1"/>
    <col min="4100" max="4100" width="1.42578125" style="1" customWidth="1"/>
    <col min="4101" max="4101" width="8.85546875" style="1" customWidth="1"/>
    <col min="4102" max="4102" width="12.42578125" style="1" customWidth="1"/>
    <col min="4103" max="4103" width="10.28515625" style="1" bestFit="1" customWidth="1"/>
    <col min="4104" max="4104" width="12.140625" style="1" bestFit="1" customWidth="1"/>
    <col min="4105" max="4105" width="9.42578125" style="1" customWidth="1"/>
    <col min="4106" max="4106" width="14.85546875" style="1" customWidth="1"/>
    <col min="4107" max="4108" width="11.140625" style="1" customWidth="1"/>
    <col min="4109" max="4109" width="9.42578125" style="1" customWidth="1"/>
    <col min="4110" max="4110" width="9.5703125" style="1" bestFit="1" customWidth="1"/>
    <col min="4111" max="4111" width="9.42578125" style="1" customWidth="1"/>
    <col min="4112" max="4112" width="11.5703125" style="1" customWidth="1"/>
    <col min="4113" max="4113" width="10.42578125" style="1" bestFit="1" customWidth="1"/>
    <col min="4114" max="4114" width="11.28515625" style="1" customWidth="1"/>
    <col min="4115" max="4115" width="10.42578125" style="1" customWidth="1"/>
    <col min="4116" max="4116" width="10.5703125" style="1" customWidth="1"/>
    <col min="4117" max="4117" width="12" style="1" customWidth="1"/>
    <col min="4118" max="4118" width="9.42578125" style="1" customWidth="1"/>
    <col min="4119" max="4119" width="12.28515625" style="1" customWidth="1"/>
    <col min="4120" max="4120" width="9.42578125" style="1" customWidth="1"/>
    <col min="4121" max="4121" width="11.42578125" style="1" customWidth="1"/>
    <col min="4122" max="4122" width="9.42578125" style="1" customWidth="1"/>
    <col min="4123" max="4125" width="11.42578125" style="1" customWidth="1"/>
    <col min="4126" max="4126" width="1.140625" style="1" customWidth="1"/>
    <col min="4127" max="4127" width="8.28515625" style="1" customWidth="1"/>
    <col min="4128" max="4128" width="0.7109375" style="1" customWidth="1"/>
    <col min="4129" max="4129" width="6.5703125" style="1" customWidth="1"/>
    <col min="4130" max="4130" width="1.42578125" style="1" customWidth="1"/>
    <col min="4131" max="4131" width="5.85546875" style="1" customWidth="1"/>
    <col min="4132" max="4132" width="0.5703125" style="1" customWidth="1"/>
    <col min="4133" max="4133" width="15.85546875" style="1" customWidth="1"/>
    <col min="4134" max="4145" width="10" style="1" customWidth="1"/>
    <col min="4146" max="4146" width="9.42578125" style="1" customWidth="1"/>
    <col min="4147" max="4353" width="10" style="1"/>
    <col min="4354" max="4354" width="8" style="1" customWidth="1"/>
    <col min="4355" max="4355" width="10" style="1" customWidth="1"/>
    <col min="4356" max="4356" width="1.42578125" style="1" customWidth="1"/>
    <col min="4357" max="4357" width="8.85546875" style="1" customWidth="1"/>
    <col min="4358" max="4358" width="12.42578125" style="1" customWidth="1"/>
    <col min="4359" max="4359" width="10.28515625" style="1" bestFit="1" customWidth="1"/>
    <col min="4360" max="4360" width="12.140625" style="1" bestFit="1" customWidth="1"/>
    <col min="4361" max="4361" width="9.42578125" style="1" customWidth="1"/>
    <col min="4362" max="4362" width="14.85546875" style="1" customWidth="1"/>
    <col min="4363" max="4364" width="11.140625" style="1" customWidth="1"/>
    <col min="4365" max="4365" width="9.42578125" style="1" customWidth="1"/>
    <col min="4366" max="4366" width="9.5703125" style="1" bestFit="1" customWidth="1"/>
    <col min="4367" max="4367" width="9.42578125" style="1" customWidth="1"/>
    <col min="4368" max="4368" width="11.5703125" style="1" customWidth="1"/>
    <col min="4369" max="4369" width="10.42578125" style="1" bestFit="1" customWidth="1"/>
    <col min="4370" max="4370" width="11.28515625" style="1" customWidth="1"/>
    <col min="4371" max="4371" width="10.42578125" style="1" customWidth="1"/>
    <col min="4372" max="4372" width="10.5703125" style="1" customWidth="1"/>
    <col min="4373" max="4373" width="12" style="1" customWidth="1"/>
    <col min="4374" max="4374" width="9.42578125" style="1" customWidth="1"/>
    <col min="4375" max="4375" width="12.28515625" style="1" customWidth="1"/>
    <col min="4376" max="4376" width="9.42578125" style="1" customWidth="1"/>
    <col min="4377" max="4377" width="11.42578125" style="1" customWidth="1"/>
    <col min="4378" max="4378" width="9.42578125" style="1" customWidth="1"/>
    <col min="4379" max="4381" width="11.42578125" style="1" customWidth="1"/>
    <col min="4382" max="4382" width="1.140625" style="1" customWidth="1"/>
    <col min="4383" max="4383" width="8.28515625" style="1" customWidth="1"/>
    <col min="4384" max="4384" width="0.7109375" style="1" customWidth="1"/>
    <col min="4385" max="4385" width="6.5703125" style="1" customWidth="1"/>
    <col min="4386" max="4386" width="1.42578125" style="1" customWidth="1"/>
    <col min="4387" max="4387" width="5.85546875" style="1" customWidth="1"/>
    <col min="4388" max="4388" width="0.5703125" style="1" customWidth="1"/>
    <col min="4389" max="4389" width="15.85546875" style="1" customWidth="1"/>
    <col min="4390" max="4401" width="10" style="1" customWidth="1"/>
    <col min="4402" max="4402" width="9.42578125" style="1" customWidth="1"/>
    <col min="4403" max="4609" width="10" style="1"/>
    <col min="4610" max="4610" width="8" style="1" customWidth="1"/>
    <col min="4611" max="4611" width="10" style="1" customWidth="1"/>
    <col min="4612" max="4612" width="1.42578125" style="1" customWidth="1"/>
    <col min="4613" max="4613" width="8.85546875" style="1" customWidth="1"/>
    <col min="4614" max="4614" width="12.42578125" style="1" customWidth="1"/>
    <col min="4615" max="4615" width="10.28515625" style="1" bestFit="1" customWidth="1"/>
    <col min="4616" max="4616" width="12.140625" style="1" bestFit="1" customWidth="1"/>
    <col min="4617" max="4617" width="9.42578125" style="1" customWidth="1"/>
    <col min="4618" max="4618" width="14.85546875" style="1" customWidth="1"/>
    <col min="4619" max="4620" width="11.140625" style="1" customWidth="1"/>
    <col min="4621" max="4621" width="9.42578125" style="1" customWidth="1"/>
    <col min="4622" max="4622" width="9.5703125" style="1" bestFit="1" customWidth="1"/>
    <col min="4623" max="4623" width="9.42578125" style="1" customWidth="1"/>
    <col min="4624" max="4624" width="11.5703125" style="1" customWidth="1"/>
    <col min="4625" max="4625" width="10.42578125" style="1" bestFit="1" customWidth="1"/>
    <col min="4626" max="4626" width="11.28515625" style="1" customWidth="1"/>
    <col min="4627" max="4627" width="10.42578125" style="1" customWidth="1"/>
    <col min="4628" max="4628" width="10.5703125" style="1" customWidth="1"/>
    <col min="4629" max="4629" width="12" style="1" customWidth="1"/>
    <col min="4630" max="4630" width="9.42578125" style="1" customWidth="1"/>
    <col min="4631" max="4631" width="12.28515625" style="1" customWidth="1"/>
    <col min="4632" max="4632" width="9.42578125" style="1" customWidth="1"/>
    <col min="4633" max="4633" width="11.42578125" style="1" customWidth="1"/>
    <col min="4634" max="4634" width="9.42578125" style="1" customWidth="1"/>
    <col min="4635" max="4637" width="11.42578125" style="1" customWidth="1"/>
    <col min="4638" max="4638" width="1.140625" style="1" customWidth="1"/>
    <col min="4639" max="4639" width="8.28515625" style="1" customWidth="1"/>
    <col min="4640" max="4640" width="0.7109375" style="1" customWidth="1"/>
    <col min="4641" max="4641" width="6.5703125" style="1" customWidth="1"/>
    <col min="4642" max="4642" width="1.42578125" style="1" customWidth="1"/>
    <col min="4643" max="4643" width="5.85546875" style="1" customWidth="1"/>
    <col min="4644" max="4644" width="0.5703125" style="1" customWidth="1"/>
    <col min="4645" max="4645" width="15.85546875" style="1" customWidth="1"/>
    <col min="4646" max="4657" width="10" style="1" customWidth="1"/>
    <col min="4658" max="4658" width="9.42578125" style="1" customWidth="1"/>
    <col min="4659" max="4865" width="10" style="1"/>
    <col min="4866" max="4866" width="8" style="1" customWidth="1"/>
    <col min="4867" max="4867" width="10" style="1" customWidth="1"/>
    <col min="4868" max="4868" width="1.42578125" style="1" customWidth="1"/>
    <col min="4869" max="4869" width="8.85546875" style="1" customWidth="1"/>
    <col min="4870" max="4870" width="12.42578125" style="1" customWidth="1"/>
    <col min="4871" max="4871" width="10.28515625" style="1" bestFit="1" customWidth="1"/>
    <col min="4872" max="4872" width="12.140625" style="1" bestFit="1" customWidth="1"/>
    <col min="4873" max="4873" width="9.42578125" style="1" customWidth="1"/>
    <col min="4874" max="4874" width="14.85546875" style="1" customWidth="1"/>
    <col min="4875" max="4876" width="11.140625" style="1" customWidth="1"/>
    <col min="4877" max="4877" width="9.42578125" style="1" customWidth="1"/>
    <col min="4878" max="4878" width="9.5703125" style="1" bestFit="1" customWidth="1"/>
    <col min="4879" max="4879" width="9.42578125" style="1" customWidth="1"/>
    <col min="4880" max="4880" width="11.5703125" style="1" customWidth="1"/>
    <col min="4881" max="4881" width="10.42578125" style="1" bestFit="1" customWidth="1"/>
    <col min="4882" max="4882" width="11.28515625" style="1" customWidth="1"/>
    <col min="4883" max="4883" width="10.42578125" style="1" customWidth="1"/>
    <col min="4884" max="4884" width="10.5703125" style="1" customWidth="1"/>
    <col min="4885" max="4885" width="12" style="1" customWidth="1"/>
    <col min="4886" max="4886" width="9.42578125" style="1" customWidth="1"/>
    <col min="4887" max="4887" width="12.28515625" style="1" customWidth="1"/>
    <col min="4888" max="4888" width="9.42578125" style="1" customWidth="1"/>
    <col min="4889" max="4889" width="11.42578125" style="1" customWidth="1"/>
    <col min="4890" max="4890" width="9.42578125" style="1" customWidth="1"/>
    <col min="4891" max="4893" width="11.42578125" style="1" customWidth="1"/>
    <col min="4894" max="4894" width="1.140625" style="1" customWidth="1"/>
    <col min="4895" max="4895" width="8.28515625" style="1" customWidth="1"/>
    <col min="4896" max="4896" width="0.7109375" style="1" customWidth="1"/>
    <col min="4897" max="4897" width="6.5703125" style="1" customWidth="1"/>
    <col min="4898" max="4898" width="1.42578125" style="1" customWidth="1"/>
    <col min="4899" max="4899" width="5.85546875" style="1" customWidth="1"/>
    <col min="4900" max="4900" width="0.5703125" style="1" customWidth="1"/>
    <col min="4901" max="4901" width="15.85546875" style="1" customWidth="1"/>
    <col min="4902" max="4913" width="10" style="1" customWidth="1"/>
    <col min="4914" max="4914" width="9.42578125" style="1" customWidth="1"/>
    <col min="4915" max="5121" width="10" style="1"/>
    <col min="5122" max="5122" width="8" style="1" customWidth="1"/>
    <col min="5123" max="5123" width="10" style="1" customWidth="1"/>
    <col min="5124" max="5124" width="1.42578125" style="1" customWidth="1"/>
    <col min="5125" max="5125" width="8.85546875" style="1" customWidth="1"/>
    <col min="5126" max="5126" width="12.42578125" style="1" customWidth="1"/>
    <col min="5127" max="5127" width="10.28515625" style="1" bestFit="1" customWidth="1"/>
    <col min="5128" max="5128" width="12.140625" style="1" bestFit="1" customWidth="1"/>
    <col min="5129" max="5129" width="9.42578125" style="1" customWidth="1"/>
    <col min="5130" max="5130" width="14.85546875" style="1" customWidth="1"/>
    <col min="5131" max="5132" width="11.140625" style="1" customWidth="1"/>
    <col min="5133" max="5133" width="9.42578125" style="1" customWidth="1"/>
    <col min="5134" max="5134" width="9.5703125" style="1" bestFit="1" customWidth="1"/>
    <col min="5135" max="5135" width="9.42578125" style="1" customWidth="1"/>
    <col min="5136" max="5136" width="11.5703125" style="1" customWidth="1"/>
    <col min="5137" max="5137" width="10.42578125" style="1" bestFit="1" customWidth="1"/>
    <col min="5138" max="5138" width="11.28515625" style="1" customWidth="1"/>
    <col min="5139" max="5139" width="10.42578125" style="1" customWidth="1"/>
    <col min="5140" max="5140" width="10.5703125" style="1" customWidth="1"/>
    <col min="5141" max="5141" width="12" style="1" customWidth="1"/>
    <col min="5142" max="5142" width="9.42578125" style="1" customWidth="1"/>
    <col min="5143" max="5143" width="12.28515625" style="1" customWidth="1"/>
    <col min="5144" max="5144" width="9.42578125" style="1" customWidth="1"/>
    <col min="5145" max="5145" width="11.42578125" style="1" customWidth="1"/>
    <col min="5146" max="5146" width="9.42578125" style="1" customWidth="1"/>
    <col min="5147" max="5149" width="11.42578125" style="1" customWidth="1"/>
    <col min="5150" max="5150" width="1.140625" style="1" customWidth="1"/>
    <col min="5151" max="5151" width="8.28515625" style="1" customWidth="1"/>
    <col min="5152" max="5152" width="0.7109375" style="1" customWidth="1"/>
    <col min="5153" max="5153" width="6.5703125" style="1" customWidth="1"/>
    <col min="5154" max="5154" width="1.42578125" style="1" customWidth="1"/>
    <col min="5155" max="5155" width="5.85546875" style="1" customWidth="1"/>
    <col min="5156" max="5156" width="0.5703125" style="1" customWidth="1"/>
    <col min="5157" max="5157" width="15.85546875" style="1" customWidth="1"/>
    <col min="5158" max="5169" width="10" style="1" customWidth="1"/>
    <col min="5170" max="5170" width="9.42578125" style="1" customWidth="1"/>
    <col min="5171" max="5377" width="10" style="1"/>
    <col min="5378" max="5378" width="8" style="1" customWidth="1"/>
    <col min="5379" max="5379" width="10" style="1" customWidth="1"/>
    <col min="5380" max="5380" width="1.42578125" style="1" customWidth="1"/>
    <col min="5381" max="5381" width="8.85546875" style="1" customWidth="1"/>
    <col min="5382" max="5382" width="12.42578125" style="1" customWidth="1"/>
    <col min="5383" max="5383" width="10.28515625" style="1" bestFit="1" customWidth="1"/>
    <col min="5384" max="5384" width="12.140625" style="1" bestFit="1" customWidth="1"/>
    <col min="5385" max="5385" width="9.42578125" style="1" customWidth="1"/>
    <col min="5386" max="5386" width="14.85546875" style="1" customWidth="1"/>
    <col min="5387" max="5388" width="11.140625" style="1" customWidth="1"/>
    <col min="5389" max="5389" width="9.42578125" style="1" customWidth="1"/>
    <col min="5390" max="5390" width="9.5703125" style="1" bestFit="1" customWidth="1"/>
    <col min="5391" max="5391" width="9.42578125" style="1" customWidth="1"/>
    <col min="5392" max="5392" width="11.5703125" style="1" customWidth="1"/>
    <col min="5393" max="5393" width="10.42578125" style="1" bestFit="1" customWidth="1"/>
    <col min="5394" max="5394" width="11.28515625" style="1" customWidth="1"/>
    <col min="5395" max="5395" width="10.42578125" style="1" customWidth="1"/>
    <col min="5396" max="5396" width="10.5703125" style="1" customWidth="1"/>
    <col min="5397" max="5397" width="12" style="1" customWidth="1"/>
    <col min="5398" max="5398" width="9.42578125" style="1" customWidth="1"/>
    <col min="5399" max="5399" width="12.28515625" style="1" customWidth="1"/>
    <col min="5400" max="5400" width="9.42578125" style="1" customWidth="1"/>
    <col min="5401" max="5401" width="11.42578125" style="1" customWidth="1"/>
    <col min="5402" max="5402" width="9.42578125" style="1" customWidth="1"/>
    <col min="5403" max="5405" width="11.42578125" style="1" customWidth="1"/>
    <col min="5406" max="5406" width="1.140625" style="1" customWidth="1"/>
    <col min="5407" max="5407" width="8.28515625" style="1" customWidth="1"/>
    <col min="5408" max="5408" width="0.7109375" style="1" customWidth="1"/>
    <col min="5409" max="5409" width="6.5703125" style="1" customWidth="1"/>
    <col min="5410" max="5410" width="1.42578125" style="1" customWidth="1"/>
    <col min="5411" max="5411" width="5.85546875" style="1" customWidth="1"/>
    <col min="5412" max="5412" width="0.5703125" style="1" customWidth="1"/>
    <col min="5413" max="5413" width="15.85546875" style="1" customWidth="1"/>
    <col min="5414" max="5425" width="10" style="1" customWidth="1"/>
    <col min="5426" max="5426" width="9.42578125" style="1" customWidth="1"/>
    <col min="5427" max="5633" width="10" style="1"/>
    <col min="5634" max="5634" width="8" style="1" customWidth="1"/>
    <col min="5635" max="5635" width="10" style="1" customWidth="1"/>
    <col min="5636" max="5636" width="1.42578125" style="1" customWidth="1"/>
    <col min="5637" max="5637" width="8.85546875" style="1" customWidth="1"/>
    <col min="5638" max="5638" width="12.42578125" style="1" customWidth="1"/>
    <col min="5639" max="5639" width="10.28515625" style="1" bestFit="1" customWidth="1"/>
    <col min="5640" max="5640" width="12.140625" style="1" bestFit="1" customWidth="1"/>
    <col min="5641" max="5641" width="9.42578125" style="1" customWidth="1"/>
    <col min="5642" max="5642" width="14.85546875" style="1" customWidth="1"/>
    <col min="5643" max="5644" width="11.140625" style="1" customWidth="1"/>
    <col min="5645" max="5645" width="9.42578125" style="1" customWidth="1"/>
    <col min="5646" max="5646" width="9.5703125" style="1" bestFit="1" customWidth="1"/>
    <col min="5647" max="5647" width="9.42578125" style="1" customWidth="1"/>
    <col min="5648" max="5648" width="11.5703125" style="1" customWidth="1"/>
    <col min="5649" max="5649" width="10.42578125" style="1" bestFit="1" customWidth="1"/>
    <col min="5650" max="5650" width="11.28515625" style="1" customWidth="1"/>
    <col min="5651" max="5651" width="10.42578125" style="1" customWidth="1"/>
    <col min="5652" max="5652" width="10.5703125" style="1" customWidth="1"/>
    <col min="5653" max="5653" width="12" style="1" customWidth="1"/>
    <col min="5654" max="5654" width="9.42578125" style="1" customWidth="1"/>
    <col min="5655" max="5655" width="12.28515625" style="1" customWidth="1"/>
    <col min="5656" max="5656" width="9.42578125" style="1" customWidth="1"/>
    <col min="5657" max="5657" width="11.42578125" style="1" customWidth="1"/>
    <col min="5658" max="5658" width="9.42578125" style="1" customWidth="1"/>
    <col min="5659" max="5661" width="11.42578125" style="1" customWidth="1"/>
    <col min="5662" max="5662" width="1.140625" style="1" customWidth="1"/>
    <col min="5663" max="5663" width="8.28515625" style="1" customWidth="1"/>
    <col min="5664" max="5664" width="0.7109375" style="1" customWidth="1"/>
    <col min="5665" max="5665" width="6.5703125" style="1" customWidth="1"/>
    <col min="5666" max="5666" width="1.42578125" style="1" customWidth="1"/>
    <col min="5667" max="5667" width="5.85546875" style="1" customWidth="1"/>
    <col min="5668" max="5668" width="0.5703125" style="1" customWidth="1"/>
    <col min="5669" max="5669" width="15.85546875" style="1" customWidth="1"/>
    <col min="5670" max="5681" width="10" style="1" customWidth="1"/>
    <col min="5682" max="5682" width="9.42578125" style="1" customWidth="1"/>
    <col min="5683" max="5889" width="10" style="1"/>
    <col min="5890" max="5890" width="8" style="1" customWidth="1"/>
    <col min="5891" max="5891" width="10" style="1" customWidth="1"/>
    <col min="5892" max="5892" width="1.42578125" style="1" customWidth="1"/>
    <col min="5893" max="5893" width="8.85546875" style="1" customWidth="1"/>
    <col min="5894" max="5894" width="12.42578125" style="1" customWidth="1"/>
    <col min="5895" max="5895" width="10.28515625" style="1" bestFit="1" customWidth="1"/>
    <col min="5896" max="5896" width="12.140625" style="1" bestFit="1" customWidth="1"/>
    <col min="5897" max="5897" width="9.42578125" style="1" customWidth="1"/>
    <col min="5898" max="5898" width="14.85546875" style="1" customWidth="1"/>
    <col min="5899" max="5900" width="11.140625" style="1" customWidth="1"/>
    <col min="5901" max="5901" width="9.42578125" style="1" customWidth="1"/>
    <col min="5902" max="5902" width="9.5703125" style="1" bestFit="1" customWidth="1"/>
    <col min="5903" max="5903" width="9.42578125" style="1" customWidth="1"/>
    <col min="5904" max="5904" width="11.5703125" style="1" customWidth="1"/>
    <col min="5905" max="5905" width="10.42578125" style="1" bestFit="1" customWidth="1"/>
    <col min="5906" max="5906" width="11.28515625" style="1" customWidth="1"/>
    <col min="5907" max="5907" width="10.42578125" style="1" customWidth="1"/>
    <col min="5908" max="5908" width="10.5703125" style="1" customWidth="1"/>
    <col min="5909" max="5909" width="12" style="1" customWidth="1"/>
    <col min="5910" max="5910" width="9.42578125" style="1" customWidth="1"/>
    <col min="5911" max="5911" width="12.28515625" style="1" customWidth="1"/>
    <col min="5912" max="5912" width="9.42578125" style="1" customWidth="1"/>
    <col min="5913" max="5913" width="11.42578125" style="1" customWidth="1"/>
    <col min="5914" max="5914" width="9.42578125" style="1" customWidth="1"/>
    <col min="5915" max="5917" width="11.42578125" style="1" customWidth="1"/>
    <col min="5918" max="5918" width="1.140625" style="1" customWidth="1"/>
    <col min="5919" max="5919" width="8.28515625" style="1" customWidth="1"/>
    <col min="5920" max="5920" width="0.7109375" style="1" customWidth="1"/>
    <col min="5921" max="5921" width="6.5703125" style="1" customWidth="1"/>
    <col min="5922" max="5922" width="1.42578125" style="1" customWidth="1"/>
    <col min="5923" max="5923" width="5.85546875" style="1" customWidth="1"/>
    <col min="5924" max="5924" width="0.5703125" style="1" customWidth="1"/>
    <col min="5925" max="5925" width="15.85546875" style="1" customWidth="1"/>
    <col min="5926" max="5937" width="10" style="1" customWidth="1"/>
    <col min="5938" max="5938" width="9.42578125" style="1" customWidth="1"/>
    <col min="5939" max="6145" width="10" style="1"/>
    <col min="6146" max="6146" width="8" style="1" customWidth="1"/>
    <col min="6147" max="6147" width="10" style="1" customWidth="1"/>
    <col min="6148" max="6148" width="1.42578125" style="1" customWidth="1"/>
    <col min="6149" max="6149" width="8.85546875" style="1" customWidth="1"/>
    <col min="6150" max="6150" width="12.42578125" style="1" customWidth="1"/>
    <col min="6151" max="6151" width="10.28515625" style="1" bestFit="1" customWidth="1"/>
    <col min="6152" max="6152" width="12.140625" style="1" bestFit="1" customWidth="1"/>
    <col min="6153" max="6153" width="9.42578125" style="1" customWidth="1"/>
    <col min="6154" max="6154" width="14.85546875" style="1" customWidth="1"/>
    <col min="6155" max="6156" width="11.140625" style="1" customWidth="1"/>
    <col min="6157" max="6157" width="9.42578125" style="1" customWidth="1"/>
    <col min="6158" max="6158" width="9.5703125" style="1" bestFit="1" customWidth="1"/>
    <col min="6159" max="6159" width="9.42578125" style="1" customWidth="1"/>
    <col min="6160" max="6160" width="11.5703125" style="1" customWidth="1"/>
    <col min="6161" max="6161" width="10.42578125" style="1" bestFit="1" customWidth="1"/>
    <col min="6162" max="6162" width="11.28515625" style="1" customWidth="1"/>
    <col min="6163" max="6163" width="10.42578125" style="1" customWidth="1"/>
    <col min="6164" max="6164" width="10.5703125" style="1" customWidth="1"/>
    <col min="6165" max="6165" width="12" style="1" customWidth="1"/>
    <col min="6166" max="6166" width="9.42578125" style="1" customWidth="1"/>
    <col min="6167" max="6167" width="12.28515625" style="1" customWidth="1"/>
    <col min="6168" max="6168" width="9.42578125" style="1" customWidth="1"/>
    <col min="6169" max="6169" width="11.42578125" style="1" customWidth="1"/>
    <col min="6170" max="6170" width="9.42578125" style="1" customWidth="1"/>
    <col min="6171" max="6173" width="11.42578125" style="1" customWidth="1"/>
    <col min="6174" max="6174" width="1.140625" style="1" customWidth="1"/>
    <col min="6175" max="6175" width="8.28515625" style="1" customWidth="1"/>
    <col min="6176" max="6176" width="0.7109375" style="1" customWidth="1"/>
    <col min="6177" max="6177" width="6.5703125" style="1" customWidth="1"/>
    <col min="6178" max="6178" width="1.42578125" style="1" customWidth="1"/>
    <col min="6179" max="6179" width="5.85546875" style="1" customWidth="1"/>
    <col min="6180" max="6180" width="0.5703125" style="1" customWidth="1"/>
    <col min="6181" max="6181" width="15.85546875" style="1" customWidth="1"/>
    <col min="6182" max="6193" width="10" style="1" customWidth="1"/>
    <col min="6194" max="6194" width="9.42578125" style="1" customWidth="1"/>
    <col min="6195" max="6401" width="10" style="1"/>
    <col min="6402" max="6402" width="8" style="1" customWidth="1"/>
    <col min="6403" max="6403" width="10" style="1" customWidth="1"/>
    <col min="6404" max="6404" width="1.42578125" style="1" customWidth="1"/>
    <col min="6405" max="6405" width="8.85546875" style="1" customWidth="1"/>
    <col min="6406" max="6406" width="12.42578125" style="1" customWidth="1"/>
    <col min="6407" max="6407" width="10.28515625" style="1" bestFit="1" customWidth="1"/>
    <col min="6408" max="6408" width="12.140625" style="1" bestFit="1" customWidth="1"/>
    <col min="6409" max="6409" width="9.42578125" style="1" customWidth="1"/>
    <col min="6410" max="6410" width="14.85546875" style="1" customWidth="1"/>
    <col min="6411" max="6412" width="11.140625" style="1" customWidth="1"/>
    <col min="6413" max="6413" width="9.42578125" style="1" customWidth="1"/>
    <col min="6414" max="6414" width="9.5703125" style="1" bestFit="1" customWidth="1"/>
    <col min="6415" max="6415" width="9.42578125" style="1" customWidth="1"/>
    <col min="6416" max="6416" width="11.5703125" style="1" customWidth="1"/>
    <col min="6417" max="6417" width="10.42578125" style="1" bestFit="1" customWidth="1"/>
    <col min="6418" max="6418" width="11.28515625" style="1" customWidth="1"/>
    <col min="6419" max="6419" width="10.42578125" style="1" customWidth="1"/>
    <col min="6420" max="6420" width="10.5703125" style="1" customWidth="1"/>
    <col min="6421" max="6421" width="12" style="1" customWidth="1"/>
    <col min="6422" max="6422" width="9.42578125" style="1" customWidth="1"/>
    <col min="6423" max="6423" width="12.28515625" style="1" customWidth="1"/>
    <col min="6424" max="6424" width="9.42578125" style="1" customWidth="1"/>
    <col min="6425" max="6425" width="11.42578125" style="1" customWidth="1"/>
    <col min="6426" max="6426" width="9.42578125" style="1" customWidth="1"/>
    <col min="6427" max="6429" width="11.42578125" style="1" customWidth="1"/>
    <col min="6430" max="6430" width="1.140625" style="1" customWidth="1"/>
    <col min="6431" max="6431" width="8.28515625" style="1" customWidth="1"/>
    <col min="6432" max="6432" width="0.7109375" style="1" customWidth="1"/>
    <col min="6433" max="6433" width="6.5703125" style="1" customWidth="1"/>
    <col min="6434" max="6434" width="1.42578125" style="1" customWidth="1"/>
    <col min="6435" max="6435" width="5.85546875" style="1" customWidth="1"/>
    <col min="6436" max="6436" width="0.5703125" style="1" customWidth="1"/>
    <col min="6437" max="6437" width="15.85546875" style="1" customWidth="1"/>
    <col min="6438" max="6449" width="10" style="1" customWidth="1"/>
    <col min="6450" max="6450" width="9.42578125" style="1" customWidth="1"/>
    <col min="6451" max="6657" width="10" style="1"/>
    <col min="6658" max="6658" width="8" style="1" customWidth="1"/>
    <col min="6659" max="6659" width="10" style="1" customWidth="1"/>
    <col min="6660" max="6660" width="1.42578125" style="1" customWidth="1"/>
    <col min="6661" max="6661" width="8.85546875" style="1" customWidth="1"/>
    <col min="6662" max="6662" width="12.42578125" style="1" customWidth="1"/>
    <col min="6663" max="6663" width="10.28515625" style="1" bestFit="1" customWidth="1"/>
    <col min="6664" max="6664" width="12.140625" style="1" bestFit="1" customWidth="1"/>
    <col min="6665" max="6665" width="9.42578125" style="1" customWidth="1"/>
    <col min="6666" max="6666" width="14.85546875" style="1" customWidth="1"/>
    <col min="6667" max="6668" width="11.140625" style="1" customWidth="1"/>
    <col min="6669" max="6669" width="9.42578125" style="1" customWidth="1"/>
    <col min="6670" max="6670" width="9.5703125" style="1" bestFit="1" customWidth="1"/>
    <col min="6671" max="6671" width="9.42578125" style="1" customWidth="1"/>
    <col min="6672" max="6672" width="11.5703125" style="1" customWidth="1"/>
    <col min="6673" max="6673" width="10.42578125" style="1" bestFit="1" customWidth="1"/>
    <col min="6674" max="6674" width="11.28515625" style="1" customWidth="1"/>
    <col min="6675" max="6675" width="10.42578125" style="1" customWidth="1"/>
    <col min="6676" max="6676" width="10.5703125" style="1" customWidth="1"/>
    <col min="6677" max="6677" width="12" style="1" customWidth="1"/>
    <col min="6678" max="6678" width="9.42578125" style="1" customWidth="1"/>
    <col min="6679" max="6679" width="12.28515625" style="1" customWidth="1"/>
    <col min="6680" max="6680" width="9.42578125" style="1" customWidth="1"/>
    <col min="6681" max="6681" width="11.42578125" style="1" customWidth="1"/>
    <col min="6682" max="6682" width="9.42578125" style="1" customWidth="1"/>
    <col min="6683" max="6685" width="11.42578125" style="1" customWidth="1"/>
    <col min="6686" max="6686" width="1.140625" style="1" customWidth="1"/>
    <col min="6687" max="6687" width="8.28515625" style="1" customWidth="1"/>
    <col min="6688" max="6688" width="0.7109375" style="1" customWidth="1"/>
    <col min="6689" max="6689" width="6.5703125" style="1" customWidth="1"/>
    <col min="6690" max="6690" width="1.42578125" style="1" customWidth="1"/>
    <col min="6691" max="6691" width="5.85546875" style="1" customWidth="1"/>
    <col min="6692" max="6692" width="0.5703125" style="1" customWidth="1"/>
    <col min="6693" max="6693" width="15.85546875" style="1" customWidth="1"/>
    <col min="6694" max="6705" width="10" style="1" customWidth="1"/>
    <col min="6706" max="6706" width="9.42578125" style="1" customWidth="1"/>
    <col min="6707" max="6913" width="10" style="1"/>
    <col min="6914" max="6914" width="8" style="1" customWidth="1"/>
    <col min="6915" max="6915" width="10" style="1" customWidth="1"/>
    <col min="6916" max="6916" width="1.42578125" style="1" customWidth="1"/>
    <col min="6917" max="6917" width="8.85546875" style="1" customWidth="1"/>
    <col min="6918" max="6918" width="12.42578125" style="1" customWidth="1"/>
    <col min="6919" max="6919" width="10.28515625" style="1" bestFit="1" customWidth="1"/>
    <col min="6920" max="6920" width="12.140625" style="1" bestFit="1" customWidth="1"/>
    <col min="6921" max="6921" width="9.42578125" style="1" customWidth="1"/>
    <col min="6922" max="6922" width="14.85546875" style="1" customWidth="1"/>
    <col min="6923" max="6924" width="11.140625" style="1" customWidth="1"/>
    <col min="6925" max="6925" width="9.42578125" style="1" customWidth="1"/>
    <col min="6926" max="6926" width="9.5703125" style="1" bestFit="1" customWidth="1"/>
    <col min="6927" max="6927" width="9.42578125" style="1" customWidth="1"/>
    <col min="6928" max="6928" width="11.5703125" style="1" customWidth="1"/>
    <col min="6929" max="6929" width="10.42578125" style="1" bestFit="1" customWidth="1"/>
    <col min="6930" max="6930" width="11.28515625" style="1" customWidth="1"/>
    <col min="6931" max="6931" width="10.42578125" style="1" customWidth="1"/>
    <col min="6932" max="6932" width="10.5703125" style="1" customWidth="1"/>
    <col min="6933" max="6933" width="12" style="1" customWidth="1"/>
    <col min="6934" max="6934" width="9.42578125" style="1" customWidth="1"/>
    <col min="6935" max="6935" width="12.28515625" style="1" customWidth="1"/>
    <col min="6936" max="6936" width="9.42578125" style="1" customWidth="1"/>
    <col min="6937" max="6937" width="11.42578125" style="1" customWidth="1"/>
    <col min="6938" max="6938" width="9.42578125" style="1" customWidth="1"/>
    <col min="6939" max="6941" width="11.42578125" style="1" customWidth="1"/>
    <col min="6942" max="6942" width="1.140625" style="1" customWidth="1"/>
    <col min="6943" max="6943" width="8.28515625" style="1" customWidth="1"/>
    <col min="6944" max="6944" width="0.7109375" style="1" customWidth="1"/>
    <col min="6945" max="6945" width="6.5703125" style="1" customWidth="1"/>
    <col min="6946" max="6946" width="1.42578125" style="1" customWidth="1"/>
    <col min="6947" max="6947" width="5.85546875" style="1" customWidth="1"/>
    <col min="6948" max="6948" width="0.5703125" style="1" customWidth="1"/>
    <col min="6949" max="6949" width="15.85546875" style="1" customWidth="1"/>
    <col min="6950" max="6961" width="10" style="1" customWidth="1"/>
    <col min="6962" max="6962" width="9.42578125" style="1" customWidth="1"/>
    <col min="6963" max="7169" width="10" style="1"/>
    <col min="7170" max="7170" width="8" style="1" customWidth="1"/>
    <col min="7171" max="7171" width="10" style="1" customWidth="1"/>
    <col min="7172" max="7172" width="1.42578125" style="1" customWidth="1"/>
    <col min="7173" max="7173" width="8.85546875" style="1" customWidth="1"/>
    <col min="7174" max="7174" width="12.42578125" style="1" customWidth="1"/>
    <col min="7175" max="7175" width="10.28515625" style="1" bestFit="1" customWidth="1"/>
    <col min="7176" max="7176" width="12.140625" style="1" bestFit="1" customWidth="1"/>
    <col min="7177" max="7177" width="9.42578125" style="1" customWidth="1"/>
    <col min="7178" max="7178" width="14.85546875" style="1" customWidth="1"/>
    <col min="7179" max="7180" width="11.140625" style="1" customWidth="1"/>
    <col min="7181" max="7181" width="9.42578125" style="1" customWidth="1"/>
    <col min="7182" max="7182" width="9.5703125" style="1" bestFit="1" customWidth="1"/>
    <col min="7183" max="7183" width="9.42578125" style="1" customWidth="1"/>
    <col min="7184" max="7184" width="11.5703125" style="1" customWidth="1"/>
    <col min="7185" max="7185" width="10.42578125" style="1" bestFit="1" customWidth="1"/>
    <col min="7186" max="7186" width="11.28515625" style="1" customWidth="1"/>
    <col min="7187" max="7187" width="10.42578125" style="1" customWidth="1"/>
    <col min="7188" max="7188" width="10.5703125" style="1" customWidth="1"/>
    <col min="7189" max="7189" width="12" style="1" customWidth="1"/>
    <col min="7190" max="7190" width="9.42578125" style="1" customWidth="1"/>
    <col min="7191" max="7191" width="12.28515625" style="1" customWidth="1"/>
    <col min="7192" max="7192" width="9.42578125" style="1" customWidth="1"/>
    <col min="7193" max="7193" width="11.42578125" style="1" customWidth="1"/>
    <col min="7194" max="7194" width="9.42578125" style="1" customWidth="1"/>
    <col min="7195" max="7197" width="11.42578125" style="1" customWidth="1"/>
    <col min="7198" max="7198" width="1.140625" style="1" customWidth="1"/>
    <col min="7199" max="7199" width="8.28515625" style="1" customWidth="1"/>
    <col min="7200" max="7200" width="0.7109375" style="1" customWidth="1"/>
    <col min="7201" max="7201" width="6.5703125" style="1" customWidth="1"/>
    <col min="7202" max="7202" width="1.42578125" style="1" customWidth="1"/>
    <col min="7203" max="7203" width="5.85546875" style="1" customWidth="1"/>
    <col min="7204" max="7204" width="0.5703125" style="1" customWidth="1"/>
    <col min="7205" max="7205" width="15.85546875" style="1" customWidth="1"/>
    <col min="7206" max="7217" width="10" style="1" customWidth="1"/>
    <col min="7218" max="7218" width="9.42578125" style="1" customWidth="1"/>
    <col min="7219" max="7425" width="10" style="1"/>
    <col min="7426" max="7426" width="8" style="1" customWidth="1"/>
    <col min="7427" max="7427" width="10" style="1" customWidth="1"/>
    <col min="7428" max="7428" width="1.42578125" style="1" customWidth="1"/>
    <col min="7429" max="7429" width="8.85546875" style="1" customWidth="1"/>
    <col min="7430" max="7430" width="12.42578125" style="1" customWidth="1"/>
    <col min="7431" max="7431" width="10.28515625" style="1" bestFit="1" customWidth="1"/>
    <col min="7432" max="7432" width="12.140625" style="1" bestFit="1" customWidth="1"/>
    <col min="7433" max="7433" width="9.42578125" style="1" customWidth="1"/>
    <col min="7434" max="7434" width="14.85546875" style="1" customWidth="1"/>
    <col min="7435" max="7436" width="11.140625" style="1" customWidth="1"/>
    <col min="7437" max="7437" width="9.42578125" style="1" customWidth="1"/>
    <col min="7438" max="7438" width="9.5703125" style="1" bestFit="1" customWidth="1"/>
    <col min="7439" max="7439" width="9.42578125" style="1" customWidth="1"/>
    <col min="7440" max="7440" width="11.5703125" style="1" customWidth="1"/>
    <col min="7441" max="7441" width="10.42578125" style="1" bestFit="1" customWidth="1"/>
    <col min="7442" max="7442" width="11.28515625" style="1" customWidth="1"/>
    <col min="7443" max="7443" width="10.42578125" style="1" customWidth="1"/>
    <col min="7444" max="7444" width="10.5703125" style="1" customWidth="1"/>
    <col min="7445" max="7445" width="12" style="1" customWidth="1"/>
    <col min="7446" max="7446" width="9.42578125" style="1" customWidth="1"/>
    <col min="7447" max="7447" width="12.28515625" style="1" customWidth="1"/>
    <col min="7448" max="7448" width="9.42578125" style="1" customWidth="1"/>
    <col min="7449" max="7449" width="11.42578125" style="1" customWidth="1"/>
    <col min="7450" max="7450" width="9.42578125" style="1" customWidth="1"/>
    <col min="7451" max="7453" width="11.42578125" style="1" customWidth="1"/>
    <col min="7454" max="7454" width="1.140625" style="1" customWidth="1"/>
    <col min="7455" max="7455" width="8.28515625" style="1" customWidth="1"/>
    <col min="7456" max="7456" width="0.7109375" style="1" customWidth="1"/>
    <col min="7457" max="7457" width="6.5703125" style="1" customWidth="1"/>
    <col min="7458" max="7458" width="1.42578125" style="1" customWidth="1"/>
    <col min="7459" max="7459" width="5.85546875" style="1" customWidth="1"/>
    <col min="7460" max="7460" width="0.5703125" style="1" customWidth="1"/>
    <col min="7461" max="7461" width="15.85546875" style="1" customWidth="1"/>
    <col min="7462" max="7473" width="10" style="1" customWidth="1"/>
    <col min="7474" max="7474" width="9.42578125" style="1" customWidth="1"/>
    <col min="7475" max="7681" width="10" style="1"/>
    <col min="7682" max="7682" width="8" style="1" customWidth="1"/>
    <col min="7683" max="7683" width="10" style="1" customWidth="1"/>
    <col min="7684" max="7684" width="1.42578125" style="1" customWidth="1"/>
    <col min="7685" max="7685" width="8.85546875" style="1" customWidth="1"/>
    <col min="7686" max="7686" width="12.42578125" style="1" customWidth="1"/>
    <col min="7687" max="7687" width="10.28515625" style="1" bestFit="1" customWidth="1"/>
    <col min="7688" max="7688" width="12.140625" style="1" bestFit="1" customWidth="1"/>
    <col min="7689" max="7689" width="9.42578125" style="1" customWidth="1"/>
    <col min="7690" max="7690" width="14.85546875" style="1" customWidth="1"/>
    <col min="7691" max="7692" width="11.140625" style="1" customWidth="1"/>
    <col min="7693" max="7693" width="9.42578125" style="1" customWidth="1"/>
    <col min="7694" max="7694" width="9.5703125" style="1" bestFit="1" customWidth="1"/>
    <col min="7695" max="7695" width="9.42578125" style="1" customWidth="1"/>
    <col min="7696" max="7696" width="11.5703125" style="1" customWidth="1"/>
    <col min="7697" max="7697" width="10.42578125" style="1" bestFit="1" customWidth="1"/>
    <col min="7698" max="7698" width="11.28515625" style="1" customWidth="1"/>
    <col min="7699" max="7699" width="10.42578125" style="1" customWidth="1"/>
    <col min="7700" max="7700" width="10.5703125" style="1" customWidth="1"/>
    <col min="7701" max="7701" width="12" style="1" customWidth="1"/>
    <col min="7702" max="7702" width="9.42578125" style="1" customWidth="1"/>
    <col min="7703" max="7703" width="12.28515625" style="1" customWidth="1"/>
    <col min="7704" max="7704" width="9.42578125" style="1" customWidth="1"/>
    <col min="7705" max="7705" width="11.42578125" style="1" customWidth="1"/>
    <col min="7706" max="7706" width="9.42578125" style="1" customWidth="1"/>
    <col min="7707" max="7709" width="11.42578125" style="1" customWidth="1"/>
    <col min="7710" max="7710" width="1.140625" style="1" customWidth="1"/>
    <col min="7711" max="7711" width="8.28515625" style="1" customWidth="1"/>
    <col min="7712" max="7712" width="0.7109375" style="1" customWidth="1"/>
    <col min="7713" max="7713" width="6.5703125" style="1" customWidth="1"/>
    <col min="7714" max="7714" width="1.42578125" style="1" customWidth="1"/>
    <col min="7715" max="7715" width="5.85546875" style="1" customWidth="1"/>
    <col min="7716" max="7716" width="0.5703125" style="1" customWidth="1"/>
    <col min="7717" max="7717" width="15.85546875" style="1" customWidth="1"/>
    <col min="7718" max="7729" width="10" style="1" customWidth="1"/>
    <col min="7730" max="7730" width="9.42578125" style="1" customWidth="1"/>
    <col min="7731" max="7937" width="10" style="1"/>
    <col min="7938" max="7938" width="8" style="1" customWidth="1"/>
    <col min="7939" max="7939" width="10" style="1" customWidth="1"/>
    <col min="7940" max="7940" width="1.42578125" style="1" customWidth="1"/>
    <col min="7941" max="7941" width="8.85546875" style="1" customWidth="1"/>
    <col min="7942" max="7942" width="12.42578125" style="1" customWidth="1"/>
    <col min="7943" max="7943" width="10.28515625" style="1" bestFit="1" customWidth="1"/>
    <col min="7944" max="7944" width="12.140625" style="1" bestFit="1" customWidth="1"/>
    <col min="7945" max="7945" width="9.42578125" style="1" customWidth="1"/>
    <col min="7946" max="7946" width="14.85546875" style="1" customWidth="1"/>
    <col min="7947" max="7948" width="11.140625" style="1" customWidth="1"/>
    <col min="7949" max="7949" width="9.42578125" style="1" customWidth="1"/>
    <col min="7950" max="7950" width="9.5703125" style="1" bestFit="1" customWidth="1"/>
    <col min="7951" max="7951" width="9.42578125" style="1" customWidth="1"/>
    <col min="7952" max="7952" width="11.5703125" style="1" customWidth="1"/>
    <col min="7953" max="7953" width="10.42578125" style="1" bestFit="1" customWidth="1"/>
    <col min="7954" max="7954" width="11.28515625" style="1" customWidth="1"/>
    <col min="7955" max="7955" width="10.42578125" style="1" customWidth="1"/>
    <col min="7956" max="7956" width="10.5703125" style="1" customWidth="1"/>
    <col min="7957" max="7957" width="12" style="1" customWidth="1"/>
    <col min="7958" max="7958" width="9.42578125" style="1" customWidth="1"/>
    <col min="7959" max="7959" width="12.28515625" style="1" customWidth="1"/>
    <col min="7960" max="7960" width="9.42578125" style="1" customWidth="1"/>
    <col min="7961" max="7961" width="11.42578125" style="1" customWidth="1"/>
    <col min="7962" max="7962" width="9.42578125" style="1" customWidth="1"/>
    <col min="7963" max="7965" width="11.42578125" style="1" customWidth="1"/>
    <col min="7966" max="7966" width="1.140625" style="1" customWidth="1"/>
    <col min="7967" max="7967" width="8.28515625" style="1" customWidth="1"/>
    <col min="7968" max="7968" width="0.7109375" style="1" customWidth="1"/>
    <col min="7969" max="7969" width="6.5703125" style="1" customWidth="1"/>
    <col min="7970" max="7970" width="1.42578125" style="1" customWidth="1"/>
    <col min="7971" max="7971" width="5.85546875" style="1" customWidth="1"/>
    <col min="7972" max="7972" width="0.5703125" style="1" customWidth="1"/>
    <col min="7973" max="7973" width="15.85546875" style="1" customWidth="1"/>
    <col min="7974" max="7985" width="10" style="1" customWidth="1"/>
    <col min="7986" max="7986" width="9.42578125" style="1" customWidth="1"/>
    <col min="7987" max="8193" width="10" style="1"/>
    <col min="8194" max="8194" width="8" style="1" customWidth="1"/>
    <col min="8195" max="8195" width="10" style="1" customWidth="1"/>
    <col min="8196" max="8196" width="1.42578125" style="1" customWidth="1"/>
    <col min="8197" max="8197" width="8.85546875" style="1" customWidth="1"/>
    <col min="8198" max="8198" width="12.42578125" style="1" customWidth="1"/>
    <col min="8199" max="8199" width="10.28515625" style="1" bestFit="1" customWidth="1"/>
    <col min="8200" max="8200" width="12.140625" style="1" bestFit="1" customWidth="1"/>
    <col min="8201" max="8201" width="9.42578125" style="1" customWidth="1"/>
    <col min="8202" max="8202" width="14.85546875" style="1" customWidth="1"/>
    <col min="8203" max="8204" width="11.140625" style="1" customWidth="1"/>
    <col min="8205" max="8205" width="9.42578125" style="1" customWidth="1"/>
    <col min="8206" max="8206" width="9.5703125" style="1" bestFit="1" customWidth="1"/>
    <col min="8207" max="8207" width="9.42578125" style="1" customWidth="1"/>
    <col min="8208" max="8208" width="11.5703125" style="1" customWidth="1"/>
    <col min="8209" max="8209" width="10.42578125" style="1" bestFit="1" customWidth="1"/>
    <col min="8210" max="8210" width="11.28515625" style="1" customWidth="1"/>
    <col min="8211" max="8211" width="10.42578125" style="1" customWidth="1"/>
    <col min="8212" max="8212" width="10.5703125" style="1" customWidth="1"/>
    <col min="8213" max="8213" width="12" style="1" customWidth="1"/>
    <col min="8214" max="8214" width="9.42578125" style="1" customWidth="1"/>
    <col min="8215" max="8215" width="12.28515625" style="1" customWidth="1"/>
    <col min="8216" max="8216" width="9.42578125" style="1" customWidth="1"/>
    <col min="8217" max="8217" width="11.42578125" style="1" customWidth="1"/>
    <col min="8218" max="8218" width="9.42578125" style="1" customWidth="1"/>
    <col min="8219" max="8221" width="11.42578125" style="1" customWidth="1"/>
    <col min="8222" max="8222" width="1.140625" style="1" customWidth="1"/>
    <col min="8223" max="8223" width="8.28515625" style="1" customWidth="1"/>
    <col min="8224" max="8224" width="0.7109375" style="1" customWidth="1"/>
    <col min="8225" max="8225" width="6.5703125" style="1" customWidth="1"/>
    <col min="8226" max="8226" width="1.42578125" style="1" customWidth="1"/>
    <col min="8227" max="8227" width="5.85546875" style="1" customWidth="1"/>
    <col min="8228" max="8228" width="0.5703125" style="1" customWidth="1"/>
    <col min="8229" max="8229" width="15.85546875" style="1" customWidth="1"/>
    <col min="8230" max="8241" width="10" style="1" customWidth="1"/>
    <col min="8242" max="8242" width="9.42578125" style="1" customWidth="1"/>
    <col min="8243" max="8449" width="10" style="1"/>
    <col min="8450" max="8450" width="8" style="1" customWidth="1"/>
    <col min="8451" max="8451" width="10" style="1" customWidth="1"/>
    <col min="8452" max="8452" width="1.42578125" style="1" customWidth="1"/>
    <col min="8453" max="8453" width="8.85546875" style="1" customWidth="1"/>
    <col min="8454" max="8454" width="12.42578125" style="1" customWidth="1"/>
    <col min="8455" max="8455" width="10.28515625" style="1" bestFit="1" customWidth="1"/>
    <col min="8456" max="8456" width="12.140625" style="1" bestFit="1" customWidth="1"/>
    <col min="8457" max="8457" width="9.42578125" style="1" customWidth="1"/>
    <col min="8458" max="8458" width="14.85546875" style="1" customWidth="1"/>
    <col min="8459" max="8460" width="11.140625" style="1" customWidth="1"/>
    <col min="8461" max="8461" width="9.42578125" style="1" customWidth="1"/>
    <col min="8462" max="8462" width="9.5703125" style="1" bestFit="1" customWidth="1"/>
    <col min="8463" max="8463" width="9.42578125" style="1" customWidth="1"/>
    <col min="8464" max="8464" width="11.5703125" style="1" customWidth="1"/>
    <col min="8465" max="8465" width="10.42578125" style="1" bestFit="1" customWidth="1"/>
    <col min="8466" max="8466" width="11.28515625" style="1" customWidth="1"/>
    <col min="8467" max="8467" width="10.42578125" style="1" customWidth="1"/>
    <col min="8468" max="8468" width="10.5703125" style="1" customWidth="1"/>
    <col min="8469" max="8469" width="12" style="1" customWidth="1"/>
    <col min="8470" max="8470" width="9.42578125" style="1" customWidth="1"/>
    <col min="8471" max="8471" width="12.28515625" style="1" customWidth="1"/>
    <col min="8472" max="8472" width="9.42578125" style="1" customWidth="1"/>
    <col min="8473" max="8473" width="11.42578125" style="1" customWidth="1"/>
    <col min="8474" max="8474" width="9.42578125" style="1" customWidth="1"/>
    <col min="8475" max="8477" width="11.42578125" style="1" customWidth="1"/>
    <col min="8478" max="8478" width="1.140625" style="1" customWidth="1"/>
    <col min="8479" max="8479" width="8.28515625" style="1" customWidth="1"/>
    <col min="8480" max="8480" width="0.7109375" style="1" customWidth="1"/>
    <col min="8481" max="8481" width="6.5703125" style="1" customWidth="1"/>
    <col min="8482" max="8482" width="1.42578125" style="1" customWidth="1"/>
    <col min="8483" max="8483" width="5.85546875" style="1" customWidth="1"/>
    <col min="8484" max="8484" width="0.5703125" style="1" customWidth="1"/>
    <col min="8485" max="8485" width="15.85546875" style="1" customWidth="1"/>
    <col min="8486" max="8497" width="10" style="1" customWidth="1"/>
    <col min="8498" max="8498" width="9.42578125" style="1" customWidth="1"/>
    <col min="8499" max="8705" width="10" style="1"/>
    <col min="8706" max="8706" width="8" style="1" customWidth="1"/>
    <col min="8707" max="8707" width="10" style="1" customWidth="1"/>
    <col min="8708" max="8708" width="1.42578125" style="1" customWidth="1"/>
    <col min="8709" max="8709" width="8.85546875" style="1" customWidth="1"/>
    <col min="8710" max="8710" width="12.42578125" style="1" customWidth="1"/>
    <col min="8711" max="8711" width="10.28515625" style="1" bestFit="1" customWidth="1"/>
    <col min="8712" max="8712" width="12.140625" style="1" bestFit="1" customWidth="1"/>
    <col min="8713" max="8713" width="9.42578125" style="1" customWidth="1"/>
    <col min="8714" max="8714" width="14.85546875" style="1" customWidth="1"/>
    <col min="8715" max="8716" width="11.140625" style="1" customWidth="1"/>
    <col min="8717" max="8717" width="9.42578125" style="1" customWidth="1"/>
    <col min="8718" max="8718" width="9.5703125" style="1" bestFit="1" customWidth="1"/>
    <col min="8719" max="8719" width="9.42578125" style="1" customWidth="1"/>
    <col min="8720" max="8720" width="11.5703125" style="1" customWidth="1"/>
    <col min="8721" max="8721" width="10.42578125" style="1" bestFit="1" customWidth="1"/>
    <col min="8722" max="8722" width="11.28515625" style="1" customWidth="1"/>
    <col min="8723" max="8723" width="10.42578125" style="1" customWidth="1"/>
    <col min="8724" max="8724" width="10.5703125" style="1" customWidth="1"/>
    <col min="8725" max="8725" width="12" style="1" customWidth="1"/>
    <col min="8726" max="8726" width="9.42578125" style="1" customWidth="1"/>
    <col min="8727" max="8727" width="12.28515625" style="1" customWidth="1"/>
    <col min="8728" max="8728" width="9.42578125" style="1" customWidth="1"/>
    <col min="8729" max="8729" width="11.42578125" style="1" customWidth="1"/>
    <col min="8730" max="8730" width="9.42578125" style="1" customWidth="1"/>
    <col min="8731" max="8733" width="11.42578125" style="1" customWidth="1"/>
    <col min="8734" max="8734" width="1.140625" style="1" customWidth="1"/>
    <col min="8735" max="8735" width="8.28515625" style="1" customWidth="1"/>
    <col min="8736" max="8736" width="0.7109375" style="1" customWidth="1"/>
    <col min="8737" max="8737" width="6.5703125" style="1" customWidth="1"/>
    <col min="8738" max="8738" width="1.42578125" style="1" customWidth="1"/>
    <col min="8739" max="8739" width="5.85546875" style="1" customWidth="1"/>
    <col min="8740" max="8740" width="0.5703125" style="1" customWidth="1"/>
    <col min="8741" max="8741" width="15.85546875" style="1" customWidth="1"/>
    <col min="8742" max="8753" width="10" style="1" customWidth="1"/>
    <col min="8754" max="8754" width="9.42578125" style="1" customWidth="1"/>
    <col min="8755" max="8961" width="10" style="1"/>
    <col min="8962" max="8962" width="8" style="1" customWidth="1"/>
    <col min="8963" max="8963" width="10" style="1" customWidth="1"/>
    <col min="8964" max="8964" width="1.42578125" style="1" customWidth="1"/>
    <col min="8965" max="8965" width="8.85546875" style="1" customWidth="1"/>
    <col min="8966" max="8966" width="12.42578125" style="1" customWidth="1"/>
    <col min="8967" max="8967" width="10.28515625" style="1" bestFit="1" customWidth="1"/>
    <col min="8968" max="8968" width="12.140625" style="1" bestFit="1" customWidth="1"/>
    <col min="8969" max="8969" width="9.42578125" style="1" customWidth="1"/>
    <col min="8970" max="8970" width="14.85546875" style="1" customWidth="1"/>
    <col min="8971" max="8972" width="11.140625" style="1" customWidth="1"/>
    <col min="8973" max="8973" width="9.42578125" style="1" customWidth="1"/>
    <col min="8974" max="8974" width="9.5703125" style="1" bestFit="1" customWidth="1"/>
    <col min="8975" max="8975" width="9.42578125" style="1" customWidth="1"/>
    <col min="8976" max="8976" width="11.5703125" style="1" customWidth="1"/>
    <col min="8977" max="8977" width="10.42578125" style="1" bestFit="1" customWidth="1"/>
    <col min="8978" max="8978" width="11.28515625" style="1" customWidth="1"/>
    <col min="8979" max="8979" width="10.42578125" style="1" customWidth="1"/>
    <col min="8980" max="8980" width="10.5703125" style="1" customWidth="1"/>
    <col min="8981" max="8981" width="12" style="1" customWidth="1"/>
    <col min="8982" max="8982" width="9.42578125" style="1" customWidth="1"/>
    <col min="8983" max="8983" width="12.28515625" style="1" customWidth="1"/>
    <col min="8984" max="8984" width="9.42578125" style="1" customWidth="1"/>
    <col min="8985" max="8985" width="11.42578125" style="1" customWidth="1"/>
    <col min="8986" max="8986" width="9.42578125" style="1" customWidth="1"/>
    <col min="8987" max="8989" width="11.42578125" style="1" customWidth="1"/>
    <col min="8990" max="8990" width="1.140625" style="1" customWidth="1"/>
    <col min="8991" max="8991" width="8.28515625" style="1" customWidth="1"/>
    <col min="8992" max="8992" width="0.7109375" style="1" customWidth="1"/>
    <col min="8993" max="8993" width="6.5703125" style="1" customWidth="1"/>
    <col min="8994" max="8994" width="1.42578125" style="1" customWidth="1"/>
    <col min="8995" max="8995" width="5.85546875" style="1" customWidth="1"/>
    <col min="8996" max="8996" width="0.5703125" style="1" customWidth="1"/>
    <col min="8997" max="8997" width="15.85546875" style="1" customWidth="1"/>
    <col min="8998" max="9009" width="10" style="1" customWidth="1"/>
    <col min="9010" max="9010" width="9.42578125" style="1" customWidth="1"/>
    <col min="9011" max="9217" width="10" style="1"/>
    <col min="9218" max="9218" width="8" style="1" customWidth="1"/>
    <col min="9219" max="9219" width="10" style="1" customWidth="1"/>
    <col min="9220" max="9220" width="1.42578125" style="1" customWidth="1"/>
    <col min="9221" max="9221" width="8.85546875" style="1" customWidth="1"/>
    <col min="9222" max="9222" width="12.42578125" style="1" customWidth="1"/>
    <col min="9223" max="9223" width="10.28515625" style="1" bestFit="1" customWidth="1"/>
    <col min="9224" max="9224" width="12.140625" style="1" bestFit="1" customWidth="1"/>
    <col min="9225" max="9225" width="9.42578125" style="1" customWidth="1"/>
    <col min="9226" max="9226" width="14.85546875" style="1" customWidth="1"/>
    <col min="9227" max="9228" width="11.140625" style="1" customWidth="1"/>
    <col min="9229" max="9229" width="9.42578125" style="1" customWidth="1"/>
    <col min="9230" max="9230" width="9.5703125" style="1" bestFit="1" customWidth="1"/>
    <col min="9231" max="9231" width="9.42578125" style="1" customWidth="1"/>
    <col min="9232" max="9232" width="11.5703125" style="1" customWidth="1"/>
    <col min="9233" max="9233" width="10.42578125" style="1" bestFit="1" customWidth="1"/>
    <col min="9234" max="9234" width="11.28515625" style="1" customWidth="1"/>
    <col min="9235" max="9235" width="10.42578125" style="1" customWidth="1"/>
    <col min="9236" max="9236" width="10.5703125" style="1" customWidth="1"/>
    <col min="9237" max="9237" width="12" style="1" customWidth="1"/>
    <col min="9238" max="9238" width="9.42578125" style="1" customWidth="1"/>
    <col min="9239" max="9239" width="12.28515625" style="1" customWidth="1"/>
    <col min="9240" max="9240" width="9.42578125" style="1" customWidth="1"/>
    <col min="9241" max="9241" width="11.42578125" style="1" customWidth="1"/>
    <col min="9242" max="9242" width="9.42578125" style="1" customWidth="1"/>
    <col min="9243" max="9245" width="11.42578125" style="1" customWidth="1"/>
    <col min="9246" max="9246" width="1.140625" style="1" customWidth="1"/>
    <col min="9247" max="9247" width="8.28515625" style="1" customWidth="1"/>
    <col min="9248" max="9248" width="0.7109375" style="1" customWidth="1"/>
    <col min="9249" max="9249" width="6.5703125" style="1" customWidth="1"/>
    <col min="9250" max="9250" width="1.42578125" style="1" customWidth="1"/>
    <col min="9251" max="9251" width="5.85546875" style="1" customWidth="1"/>
    <col min="9252" max="9252" width="0.5703125" style="1" customWidth="1"/>
    <col min="9253" max="9253" width="15.85546875" style="1" customWidth="1"/>
    <col min="9254" max="9265" width="10" style="1" customWidth="1"/>
    <col min="9266" max="9266" width="9.42578125" style="1" customWidth="1"/>
    <col min="9267" max="9473" width="10" style="1"/>
    <col min="9474" max="9474" width="8" style="1" customWidth="1"/>
    <col min="9475" max="9475" width="10" style="1" customWidth="1"/>
    <col min="9476" max="9476" width="1.42578125" style="1" customWidth="1"/>
    <col min="9477" max="9477" width="8.85546875" style="1" customWidth="1"/>
    <col min="9478" max="9478" width="12.42578125" style="1" customWidth="1"/>
    <col min="9479" max="9479" width="10.28515625" style="1" bestFit="1" customWidth="1"/>
    <col min="9480" max="9480" width="12.140625" style="1" bestFit="1" customWidth="1"/>
    <col min="9481" max="9481" width="9.42578125" style="1" customWidth="1"/>
    <col min="9482" max="9482" width="14.85546875" style="1" customWidth="1"/>
    <col min="9483" max="9484" width="11.140625" style="1" customWidth="1"/>
    <col min="9485" max="9485" width="9.42578125" style="1" customWidth="1"/>
    <col min="9486" max="9486" width="9.5703125" style="1" bestFit="1" customWidth="1"/>
    <col min="9487" max="9487" width="9.42578125" style="1" customWidth="1"/>
    <col min="9488" max="9488" width="11.5703125" style="1" customWidth="1"/>
    <col min="9489" max="9489" width="10.42578125" style="1" bestFit="1" customWidth="1"/>
    <col min="9490" max="9490" width="11.28515625" style="1" customWidth="1"/>
    <col min="9491" max="9491" width="10.42578125" style="1" customWidth="1"/>
    <col min="9492" max="9492" width="10.5703125" style="1" customWidth="1"/>
    <col min="9493" max="9493" width="12" style="1" customWidth="1"/>
    <col min="9494" max="9494" width="9.42578125" style="1" customWidth="1"/>
    <col min="9495" max="9495" width="12.28515625" style="1" customWidth="1"/>
    <col min="9496" max="9496" width="9.42578125" style="1" customWidth="1"/>
    <col min="9497" max="9497" width="11.42578125" style="1" customWidth="1"/>
    <col min="9498" max="9498" width="9.42578125" style="1" customWidth="1"/>
    <col min="9499" max="9501" width="11.42578125" style="1" customWidth="1"/>
    <col min="9502" max="9502" width="1.140625" style="1" customWidth="1"/>
    <col min="9503" max="9503" width="8.28515625" style="1" customWidth="1"/>
    <col min="9504" max="9504" width="0.7109375" style="1" customWidth="1"/>
    <col min="9505" max="9505" width="6.5703125" style="1" customWidth="1"/>
    <col min="9506" max="9506" width="1.42578125" style="1" customWidth="1"/>
    <col min="9507" max="9507" width="5.85546875" style="1" customWidth="1"/>
    <col min="9508" max="9508" width="0.5703125" style="1" customWidth="1"/>
    <col min="9509" max="9509" width="15.85546875" style="1" customWidth="1"/>
    <col min="9510" max="9521" width="10" style="1" customWidth="1"/>
    <col min="9522" max="9522" width="9.42578125" style="1" customWidth="1"/>
    <col min="9523" max="9729" width="10" style="1"/>
    <col min="9730" max="9730" width="8" style="1" customWidth="1"/>
    <col min="9731" max="9731" width="10" style="1" customWidth="1"/>
    <col min="9732" max="9732" width="1.42578125" style="1" customWidth="1"/>
    <col min="9733" max="9733" width="8.85546875" style="1" customWidth="1"/>
    <col min="9734" max="9734" width="12.42578125" style="1" customWidth="1"/>
    <col min="9735" max="9735" width="10.28515625" style="1" bestFit="1" customWidth="1"/>
    <col min="9736" max="9736" width="12.140625" style="1" bestFit="1" customWidth="1"/>
    <col min="9737" max="9737" width="9.42578125" style="1" customWidth="1"/>
    <col min="9738" max="9738" width="14.85546875" style="1" customWidth="1"/>
    <col min="9739" max="9740" width="11.140625" style="1" customWidth="1"/>
    <col min="9741" max="9741" width="9.42578125" style="1" customWidth="1"/>
    <col min="9742" max="9742" width="9.5703125" style="1" bestFit="1" customWidth="1"/>
    <col min="9743" max="9743" width="9.42578125" style="1" customWidth="1"/>
    <col min="9744" max="9744" width="11.5703125" style="1" customWidth="1"/>
    <col min="9745" max="9745" width="10.42578125" style="1" bestFit="1" customWidth="1"/>
    <col min="9746" max="9746" width="11.28515625" style="1" customWidth="1"/>
    <col min="9747" max="9747" width="10.42578125" style="1" customWidth="1"/>
    <col min="9748" max="9748" width="10.5703125" style="1" customWidth="1"/>
    <col min="9749" max="9749" width="12" style="1" customWidth="1"/>
    <col min="9750" max="9750" width="9.42578125" style="1" customWidth="1"/>
    <col min="9751" max="9751" width="12.28515625" style="1" customWidth="1"/>
    <col min="9752" max="9752" width="9.42578125" style="1" customWidth="1"/>
    <col min="9753" max="9753" width="11.42578125" style="1" customWidth="1"/>
    <col min="9754" max="9754" width="9.42578125" style="1" customWidth="1"/>
    <col min="9755" max="9757" width="11.42578125" style="1" customWidth="1"/>
    <col min="9758" max="9758" width="1.140625" style="1" customWidth="1"/>
    <col min="9759" max="9759" width="8.28515625" style="1" customWidth="1"/>
    <col min="9760" max="9760" width="0.7109375" style="1" customWidth="1"/>
    <col min="9761" max="9761" width="6.5703125" style="1" customWidth="1"/>
    <col min="9762" max="9762" width="1.42578125" style="1" customWidth="1"/>
    <col min="9763" max="9763" width="5.85546875" style="1" customWidth="1"/>
    <col min="9764" max="9764" width="0.5703125" style="1" customWidth="1"/>
    <col min="9765" max="9765" width="15.85546875" style="1" customWidth="1"/>
    <col min="9766" max="9777" width="10" style="1" customWidth="1"/>
    <col min="9778" max="9778" width="9.42578125" style="1" customWidth="1"/>
    <col min="9779" max="9985" width="10" style="1"/>
    <col min="9986" max="9986" width="8" style="1" customWidth="1"/>
    <col min="9987" max="9987" width="10" style="1" customWidth="1"/>
    <col min="9988" max="9988" width="1.42578125" style="1" customWidth="1"/>
    <col min="9989" max="9989" width="8.85546875" style="1" customWidth="1"/>
    <col min="9990" max="9990" width="12.42578125" style="1" customWidth="1"/>
    <col min="9991" max="9991" width="10.28515625" style="1" bestFit="1" customWidth="1"/>
    <col min="9992" max="9992" width="12.140625" style="1" bestFit="1" customWidth="1"/>
    <col min="9993" max="9993" width="9.42578125" style="1" customWidth="1"/>
    <col min="9994" max="9994" width="14.85546875" style="1" customWidth="1"/>
    <col min="9995" max="9996" width="11.140625" style="1" customWidth="1"/>
    <col min="9997" max="9997" width="9.42578125" style="1" customWidth="1"/>
    <col min="9998" max="9998" width="9.5703125" style="1" bestFit="1" customWidth="1"/>
    <col min="9999" max="9999" width="9.42578125" style="1" customWidth="1"/>
    <col min="10000" max="10000" width="11.5703125" style="1" customWidth="1"/>
    <col min="10001" max="10001" width="10.42578125" style="1" bestFit="1" customWidth="1"/>
    <col min="10002" max="10002" width="11.28515625" style="1" customWidth="1"/>
    <col min="10003" max="10003" width="10.42578125" style="1" customWidth="1"/>
    <col min="10004" max="10004" width="10.5703125" style="1" customWidth="1"/>
    <col min="10005" max="10005" width="12" style="1" customWidth="1"/>
    <col min="10006" max="10006" width="9.42578125" style="1" customWidth="1"/>
    <col min="10007" max="10007" width="12.28515625" style="1" customWidth="1"/>
    <col min="10008" max="10008" width="9.42578125" style="1" customWidth="1"/>
    <col min="10009" max="10009" width="11.42578125" style="1" customWidth="1"/>
    <col min="10010" max="10010" width="9.42578125" style="1" customWidth="1"/>
    <col min="10011" max="10013" width="11.42578125" style="1" customWidth="1"/>
    <col min="10014" max="10014" width="1.140625" style="1" customWidth="1"/>
    <col min="10015" max="10015" width="8.28515625" style="1" customWidth="1"/>
    <col min="10016" max="10016" width="0.7109375" style="1" customWidth="1"/>
    <col min="10017" max="10017" width="6.5703125" style="1" customWidth="1"/>
    <col min="10018" max="10018" width="1.42578125" style="1" customWidth="1"/>
    <col min="10019" max="10019" width="5.85546875" style="1" customWidth="1"/>
    <col min="10020" max="10020" width="0.5703125" style="1" customWidth="1"/>
    <col min="10021" max="10021" width="15.85546875" style="1" customWidth="1"/>
    <col min="10022" max="10033" width="10" style="1" customWidth="1"/>
    <col min="10034" max="10034" width="9.42578125" style="1" customWidth="1"/>
    <col min="10035" max="10241" width="10" style="1"/>
    <col min="10242" max="10242" width="8" style="1" customWidth="1"/>
    <col min="10243" max="10243" width="10" style="1" customWidth="1"/>
    <col min="10244" max="10244" width="1.42578125" style="1" customWidth="1"/>
    <col min="10245" max="10245" width="8.85546875" style="1" customWidth="1"/>
    <col min="10246" max="10246" width="12.42578125" style="1" customWidth="1"/>
    <col min="10247" max="10247" width="10.28515625" style="1" bestFit="1" customWidth="1"/>
    <col min="10248" max="10248" width="12.140625" style="1" bestFit="1" customWidth="1"/>
    <col min="10249" max="10249" width="9.42578125" style="1" customWidth="1"/>
    <col min="10250" max="10250" width="14.85546875" style="1" customWidth="1"/>
    <col min="10251" max="10252" width="11.140625" style="1" customWidth="1"/>
    <col min="10253" max="10253" width="9.42578125" style="1" customWidth="1"/>
    <col min="10254" max="10254" width="9.5703125" style="1" bestFit="1" customWidth="1"/>
    <col min="10255" max="10255" width="9.42578125" style="1" customWidth="1"/>
    <col min="10256" max="10256" width="11.5703125" style="1" customWidth="1"/>
    <col min="10257" max="10257" width="10.42578125" style="1" bestFit="1" customWidth="1"/>
    <col min="10258" max="10258" width="11.28515625" style="1" customWidth="1"/>
    <col min="10259" max="10259" width="10.42578125" style="1" customWidth="1"/>
    <col min="10260" max="10260" width="10.5703125" style="1" customWidth="1"/>
    <col min="10261" max="10261" width="12" style="1" customWidth="1"/>
    <col min="10262" max="10262" width="9.42578125" style="1" customWidth="1"/>
    <col min="10263" max="10263" width="12.28515625" style="1" customWidth="1"/>
    <col min="10264" max="10264" width="9.42578125" style="1" customWidth="1"/>
    <col min="10265" max="10265" width="11.42578125" style="1" customWidth="1"/>
    <col min="10266" max="10266" width="9.42578125" style="1" customWidth="1"/>
    <col min="10267" max="10269" width="11.42578125" style="1" customWidth="1"/>
    <col min="10270" max="10270" width="1.140625" style="1" customWidth="1"/>
    <col min="10271" max="10271" width="8.28515625" style="1" customWidth="1"/>
    <col min="10272" max="10272" width="0.7109375" style="1" customWidth="1"/>
    <col min="10273" max="10273" width="6.5703125" style="1" customWidth="1"/>
    <col min="10274" max="10274" width="1.42578125" style="1" customWidth="1"/>
    <col min="10275" max="10275" width="5.85546875" style="1" customWidth="1"/>
    <col min="10276" max="10276" width="0.5703125" style="1" customWidth="1"/>
    <col min="10277" max="10277" width="15.85546875" style="1" customWidth="1"/>
    <col min="10278" max="10289" width="10" style="1" customWidth="1"/>
    <col min="10290" max="10290" width="9.42578125" style="1" customWidth="1"/>
    <col min="10291" max="10497" width="10" style="1"/>
    <col min="10498" max="10498" width="8" style="1" customWidth="1"/>
    <col min="10499" max="10499" width="10" style="1" customWidth="1"/>
    <col min="10500" max="10500" width="1.42578125" style="1" customWidth="1"/>
    <col min="10501" max="10501" width="8.85546875" style="1" customWidth="1"/>
    <col min="10502" max="10502" width="12.42578125" style="1" customWidth="1"/>
    <col min="10503" max="10503" width="10.28515625" style="1" bestFit="1" customWidth="1"/>
    <col min="10504" max="10504" width="12.140625" style="1" bestFit="1" customWidth="1"/>
    <col min="10505" max="10505" width="9.42578125" style="1" customWidth="1"/>
    <col min="10506" max="10506" width="14.85546875" style="1" customWidth="1"/>
    <col min="10507" max="10508" width="11.140625" style="1" customWidth="1"/>
    <col min="10509" max="10509" width="9.42578125" style="1" customWidth="1"/>
    <col min="10510" max="10510" width="9.5703125" style="1" bestFit="1" customWidth="1"/>
    <col min="10511" max="10511" width="9.42578125" style="1" customWidth="1"/>
    <col min="10512" max="10512" width="11.5703125" style="1" customWidth="1"/>
    <col min="10513" max="10513" width="10.42578125" style="1" bestFit="1" customWidth="1"/>
    <col min="10514" max="10514" width="11.28515625" style="1" customWidth="1"/>
    <col min="10515" max="10515" width="10.42578125" style="1" customWidth="1"/>
    <col min="10516" max="10516" width="10.5703125" style="1" customWidth="1"/>
    <col min="10517" max="10517" width="12" style="1" customWidth="1"/>
    <col min="10518" max="10518" width="9.42578125" style="1" customWidth="1"/>
    <col min="10519" max="10519" width="12.28515625" style="1" customWidth="1"/>
    <col min="10520" max="10520" width="9.42578125" style="1" customWidth="1"/>
    <col min="10521" max="10521" width="11.42578125" style="1" customWidth="1"/>
    <col min="10522" max="10522" width="9.42578125" style="1" customWidth="1"/>
    <col min="10523" max="10525" width="11.42578125" style="1" customWidth="1"/>
    <col min="10526" max="10526" width="1.140625" style="1" customWidth="1"/>
    <col min="10527" max="10527" width="8.28515625" style="1" customWidth="1"/>
    <col min="10528" max="10528" width="0.7109375" style="1" customWidth="1"/>
    <col min="10529" max="10529" width="6.5703125" style="1" customWidth="1"/>
    <col min="10530" max="10530" width="1.42578125" style="1" customWidth="1"/>
    <col min="10531" max="10531" width="5.85546875" style="1" customWidth="1"/>
    <col min="10532" max="10532" width="0.5703125" style="1" customWidth="1"/>
    <col min="10533" max="10533" width="15.85546875" style="1" customWidth="1"/>
    <col min="10534" max="10545" width="10" style="1" customWidth="1"/>
    <col min="10546" max="10546" width="9.42578125" style="1" customWidth="1"/>
    <col min="10547" max="10753" width="10" style="1"/>
    <col min="10754" max="10754" width="8" style="1" customWidth="1"/>
    <col min="10755" max="10755" width="10" style="1" customWidth="1"/>
    <col min="10756" max="10756" width="1.42578125" style="1" customWidth="1"/>
    <col min="10757" max="10757" width="8.85546875" style="1" customWidth="1"/>
    <col min="10758" max="10758" width="12.42578125" style="1" customWidth="1"/>
    <col min="10759" max="10759" width="10.28515625" style="1" bestFit="1" customWidth="1"/>
    <col min="10760" max="10760" width="12.140625" style="1" bestFit="1" customWidth="1"/>
    <col min="10761" max="10761" width="9.42578125" style="1" customWidth="1"/>
    <col min="10762" max="10762" width="14.85546875" style="1" customWidth="1"/>
    <col min="10763" max="10764" width="11.140625" style="1" customWidth="1"/>
    <col min="10765" max="10765" width="9.42578125" style="1" customWidth="1"/>
    <col min="10766" max="10766" width="9.5703125" style="1" bestFit="1" customWidth="1"/>
    <col min="10767" max="10767" width="9.42578125" style="1" customWidth="1"/>
    <col min="10768" max="10768" width="11.5703125" style="1" customWidth="1"/>
    <col min="10769" max="10769" width="10.42578125" style="1" bestFit="1" customWidth="1"/>
    <col min="10770" max="10770" width="11.28515625" style="1" customWidth="1"/>
    <col min="10771" max="10771" width="10.42578125" style="1" customWidth="1"/>
    <col min="10772" max="10772" width="10.5703125" style="1" customWidth="1"/>
    <col min="10773" max="10773" width="12" style="1" customWidth="1"/>
    <col min="10774" max="10774" width="9.42578125" style="1" customWidth="1"/>
    <col min="10775" max="10775" width="12.28515625" style="1" customWidth="1"/>
    <col min="10776" max="10776" width="9.42578125" style="1" customWidth="1"/>
    <col min="10777" max="10777" width="11.42578125" style="1" customWidth="1"/>
    <col min="10778" max="10778" width="9.42578125" style="1" customWidth="1"/>
    <col min="10779" max="10781" width="11.42578125" style="1" customWidth="1"/>
    <col min="10782" max="10782" width="1.140625" style="1" customWidth="1"/>
    <col min="10783" max="10783" width="8.28515625" style="1" customWidth="1"/>
    <col min="10784" max="10784" width="0.7109375" style="1" customWidth="1"/>
    <col min="10785" max="10785" width="6.5703125" style="1" customWidth="1"/>
    <col min="10786" max="10786" width="1.42578125" style="1" customWidth="1"/>
    <col min="10787" max="10787" width="5.85546875" style="1" customWidth="1"/>
    <col min="10788" max="10788" width="0.5703125" style="1" customWidth="1"/>
    <col min="10789" max="10789" width="15.85546875" style="1" customWidth="1"/>
    <col min="10790" max="10801" width="10" style="1" customWidth="1"/>
    <col min="10802" max="10802" width="9.42578125" style="1" customWidth="1"/>
    <col min="10803" max="11009" width="10" style="1"/>
    <col min="11010" max="11010" width="8" style="1" customWidth="1"/>
    <col min="11011" max="11011" width="10" style="1" customWidth="1"/>
    <col min="11012" max="11012" width="1.42578125" style="1" customWidth="1"/>
    <col min="11013" max="11013" width="8.85546875" style="1" customWidth="1"/>
    <col min="11014" max="11014" width="12.42578125" style="1" customWidth="1"/>
    <col min="11015" max="11015" width="10.28515625" style="1" bestFit="1" customWidth="1"/>
    <col min="11016" max="11016" width="12.140625" style="1" bestFit="1" customWidth="1"/>
    <col min="11017" max="11017" width="9.42578125" style="1" customWidth="1"/>
    <col min="11018" max="11018" width="14.85546875" style="1" customWidth="1"/>
    <col min="11019" max="11020" width="11.140625" style="1" customWidth="1"/>
    <col min="11021" max="11021" width="9.42578125" style="1" customWidth="1"/>
    <col min="11022" max="11022" width="9.5703125" style="1" bestFit="1" customWidth="1"/>
    <col min="11023" max="11023" width="9.42578125" style="1" customWidth="1"/>
    <col min="11024" max="11024" width="11.5703125" style="1" customWidth="1"/>
    <col min="11025" max="11025" width="10.42578125" style="1" bestFit="1" customWidth="1"/>
    <col min="11026" max="11026" width="11.28515625" style="1" customWidth="1"/>
    <col min="11027" max="11027" width="10.42578125" style="1" customWidth="1"/>
    <col min="11028" max="11028" width="10.5703125" style="1" customWidth="1"/>
    <col min="11029" max="11029" width="12" style="1" customWidth="1"/>
    <col min="11030" max="11030" width="9.42578125" style="1" customWidth="1"/>
    <col min="11031" max="11031" width="12.28515625" style="1" customWidth="1"/>
    <col min="11032" max="11032" width="9.42578125" style="1" customWidth="1"/>
    <col min="11033" max="11033" width="11.42578125" style="1" customWidth="1"/>
    <col min="11034" max="11034" width="9.42578125" style="1" customWidth="1"/>
    <col min="11035" max="11037" width="11.42578125" style="1" customWidth="1"/>
    <col min="11038" max="11038" width="1.140625" style="1" customWidth="1"/>
    <col min="11039" max="11039" width="8.28515625" style="1" customWidth="1"/>
    <col min="11040" max="11040" width="0.7109375" style="1" customWidth="1"/>
    <col min="11041" max="11041" width="6.5703125" style="1" customWidth="1"/>
    <col min="11042" max="11042" width="1.42578125" style="1" customWidth="1"/>
    <col min="11043" max="11043" width="5.85546875" style="1" customWidth="1"/>
    <col min="11044" max="11044" width="0.5703125" style="1" customWidth="1"/>
    <col min="11045" max="11045" width="15.85546875" style="1" customWidth="1"/>
    <col min="11046" max="11057" width="10" style="1" customWidth="1"/>
    <col min="11058" max="11058" width="9.42578125" style="1" customWidth="1"/>
    <col min="11059" max="11265" width="10" style="1"/>
    <col min="11266" max="11266" width="8" style="1" customWidth="1"/>
    <col min="11267" max="11267" width="10" style="1" customWidth="1"/>
    <col min="11268" max="11268" width="1.42578125" style="1" customWidth="1"/>
    <col min="11269" max="11269" width="8.85546875" style="1" customWidth="1"/>
    <col min="11270" max="11270" width="12.42578125" style="1" customWidth="1"/>
    <col min="11271" max="11271" width="10.28515625" style="1" bestFit="1" customWidth="1"/>
    <col min="11272" max="11272" width="12.140625" style="1" bestFit="1" customWidth="1"/>
    <col min="11273" max="11273" width="9.42578125" style="1" customWidth="1"/>
    <col min="11274" max="11274" width="14.85546875" style="1" customWidth="1"/>
    <col min="11275" max="11276" width="11.140625" style="1" customWidth="1"/>
    <col min="11277" max="11277" width="9.42578125" style="1" customWidth="1"/>
    <col min="11278" max="11278" width="9.5703125" style="1" bestFit="1" customWidth="1"/>
    <col min="11279" max="11279" width="9.42578125" style="1" customWidth="1"/>
    <col min="11280" max="11280" width="11.5703125" style="1" customWidth="1"/>
    <col min="11281" max="11281" width="10.42578125" style="1" bestFit="1" customWidth="1"/>
    <col min="11282" max="11282" width="11.28515625" style="1" customWidth="1"/>
    <col min="11283" max="11283" width="10.42578125" style="1" customWidth="1"/>
    <col min="11284" max="11284" width="10.5703125" style="1" customWidth="1"/>
    <col min="11285" max="11285" width="12" style="1" customWidth="1"/>
    <col min="11286" max="11286" width="9.42578125" style="1" customWidth="1"/>
    <col min="11287" max="11287" width="12.28515625" style="1" customWidth="1"/>
    <col min="11288" max="11288" width="9.42578125" style="1" customWidth="1"/>
    <col min="11289" max="11289" width="11.42578125" style="1" customWidth="1"/>
    <col min="11290" max="11290" width="9.42578125" style="1" customWidth="1"/>
    <col min="11291" max="11293" width="11.42578125" style="1" customWidth="1"/>
    <col min="11294" max="11294" width="1.140625" style="1" customWidth="1"/>
    <col min="11295" max="11295" width="8.28515625" style="1" customWidth="1"/>
    <col min="11296" max="11296" width="0.7109375" style="1" customWidth="1"/>
    <col min="11297" max="11297" width="6.5703125" style="1" customWidth="1"/>
    <col min="11298" max="11298" width="1.42578125" style="1" customWidth="1"/>
    <col min="11299" max="11299" width="5.85546875" style="1" customWidth="1"/>
    <col min="11300" max="11300" width="0.5703125" style="1" customWidth="1"/>
    <col min="11301" max="11301" width="15.85546875" style="1" customWidth="1"/>
    <col min="11302" max="11313" width="10" style="1" customWidth="1"/>
    <col min="11314" max="11314" width="9.42578125" style="1" customWidth="1"/>
    <col min="11315" max="11521" width="10" style="1"/>
    <col min="11522" max="11522" width="8" style="1" customWidth="1"/>
    <col min="11523" max="11523" width="10" style="1" customWidth="1"/>
    <col min="11524" max="11524" width="1.42578125" style="1" customWidth="1"/>
    <col min="11525" max="11525" width="8.85546875" style="1" customWidth="1"/>
    <col min="11526" max="11526" width="12.42578125" style="1" customWidth="1"/>
    <col min="11527" max="11527" width="10.28515625" style="1" bestFit="1" customWidth="1"/>
    <col min="11528" max="11528" width="12.140625" style="1" bestFit="1" customWidth="1"/>
    <col min="11529" max="11529" width="9.42578125" style="1" customWidth="1"/>
    <col min="11530" max="11530" width="14.85546875" style="1" customWidth="1"/>
    <col min="11531" max="11532" width="11.140625" style="1" customWidth="1"/>
    <col min="11533" max="11533" width="9.42578125" style="1" customWidth="1"/>
    <col min="11534" max="11534" width="9.5703125" style="1" bestFit="1" customWidth="1"/>
    <col min="11535" max="11535" width="9.42578125" style="1" customWidth="1"/>
    <col min="11536" max="11536" width="11.5703125" style="1" customWidth="1"/>
    <col min="11537" max="11537" width="10.42578125" style="1" bestFit="1" customWidth="1"/>
    <col min="11538" max="11538" width="11.28515625" style="1" customWidth="1"/>
    <col min="11539" max="11539" width="10.42578125" style="1" customWidth="1"/>
    <col min="11540" max="11540" width="10.5703125" style="1" customWidth="1"/>
    <col min="11541" max="11541" width="12" style="1" customWidth="1"/>
    <col min="11542" max="11542" width="9.42578125" style="1" customWidth="1"/>
    <col min="11543" max="11543" width="12.28515625" style="1" customWidth="1"/>
    <col min="11544" max="11544" width="9.42578125" style="1" customWidth="1"/>
    <col min="11545" max="11545" width="11.42578125" style="1" customWidth="1"/>
    <col min="11546" max="11546" width="9.42578125" style="1" customWidth="1"/>
    <col min="11547" max="11549" width="11.42578125" style="1" customWidth="1"/>
    <col min="11550" max="11550" width="1.140625" style="1" customWidth="1"/>
    <col min="11551" max="11551" width="8.28515625" style="1" customWidth="1"/>
    <col min="11552" max="11552" width="0.7109375" style="1" customWidth="1"/>
    <col min="11553" max="11553" width="6.5703125" style="1" customWidth="1"/>
    <col min="11554" max="11554" width="1.42578125" style="1" customWidth="1"/>
    <col min="11555" max="11555" width="5.85546875" style="1" customWidth="1"/>
    <col min="11556" max="11556" width="0.5703125" style="1" customWidth="1"/>
    <col min="11557" max="11557" width="15.85546875" style="1" customWidth="1"/>
    <col min="11558" max="11569" width="10" style="1" customWidth="1"/>
    <col min="11570" max="11570" width="9.42578125" style="1" customWidth="1"/>
    <col min="11571" max="11777" width="10" style="1"/>
    <col min="11778" max="11778" width="8" style="1" customWidth="1"/>
    <col min="11779" max="11779" width="10" style="1" customWidth="1"/>
    <col min="11780" max="11780" width="1.42578125" style="1" customWidth="1"/>
    <col min="11781" max="11781" width="8.85546875" style="1" customWidth="1"/>
    <col min="11782" max="11782" width="12.42578125" style="1" customWidth="1"/>
    <col min="11783" max="11783" width="10.28515625" style="1" bestFit="1" customWidth="1"/>
    <col min="11784" max="11784" width="12.140625" style="1" bestFit="1" customWidth="1"/>
    <col min="11785" max="11785" width="9.42578125" style="1" customWidth="1"/>
    <col min="11786" max="11786" width="14.85546875" style="1" customWidth="1"/>
    <col min="11787" max="11788" width="11.140625" style="1" customWidth="1"/>
    <col min="11789" max="11789" width="9.42578125" style="1" customWidth="1"/>
    <col min="11790" max="11790" width="9.5703125" style="1" bestFit="1" customWidth="1"/>
    <col min="11791" max="11791" width="9.42578125" style="1" customWidth="1"/>
    <col min="11792" max="11792" width="11.5703125" style="1" customWidth="1"/>
    <col min="11793" max="11793" width="10.42578125" style="1" bestFit="1" customWidth="1"/>
    <col min="11794" max="11794" width="11.28515625" style="1" customWidth="1"/>
    <col min="11795" max="11795" width="10.42578125" style="1" customWidth="1"/>
    <col min="11796" max="11796" width="10.5703125" style="1" customWidth="1"/>
    <col min="11797" max="11797" width="12" style="1" customWidth="1"/>
    <col min="11798" max="11798" width="9.42578125" style="1" customWidth="1"/>
    <col min="11799" max="11799" width="12.28515625" style="1" customWidth="1"/>
    <col min="11800" max="11800" width="9.42578125" style="1" customWidth="1"/>
    <col min="11801" max="11801" width="11.42578125" style="1" customWidth="1"/>
    <col min="11802" max="11802" width="9.42578125" style="1" customWidth="1"/>
    <col min="11803" max="11805" width="11.42578125" style="1" customWidth="1"/>
    <col min="11806" max="11806" width="1.140625" style="1" customWidth="1"/>
    <col min="11807" max="11807" width="8.28515625" style="1" customWidth="1"/>
    <col min="11808" max="11808" width="0.7109375" style="1" customWidth="1"/>
    <col min="11809" max="11809" width="6.5703125" style="1" customWidth="1"/>
    <col min="11810" max="11810" width="1.42578125" style="1" customWidth="1"/>
    <col min="11811" max="11811" width="5.85546875" style="1" customWidth="1"/>
    <col min="11812" max="11812" width="0.5703125" style="1" customWidth="1"/>
    <col min="11813" max="11813" width="15.85546875" style="1" customWidth="1"/>
    <col min="11814" max="11825" width="10" style="1" customWidth="1"/>
    <col min="11826" max="11826" width="9.42578125" style="1" customWidth="1"/>
    <col min="11827" max="12033" width="10" style="1"/>
    <col min="12034" max="12034" width="8" style="1" customWidth="1"/>
    <col min="12035" max="12035" width="10" style="1" customWidth="1"/>
    <col min="12036" max="12036" width="1.42578125" style="1" customWidth="1"/>
    <col min="12037" max="12037" width="8.85546875" style="1" customWidth="1"/>
    <col min="12038" max="12038" width="12.42578125" style="1" customWidth="1"/>
    <col min="12039" max="12039" width="10.28515625" style="1" bestFit="1" customWidth="1"/>
    <col min="12040" max="12040" width="12.140625" style="1" bestFit="1" customWidth="1"/>
    <col min="12041" max="12041" width="9.42578125" style="1" customWidth="1"/>
    <col min="12042" max="12042" width="14.85546875" style="1" customWidth="1"/>
    <col min="12043" max="12044" width="11.140625" style="1" customWidth="1"/>
    <col min="12045" max="12045" width="9.42578125" style="1" customWidth="1"/>
    <col min="12046" max="12046" width="9.5703125" style="1" bestFit="1" customWidth="1"/>
    <col min="12047" max="12047" width="9.42578125" style="1" customWidth="1"/>
    <col min="12048" max="12048" width="11.5703125" style="1" customWidth="1"/>
    <col min="12049" max="12049" width="10.42578125" style="1" bestFit="1" customWidth="1"/>
    <col min="12050" max="12050" width="11.28515625" style="1" customWidth="1"/>
    <col min="12051" max="12051" width="10.42578125" style="1" customWidth="1"/>
    <col min="12052" max="12052" width="10.5703125" style="1" customWidth="1"/>
    <col min="12053" max="12053" width="12" style="1" customWidth="1"/>
    <col min="12054" max="12054" width="9.42578125" style="1" customWidth="1"/>
    <col min="12055" max="12055" width="12.28515625" style="1" customWidth="1"/>
    <col min="12056" max="12056" width="9.42578125" style="1" customWidth="1"/>
    <col min="12057" max="12057" width="11.42578125" style="1" customWidth="1"/>
    <col min="12058" max="12058" width="9.42578125" style="1" customWidth="1"/>
    <col min="12059" max="12061" width="11.42578125" style="1" customWidth="1"/>
    <col min="12062" max="12062" width="1.140625" style="1" customWidth="1"/>
    <col min="12063" max="12063" width="8.28515625" style="1" customWidth="1"/>
    <col min="12064" max="12064" width="0.7109375" style="1" customWidth="1"/>
    <col min="12065" max="12065" width="6.5703125" style="1" customWidth="1"/>
    <col min="12066" max="12066" width="1.42578125" style="1" customWidth="1"/>
    <col min="12067" max="12067" width="5.85546875" style="1" customWidth="1"/>
    <col min="12068" max="12068" width="0.5703125" style="1" customWidth="1"/>
    <col min="12069" max="12069" width="15.85546875" style="1" customWidth="1"/>
    <col min="12070" max="12081" width="10" style="1" customWidth="1"/>
    <col min="12082" max="12082" width="9.42578125" style="1" customWidth="1"/>
    <col min="12083" max="12289" width="10" style="1"/>
    <col min="12290" max="12290" width="8" style="1" customWidth="1"/>
    <col min="12291" max="12291" width="10" style="1" customWidth="1"/>
    <col min="12292" max="12292" width="1.42578125" style="1" customWidth="1"/>
    <col min="12293" max="12293" width="8.85546875" style="1" customWidth="1"/>
    <col min="12294" max="12294" width="12.42578125" style="1" customWidth="1"/>
    <col min="12295" max="12295" width="10.28515625" style="1" bestFit="1" customWidth="1"/>
    <col min="12296" max="12296" width="12.140625" style="1" bestFit="1" customWidth="1"/>
    <col min="12297" max="12297" width="9.42578125" style="1" customWidth="1"/>
    <col min="12298" max="12298" width="14.85546875" style="1" customWidth="1"/>
    <col min="12299" max="12300" width="11.140625" style="1" customWidth="1"/>
    <col min="12301" max="12301" width="9.42578125" style="1" customWidth="1"/>
    <col min="12302" max="12302" width="9.5703125" style="1" bestFit="1" customWidth="1"/>
    <col min="12303" max="12303" width="9.42578125" style="1" customWidth="1"/>
    <col min="12304" max="12304" width="11.5703125" style="1" customWidth="1"/>
    <col min="12305" max="12305" width="10.42578125" style="1" bestFit="1" customWidth="1"/>
    <col min="12306" max="12306" width="11.28515625" style="1" customWidth="1"/>
    <col min="12307" max="12307" width="10.42578125" style="1" customWidth="1"/>
    <col min="12308" max="12308" width="10.5703125" style="1" customWidth="1"/>
    <col min="12309" max="12309" width="12" style="1" customWidth="1"/>
    <col min="12310" max="12310" width="9.42578125" style="1" customWidth="1"/>
    <col min="12311" max="12311" width="12.28515625" style="1" customWidth="1"/>
    <col min="12312" max="12312" width="9.42578125" style="1" customWidth="1"/>
    <col min="12313" max="12313" width="11.42578125" style="1" customWidth="1"/>
    <col min="12314" max="12314" width="9.42578125" style="1" customWidth="1"/>
    <col min="12315" max="12317" width="11.42578125" style="1" customWidth="1"/>
    <col min="12318" max="12318" width="1.140625" style="1" customWidth="1"/>
    <col min="12319" max="12319" width="8.28515625" style="1" customWidth="1"/>
    <col min="12320" max="12320" width="0.7109375" style="1" customWidth="1"/>
    <col min="12321" max="12321" width="6.5703125" style="1" customWidth="1"/>
    <col min="12322" max="12322" width="1.42578125" style="1" customWidth="1"/>
    <col min="12323" max="12323" width="5.85546875" style="1" customWidth="1"/>
    <col min="12324" max="12324" width="0.5703125" style="1" customWidth="1"/>
    <col min="12325" max="12325" width="15.85546875" style="1" customWidth="1"/>
    <col min="12326" max="12337" width="10" style="1" customWidth="1"/>
    <col min="12338" max="12338" width="9.42578125" style="1" customWidth="1"/>
    <col min="12339" max="12545" width="10" style="1"/>
    <col min="12546" max="12546" width="8" style="1" customWidth="1"/>
    <col min="12547" max="12547" width="10" style="1" customWidth="1"/>
    <col min="12548" max="12548" width="1.42578125" style="1" customWidth="1"/>
    <col min="12549" max="12549" width="8.85546875" style="1" customWidth="1"/>
    <col min="12550" max="12550" width="12.42578125" style="1" customWidth="1"/>
    <col min="12551" max="12551" width="10.28515625" style="1" bestFit="1" customWidth="1"/>
    <col min="12552" max="12552" width="12.140625" style="1" bestFit="1" customWidth="1"/>
    <col min="12553" max="12553" width="9.42578125" style="1" customWidth="1"/>
    <col min="12554" max="12554" width="14.85546875" style="1" customWidth="1"/>
    <col min="12555" max="12556" width="11.140625" style="1" customWidth="1"/>
    <col min="12557" max="12557" width="9.42578125" style="1" customWidth="1"/>
    <col min="12558" max="12558" width="9.5703125" style="1" bestFit="1" customWidth="1"/>
    <col min="12559" max="12559" width="9.42578125" style="1" customWidth="1"/>
    <col min="12560" max="12560" width="11.5703125" style="1" customWidth="1"/>
    <col min="12561" max="12561" width="10.42578125" style="1" bestFit="1" customWidth="1"/>
    <col min="12562" max="12562" width="11.28515625" style="1" customWidth="1"/>
    <col min="12563" max="12563" width="10.42578125" style="1" customWidth="1"/>
    <col min="12564" max="12564" width="10.5703125" style="1" customWidth="1"/>
    <col min="12565" max="12565" width="12" style="1" customWidth="1"/>
    <col min="12566" max="12566" width="9.42578125" style="1" customWidth="1"/>
    <col min="12567" max="12567" width="12.28515625" style="1" customWidth="1"/>
    <col min="12568" max="12568" width="9.42578125" style="1" customWidth="1"/>
    <col min="12569" max="12569" width="11.42578125" style="1" customWidth="1"/>
    <col min="12570" max="12570" width="9.42578125" style="1" customWidth="1"/>
    <col min="12571" max="12573" width="11.42578125" style="1" customWidth="1"/>
    <col min="12574" max="12574" width="1.140625" style="1" customWidth="1"/>
    <col min="12575" max="12575" width="8.28515625" style="1" customWidth="1"/>
    <col min="12576" max="12576" width="0.7109375" style="1" customWidth="1"/>
    <col min="12577" max="12577" width="6.5703125" style="1" customWidth="1"/>
    <col min="12578" max="12578" width="1.42578125" style="1" customWidth="1"/>
    <col min="12579" max="12579" width="5.85546875" style="1" customWidth="1"/>
    <col min="12580" max="12580" width="0.5703125" style="1" customWidth="1"/>
    <col min="12581" max="12581" width="15.85546875" style="1" customWidth="1"/>
    <col min="12582" max="12593" width="10" style="1" customWidth="1"/>
    <col min="12594" max="12594" width="9.42578125" style="1" customWidth="1"/>
    <col min="12595" max="12801" width="10" style="1"/>
    <col min="12802" max="12802" width="8" style="1" customWidth="1"/>
    <col min="12803" max="12803" width="10" style="1" customWidth="1"/>
    <col min="12804" max="12804" width="1.42578125" style="1" customWidth="1"/>
    <col min="12805" max="12805" width="8.85546875" style="1" customWidth="1"/>
    <col min="12806" max="12806" width="12.42578125" style="1" customWidth="1"/>
    <col min="12807" max="12807" width="10.28515625" style="1" bestFit="1" customWidth="1"/>
    <col min="12808" max="12808" width="12.140625" style="1" bestFit="1" customWidth="1"/>
    <col min="12809" max="12809" width="9.42578125" style="1" customWidth="1"/>
    <col min="12810" max="12810" width="14.85546875" style="1" customWidth="1"/>
    <col min="12811" max="12812" width="11.140625" style="1" customWidth="1"/>
    <col min="12813" max="12813" width="9.42578125" style="1" customWidth="1"/>
    <col min="12814" max="12814" width="9.5703125" style="1" bestFit="1" customWidth="1"/>
    <col min="12815" max="12815" width="9.42578125" style="1" customWidth="1"/>
    <col min="12816" max="12816" width="11.5703125" style="1" customWidth="1"/>
    <col min="12817" max="12817" width="10.42578125" style="1" bestFit="1" customWidth="1"/>
    <col min="12818" max="12818" width="11.28515625" style="1" customWidth="1"/>
    <col min="12819" max="12819" width="10.42578125" style="1" customWidth="1"/>
    <col min="12820" max="12820" width="10.5703125" style="1" customWidth="1"/>
    <col min="12821" max="12821" width="12" style="1" customWidth="1"/>
    <col min="12822" max="12822" width="9.42578125" style="1" customWidth="1"/>
    <col min="12823" max="12823" width="12.28515625" style="1" customWidth="1"/>
    <col min="12824" max="12824" width="9.42578125" style="1" customWidth="1"/>
    <col min="12825" max="12825" width="11.42578125" style="1" customWidth="1"/>
    <col min="12826" max="12826" width="9.42578125" style="1" customWidth="1"/>
    <col min="12827" max="12829" width="11.42578125" style="1" customWidth="1"/>
    <col min="12830" max="12830" width="1.140625" style="1" customWidth="1"/>
    <col min="12831" max="12831" width="8.28515625" style="1" customWidth="1"/>
    <col min="12832" max="12832" width="0.7109375" style="1" customWidth="1"/>
    <col min="12833" max="12833" width="6.5703125" style="1" customWidth="1"/>
    <col min="12834" max="12834" width="1.42578125" style="1" customWidth="1"/>
    <col min="12835" max="12835" width="5.85546875" style="1" customWidth="1"/>
    <col min="12836" max="12836" width="0.5703125" style="1" customWidth="1"/>
    <col min="12837" max="12837" width="15.85546875" style="1" customWidth="1"/>
    <col min="12838" max="12849" width="10" style="1" customWidth="1"/>
    <col min="12850" max="12850" width="9.42578125" style="1" customWidth="1"/>
    <col min="12851" max="13057" width="10" style="1"/>
    <col min="13058" max="13058" width="8" style="1" customWidth="1"/>
    <col min="13059" max="13059" width="10" style="1" customWidth="1"/>
    <col min="13060" max="13060" width="1.42578125" style="1" customWidth="1"/>
    <col min="13061" max="13061" width="8.85546875" style="1" customWidth="1"/>
    <col min="13062" max="13062" width="12.42578125" style="1" customWidth="1"/>
    <col min="13063" max="13063" width="10.28515625" style="1" bestFit="1" customWidth="1"/>
    <col min="13064" max="13064" width="12.140625" style="1" bestFit="1" customWidth="1"/>
    <col min="13065" max="13065" width="9.42578125" style="1" customWidth="1"/>
    <col min="13066" max="13066" width="14.85546875" style="1" customWidth="1"/>
    <col min="13067" max="13068" width="11.140625" style="1" customWidth="1"/>
    <col min="13069" max="13069" width="9.42578125" style="1" customWidth="1"/>
    <col min="13070" max="13070" width="9.5703125" style="1" bestFit="1" customWidth="1"/>
    <col min="13071" max="13071" width="9.42578125" style="1" customWidth="1"/>
    <col min="13072" max="13072" width="11.5703125" style="1" customWidth="1"/>
    <col min="13073" max="13073" width="10.42578125" style="1" bestFit="1" customWidth="1"/>
    <col min="13074" max="13074" width="11.28515625" style="1" customWidth="1"/>
    <col min="13075" max="13075" width="10.42578125" style="1" customWidth="1"/>
    <col min="13076" max="13076" width="10.5703125" style="1" customWidth="1"/>
    <col min="13077" max="13077" width="12" style="1" customWidth="1"/>
    <col min="13078" max="13078" width="9.42578125" style="1" customWidth="1"/>
    <col min="13079" max="13079" width="12.28515625" style="1" customWidth="1"/>
    <col min="13080" max="13080" width="9.42578125" style="1" customWidth="1"/>
    <col min="13081" max="13081" width="11.42578125" style="1" customWidth="1"/>
    <col min="13082" max="13082" width="9.42578125" style="1" customWidth="1"/>
    <col min="13083" max="13085" width="11.42578125" style="1" customWidth="1"/>
    <col min="13086" max="13086" width="1.140625" style="1" customWidth="1"/>
    <col min="13087" max="13087" width="8.28515625" style="1" customWidth="1"/>
    <col min="13088" max="13088" width="0.7109375" style="1" customWidth="1"/>
    <col min="13089" max="13089" width="6.5703125" style="1" customWidth="1"/>
    <col min="13090" max="13090" width="1.42578125" style="1" customWidth="1"/>
    <col min="13091" max="13091" width="5.85546875" style="1" customWidth="1"/>
    <col min="13092" max="13092" width="0.5703125" style="1" customWidth="1"/>
    <col min="13093" max="13093" width="15.85546875" style="1" customWidth="1"/>
    <col min="13094" max="13105" width="10" style="1" customWidth="1"/>
    <col min="13106" max="13106" width="9.42578125" style="1" customWidth="1"/>
    <col min="13107" max="13313" width="10" style="1"/>
    <col min="13314" max="13314" width="8" style="1" customWidth="1"/>
    <col min="13315" max="13315" width="10" style="1" customWidth="1"/>
    <col min="13316" max="13316" width="1.42578125" style="1" customWidth="1"/>
    <col min="13317" max="13317" width="8.85546875" style="1" customWidth="1"/>
    <col min="13318" max="13318" width="12.42578125" style="1" customWidth="1"/>
    <col min="13319" max="13319" width="10.28515625" style="1" bestFit="1" customWidth="1"/>
    <col min="13320" max="13320" width="12.140625" style="1" bestFit="1" customWidth="1"/>
    <col min="13321" max="13321" width="9.42578125" style="1" customWidth="1"/>
    <col min="13322" max="13322" width="14.85546875" style="1" customWidth="1"/>
    <col min="13323" max="13324" width="11.140625" style="1" customWidth="1"/>
    <col min="13325" max="13325" width="9.42578125" style="1" customWidth="1"/>
    <col min="13326" max="13326" width="9.5703125" style="1" bestFit="1" customWidth="1"/>
    <col min="13327" max="13327" width="9.42578125" style="1" customWidth="1"/>
    <col min="13328" max="13328" width="11.5703125" style="1" customWidth="1"/>
    <col min="13329" max="13329" width="10.42578125" style="1" bestFit="1" customWidth="1"/>
    <col min="13330" max="13330" width="11.28515625" style="1" customWidth="1"/>
    <col min="13331" max="13331" width="10.42578125" style="1" customWidth="1"/>
    <col min="13332" max="13332" width="10.5703125" style="1" customWidth="1"/>
    <col min="13333" max="13333" width="12" style="1" customWidth="1"/>
    <col min="13334" max="13334" width="9.42578125" style="1" customWidth="1"/>
    <col min="13335" max="13335" width="12.28515625" style="1" customWidth="1"/>
    <col min="13336" max="13336" width="9.42578125" style="1" customWidth="1"/>
    <col min="13337" max="13337" width="11.42578125" style="1" customWidth="1"/>
    <col min="13338" max="13338" width="9.42578125" style="1" customWidth="1"/>
    <col min="13339" max="13341" width="11.42578125" style="1" customWidth="1"/>
    <col min="13342" max="13342" width="1.140625" style="1" customWidth="1"/>
    <col min="13343" max="13343" width="8.28515625" style="1" customWidth="1"/>
    <col min="13344" max="13344" width="0.7109375" style="1" customWidth="1"/>
    <col min="13345" max="13345" width="6.5703125" style="1" customWidth="1"/>
    <col min="13346" max="13346" width="1.42578125" style="1" customWidth="1"/>
    <col min="13347" max="13347" width="5.85546875" style="1" customWidth="1"/>
    <col min="13348" max="13348" width="0.5703125" style="1" customWidth="1"/>
    <col min="13349" max="13349" width="15.85546875" style="1" customWidth="1"/>
    <col min="13350" max="13361" width="10" style="1" customWidth="1"/>
    <col min="13362" max="13362" width="9.42578125" style="1" customWidth="1"/>
    <col min="13363" max="13569" width="10" style="1"/>
    <col min="13570" max="13570" width="8" style="1" customWidth="1"/>
    <col min="13571" max="13571" width="10" style="1" customWidth="1"/>
    <col min="13572" max="13572" width="1.42578125" style="1" customWidth="1"/>
    <col min="13573" max="13573" width="8.85546875" style="1" customWidth="1"/>
    <col min="13574" max="13574" width="12.42578125" style="1" customWidth="1"/>
    <col min="13575" max="13575" width="10.28515625" style="1" bestFit="1" customWidth="1"/>
    <col min="13576" max="13576" width="12.140625" style="1" bestFit="1" customWidth="1"/>
    <col min="13577" max="13577" width="9.42578125" style="1" customWidth="1"/>
    <col min="13578" max="13578" width="14.85546875" style="1" customWidth="1"/>
    <col min="13579" max="13580" width="11.140625" style="1" customWidth="1"/>
    <col min="13581" max="13581" width="9.42578125" style="1" customWidth="1"/>
    <col min="13582" max="13582" width="9.5703125" style="1" bestFit="1" customWidth="1"/>
    <col min="13583" max="13583" width="9.42578125" style="1" customWidth="1"/>
    <col min="13584" max="13584" width="11.5703125" style="1" customWidth="1"/>
    <col min="13585" max="13585" width="10.42578125" style="1" bestFit="1" customWidth="1"/>
    <col min="13586" max="13586" width="11.28515625" style="1" customWidth="1"/>
    <col min="13587" max="13587" width="10.42578125" style="1" customWidth="1"/>
    <col min="13588" max="13588" width="10.5703125" style="1" customWidth="1"/>
    <col min="13589" max="13589" width="12" style="1" customWidth="1"/>
    <col min="13590" max="13590" width="9.42578125" style="1" customWidth="1"/>
    <col min="13591" max="13591" width="12.28515625" style="1" customWidth="1"/>
    <col min="13592" max="13592" width="9.42578125" style="1" customWidth="1"/>
    <col min="13593" max="13593" width="11.42578125" style="1" customWidth="1"/>
    <col min="13594" max="13594" width="9.42578125" style="1" customWidth="1"/>
    <col min="13595" max="13597" width="11.42578125" style="1" customWidth="1"/>
    <col min="13598" max="13598" width="1.140625" style="1" customWidth="1"/>
    <col min="13599" max="13599" width="8.28515625" style="1" customWidth="1"/>
    <col min="13600" max="13600" width="0.7109375" style="1" customWidth="1"/>
    <col min="13601" max="13601" width="6.5703125" style="1" customWidth="1"/>
    <col min="13602" max="13602" width="1.42578125" style="1" customWidth="1"/>
    <col min="13603" max="13603" width="5.85546875" style="1" customWidth="1"/>
    <col min="13604" max="13604" width="0.5703125" style="1" customWidth="1"/>
    <col min="13605" max="13605" width="15.85546875" style="1" customWidth="1"/>
    <col min="13606" max="13617" width="10" style="1" customWidth="1"/>
    <col min="13618" max="13618" width="9.42578125" style="1" customWidth="1"/>
    <col min="13619" max="13825" width="10" style="1"/>
    <col min="13826" max="13826" width="8" style="1" customWidth="1"/>
    <col min="13827" max="13827" width="10" style="1" customWidth="1"/>
    <col min="13828" max="13828" width="1.42578125" style="1" customWidth="1"/>
    <col min="13829" max="13829" width="8.85546875" style="1" customWidth="1"/>
    <col min="13830" max="13830" width="12.42578125" style="1" customWidth="1"/>
    <col min="13831" max="13831" width="10.28515625" style="1" bestFit="1" customWidth="1"/>
    <col min="13832" max="13832" width="12.140625" style="1" bestFit="1" customWidth="1"/>
    <col min="13833" max="13833" width="9.42578125" style="1" customWidth="1"/>
    <col min="13834" max="13834" width="14.85546875" style="1" customWidth="1"/>
    <col min="13835" max="13836" width="11.140625" style="1" customWidth="1"/>
    <col min="13837" max="13837" width="9.42578125" style="1" customWidth="1"/>
    <col min="13838" max="13838" width="9.5703125" style="1" bestFit="1" customWidth="1"/>
    <col min="13839" max="13839" width="9.42578125" style="1" customWidth="1"/>
    <col min="13840" max="13840" width="11.5703125" style="1" customWidth="1"/>
    <col min="13841" max="13841" width="10.42578125" style="1" bestFit="1" customWidth="1"/>
    <col min="13842" max="13842" width="11.28515625" style="1" customWidth="1"/>
    <col min="13843" max="13843" width="10.42578125" style="1" customWidth="1"/>
    <col min="13844" max="13844" width="10.5703125" style="1" customWidth="1"/>
    <col min="13845" max="13845" width="12" style="1" customWidth="1"/>
    <col min="13846" max="13846" width="9.42578125" style="1" customWidth="1"/>
    <col min="13847" max="13847" width="12.28515625" style="1" customWidth="1"/>
    <col min="13848" max="13848" width="9.42578125" style="1" customWidth="1"/>
    <col min="13849" max="13849" width="11.42578125" style="1" customWidth="1"/>
    <col min="13850" max="13850" width="9.42578125" style="1" customWidth="1"/>
    <col min="13851" max="13853" width="11.42578125" style="1" customWidth="1"/>
    <col min="13854" max="13854" width="1.140625" style="1" customWidth="1"/>
    <col min="13855" max="13855" width="8.28515625" style="1" customWidth="1"/>
    <col min="13856" max="13856" width="0.7109375" style="1" customWidth="1"/>
    <col min="13857" max="13857" width="6.5703125" style="1" customWidth="1"/>
    <col min="13858" max="13858" width="1.42578125" style="1" customWidth="1"/>
    <col min="13859" max="13859" width="5.85546875" style="1" customWidth="1"/>
    <col min="13860" max="13860" width="0.5703125" style="1" customWidth="1"/>
    <col min="13861" max="13861" width="15.85546875" style="1" customWidth="1"/>
    <col min="13862" max="13873" width="10" style="1" customWidth="1"/>
    <col min="13874" max="13874" width="9.42578125" style="1" customWidth="1"/>
    <col min="13875" max="14081" width="10" style="1"/>
    <col min="14082" max="14082" width="8" style="1" customWidth="1"/>
    <col min="14083" max="14083" width="10" style="1" customWidth="1"/>
    <col min="14084" max="14084" width="1.42578125" style="1" customWidth="1"/>
    <col min="14085" max="14085" width="8.85546875" style="1" customWidth="1"/>
    <col min="14086" max="14086" width="12.42578125" style="1" customWidth="1"/>
    <col min="14087" max="14087" width="10.28515625" style="1" bestFit="1" customWidth="1"/>
    <col min="14088" max="14088" width="12.140625" style="1" bestFit="1" customWidth="1"/>
    <col min="14089" max="14089" width="9.42578125" style="1" customWidth="1"/>
    <col min="14090" max="14090" width="14.85546875" style="1" customWidth="1"/>
    <col min="14091" max="14092" width="11.140625" style="1" customWidth="1"/>
    <col min="14093" max="14093" width="9.42578125" style="1" customWidth="1"/>
    <col min="14094" max="14094" width="9.5703125" style="1" bestFit="1" customWidth="1"/>
    <col min="14095" max="14095" width="9.42578125" style="1" customWidth="1"/>
    <col min="14096" max="14096" width="11.5703125" style="1" customWidth="1"/>
    <col min="14097" max="14097" width="10.42578125" style="1" bestFit="1" customWidth="1"/>
    <col min="14098" max="14098" width="11.28515625" style="1" customWidth="1"/>
    <col min="14099" max="14099" width="10.42578125" style="1" customWidth="1"/>
    <col min="14100" max="14100" width="10.5703125" style="1" customWidth="1"/>
    <col min="14101" max="14101" width="12" style="1" customWidth="1"/>
    <col min="14102" max="14102" width="9.42578125" style="1" customWidth="1"/>
    <col min="14103" max="14103" width="12.28515625" style="1" customWidth="1"/>
    <col min="14104" max="14104" width="9.42578125" style="1" customWidth="1"/>
    <col min="14105" max="14105" width="11.42578125" style="1" customWidth="1"/>
    <col min="14106" max="14106" width="9.42578125" style="1" customWidth="1"/>
    <col min="14107" max="14109" width="11.42578125" style="1" customWidth="1"/>
    <col min="14110" max="14110" width="1.140625" style="1" customWidth="1"/>
    <col min="14111" max="14111" width="8.28515625" style="1" customWidth="1"/>
    <col min="14112" max="14112" width="0.7109375" style="1" customWidth="1"/>
    <col min="14113" max="14113" width="6.5703125" style="1" customWidth="1"/>
    <col min="14114" max="14114" width="1.42578125" style="1" customWidth="1"/>
    <col min="14115" max="14115" width="5.85546875" style="1" customWidth="1"/>
    <col min="14116" max="14116" width="0.5703125" style="1" customWidth="1"/>
    <col min="14117" max="14117" width="15.85546875" style="1" customWidth="1"/>
    <col min="14118" max="14129" width="10" style="1" customWidth="1"/>
    <col min="14130" max="14130" width="9.42578125" style="1" customWidth="1"/>
    <col min="14131" max="14337" width="10" style="1"/>
    <col min="14338" max="14338" width="8" style="1" customWidth="1"/>
    <col min="14339" max="14339" width="10" style="1" customWidth="1"/>
    <col min="14340" max="14340" width="1.42578125" style="1" customWidth="1"/>
    <col min="14341" max="14341" width="8.85546875" style="1" customWidth="1"/>
    <col min="14342" max="14342" width="12.42578125" style="1" customWidth="1"/>
    <col min="14343" max="14343" width="10.28515625" style="1" bestFit="1" customWidth="1"/>
    <col min="14344" max="14344" width="12.140625" style="1" bestFit="1" customWidth="1"/>
    <col min="14345" max="14345" width="9.42578125" style="1" customWidth="1"/>
    <col min="14346" max="14346" width="14.85546875" style="1" customWidth="1"/>
    <col min="14347" max="14348" width="11.140625" style="1" customWidth="1"/>
    <col min="14349" max="14349" width="9.42578125" style="1" customWidth="1"/>
    <col min="14350" max="14350" width="9.5703125" style="1" bestFit="1" customWidth="1"/>
    <col min="14351" max="14351" width="9.42578125" style="1" customWidth="1"/>
    <col min="14352" max="14352" width="11.5703125" style="1" customWidth="1"/>
    <col min="14353" max="14353" width="10.42578125" style="1" bestFit="1" customWidth="1"/>
    <col min="14354" max="14354" width="11.28515625" style="1" customWidth="1"/>
    <col min="14355" max="14355" width="10.42578125" style="1" customWidth="1"/>
    <col min="14356" max="14356" width="10.5703125" style="1" customWidth="1"/>
    <col min="14357" max="14357" width="12" style="1" customWidth="1"/>
    <col min="14358" max="14358" width="9.42578125" style="1" customWidth="1"/>
    <col min="14359" max="14359" width="12.28515625" style="1" customWidth="1"/>
    <col min="14360" max="14360" width="9.42578125" style="1" customWidth="1"/>
    <col min="14361" max="14361" width="11.42578125" style="1" customWidth="1"/>
    <col min="14362" max="14362" width="9.42578125" style="1" customWidth="1"/>
    <col min="14363" max="14365" width="11.42578125" style="1" customWidth="1"/>
    <col min="14366" max="14366" width="1.140625" style="1" customWidth="1"/>
    <col min="14367" max="14367" width="8.28515625" style="1" customWidth="1"/>
    <col min="14368" max="14368" width="0.7109375" style="1" customWidth="1"/>
    <col min="14369" max="14369" width="6.5703125" style="1" customWidth="1"/>
    <col min="14370" max="14370" width="1.42578125" style="1" customWidth="1"/>
    <col min="14371" max="14371" width="5.85546875" style="1" customWidth="1"/>
    <col min="14372" max="14372" width="0.5703125" style="1" customWidth="1"/>
    <col min="14373" max="14373" width="15.85546875" style="1" customWidth="1"/>
    <col min="14374" max="14385" width="10" style="1" customWidth="1"/>
    <col min="14386" max="14386" width="9.42578125" style="1" customWidth="1"/>
    <col min="14387" max="14593" width="10" style="1"/>
    <col min="14594" max="14594" width="8" style="1" customWidth="1"/>
    <col min="14595" max="14595" width="10" style="1" customWidth="1"/>
    <col min="14596" max="14596" width="1.42578125" style="1" customWidth="1"/>
    <col min="14597" max="14597" width="8.85546875" style="1" customWidth="1"/>
    <col min="14598" max="14598" width="12.42578125" style="1" customWidth="1"/>
    <col min="14599" max="14599" width="10.28515625" style="1" bestFit="1" customWidth="1"/>
    <col min="14600" max="14600" width="12.140625" style="1" bestFit="1" customWidth="1"/>
    <col min="14601" max="14601" width="9.42578125" style="1" customWidth="1"/>
    <col min="14602" max="14602" width="14.85546875" style="1" customWidth="1"/>
    <col min="14603" max="14604" width="11.140625" style="1" customWidth="1"/>
    <col min="14605" max="14605" width="9.42578125" style="1" customWidth="1"/>
    <col min="14606" max="14606" width="9.5703125" style="1" bestFit="1" customWidth="1"/>
    <col min="14607" max="14607" width="9.42578125" style="1" customWidth="1"/>
    <col min="14608" max="14608" width="11.5703125" style="1" customWidth="1"/>
    <col min="14609" max="14609" width="10.42578125" style="1" bestFit="1" customWidth="1"/>
    <col min="14610" max="14610" width="11.28515625" style="1" customWidth="1"/>
    <col min="14611" max="14611" width="10.42578125" style="1" customWidth="1"/>
    <col min="14612" max="14612" width="10.5703125" style="1" customWidth="1"/>
    <col min="14613" max="14613" width="12" style="1" customWidth="1"/>
    <col min="14614" max="14614" width="9.42578125" style="1" customWidth="1"/>
    <col min="14615" max="14615" width="12.28515625" style="1" customWidth="1"/>
    <col min="14616" max="14616" width="9.42578125" style="1" customWidth="1"/>
    <col min="14617" max="14617" width="11.42578125" style="1" customWidth="1"/>
    <col min="14618" max="14618" width="9.42578125" style="1" customWidth="1"/>
    <col min="14619" max="14621" width="11.42578125" style="1" customWidth="1"/>
    <col min="14622" max="14622" width="1.140625" style="1" customWidth="1"/>
    <col min="14623" max="14623" width="8.28515625" style="1" customWidth="1"/>
    <col min="14624" max="14624" width="0.7109375" style="1" customWidth="1"/>
    <col min="14625" max="14625" width="6.5703125" style="1" customWidth="1"/>
    <col min="14626" max="14626" width="1.42578125" style="1" customWidth="1"/>
    <col min="14627" max="14627" width="5.85546875" style="1" customWidth="1"/>
    <col min="14628" max="14628" width="0.5703125" style="1" customWidth="1"/>
    <col min="14629" max="14629" width="15.85546875" style="1" customWidth="1"/>
    <col min="14630" max="14641" width="10" style="1" customWidth="1"/>
    <col min="14642" max="14642" width="9.42578125" style="1" customWidth="1"/>
    <col min="14643" max="14849" width="10" style="1"/>
    <col min="14850" max="14850" width="8" style="1" customWidth="1"/>
    <col min="14851" max="14851" width="10" style="1" customWidth="1"/>
    <col min="14852" max="14852" width="1.42578125" style="1" customWidth="1"/>
    <col min="14853" max="14853" width="8.85546875" style="1" customWidth="1"/>
    <col min="14854" max="14854" width="12.42578125" style="1" customWidth="1"/>
    <col min="14855" max="14855" width="10.28515625" style="1" bestFit="1" customWidth="1"/>
    <col min="14856" max="14856" width="12.140625" style="1" bestFit="1" customWidth="1"/>
    <col min="14857" max="14857" width="9.42578125" style="1" customWidth="1"/>
    <col min="14858" max="14858" width="14.85546875" style="1" customWidth="1"/>
    <col min="14859" max="14860" width="11.140625" style="1" customWidth="1"/>
    <col min="14861" max="14861" width="9.42578125" style="1" customWidth="1"/>
    <col min="14862" max="14862" width="9.5703125" style="1" bestFit="1" customWidth="1"/>
    <col min="14863" max="14863" width="9.42578125" style="1" customWidth="1"/>
    <col min="14864" max="14864" width="11.5703125" style="1" customWidth="1"/>
    <col min="14865" max="14865" width="10.42578125" style="1" bestFit="1" customWidth="1"/>
    <col min="14866" max="14866" width="11.28515625" style="1" customWidth="1"/>
    <col min="14867" max="14867" width="10.42578125" style="1" customWidth="1"/>
    <col min="14868" max="14868" width="10.5703125" style="1" customWidth="1"/>
    <col min="14869" max="14869" width="12" style="1" customWidth="1"/>
    <col min="14870" max="14870" width="9.42578125" style="1" customWidth="1"/>
    <col min="14871" max="14871" width="12.28515625" style="1" customWidth="1"/>
    <col min="14872" max="14872" width="9.42578125" style="1" customWidth="1"/>
    <col min="14873" max="14873" width="11.42578125" style="1" customWidth="1"/>
    <col min="14874" max="14874" width="9.42578125" style="1" customWidth="1"/>
    <col min="14875" max="14877" width="11.42578125" style="1" customWidth="1"/>
    <col min="14878" max="14878" width="1.140625" style="1" customWidth="1"/>
    <col min="14879" max="14879" width="8.28515625" style="1" customWidth="1"/>
    <col min="14880" max="14880" width="0.7109375" style="1" customWidth="1"/>
    <col min="14881" max="14881" width="6.5703125" style="1" customWidth="1"/>
    <col min="14882" max="14882" width="1.42578125" style="1" customWidth="1"/>
    <col min="14883" max="14883" width="5.85546875" style="1" customWidth="1"/>
    <col min="14884" max="14884" width="0.5703125" style="1" customWidth="1"/>
    <col min="14885" max="14885" width="15.85546875" style="1" customWidth="1"/>
    <col min="14886" max="14897" width="10" style="1" customWidth="1"/>
    <col min="14898" max="14898" width="9.42578125" style="1" customWidth="1"/>
    <col min="14899" max="15105" width="10" style="1"/>
    <col min="15106" max="15106" width="8" style="1" customWidth="1"/>
    <col min="15107" max="15107" width="10" style="1" customWidth="1"/>
    <col min="15108" max="15108" width="1.42578125" style="1" customWidth="1"/>
    <col min="15109" max="15109" width="8.85546875" style="1" customWidth="1"/>
    <col min="15110" max="15110" width="12.42578125" style="1" customWidth="1"/>
    <col min="15111" max="15111" width="10.28515625" style="1" bestFit="1" customWidth="1"/>
    <col min="15112" max="15112" width="12.140625" style="1" bestFit="1" customWidth="1"/>
    <col min="15113" max="15113" width="9.42578125" style="1" customWidth="1"/>
    <col min="15114" max="15114" width="14.85546875" style="1" customWidth="1"/>
    <col min="15115" max="15116" width="11.140625" style="1" customWidth="1"/>
    <col min="15117" max="15117" width="9.42578125" style="1" customWidth="1"/>
    <col min="15118" max="15118" width="9.5703125" style="1" bestFit="1" customWidth="1"/>
    <col min="15119" max="15119" width="9.42578125" style="1" customWidth="1"/>
    <col min="15120" max="15120" width="11.5703125" style="1" customWidth="1"/>
    <col min="15121" max="15121" width="10.42578125" style="1" bestFit="1" customWidth="1"/>
    <col min="15122" max="15122" width="11.28515625" style="1" customWidth="1"/>
    <col min="15123" max="15123" width="10.42578125" style="1" customWidth="1"/>
    <col min="15124" max="15124" width="10.5703125" style="1" customWidth="1"/>
    <col min="15125" max="15125" width="12" style="1" customWidth="1"/>
    <col min="15126" max="15126" width="9.42578125" style="1" customWidth="1"/>
    <col min="15127" max="15127" width="12.28515625" style="1" customWidth="1"/>
    <col min="15128" max="15128" width="9.42578125" style="1" customWidth="1"/>
    <col min="15129" max="15129" width="11.42578125" style="1" customWidth="1"/>
    <col min="15130" max="15130" width="9.42578125" style="1" customWidth="1"/>
    <col min="15131" max="15133" width="11.42578125" style="1" customWidth="1"/>
    <col min="15134" max="15134" width="1.140625" style="1" customWidth="1"/>
    <col min="15135" max="15135" width="8.28515625" style="1" customWidth="1"/>
    <col min="15136" max="15136" width="0.7109375" style="1" customWidth="1"/>
    <col min="15137" max="15137" width="6.5703125" style="1" customWidth="1"/>
    <col min="15138" max="15138" width="1.42578125" style="1" customWidth="1"/>
    <col min="15139" max="15139" width="5.85546875" style="1" customWidth="1"/>
    <col min="15140" max="15140" width="0.5703125" style="1" customWidth="1"/>
    <col min="15141" max="15141" width="15.85546875" style="1" customWidth="1"/>
    <col min="15142" max="15153" width="10" style="1" customWidth="1"/>
    <col min="15154" max="15154" width="9.42578125" style="1" customWidth="1"/>
    <col min="15155" max="15361" width="10" style="1"/>
    <col min="15362" max="15362" width="8" style="1" customWidth="1"/>
    <col min="15363" max="15363" width="10" style="1" customWidth="1"/>
    <col min="15364" max="15364" width="1.42578125" style="1" customWidth="1"/>
    <col min="15365" max="15365" width="8.85546875" style="1" customWidth="1"/>
    <col min="15366" max="15366" width="12.42578125" style="1" customWidth="1"/>
    <col min="15367" max="15367" width="10.28515625" style="1" bestFit="1" customWidth="1"/>
    <col min="15368" max="15368" width="12.140625" style="1" bestFit="1" customWidth="1"/>
    <col min="15369" max="15369" width="9.42578125" style="1" customWidth="1"/>
    <col min="15370" max="15370" width="14.85546875" style="1" customWidth="1"/>
    <col min="15371" max="15372" width="11.140625" style="1" customWidth="1"/>
    <col min="15373" max="15373" width="9.42578125" style="1" customWidth="1"/>
    <col min="15374" max="15374" width="9.5703125" style="1" bestFit="1" customWidth="1"/>
    <col min="15375" max="15375" width="9.42578125" style="1" customWidth="1"/>
    <col min="15376" max="15376" width="11.5703125" style="1" customWidth="1"/>
    <col min="15377" max="15377" width="10.42578125" style="1" bestFit="1" customWidth="1"/>
    <col min="15378" max="15378" width="11.28515625" style="1" customWidth="1"/>
    <col min="15379" max="15379" width="10.42578125" style="1" customWidth="1"/>
    <col min="15380" max="15380" width="10.5703125" style="1" customWidth="1"/>
    <col min="15381" max="15381" width="12" style="1" customWidth="1"/>
    <col min="15382" max="15382" width="9.42578125" style="1" customWidth="1"/>
    <col min="15383" max="15383" width="12.28515625" style="1" customWidth="1"/>
    <col min="15384" max="15384" width="9.42578125" style="1" customWidth="1"/>
    <col min="15385" max="15385" width="11.42578125" style="1" customWidth="1"/>
    <col min="15386" max="15386" width="9.42578125" style="1" customWidth="1"/>
    <col min="15387" max="15389" width="11.42578125" style="1" customWidth="1"/>
    <col min="15390" max="15390" width="1.140625" style="1" customWidth="1"/>
    <col min="15391" max="15391" width="8.28515625" style="1" customWidth="1"/>
    <col min="15392" max="15392" width="0.7109375" style="1" customWidth="1"/>
    <col min="15393" max="15393" width="6.5703125" style="1" customWidth="1"/>
    <col min="15394" max="15394" width="1.42578125" style="1" customWidth="1"/>
    <col min="15395" max="15395" width="5.85546875" style="1" customWidth="1"/>
    <col min="15396" max="15396" width="0.5703125" style="1" customWidth="1"/>
    <col min="15397" max="15397" width="15.85546875" style="1" customWidth="1"/>
    <col min="15398" max="15409" width="10" style="1" customWidth="1"/>
    <col min="15410" max="15410" width="9.42578125" style="1" customWidth="1"/>
    <col min="15411" max="15617" width="10" style="1"/>
    <col min="15618" max="15618" width="8" style="1" customWidth="1"/>
    <col min="15619" max="15619" width="10" style="1" customWidth="1"/>
    <col min="15620" max="15620" width="1.42578125" style="1" customWidth="1"/>
    <col min="15621" max="15621" width="8.85546875" style="1" customWidth="1"/>
    <col min="15622" max="15622" width="12.42578125" style="1" customWidth="1"/>
    <col min="15623" max="15623" width="10.28515625" style="1" bestFit="1" customWidth="1"/>
    <col min="15624" max="15624" width="12.140625" style="1" bestFit="1" customWidth="1"/>
    <col min="15625" max="15625" width="9.42578125" style="1" customWidth="1"/>
    <col min="15626" max="15626" width="14.85546875" style="1" customWidth="1"/>
    <col min="15627" max="15628" width="11.140625" style="1" customWidth="1"/>
    <col min="15629" max="15629" width="9.42578125" style="1" customWidth="1"/>
    <col min="15630" max="15630" width="9.5703125" style="1" bestFit="1" customWidth="1"/>
    <col min="15631" max="15631" width="9.42578125" style="1" customWidth="1"/>
    <col min="15632" max="15632" width="11.5703125" style="1" customWidth="1"/>
    <col min="15633" max="15633" width="10.42578125" style="1" bestFit="1" customWidth="1"/>
    <col min="15634" max="15634" width="11.28515625" style="1" customWidth="1"/>
    <col min="15635" max="15635" width="10.42578125" style="1" customWidth="1"/>
    <col min="15636" max="15636" width="10.5703125" style="1" customWidth="1"/>
    <col min="15637" max="15637" width="12" style="1" customWidth="1"/>
    <col min="15638" max="15638" width="9.42578125" style="1" customWidth="1"/>
    <col min="15639" max="15639" width="12.28515625" style="1" customWidth="1"/>
    <col min="15640" max="15640" width="9.42578125" style="1" customWidth="1"/>
    <col min="15641" max="15641" width="11.42578125" style="1" customWidth="1"/>
    <col min="15642" max="15642" width="9.42578125" style="1" customWidth="1"/>
    <col min="15643" max="15645" width="11.42578125" style="1" customWidth="1"/>
    <col min="15646" max="15646" width="1.140625" style="1" customWidth="1"/>
    <col min="15647" max="15647" width="8.28515625" style="1" customWidth="1"/>
    <col min="15648" max="15648" width="0.7109375" style="1" customWidth="1"/>
    <col min="15649" max="15649" width="6.5703125" style="1" customWidth="1"/>
    <col min="15650" max="15650" width="1.42578125" style="1" customWidth="1"/>
    <col min="15651" max="15651" width="5.85546875" style="1" customWidth="1"/>
    <col min="15652" max="15652" width="0.5703125" style="1" customWidth="1"/>
    <col min="15653" max="15653" width="15.85546875" style="1" customWidth="1"/>
    <col min="15654" max="15665" width="10" style="1" customWidth="1"/>
    <col min="15666" max="15666" width="9.42578125" style="1" customWidth="1"/>
    <col min="15667" max="15873" width="10" style="1"/>
    <col min="15874" max="15874" width="8" style="1" customWidth="1"/>
    <col min="15875" max="15875" width="10" style="1" customWidth="1"/>
    <col min="15876" max="15876" width="1.42578125" style="1" customWidth="1"/>
    <col min="15877" max="15877" width="8.85546875" style="1" customWidth="1"/>
    <col min="15878" max="15878" width="12.42578125" style="1" customWidth="1"/>
    <col min="15879" max="15879" width="10.28515625" style="1" bestFit="1" customWidth="1"/>
    <col min="15880" max="15880" width="12.140625" style="1" bestFit="1" customWidth="1"/>
    <col min="15881" max="15881" width="9.42578125" style="1" customWidth="1"/>
    <col min="15882" max="15882" width="14.85546875" style="1" customWidth="1"/>
    <col min="15883" max="15884" width="11.140625" style="1" customWidth="1"/>
    <col min="15885" max="15885" width="9.42578125" style="1" customWidth="1"/>
    <col min="15886" max="15886" width="9.5703125" style="1" bestFit="1" customWidth="1"/>
    <col min="15887" max="15887" width="9.42578125" style="1" customWidth="1"/>
    <col min="15888" max="15888" width="11.5703125" style="1" customWidth="1"/>
    <col min="15889" max="15889" width="10.42578125" style="1" bestFit="1" customWidth="1"/>
    <col min="15890" max="15890" width="11.28515625" style="1" customWidth="1"/>
    <col min="15891" max="15891" width="10.42578125" style="1" customWidth="1"/>
    <col min="15892" max="15892" width="10.5703125" style="1" customWidth="1"/>
    <col min="15893" max="15893" width="12" style="1" customWidth="1"/>
    <col min="15894" max="15894" width="9.42578125" style="1" customWidth="1"/>
    <col min="15895" max="15895" width="12.28515625" style="1" customWidth="1"/>
    <col min="15896" max="15896" width="9.42578125" style="1" customWidth="1"/>
    <col min="15897" max="15897" width="11.42578125" style="1" customWidth="1"/>
    <col min="15898" max="15898" width="9.42578125" style="1" customWidth="1"/>
    <col min="15899" max="15901" width="11.42578125" style="1" customWidth="1"/>
    <col min="15902" max="15902" width="1.140625" style="1" customWidth="1"/>
    <col min="15903" max="15903" width="8.28515625" style="1" customWidth="1"/>
    <col min="15904" max="15904" width="0.7109375" style="1" customWidth="1"/>
    <col min="15905" max="15905" width="6.5703125" style="1" customWidth="1"/>
    <col min="15906" max="15906" width="1.42578125" style="1" customWidth="1"/>
    <col min="15907" max="15907" width="5.85546875" style="1" customWidth="1"/>
    <col min="15908" max="15908" width="0.5703125" style="1" customWidth="1"/>
    <col min="15909" max="15909" width="15.85546875" style="1" customWidth="1"/>
    <col min="15910" max="15921" width="10" style="1" customWidth="1"/>
    <col min="15922" max="15922" width="9.42578125" style="1" customWidth="1"/>
    <col min="15923" max="16129" width="10" style="1"/>
    <col min="16130" max="16130" width="8" style="1" customWidth="1"/>
    <col min="16131" max="16131" width="10" style="1" customWidth="1"/>
    <col min="16132" max="16132" width="1.42578125" style="1" customWidth="1"/>
    <col min="16133" max="16133" width="8.85546875" style="1" customWidth="1"/>
    <col min="16134" max="16134" width="12.42578125" style="1" customWidth="1"/>
    <col min="16135" max="16135" width="10.28515625" style="1" bestFit="1" customWidth="1"/>
    <col min="16136" max="16136" width="12.140625" style="1" bestFit="1" customWidth="1"/>
    <col min="16137" max="16137" width="9.42578125" style="1" customWidth="1"/>
    <col min="16138" max="16138" width="14.85546875" style="1" customWidth="1"/>
    <col min="16139" max="16140" width="11.140625" style="1" customWidth="1"/>
    <col min="16141" max="16141" width="9.42578125" style="1" customWidth="1"/>
    <col min="16142" max="16142" width="9.5703125" style="1" bestFit="1" customWidth="1"/>
    <col min="16143" max="16143" width="9.42578125" style="1" customWidth="1"/>
    <col min="16144" max="16144" width="11.5703125" style="1" customWidth="1"/>
    <col min="16145" max="16145" width="10.42578125" style="1" bestFit="1" customWidth="1"/>
    <col min="16146" max="16146" width="11.28515625" style="1" customWidth="1"/>
    <col min="16147" max="16147" width="10.42578125" style="1" customWidth="1"/>
    <col min="16148" max="16148" width="10.5703125" style="1" customWidth="1"/>
    <col min="16149" max="16149" width="12" style="1" customWidth="1"/>
    <col min="16150" max="16150" width="9.42578125" style="1" customWidth="1"/>
    <col min="16151" max="16151" width="12.28515625" style="1" customWidth="1"/>
    <col min="16152" max="16152" width="9.42578125" style="1" customWidth="1"/>
    <col min="16153" max="16153" width="11.42578125" style="1" customWidth="1"/>
    <col min="16154" max="16154" width="9.42578125" style="1" customWidth="1"/>
    <col min="16155" max="16157" width="11.42578125" style="1" customWidth="1"/>
    <col min="16158" max="16158" width="1.140625" style="1" customWidth="1"/>
    <col min="16159" max="16159" width="8.28515625" style="1" customWidth="1"/>
    <col min="16160" max="16160" width="0.7109375" style="1" customWidth="1"/>
    <col min="16161" max="16161" width="6.5703125" style="1" customWidth="1"/>
    <col min="16162" max="16162" width="1.42578125" style="1" customWidth="1"/>
    <col min="16163" max="16163" width="5.85546875" style="1" customWidth="1"/>
    <col min="16164" max="16164" width="0.5703125" style="1" customWidth="1"/>
    <col min="16165" max="16165" width="15.85546875" style="1" customWidth="1"/>
    <col min="16166" max="16177" width="10" style="1" customWidth="1"/>
    <col min="16178" max="16178" width="9.42578125" style="1" customWidth="1"/>
    <col min="16179" max="16384" width="10" style="1"/>
  </cols>
  <sheetData>
    <row r="1" spans="1:50" ht="35.1" customHeight="1"/>
    <row r="2" spans="1:50" ht="35.1" customHeight="1"/>
    <row r="3" spans="1:50" s="3" customFormat="1" ht="35.1" customHeight="1">
      <c r="A3" s="228"/>
      <c r="B3" s="228"/>
      <c r="C3" s="228"/>
      <c r="D3" s="5112" t="s">
        <v>1822</v>
      </c>
      <c r="E3" s="5112"/>
      <c r="F3" s="5112"/>
      <c r="G3" s="5112"/>
      <c r="H3" s="5112"/>
      <c r="I3" s="5112"/>
      <c r="J3" s="5112"/>
      <c r="K3" s="5112"/>
      <c r="L3" s="5112"/>
      <c r="M3" s="5112"/>
      <c r="N3" s="5112"/>
      <c r="O3" s="5112"/>
      <c r="P3" s="5112"/>
      <c r="Q3" s="5112"/>
      <c r="R3" s="5112" t="s">
        <v>1823</v>
      </c>
      <c r="S3" s="5112"/>
      <c r="T3" s="5112"/>
      <c r="U3" s="5112"/>
      <c r="V3" s="5112"/>
      <c r="W3" s="5112"/>
      <c r="X3" s="5112"/>
      <c r="Y3" s="5112"/>
      <c r="Z3" s="5112"/>
      <c r="AA3" s="5112"/>
      <c r="AB3" s="5112"/>
      <c r="AC3" s="5112"/>
      <c r="AD3" s="5112"/>
      <c r="AE3" s="5112"/>
      <c r="AF3" s="538" t="s">
        <v>8</v>
      </c>
      <c r="AX3" s="392"/>
    </row>
    <row r="4" spans="1:50" s="393" customFormat="1" ht="35.1" customHeight="1">
      <c r="A4" s="416"/>
      <c r="B4" s="416"/>
      <c r="C4" s="416"/>
      <c r="D4" s="5113" t="s">
        <v>1824</v>
      </c>
      <c r="E4" s="5113"/>
      <c r="F4" s="5113"/>
      <c r="G4" s="5113"/>
      <c r="H4" s="5113"/>
      <c r="I4" s="5113"/>
      <c r="J4" s="5113"/>
      <c r="K4" s="5113"/>
      <c r="L4" s="5113"/>
      <c r="M4" s="5113"/>
      <c r="N4" s="5113"/>
      <c r="O4" s="5113"/>
      <c r="P4" s="5113"/>
      <c r="Q4" s="5113"/>
      <c r="R4" s="5113" t="s">
        <v>1825</v>
      </c>
      <c r="S4" s="5113"/>
      <c r="T4" s="5113"/>
      <c r="U4" s="5113"/>
      <c r="V4" s="5113"/>
      <c r="W4" s="5113"/>
      <c r="X4" s="5113"/>
      <c r="Y4" s="5113"/>
      <c r="Z4" s="5113"/>
      <c r="AA4" s="5113"/>
      <c r="AB4" s="5113"/>
      <c r="AC4" s="5113"/>
      <c r="AD4" s="5113"/>
      <c r="AE4" s="5113"/>
      <c r="AF4" s="539" t="s">
        <v>8</v>
      </c>
      <c r="AG4" s="540"/>
      <c r="AH4" s="540"/>
      <c r="AI4" s="194"/>
      <c r="AJ4" s="540"/>
      <c r="AK4" s="541"/>
      <c r="AX4" s="394"/>
    </row>
    <row r="5" spans="1:50" s="546" customFormat="1" ht="18" customHeight="1">
      <c r="A5" s="438"/>
      <c r="B5" s="438"/>
      <c r="C5" s="542"/>
      <c r="D5" s="543" t="s">
        <v>1826</v>
      </c>
      <c r="E5" s="224"/>
      <c r="F5" s="94"/>
      <c r="G5" s="40"/>
      <c r="H5" s="40"/>
      <c r="I5" s="40"/>
      <c r="J5" s="40"/>
      <c r="K5" s="40"/>
      <c r="L5" s="199"/>
      <c r="M5" s="40"/>
      <c r="N5" s="40"/>
      <c r="O5" s="40"/>
      <c r="P5" s="40"/>
      <c r="Q5" s="94"/>
      <c r="R5" s="218"/>
      <c r="S5" s="218"/>
      <c r="T5" s="40"/>
      <c r="U5" s="40"/>
      <c r="V5" s="40"/>
      <c r="W5" s="40"/>
      <c r="X5" s="40"/>
      <c r="Y5" s="40"/>
      <c r="Z5" s="94"/>
      <c r="AA5" s="94"/>
      <c r="AB5" s="94"/>
      <c r="AC5" s="94"/>
      <c r="AD5" s="91"/>
      <c r="AE5" s="199"/>
      <c r="AF5" s="544" t="s">
        <v>1827</v>
      </c>
      <c r="AG5" s="545"/>
      <c r="AH5" s="545"/>
      <c r="AI5" s="545"/>
      <c r="AJ5" s="545"/>
      <c r="AK5" s="545"/>
      <c r="AL5" s="545"/>
      <c r="AM5" s="545"/>
      <c r="AN5" s="545"/>
      <c r="AO5" s="545"/>
      <c r="AP5" s="545"/>
      <c r="AQ5" s="545"/>
      <c r="AR5" s="545"/>
      <c r="AS5" s="545"/>
      <c r="AT5" s="545"/>
      <c r="AU5" s="545"/>
      <c r="AV5" s="545"/>
      <c r="AW5" s="545"/>
      <c r="AX5" s="545"/>
    </row>
    <row r="6" spans="1:50" s="154" customFormat="1" ht="5.25" customHeight="1">
      <c r="A6" s="37"/>
      <c r="B6" s="37"/>
      <c r="C6" s="41"/>
      <c r="D6" s="217"/>
      <c r="E6" s="547"/>
      <c r="F6" s="151"/>
      <c r="G6" s="39"/>
      <c r="H6" s="39"/>
      <c r="I6" s="39"/>
      <c r="J6" s="39"/>
      <c r="K6" s="40"/>
      <c r="L6" s="149"/>
      <c r="M6" s="39"/>
      <c r="N6" s="39"/>
      <c r="O6" s="39"/>
      <c r="P6" s="39"/>
      <c r="Q6" s="151"/>
      <c r="R6" s="548"/>
      <c r="S6" s="548"/>
      <c r="T6" s="39"/>
      <c r="U6" s="39"/>
      <c r="V6" s="39"/>
      <c r="W6" s="39"/>
      <c r="X6" s="40"/>
      <c r="Y6" s="40"/>
      <c r="Z6" s="151"/>
      <c r="AA6" s="151"/>
      <c r="AB6" s="151"/>
      <c r="AC6" s="151"/>
      <c r="AD6" s="150"/>
      <c r="AE6" s="199"/>
      <c r="AF6" s="91"/>
      <c r="AG6" s="545"/>
      <c r="AH6" s="545"/>
      <c r="AI6" s="545"/>
      <c r="AJ6" s="545"/>
      <c r="AK6" s="54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</row>
    <row r="7" spans="1:50" ht="12.75" customHeight="1">
      <c r="D7" s="42"/>
      <c r="E7" s="520"/>
      <c r="F7" s="117"/>
      <c r="G7" s="549"/>
      <c r="H7" s="117"/>
      <c r="I7" s="549"/>
      <c r="J7" s="130"/>
      <c r="K7" s="5114" t="s">
        <v>1828</v>
      </c>
      <c r="L7" s="5114"/>
      <c r="M7" s="5114"/>
      <c r="N7" s="5116" t="s">
        <v>1829</v>
      </c>
      <c r="O7" s="5116"/>
      <c r="P7" s="5118" t="s">
        <v>1830</v>
      </c>
      <c r="Q7" s="5119"/>
      <c r="R7" s="5122" t="s">
        <v>1831</v>
      </c>
      <c r="S7" s="5122"/>
      <c r="T7" s="550"/>
      <c r="U7" s="44"/>
      <c r="V7" s="44"/>
      <c r="W7" s="550"/>
      <c r="X7" s="44"/>
      <c r="Y7" s="156"/>
      <c r="Z7" s="44"/>
      <c r="AA7" s="193"/>
      <c r="AB7" s="156"/>
      <c r="AC7" s="551"/>
      <c r="AD7" s="43"/>
      <c r="AE7" s="43"/>
      <c r="AF7" s="109"/>
      <c r="AG7" s="13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33"/>
      <c r="AX7" s="1"/>
    </row>
    <row r="8" spans="1:50" s="85" customFormat="1" ht="19.5" customHeight="1">
      <c r="A8" s="36"/>
      <c r="B8" s="36"/>
      <c r="C8" s="36"/>
      <c r="D8" s="68"/>
      <c r="E8" s="552"/>
      <c r="F8" s="553"/>
      <c r="G8" s="553"/>
      <c r="H8" s="53"/>
      <c r="I8" s="553"/>
      <c r="J8" s="554"/>
      <c r="K8" s="5115"/>
      <c r="L8" s="5115"/>
      <c r="M8" s="5115"/>
      <c r="N8" s="5117"/>
      <c r="O8" s="5117"/>
      <c r="P8" s="5120"/>
      <c r="Q8" s="5121"/>
      <c r="R8" s="5123"/>
      <c r="S8" s="5123"/>
      <c r="T8" s="53"/>
      <c r="U8" s="53"/>
      <c r="V8" s="53"/>
      <c r="W8" s="53"/>
      <c r="X8" s="52"/>
      <c r="Y8" s="9"/>
      <c r="Z8" s="9"/>
      <c r="AA8" s="9"/>
      <c r="AB8" s="51"/>
      <c r="AC8" s="9" t="s">
        <v>1832</v>
      </c>
      <c r="AD8" s="440"/>
      <c r="AE8" s="440"/>
      <c r="AF8" s="419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555"/>
    </row>
    <row r="9" spans="1:50" ht="18.95" customHeight="1">
      <c r="D9" s="532"/>
      <c r="E9" s="556"/>
      <c r="F9" s="119"/>
      <c r="G9" s="557"/>
      <c r="H9" s="104"/>
      <c r="I9" s="557"/>
      <c r="J9" s="116"/>
      <c r="K9" s="558"/>
      <c r="L9" s="123"/>
      <c r="M9" s="558"/>
      <c r="N9" s="559"/>
      <c r="O9" s="560"/>
      <c r="P9" s="108"/>
      <c r="Q9" s="561"/>
      <c r="R9" s="562"/>
      <c r="S9" s="563"/>
      <c r="T9" s="53"/>
      <c r="U9" s="53"/>
      <c r="V9" s="53"/>
      <c r="W9" s="53"/>
      <c r="X9" s="52"/>
      <c r="Y9" s="9"/>
      <c r="Z9" s="9"/>
      <c r="AA9" s="9"/>
      <c r="AB9" s="51" t="s">
        <v>1832</v>
      </c>
      <c r="AC9" s="145" t="s">
        <v>1761</v>
      </c>
      <c r="AD9" s="103"/>
      <c r="AE9" s="103"/>
      <c r="AF9" s="100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33"/>
      <c r="AX9" s="1"/>
    </row>
    <row r="10" spans="1:50" ht="18.95" customHeight="1">
      <c r="D10" s="5107"/>
      <c r="E10" s="5108"/>
      <c r="F10" s="104"/>
      <c r="G10" s="104"/>
      <c r="H10" s="102" t="s">
        <v>1833</v>
      </c>
      <c r="I10" s="102"/>
      <c r="J10" s="124" t="s">
        <v>1798</v>
      </c>
      <c r="K10" s="102"/>
      <c r="L10" s="102" t="s">
        <v>1798</v>
      </c>
      <c r="M10" s="564"/>
      <c r="N10" s="102"/>
      <c r="O10" s="565"/>
      <c r="P10" s="102" t="s">
        <v>1834</v>
      </c>
      <c r="Q10" s="120"/>
      <c r="R10" s="10"/>
      <c r="S10" s="144"/>
      <c r="T10" s="6" t="s">
        <v>1835</v>
      </c>
      <c r="U10" s="6" t="s">
        <v>1836</v>
      </c>
      <c r="V10" s="6" t="s">
        <v>1837</v>
      </c>
      <c r="W10" s="6" t="s">
        <v>1838</v>
      </c>
      <c r="X10" s="104"/>
      <c r="Y10" s="6" t="s">
        <v>1386</v>
      </c>
      <c r="Z10" s="6" t="s">
        <v>1386</v>
      </c>
      <c r="AA10" s="6" t="s">
        <v>1839</v>
      </c>
      <c r="AB10" s="6" t="s">
        <v>1840</v>
      </c>
      <c r="AC10" s="145" t="s">
        <v>395</v>
      </c>
      <c r="AD10" s="5109"/>
      <c r="AE10" s="5110"/>
      <c r="AF10" s="5111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33"/>
      <c r="AX10" s="1"/>
    </row>
    <row r="11" spans="1:50">
      <c r="D11" s="5107"/>
      <c r="E11" s="5108"/>
      <c r="F11" s="102" t="s">
        <v>1841</v>
      </c>
      <c r="G11" s="102" t="s">
        <v>1842</v>
      </c>
      <c r="H11" s="102" t="s">
        <v>1843</v>
      </c>
      <c r="I11" s="102" t="s">
        <v>1575</v>
      </c>
      <c r="J11" s="124" t="s">
        <v>1800</v>
      </c>
      <c r="K11" s="102" t="s">
        <v>330</v>
      </c>
      <c r="L11" s="102" t="s">
        <v>1844</v>
      </c>
      <c r="M11" s="102" t="s">
        <v>1845</v>
      </c>
      <c r="N11" s="102" t="s">
        <v>1846</v>
      </c>
      <c r="O11" s="124" t="s">
        <v>1769</v>
      </c>
      <c r="P11" s="102" t="s">
        <v>1847</v>
      </c>
      <c r="Q11" s="566" t="s">
        <v>1848</v>
      </c>
      <c r="R11" s="10" t="s">
        <v>1849</v>
      </c>
      <c r="S11" s="7" t="s">
        <v>1769</v>
      </c>
      <c r="T11" s="6" t="s">
        <v>1850</v>
      </c>
      <c r="U11" s="6" t="s">
        <v>1851</v>
      </c>
      <c r="V11" s="6" t="s">
        <v>1852</v>
      </c>
      <c r="W11" s="6" t="s">
        <v>1853</v>
      </c>
      <c r="X11" s="6" t="s">
        <v>1854</v>
      </c>
      <c r="Y11" s="6" t="s">
        <v>1855</v>
      </c>
      <c r="Z11" s="6" t="s">
        <v>1856</v>
      </c>
      <c r="AA11" s="6" t="s">
        <v>1381</v>
      </c>
      <c r="AB11" s="6" t="s">
        <v>395</v>
      </c>
      <c r="AC11" s="145" t="s">
        <v>1857</v>
      </c>
      <c r="AD11" s="5109"/>
      <c r="AE11" s="5110"/>
      <c r="AF11" s="5111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33"/>
      <c r="AX11" s="1"/>
    </row>
    <row r="12" spans="1:50" s="2" customFormat="1" ht="21" customHeight="1">
      <c r="A12" s="35"/>
      <c r="B12" s="35"/>
      <c r="C12" s="35"/>
      <c r="D12" s="147"/>
      <c r="E12" s="556"/>
      <c r="F12" s="102"/>
      <c r="G12" s="102"/>
      <c r="H12" s="102"/>
      <c r="I12" s="102"/>
      <c r="J12" s="124"/>
      <c r="K12" s="102"/>
      <c r="L12" s="102"/>
      <c r="M12" s="102"/>
      <c r="N12" s="102"/>
      <c r="O12" s="124"/>
      <c r="P12" s="102"/>
      <c r="Q12" s="566"/>
      <c r="R12" s="10"/>
      <c r="S12" s="7"/>
      <c r="T12" s="6"/>
      <c r="U12" s="6"/>
      <c r="V12" s="6"/>
      <c r="W12" s="6"/>
      <c r="X12" s="6"/>
      <c r="Y12" s="6"/>
      <c r="Z12" s="6"/>
      <c r="AA12" s="6"/>
      <c r="AB12" s="104"/>
      <c r="AC12" s="567"/>
      <c r="AD12" s="5109"/>
      <c r="AE12" s="5110"/>
      <c r="AF12" s="5111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568"/>
    </row>
    <row r="13" spans="1:50" s="2" customFormat="1" ht="20.100000000000001" customHeight="1">
      <c r="A13" s="35"/>
      <c r="B13" s="35"/>
      <c r="C13" s="35"/>
      <c r="D13" s="532"/>
      <c r="E13" s="556"/>
      <c r="F13" s="122"/>
      <c r="G13" s="569"/>
      <c r="H13" s="104"/>
      <c r="I13" s="122"/>
      <c r="J13" s="570"/>
      <c r="K13" s="122"/>
      <c r="L13" s="102"/>
      <c r="M13" s="571"/>
      <c r="N13" s="569"/>
      <c r="O13" s="121"/>
      <c r="P13" s="569"/>
      <c r="Q13" s="120"/>
      <c r="R13" s="10"/>
      <c r="S13" s="7"/>
      <c r="T13" s="6" t="s">
        <v>1858</v>
      </c>
      <c r="U13" s="6" t="s">
        <v>1859</v>
      </c>
      <c r="V13" s="6" t="s">
        <v>1860</v>
      </c>
      <c r="W13" s="6" t="s">
        <v>1861</v>
      </c>
      <c r="X13" s="104"/>
      <c r="Y13" s="6"/>
      <c r="Z13" s="6"/>
      <c r="AA13" s="6"/>
      <c r="AB13" s="104"/>
      <c r="AC13" s="145" t="s">
        <v>401</v>
      </c>
      <c r="AD13" s="5109"/>
      <c r="AE13" s="5110"/>
      <c r="AF13" s="5111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568"/>
    </row>
    <row r="14" spans="1:50" s="168" customFormat="1" ht="20.100000000000001" customHeight="1">
      <c r="A14" s="98"/>
      <c r="B14" s="98"/>
      <c r="C14" s="98"/>
      <c r="D14" s="5107"/>
      <c r="E14" s="5108"/>
      <c r="F14" s="572"/>
      <c r="G14" s="573"/>
      <c r="H14" s="572" t="s">
        <v>1862</v>
      </c>
      <c r="I14" s="572" t="s">
        <v>1863</v>
      </c>
      <c r="J14" s="574" t="s">
        <v>1804</v>
      </c>
      <c r="K14" s="572"/>
      <c r="L14" s="572" t="s">
        <v>1864</v>
      </c>
      <c r="M14" s="575"/>
      <c r="N14" s="572"/>
      <c r="O14" s="574"/>
      <c r="P14" s="572" t="s">
        <v>1865</v>
      </c>
      <c r="Q14" s="576"/>
      <c r="R14" s="522" t="s">
        <v>1866</v>
      </c>
      <c r="S14" s="11"/>
      <c r="T14" s="12" t="s">
        <v>127</v>
      </c>
      <c r="U14" s="12" t="s">
        <v>127</v>
      </c>
      <c r="V14" s="12" t="s">
        <v>127</v>
      </c>
      <c r="W14" s="12" t="s">
        <v>1867</v>
      </c>
      <c r="X14" s="577"/>
      <c r="Y14" s="12" t="s">
        <v>1868</v>
      </c>
      <c r="Z14" s="12" t="s">
        <v>1869</v>
      </c>
      <c r="AA14" s="12" t="s">
        <v>1870</v>
      </c>
      <c r="AB14" s="12" t="s">
        <v>401</v>
      </c>
      <c r="AC14" s="145" t="s">
        <v>1871</v>
      </c>
      <c r="AD14" s="5109"/>
      <c r="AE14" s="5110"/>
      <c r="AF14" s="5111"/>
      <c r="AG14" s="578"/>
      <c r="AH14" s="578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579"/>
    </row>
    <row r="15" spans="1:50" s="168" customFormat="1" ht="18.95" customHeight="1">
      <c r="A15" s="98"/>
      <c r="B15" s="98"/>
      <c r="C15" s="98"/>
      <c r="D15" s="5107"/>
      <c r="E15" s="5108"/>
      <c r="F15" s="572" t="s">
        <v>1639</v>
      </c>
      <c r="G15" s="572" t="s">
        <v>1872</v>
      </c>
      <c r="H15" s="572" t="s">
        <v>1873</v>
      </c>
      <c r="I15" s="572" t="s">
        <v>1874</v>
      </c>
      <c r="J15" s="574" t="s">
        <v>1806</v>
      </c>
      <c r="K15" s="572" t="s">
        <v>119</v>
      </c>
      <c r="L15" s="572" t="s">
        <v>1806</v>
      </c>
      <c r="M15" s="572" t="s">
        <v>1875</v>
      </c>
      <c r="N15" s="572" t="s">
        <v>1876</v>
      </c>
      <c r="O15" s="574" t="s">
        <v>401</v>
      </c>
      <c r="P15" s="572" t="s">
        <v>1877</v>
      </c>
      <c r="Q15" s="580" t="s">
        <v>1878</v>
      </c>
      <c r="R15" s="522" t="s">
        <v>1879</v>
      </c>
      <c r="S15" s="11" t="s">
        <v>401</v>
      </c>
      <c r="T15" s="12" t="s">
        <v>1880</v>
      </c>
      <c r="U15" s="12" t="s">
        <v>1881</v>
      </c>
      <c r="V15" s="12" t="s">
        <v>1882</v>
      </c>
      <c r="W15" s="12" t="s">
        <v>1883</v>
      </c>
      <c r="X15" s="12" t="s">
        <v>1884</v>
      </c>
      <c r="Y15" s="12" t="s">
        <v>1885</v>
      </c>
      <c r="Z15" s="12" t="s">
        <v>1885</v>
      </c>
      <c r="AA15" s="12" t="s">
        <v>126</v>
      </c>
      <c r="AB15" s="12" t="s">
        <v>1495</v>
      </c>
      <c r="AC15" s="581" t="s">
        <v>1495</v>
      </c>
      <c r="AD15" s="5109"/>
      <c r="AE15" s="5110"/>
      <c r="AF15" s="5111"/>
      <c r="AG15" s="578"/>
      <c r="AH15" s="578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579"/>
    </row>
    <row r="16" spans="1:50" s="85" customFormat="1" ht="20.100000000000001" customHeight="1">
      <c r="A16" s="36"/>
      <c r="B16" s="36"/>
      <c r="C16" s="36"/>
      <c r="D16" s="5128" t="s">
        <v>1886</v>
      </c>
      <c r="E16" s="5129"/>
      <c r="F16" s="5124">
        <v>12.8</v>
      </c>
      <c r="G16" s="5124">
        <v>1</v>
      </c>
      <c r="H16" s="5124">
        <v>1.6</v>
      </c>
      <c r="I16" s="5124">
        <v>17.8</v>
      </c>
      <c r="J16" s="5124">
        <v>13</v>
      </c>
      <c r="K16" s="5126">
        <v>1.3</v>
      </c>
      <c r="L16" s="5126">
        <v>1.5</v>
      </c>
      <c r="M16" s="5126">
        <v>3.5</v>
      </c>
      <c r="N16" s="5126">
        <v>12.6</v>
      </c>
      <c r="O16" s="5124">
        <v>18.899999999999999</v>
      </c>
      <c r="P16" s="5126">
        <v>3.2</v>
      </c>
      <c r="Q16" s="5142">
        <v>1.2</v>
      </c>
      <c r="R16" s="5144">
        <v>2.2999999999999998</v>
      </c>
      <c r="S16" s="5146">
        <v>6.7</v>
      </c>
      <c r="T16" s="5124">
        <v>1.7</v>
      </c>
      <c r="U16" s="5124">
        <v>1.6</v>
      </c>
      <c r="V16" s="5124">
        <v>2.6</v>
      </c>
      <c r="W16" s="5124">
        <v>12.2</v>
      </c>
      <c r="X16" s="5124">
        <v>3.1</v>
      </c>
      <c r="Y16" s="5124">
        <v>1.1000000000000001</v>
      </c>
      <c r="Z16" s="5124">
        <v>3</v>
      </c>
      <c r="AA16" s="5124">
        <v>2.9</v>
      </c>
      <c r="AB16" s="5124">
        <v>100</v>
      </c>
      <c r="AC16" s="5132"/>
      <c r="AD16" s="5134" t="s">
        <v>1887</v>
      </c>
      <c r="AE16" s="5135"/>
      <c r="AF16" s="5136"/>
      <c r="AG16" s="582"/>
      <c r="AH16" s="582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555"/>
    </row>
    <row r="17" spans="1:54" s="84" customFormat="1" ht="37.5" customHeight="1">
      <c r="A17" s="242"/>
      <c r="B17" s="242"/>
      <c r="C17" s="242"/>
      <c r="D17" s="5130"/>
      <c r="E17" s="4999"/>
      <c r="F17" s="5125"/>
      <c r="G17" s="5125"/>
      <c r="H17" s="5125"/>
      <c r="I17" s="5125"/>
      <c r="J17" s="5125"/>
      <c r="K17" s="5127"/>
      <c r="L17" s="5127"/>
      <c r="M17" s="5127"/>
      <c r="N17" s="5127"/>
      <c r="O17" s="5125"/>
      <c r="P17" s="5127"/>
      <c r="Q17" s="5143"/>
      <c r="R17" s="5145"/>
      <c r="S17" s="5147"/>
      <c r="T17" s="5125"/>
      <c r="U17" s="5125"/>
      <c r="V17" s="5125"/>
      <c r="W17" s="5125"/>
      <c r="X17" s="5125"/>
      <c r="Y17" s="5125"/>
      <c r="Z17" s="5125"/>
      <c r="AA17" s="5125"/>
      <c r="AB17" s="5125"/>
      <c r="AC17" s="5133"/>
      <c r="AD17" s="5137" t="s">
        <v>1888</v>
      </c>
      <c r="AE17" s="5138"/>
      <c r="AF17" s="5139"/>
      <c r="AG17" s="582"/>
      <c r="AH17" s="582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U17" s="583"/>
      <c r="AV17" s="429"/>
      <c r="AW17" s="429"/>
      <c r="AX17" s="429"/>
      <c r="AY17" s="429"/>
      <c r="AZ17" s="429"/>
      <c r="BA17" s="429"/>
      <c r="BB17" s="429"/>
    </row>
    <row r="18" spans="1:54" s="2" customFormat="1" ht="21" customHeight="1">
      <c r="A18" s="35"/>
      <c r="B18" s="35"/>
      <c r="C18" s="35"/>
      <c r="D18" s="584"/>
      <c r="E18" s="585">
        <v>1968</v>
      </c>
      <c r="F18" s="586">
        <v>20.399999999999999</v>
      </c>
      <c r="G18" s="587">
        <v>137.5</v>
      </c>
      <c r="H18" s="587">
        <v>29.2</v>
      </c>
      <c r="I18" s="587">
        <v>40.9</v>
      </c>
      <c r="J18" s="587">
        <v>24</v>
      </c>
      <c r="K18" s="523" t="s">
        <v>1098</v>
      </c>
      <c r="L18" s="523" t="s">
        <v>1098</v>
      </c>
      <c r="M18" s="587">
        <v>57.7</v>
      </c>
      <c r="N18" s="523">
        <v>41.2</v>
      </c>
      <c r="O18" s="523">
        <v>45.9</v>
      </c>
      <c r="P18" s="523">
        <v>10.6</v>
      </c>
      <c r="Q18" s="523" t="s">
        <v>1098</v>
      </c>
      <c r="R18" s="523" t="s">
        <v>1098</v>
      </c>
      <c r="S18" s="523">
        <v>11.6</v>
      </c>
      <c r="T18" s="523" t="s">
        <v>1098</v>
      </c>
      <c r="U18" s="587">
        <v>94.8</v>
      </c>
      <c r="V18" s="587">
        <v>34.299999999999997</v>
      </c>
      <c r="W18" s="587">
        <v>44.1</v>
      </c>
      <c r="X18" s="587">
        <v>24.2</v>
      </c>
      <c r="Y18" s="587">
        <v>31.2</v>
      </c>
      <c r="Z18" s="523" t="s">
        <v>1098</v>
      </c>
      <c r="AA18" s="523" t="s">
        <v>1098</v>
      </c>
      <c r="AB18" s="523">
        <v>28.2</v>
      </c>
      <c r="AC18" s="588">
        <v>28.2</v>
      </c>
      <c r="AD18" s="589">
        <v>1968</v>
      </c>
      <c r="AE18" s="589"/>
      <c r="AF18" s="590"/>
      <c r="AG18" s="436"/>
      <c r="AH18" s="436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568"/>
    </row>
    <row r="19" spans="1:54" s="18" customFormat="1" ht="21" customHeight="1">
      <c r="A19" s="26"/>
      <c r="B19" s="26"/>
      <c r="C19" s="26"/>
      <c r="D19" s="591"/>
      <c r="E19" s="592">
        <v>1969</v>
      </c>
      <c r="F19" s="182">
        <v>23.9</v>
      </c>
      <c r="G19" s="170">
        <v>154.4</v>
      </c>
      <c r="H19" s="170">
        <v>38.9</v>
      </c>
      <c r="I19" s="70">
        <v>38.299999999999997</v>
      </c>
      <c r="J19" s="70">
        <v>28.3</v>
      </c>
      <c r="K19" s="593" t="s">
        <v>1098</v>
      </c>
      <c r="L19" s="593" t="s">
        <v>1098</v>
      </c>
      <c r="M19" s="170">
        <v>73.7</v>
      </c>
      <c r="N19" s="70">
        <v>54.8</v>
      </c>
      <c r="O19" s="70">
        <v>59.3</v>
      </c>
      <c r="P19" s="70">
        <v>10.7</v>
      </c>
      <c r="Q19" s="593" t="s">
        <v>1098</v>
      </c>
      <c r="R19" s="593" t="s">
        <v>1098</v>
      </c>
      <c r="S19" s="70">
        <v>11.7</v>
      </c>
      <c r="T19" s="593" t="s">
        <v>1098</v>
      </c>
      <c r="U19" s="170">
        <v>93.7</v>
      </c>
      <c r="V19" s="170">
        <v>36.1</v>
      </c>
      <c r="W19" s="170">
        <v>49.1</v>
      </c>
      <c r="X19" s="170">
        <v>41.7</v>
      </c>
      <c r="Y19" s="170">
        <v>31.2</v>
      </c>
      <c r="Z19" s="593" t="s">
        <v>1098</v>
      </c>
      <c r="AA19" s="593" t="s">
        <v>1098</v>
      </c>
      <c r="AB19" s="170">
        <v>33.700000000000003</v>
      </c>
      <c r="AC19" s="171">
        <v>33.700000000000003</v>
      </c>
      <c r="AD19" s="594">
        <v>1969</v>
      </c>
      <c r="AE19" s="594"/>
      <c r="AF19" s="595"/>
      <c r="AG19" s="138"/>
      <c r="AH19" s="138"/>
      <c r="AU19" s="33"/>
    </row>
    <row r="20" spans="1:54" ht="21" customHeight="1">
      <c r="D20" s="238"/>
      <c r="E20" s="596">
        <v>1970</v>
      </c>
      <c r="F20" s="178">
        <v>23.4</v>
      </c>
      <c r="G20" s="57">
        <v>154.19999999999999</v>
      </c>
      <c r="H20" s="57">
        <v>38.200000000000003</v>
      </c>
      <c r="I20" s="71">
        <v>33.1</v>
      </c>
      <c r="J20" s="71">
        <v>27.2</v>
      </c>
      <c r="K20" s="523" t="s">
        <v>1098</v>
      </c>
      <c r="L20" s="523" t="s">
        <v>1098</v>
      </c>
      <c r="M20" s="57">
        <v>57.9</v>
      </c>
      <c r="N20" s="71">
        <v>49.6</v>
      </c>
      <c r="O20" s="71">
        <v>48.7</v>
      </c>
      <c r="P20" s="71">
        <v>14</v>
      </c>
      <c r="Q20" s="523" t="s">
        <v>1098</v>
      </c>
      <c r="R20" s="523" t="s">
        <v>1098</v>
      </c>
      <c r="S20" s="71">
        <v>15.2</v>
      </c>
      <c r="T20" s="523" t="s">
        <v>1098</v>
      </c>
      <c r="U20" s="57">
        <v>71.599999999999994</v>
      </c>
      <c r="V20" s="57">
        <v>33.799999999999997</v>
      </c>
      <c r="W20" s="57">
        <v>44.1</v>
      </c>
      <c r="X20" s="57">
        <v>49.6</v>
      </c>
      <c r="Y20" s="57">
        <v>30.8</v>
      </c>
      <c r="Z20" s="523" t="s">
        <v>1098</v>
      </c>
      <c r="AA20" s="523" t="s">
        <v>1098</v>
      </c>
      <c r="AB20" s="57">
        <v>29.1</v>
      </c>
      <c r="AC20" s="160">
        <v>29.1</v>
      </c>
      <c r="AD20" s="589">
        <v>1970</v>
      </c>
      <c r="AE20" s="589"/>
      <c r="AF20" s="590"/>
      <c r="AG20" s="436"/>
      <c r="AH20" s="138"/>
      <c r="AJ20" s="18"/>
      <c r="AU20" s="33"/>
      <c r="AX20" s="1"/>
    </row>
    <row r="21" spans="1:54" ht="21" customHeight="1">
      <c r="D21" s="591"/>
      <c r="E21" s="592">
        <v>1971</v>
      </c>
      <c r="F21" s="182">
        <v>26</v>
      </c>
      <c r="G21" s="170">
        <v>92.3</v>
      </c>
      <c r="H21" s="170">
        <v>29.9</v>
      </c>
      <c r="I21" s="70">
        <v>22.5</v>
      </c>
      <c r="J21" s="70">
        <v>34</v>
      </c>
      <c r="K21" s="593" t="s">
        <v>1098</v>
      </c>
      <c r="L21" s="593" t="s">
        <v>1098</v>
      </c>
      <c r="M21" s="170">
        <v>64.3</v>
      </c>
      <c r="N21" s="70">
        <v>18.899999999999999</v>
      </c>
      <c r="O21" s="70">
        <v>42.9</v>
      </c>
      <c r="P21" s="70">
        <v>21.3</v>
      </c>
      <c r="Q21" s="593" t="s">
        <v>1098</v>
      </c>
      <c r="R21" s="593" t="s">
        <v>1098</v>
      </c>
      <c r="S21" s="70">
        <v>23.1</v>
      </c>
      <c r="T21" s="593" t="s">
        <v>1098</v>
      </c>
      <c r="U21" s="170">
        <v>103.7</v>
      </c>
      <c r="V21" s="170">
        <v>52.8</v>
      </c>
      <c r="W21" s="170">
        <v>41.8</v>
      </c>
      <c r="X21" s="170">
        <v>66.2</v>
      </c>
      <c r="Y21" s="170">
        <v>34.1</v>
      </c>
      <c r="Z21" s="593" t="s">
        <v>1098</v>
      </c>
      <c r="AA21" s="593" t="s">
        <v>1098</v>
      </c>
      <c r="AB21" s="170">
        <v>34.6</v>
      </c>
      <c r="AC21" s="171">
        <v>34.6</v>
      </c>
      <c r="AD21" s="594">
        <v>1971</v>
      </c>
      <c r="AE21" s="594"/>
      <c r="AF21" s="595"/>
      <c r="AG21" s="436"/>
      <c r="AH21" s="138"/>
      <c r="AJ21" s="18"/>
      <c r="AU21" s="33"/>
      <c r="AX21" s="1"/>
    </row>
    <row r="22" spans="1:54" ht="21" customHeight="1">
      <c r="D22" s="238"/>
      <c r="E22" s="596">
        <v>1972</v>
      </c>
      <c r="F22" s="178">
        <v>30.8</v>
      </c>
      <c r="G22" s="57">
        <v>84</v>
      </c>
      <c r="H22" s="57">
        <v>39</v>
      </c>
      <c r="I22" s="71">
        <v>25</v>
      </c>
      <c r="J22" s="71">
        <v>37</v>
      </c>
      <c r="K22" s="523" t="s">
        <v>1098</v>
      </c>
      <c r="L22" s="523" t="s">
        <v>1098</v>
      </c>
      <c r="M22" s="57">
        <v>101.5</v>
      </c>
      <c r="N22" s="71">
        <v>62.2</v>
      </c>
      <c r="O22" s="71">
        <v>77.599999999999994</v>
      </c>
      <c r="P22" s="71">
        <v>20.7</v>
      </c>
      <c r="Q22" s="523" t="s">
        <v>1098</v>
      </c>
      <c r="R22" s="523" t="s">
        <v>1098</v>
      </c>
      <c r="S22" s="71">
        <v>22.5</v>
      </c>
      <c r="T22" s="523" t="s">
        <v>1098</v>
      </c>
      <c r="U22" s="57">
        <v>131.5</v>
      </c>
      <c r="V22" s="57">
        <v>52.5</v>
      </c>
      <c r="W22" s="57">
        <v>41.1</v>
      </c>
      <c r="X22" s="57">
        <v>85.6</v>
      </c>
      <c r="Y22" s="57">
        <v>34.5</v>
      </c>
      <c r="Z22" s="523" t="s">
        <v>1098</v>
      </c>
      <c r="AA22" s="523" t="s">
        <v>1098</v>
      </c>
      <c r="AB22" s="57">
        <v>42.3</v>
      </c>
      <c r="AC22" s="160">
        <v>42.3</v>
      </c>
      <c r="AD22" s="589">
        <v>1972</v>
      </c>
      <c r="AE22" s="589"/>
      <c r="AF22" s="590"/>
      <c r="AG22" s="436"/>
      <c r="AH22" s="138"/>
      <c r="AJ22" s="18"/>
      <c r="AU22" s="33"/>
      <c r="AX22" s="1"/>
    </row>
    <row r="23" spans="1:54" ht="21" customHeight="1">
      <c r="D23" s="591"/>
      <c r="E23" s="592">
        <v>1973</v>
      </c>
      <c r="F23" s="182">
        <v>35.299999999999997</v>
      </c>
      <c r="G23" s="170">
        <v>92.5</v>
      </c>
      <c r="H23" s="170">
        <v>43.6</v>
      </c>
      <c r="I23" s="70">
        <v>38.1</v>
      </c>
      <c r="J23" s="70">
        <v>41.2</v>
      </c>
      <c r="K23" s="593" t="s">
        <v>1098</v>
      </c>
      <c r="L23" s="593" t="s">
        <v>1098</v>
      </c>
      <c r="M23" s="170">
        <v>94.7</v>
      </c>
      <c r="N23" s="70">
        <v>57.9</v>
      </c>
      <c r="O23" s="70">
        <v>72.400000000000006</v>
      </c>
      <c r="P23" s="70">
        <v>22.4</v>
      </c>
      <c r="Q23" s="593" t="s">
        <v>1098</v>
      </c>
      <c r="R23" s="593" t="s">
        <v>1098</v>
      </c>
      <c r="S23" s="70">
        <v>24.4</v>
      </c>
      <c r="T23" s="593" t="s">
        <v>1098</v>
      </c>
      <c r="U23" s="170">
        <v>181</v>
      </c>
      <c r="V23" s="170">
        <v>49.6</v>
      </c>
      <c r="W23" s="170">
        <v>58.7</v>
      </c>
      <c r="X23" s="170">
        <v>80.400000000000006</v>
      </c>
      <c r="Y23" s="170">
        <v>41.8</v>
      </c>
      <c r="Z23" s="593" t="s">
        <v>1098</v>
      </c>
      <c r="AA23" s="593" t="s">
        <v>1098</v>
      </c>
      <c r="AB23" s="170">
        <v>46.5</v>
      </c>
      <c r="AC23" s="171">
        <v>46.5</v>
      </c>
      <c r="AD23" s="594">
        <v>1973</v>
      </c>
      <c r="AE23" s="594"/>
      <c r="AF23" s="595"/>
      <c r="AG23" s="138"/>
      <c r="AH23" s="138"/>
      <c r="AJ23" s="18"/>
      <c r="AU23" s="33"/>
      <c r="AX23" s="1"/>
    </row>
    <row r="24" spans="1:54" ht="21" customHeight="1">
      <c r="D24" s="238"/>
      <c r="E24" s="596">
        <v>1974</v>
      </c>
      <c r="F24" s="178">
        <v>41.5</v>
      </c>
      <c r="G24" s="57">
        <v>108.5</v>
      </c>
      <c r="H24" s="57">
        <v>50.1</v>
      </c>
      <c r="I24" s="71">
        <v>59</v>
      </c>
      <c r="J24" s="71">
        <v>45.7</v>
      </c>
      <c r="K24" s="523" t="s">
        <v>1098</v>
      </c>
      <c r="L24" s="523" t="s">
        <v>1098</v>
      </c>
      <c r="M24" s="57">
        <v>94.4</v>
      </c>
      <c r="N24" s="71">
        <v>52.3</v>
      </c>
      <c r="O24" s="71">
        <v>70.5</v>
      </c>
      <c r="P24" s="71">
        <v>24.4</v>
      </c>
      <c r="Q24" s="523" t="s">
        <v>1098</v>
      </c>
      <c r="R24" s="523" t="s">
        <v>1098</v>
      </c>
      <c r="S24" s="71">
        <v>26.5</v>
      </c>
      <c r="T24" s="523" t="s">
        <v>1098</v>
      </c>
      <c r="U24" s="57">
        <v>145.30000000000001</v>
      </c>
      <c r="V24" s="57">
        <v>51</v>
      </c>
      <c r="W24" s="57">
        <v>53.7</v>
      </c>
      <c r="X24" s="57">
        <v>64.5</v>
      </c>
      <c r="Y24" s="57">
        <v>46.9</v>
      </c>
      <c r="Z24" s="523" t="s">
        <v>1098</v>
      </c>
      <c r="AA24" s="523" t="s">
        <v>1098</v>
      </c>
      <c r="AB24" s="57">
        <v>49.5</v>
      </c>
      <c r="AC24" s="160">
        <v>49.5</v>
      </c>
      <c r="AD24" s="180">
        <v>1974</v>
      </c>
      <c r="AE24" s="589"/>
      <c r="AF24" s="590"/>
      <c r="AG24" s="138"/>
      <c r="AH24" s="138"/>
      <c r="AJ24" s="18"/>
      <c r="AU24" s="33"/>
      <c r="AX24" s="1"/>
    </row>
    <row r="25" spans="1:54" ht="21" customHeight="1">
      <c r="D25" s="591"/>
      <c r="E25" s="592">
        <v>1975</v>
      </c>
      <c r="F25" s="182">
        <v>50</v>
      </c>
      <c r="G25" s="170">
        <v>102.5</v>
      </c>
      <c r="H25" s="170">
        <v>58.8</v>
      </c>
      <c r="I25" s="70">
        <v>47.6</v>
      </c>
      <c r="J25" s="70">
        <v>50.6</v>
      </c>
      <c r="K25" s="593" t="s">
        <v>1098</v>
      </c>
      <c r="L25" s="593" t="s">
        <v>1098</v>
      </c>
      <c r="M25" s="170">
        <v>91.8</v>
      </c>
      <c r="N25" s="70">
        <v>64.400000000000006</v>
      </c>
      <c r="O25" s="70">
        <v>72.7</v>
      </c>
      <c r="P25" s="70">
        <v>34.4</v>
      </c>
      <c r="Q25" s="70">
        <v>20.399999999999999</v>
      </c>
      <c r="R25" s="70">
        <v>62</v>
      </c>
      <c r="S25" s="70">
        <v>41.4</v>
      </c>
      <c r="T25" s="170">
        <v>29.3</v>
      </c>
      <c r="U25" s="170">
        <v>126.1</v>
      </c>
      <c r="V25" s="170">
        <v>67.2</v>
      </c>
      <c r="W25" s="170">
        <v>54.4</v>
      </c>
      <c r="X25" s="170">
        <v>80.3</v>
      </c>
      <c r="Y25" s="170">
        <v>78.5</v>
      </c>
      <c r="Z25" s="70">
        <v>43.2</v>
      </c>
      <c r="AA25" s="70">
        <v>50.5</v>
      </c>
      <c r="AB25" s="170">
        <v>53.2</v>
      </c>
      <c r="AC25" s="171">
        <v>53.2</v>
      </c>
      <c r="AD25" s="183">
        <v>1975</v>
      </c>
      <c r="AE25" s="594"/>
      <c r="AF25" s="595"/>
      <c r="AG25" s="138"/>
      <c r="AH25" s="138"/>
      <c r="AJ25" s="18"/>
      <c r="AU25" s="33"/>
      <c r="AX25" s="1"/>
    </row>
    <row r="26" spans="1:54" ht="21" customHeight="1">
      <c r="D26" s="238"/>
      <c r="E26" s="596">
        <v>1976</v>
      </c>
      <c r="F26" s="178">
        <v>51.9</v>
      </c>
      <c r="G26" s="57">
        <v>102.9</v>
      </c>
      <c r="H26" s="57">
        <v>75.3</v>
      </c>
      <c r="I26" s="71">
        <v>60.1</v>
      </c>
      <c r="J26" s="71">
        <v>70.8</v>
      </c>
      <c r="K26" s="523" t="s">
        <v>1098</v>
      </c>
      <c r="L26" s="523" t="s">
        <v>1098</v>
      </c>
      <c r="M26" s="57">
        <v>93.5</v>
      </c>
      <c r="N26" s="71">
        <v>77.099999999999994</v>
      </c>
      <c r="O26" s="71">
        <v>82</v>
      </c>
      <c r="P26" s="71">
        <v>45.4</v>
      </c>
      <c r="Q26" s="71">
        <v>45.1</v>
      </c>
      <c r="R26" s="71">
        <v>76.400000000000006</v>
      </c>
      <c r="S26" s="71">
        <v>56</v>
      </c>
      <c r="T26" s="57">
        <v>49.6</v>
      </c>
      <c r="U26" s="57">
        <v>98.5</v>
      </c>
      <c r="V26" s="57">
        <v>64.599999999999994</v>
      </c>
      <c r="W26" s="57">
        <v>65.8</v>
      </c>
      <c r="X26" s="57">
        <v>98.6</v>
      </c>
      <c r="Y26" s="57">
        <v>88.1</v>
      </c>
      <c r="Z26" s="71">
        <v>46.6</v>
      </c>
      <c r="AA26" s="71">
        <v>68.5</v>
      </c>
      <c r="AB26" s="57">
        <v>66.5</v>
      </c>
      <c r="AC26" s="160">
        <v>66.5</v>
      </c>
      <c r="AD26" s="180">
        <v>1976</v>
      </c>
      <c r="AE26" s="589"/>
      <c r="AF26" s="590"/>
      <c r="AG26" s="138"/>
      <c r="AH26" s="138"/>
      <c r="AJ26" s="18"/>
      <c r="AU26" s="33"/>
      <c r="AX26" s="1"/>
    </row>
    <row r="27" spans="1:54" ht="21" customHeight="1">
      <c r="D27" s="591"/>
      <c r="E27" s="592">
        <v>1977</v>
      </c>
      <c r="F27" s="182">
        <v>62.2</v>
      </c>
      <c r="G27" s="170">
        <v>118.1</v>
      </c>
      <c r="H27" s="170">
        <v>73.400000000000006</v>
      </c>
      <c r="I27" s="70">
        <v>62.5</v>
      </c>
      <c r="J27" s="70">
        <v>72.400000000000006</v>
      </c>
      <c r="K27" s="593" t="s">
        <v>1098</v>
      </c>
      <c r="L27" s="593" t="s">
        <v>1098</v>
      </c>
      <c r="M27" s="170">
        <v>86.3</v>
      </c>
      <c r="N27" s="70">
        <v>78.8</v>
      </c>
      <c r="O27" s="70">
        <v>81.099999999999994</v>
      </c>
      <c r="P27" s="70">
        <v>46.4</v>
      </c>
      <c r="Q27" s="70">
        <v>67.2</v>
      </c>
      <c r="R27" s="70">
        <v>63</v>
      </c>
      <c r="S27" s="70">
        <v>55.8</v>
      </c>
      <c r="T27" s="170">
        <v>77.7</v>
      </c>
      <c r="U27" s="170">
        <v>105.9</v>
      </c>
      <c r="V27" s="170">
        <v>61.4</v>
      </c>
      <c r="W27" s="170">
        <v>73.099999999999994</v>
      </c>
      <c r="X27" s="170">
        <v>81.3</v>
      </c>
      <c r="Y27" s="170">
        <v>82.8</v>
      </c>
      <c r="Z27" s="70">
        <v>68</v>
      </c>
      <c r="AA27" s="70">
        <v>60.2</v>
      </c>
      <c r="AB27" s="170">
        <v>69</v>
      </c>
      <c r="AC27" s="171">
        <v>69</v>
      </c>
      <c r="AD27" s="183">
        <v>1977</v>
      </c>
      <c r="AE27" s="594"/>
      <c r="AF27" s="595"/>
      <c r="AG27" s="138"/>
      <c r="AH27" s="138"/>
      <c r="AJ27" s="18"/>
      <c r="AU27" s="33"/>
      <c r="AX27" s="1"/>
    </row>
    <row r="28" spans="1:54" ht="21" customHeight="1">
      <c r="D28" s="238"/>
      <c r="E28" s="596">
        <v>1978</v>
      </c>
      <c r="F28" s="178">
        <v>76.3</v>
      </c>
      <c r="G28" s="57">
        <v>95.9</v>
      </c>
      <c r="H28" s="57">
        <v>64.8</v>
      </c>
      <c r="I28" s="71">
        <v>82</v>
      </c>
      <c r="J28" s="71">
        <v>87.5</v>
      </c>
      <c r="K28" s="523" t="s">
        <v>1098</v>
      </c>
      <c r="L28" s="523" t="s">
        <v>1098</v>
      </c>
      <c r="M28" s="57">
        <v>89</v>
      </c>
      <c r="N28" s="71">
        <v>80.599999999999994</v>
      </c>
      <c r="O28" s="71">
        <v>83.1</v>
      </c>
      <c r="P28" s="71">
        <v>66.599999999999994</v>
      </c>
      <c r="Q28" s="71">
        <v>78.2</v>
      </c>
      <c r="R28" s="71">
        <v>86.5</v>
      </c>
      <c r="S28" s="71">
        <v>75.5</v>
      </c>
      <c r="T28" s="57">
        <v>158.4</v>
      </c>
      <c r="U28" s="57">
        <v>119.4</v>
      </c>
      <c r="V28" s="57">
        <v>80.599999999999994</v>
      </c>
      <c r="W28" s="57">
        <v>78</v>
      </c>
      <c r="X28" s="57">
        <v>100.2</v>
      </c>
      <c r="Y28" s="57">
        <v>79.8</v>
      </c>
      <c r="Z28" s="71">
        <v>74.2</v>
      </c>
      <c r="AA28" s="71">
        <v>63.7</v>
      </c>
      <c r="AB28" s="57">
        <v>84.7</v>
      </c>
      <c r="AC28" s="160">
        <v>84.7</v>
      </c>
      <c r="AD28" s="180">
        <v>1978</v>
      </c>
      <c r="AE28" s="589"/>
      <c r="AF28" s="590"/>
      <c r="AG28" s="138"/>
      <c r="AH28" s="138"/>
      <c r="AJ28" s="18"/>
      <c r="AU28" s="33"/>
      <c r="AX28" s="1"/>
    </row>
    <row r="29" spans="1:54" ht="21" customHeight="1">
      <c r="D29" s="591"/>
      <c r="E29" s="592">
        <v>1979</v>
      </c>
      <c r="F29" s="182">
        <v>100</v>
      </c>
      <c r="G29" s="170">
        <v>100</v>
      </c>
      <c r="H29" s="170">
        <v>100</v>
      </c>
      <c r="I29" s="70">
        <v>100</v>
      </c>
      <c r="J29" s="70">
        <v>100</v>
      </c>
      <c r="K29" s="70">
        <v>100</v>
      </c>
      <c r="L29" s="170">
        <v>100</v>
      </c>
      <c r="M29" s="170">
        <v>100</v>
      </c>
      <c r="N29" s="70">
        <v>100</v>
      </c>
      <c r="O29" s="70">
        <v>100</v>
      </c>
      <c r="P29" s="70">
        <v>100</v>
      </c>
      <c r="Q29" s="70">
        <v>100</v>
      </c>
      <c r="R29" s="70">
        <v>100</v>
      </c>
      <c r="S29" s="70">
        <v>100</v>
      </c>
      <c r="T29" s="170">
        <v>100</v>
      </c>
      <c r="U29" s="170">
        <v>100</v>
      </c>
      <c r="V29" s="170">
        <v>100</v>
      </c>
      <c r="W29" s="170">
        <v>100</v>
      </c>
      <c r="X29" s="170">
        <v>100</v>
      </c>
      <c r="Y29" s="170">
        <v>100</v>
      </c>
      <c r="Z29" s="70">
        <v>100</v>
      </c>
      <c r="AA29" s="70">
        <v>100</v>
      </c>
      <c r="AB29" s="170">
        <v>100</v>
      </c>
      <c r="AC29" s="171">
        <v>100</v>
      </c>
      <c r="AD29" s="183">
        <v>1979</v>
      </c>
      <c r="AE29" s="594"/>
      <c r="AF29" s="595"/>
      <c r="AG29" s="138"/>
      <c r="AH29" s="138"/>
      <c r="AJ29" s="18"/>
      <c r="AU29" s="33"/>
      <c r="AX29" s="1"/>
    </row>
    <row r="30" spans="1:54" ht="21" customHeight="1">
      <c r="D30" s="238"/>
      <c r="E30" s="596">
        <v>1980</v>
      </c>
      <c r="F30" s="178">
        <v>121.9</v>
      </c>
      <c r="G30" s="57">
        <v>106.6</v>
      </c>
      <c r="H30" s="57">
        <v>91.6</v>
      </c>
      <c r="I30" s="71">
        <v>138.30000000000001</v>
      </c>
      <c r="J30" s="71">
        <v>105.7</v>
      </c>
      <c r="K30" s="71">
        <v>104.6</v>
      </c>
      <c r="L30" s="57">
        <v>166.7</v>
      </c>
      <c r="M30" s="57">
        <v>146.4</v>
      </c>
      <c r="N30" s="71">
        <v>106.9</v>
      </c>
      <c r="O30" s="71">
        <v>118.8</v>
      </c>
      <c r="P30" s="71">
        <v>117.5</v>
      </c>
      <c r="Q30" s="71">
        <v>92.4</v>
      </c>
      <c r="R30" s="71">
        <v>173.1</v>
      </c>
      <c r="S30" s="71">
        <v>132.1</v>
      </c>
      <c r="T30" s="57">
        <v>99.1</v>
      </c>
      <c r="U30" s="57">
        <v>99.9</v>
      </c>
      <c r="V30" s="57">
        <v>112.5</v>
      </c>
      <c r="W30" s="57">
        <v>123.7</v>
      </c>
      <c r="X30" s="57">
        <v>93</v>
      </c>
      <c r="Y30" s="57">
        <v>104.4</v>
      </c>
      <c r="Z30" s="71">
        <v>109.7</v>
      </c>
      <c r="AA30" s="71">
        <v>106.8</v>
      </c>
      <c r="AB30" s="57">
        <v>119.5</v>
      </c>
      <c r="AC30" s="160">
        <v>119.5</v>
      </c>
      <c r="AD30" s="180">
        <v>1980</v>
      </c>
      <c r="AE30" s="589"/>
      <c r="AF30" s="590"/>
      <c r="AG30" s="138"/>
      <c r="AH30" s="138"/>
      <c r="AJ30" s="18"/>
      <c r="AU30" s="33"/>
      <c r="AX30" s="1"/>
    </row>
    <row r="31" spans="1:54" ht="21" customHeight="1">
      <c r="D31" s="591"/>
      <c r="E31" s="592">
        <v>1981</v>
      </c>
      <c r="F31" s="182">
        <v>135</v>
      </c>
      <c r="G31" s="170">
        <v>90.1</v>
      </c>
      <c r="H31" s="170">
        <v>162.1</v>
      </c>
      <c r="I31" s="70">
        <v>150.1</v>
      </c>
      <c r="J31" s="70">
        <v>126.9</v>
      </c>
      <c r="K31" s="70">
        <v>164.6</v>
      </c>
      <c r="L31" s="170">
        <v>142.1</v>
      </c>
      <c r="M31" s="170">
        <v>154.69999999999999</v>
      </c>
      <c r="N31" s="70">
        <v>169</v>
      </c>
      <c r="O31" s="70">
        <v>164.1</v>
      </c>
      <c r="P31" s="70">
        <v>133.69999999999999</v>
      </c>
      <c r="Q31" s="70">
        <v>103.6</v>
      </c>
      <c r="R31" s="70">
        <v>172</v>
      </c>
      <c r="S31" s="70">
        <v>141.5</v>
      </c>
      <c r="T31" s="170">
        <v>102.9</v>
      </c>
      <c r="U31" s="170">
        <v>102.6</v>
      </c>
      <c r="V31" s="170">
        <v>94.3</v>
      </c>
      <c r="W31" s="170">
        <v>140.4</v>
      </c>
      <c r="X31" s="170">
        <v>108</v>
      </c>
      <c r="Y31" s="170">
        <v>143.19999999999999</v>
      </c>
      <c r="Z31" s="70">
        <v>118.6</v>
      </c>
      <c r="AA31" s="70">
        <v>111.1</v>
      </c>
      <c r="AB31" s="170">
        <v>139.19999999999999</v>
      </c>
      <c r="AC31" s="171">
        <v>139.19999999999999</v>
      </c>
      <c r="AD31" s="183">
        <v>1981</v>
      </c>
      <c r="AE31" s="594"/>
      <c r="AF31" s="595"/>
      <c r="AG31" s="138"/>
      <c r="AH31" s="138"/>
      <c r="AJ31" s="18"/>
      <c r="AU31" s="33"/>
      <c r="AX31" s="1"/>
    </row>
    <row r="32" spans="1:54" ht="21" customHeight="1">
      <c r="D32" s="238"/>
      <c r="E32" s="596">
        <v>1982</v>
      </c>
      <c r="F32" s="178">
        <v>169.8</v>
      </c>
      <c r="G32" s="57">
        <v>37.4</v>
      </c>
      <c r="H32" s="57">
        <v>148.30000000000001</v>
      </c>
      <c r="I32" s="71">
        <v>155.30000000000001</v>
      </c>
      <c r="J32" s="71">
        <v>146</v>
      </c>
      <c r="K32" s="71">
        <v>170.1</v>
      </c>
      <c r="L32" s="57">
        <v>149.4</v>
      </c>
      <c r="M32" s="57">
        <v>126.5</v>
      </c>
      <c r="N32" s="71">
        <v>158.30000000000001</v>
      </c>
      <c r="O32" s="71">
        <v>152.69999999999999</v>
      </c>
      <c r="P32" s="71">
        <v>114.9</v>
      </c>
      <c r="Q32" s="71">
        <v>109.4</v>
      </c>
      <c r="R32" s="71">
        <v>209.3</v>
      </c>
      <c r="S32" s="71">
        <v>146.30000000000001</v>
      </c>
      <c r="T32" s="57">
        <v>108.6</v>
      </c>
      <c r="U32" s="57">
        <v>98.4</v>
      </c>
      <c r="V32" s="57">
        <v>81.8</v>
      </c>
      <c r="W32" s="57">
        <v>139.80000000000001</v>
      </c>
      <c r="X32" s="57">
        <v>124.7</v>
      </c>
      <c r="Y32" s="57">
        <v>158.30000000000001</v>
      </c>
      <c r="Z32" s="71">
        <v>62.1</v>
      </c>
      <c r="AA32" s="71">
        <v>130.19999999999999</v>
      </c>
      <c r="AB32" s="57">
        <v>143.80000000000001</v>
      </c>
      <c r="AC32" s="160">
        <v>143.80000000000001</v>
      </c>
      <c r="AD32" s="180">
        <v>1982</v>
      </c>
      <c r="AE32" s="589"/>
      <c r="AF32" s="590"/>
      <c r="AG32" s="138"/>
      <c r="AH32" s="138"/>
      <c r="AJ32" s="18"/>
      <c r="AU32" s="33"/>
      <c r="AX32" s="1"/>
    </row>
    <row r="33" spans="1:50" ht="21" customHeight="1">
      <c r="D33" s="591"/>
      <c r="E33" s="592">
        <v>1983</v>
      </c>
      <c r="F33" s="182">
        <v>207.1</v>
      </c>
      <c r="G33" s="170">
        <v>49.7</v>
      </c>
      <c r="H33" s="170">
        <v>111.7</v>
      </c>
      <c r="I33" s="70">
        <v>167.8</v>
      </c>
      <c r="J33" s="70">
        <v>144.19999999999999</v>
      </c>
      <c r="K33" s="70">
        <v>212.8</v>
      </c>
      <c r="L33" s="170">
        <v>103.3</v>
      </c>
      <c r="M33" s="170">
        <v>203.6</v>
      </c>
      <c r="N33" s="70">
        <v>173.2</v>
      </c>
      <c r="O33" s="70">
        <v>176.2</v>
      </c>
      <c r="P33" s="70">
        <v>86.1</v>
      </c>
      <c r="Q33" s="70">
        <v>122.8</v>
      </c>
      <c r="R33" s="70">
        <v>223.8</v>
      </c>
      <c r="S33" s="70">
        <v>139.9</v>
      </c>
      <c r="T33" s="170">
        <v>99.6</v>
      </c>
      <c r="U33" s="170">
        <v>104.7</v>
      </c>
      <c r="V33" s="170">
        <v>96.3</v>
      </c>
      <c r="W33" s="170">
        <v>119.6</v>
      </c>
      <c r="X33" s="170">
        <v>119.1</v>
      </c>
      <c r="Y33" s="170">
        <v>119.4</v>
      </c>
      <c r="Z33" s="70">
        <v>65.7</v>
      </c>
      <c r="AA33" s="70">
        <v>117.3</v>
      </c>
      <c r="AB33" s="170">
        <v>150.9</v>
      </c>
      <c r="AC33" s="171">
        <v>150.9</v>
      </c>
      <c r="AD33" s="183">
        <v>1983</v>
      </c>
      <c r="AE33" s="594"/>
      <c r="AF33" s="595"/>
      <c r="AG33" s="138"/>
      <c r="AH33" s="138"/>
      <c r="AJ33" s="18"/>
      <c r="AU33" s="33"/>
      <c r="AX33" s="1"/>
    </row>
    <row r="34" spans="1:50" ht="21" customHeight="1">
      <c r="D34" s="238"/>
      <c r="E34" s="596">
        <v>1984</v>
      </c>
      <c r="F34" s="178">
        <v>240.6</v>
      </c>
      <c r="G34" s="57">
        <v>66.400000000000006</v>
      </c>
      <c r="H34" s="57">
        <v>160.80000000000001</v>
      </c>
      <c r="I34" s="71">
        <v>219.7</v>
      </c>
      <c r="J34" s="71">
        <v>144.9</v>
      </c>
      <c r="K34" s="71">
        <v>205.8</v>
      </c>
      <c r="L34" s="57">
        <v>134.6</v>
      </c>
      <c r="M34" s="57">
        <v>325.10000000000002</v>
      </c>
      <c r="N34" s="71">
        <v>139.1</v>
      </c>
      <c r="O34" s="71">
        <v>177.8</v>
      </c>
      <c r="P34" s="71">
        <v>149.80000000000001</v>
      </c>
      <c r="Q34" s="71">
        <v>120.9</v>
      </c>
      <c r="R34" s="71">
        <v>291.3</v>
      </c>
      <c r="S34" s="71">
        <v>193.2</v>
      </c>
      <c r="T34" s="57">
        <v>92.6</v>
      </c>
      <c r="U34" s="57">
        <v>107</v>
      </c>
      <c r="V34" s="57">
        <v>126.4</v>
      </c>
      <c r="W34" s="57">
        <v>131.80000000000001</v>
      </c>
      <c r="X34" s="57">
        <v>118.9</v>
      </c>
      <c r="Y34" s="57">
        <v>135.6</v>
      </c>
      <c r="Z34" s="71">
        <v>86.9</v>
      </c>
      <c r="AA34" s="71">
        <v>136.80000000000001</v>
      </c>
      <c r="AB34" s="57">
        <v>173</v>
      </c>
      <c r="AC34" s="160">
        <v>181.2</v>
      </c>
      <c r="AD34" s="180">
        <v>1984</v>
      </c>
      <c r="AE34" s="589"/>
      <c r="AF34" s="590"/>
      <c r="AG34" s="138"/>
      <c r="AH34" s="138"/>
      <c r="AJ34" s="18"/>
      <c r="AU34" s="33"/>
      <c r="AX34" s="1"/>
    </row>
    <row r="35" spans="1:50" ht="21" customHeight="1">
      <c r="D35" s="591"/>
      <c r="E35" s="592">
        <v>1985</v>
      </c>
      <c r="F35" s="182">
        <v>263.5</v>
      </c>
      <c r="G35" s="170">
        <v>65.8</v>
      </c>
      <c r="H35" s="170">
        <v>200</v>
      </c>
      <c r="I35" s="70">
        <v>214.6</v>
      </c>
      <c r="J35" s="70">
        <v>141.1</v>
      </c>
      <c r="K35" s="70">
        <v>155.6</v>
      </c>
      <c r="L35" s="170">
        <v>128.4</v>
      </c>
      <c r="M35" s="170">
        <v>324.60000000000002</v>
      </c>
      <c r="N35" s="70">
        <v>165.5</v>
      </c>
      <c r="O35" s="70">
        <v>191.3</v>
      </c>
      <c r="P35" s="70">
        <v>98.5</v>
      </c>
      <c r="Q35" s="70">
        <v>113.7</v>
      </c>
      <c r="R35" s="70">
        <v>341.1</v>
      </c>
      <c r="S35" s="70">
        <v>184.5</v>
      </c>
      <c r="T35" s="170">
        <v>89.1</v>
      </c>
      <c r="U35" s="170">
        <v>108.7</v>
      </c>
      <c r="V35" s="170">
        <v>167.3</v>
      </c>
      <c r="W35" s="170">
        <v>107.7</v>
      </c>
      <c r="X35" s="170">
        <v>90.3</v>
      </c>
      <c r="Y35" s="170">
        <v>89.6</v>
      </c>
      <c r="Z35" s="70">
        <v>78.099999999999994</v>
      </c>
      <c r="AA35" s="70">
        <v>142.19999999999999</v>
      </c>
      <c r="AB35" s="170">
        <v>173.6</v>
      </c>
      <c r="AC35" s="171">
        <v>185.2</v>
      </c>
      <c r="AD35" s="183">
        <v>1985</v>
      </c>
      <c r="AE35" s="594"/>
      <c r="AF35" s="595"/>
      <c r="AG35" s="138"/>
      <c r="AH35" s="138"/>
      <c r="AJ35" s="18"/>
      <c r="AU35" s="33"/>
      <c r="AX35" s="1"/>
    </row>
    <row r="36" spans="1:50" ht="21" customHeight="1">
      <c r="D36" s="238"/>
      <c r="E36" s="596">
        <v>1986</v>
      </c>
      <c r="F36" s="178">
        <v>323.7</v>
      </c>
      <c r="G36" s="57">
        <v>72.3</v>
      </c>
      <c r="H36" s="57">
        <v>170.5</v>
      </c>
      <c r="I36" s="71">
        <v>221</v>
      </c>
      <c r="J36" s="71">
        <v>134.19999999999999</v>
      </c>
      <c r="K36" s="71">
        <v>115</v>
      </c>
      <c r="L36" s="57">
        <v>65</v>
      </c>
      <c r="M36" s="57">
        <v>287.89999999999998</v>
      </c>
      <c r="N36" s="71">
        <v>173.7</v>
      </c>
      <c r="O36" s="71">
        <v>182.2</v>
      </c>
      <c r="P36" s="71">
        <v>175.3</v>
      </c>
      <c r="Q36" s="71">
        <v>95.6</v>
      </c>
      <c r="R36" s="71">
        <v>339.2</v>
      </c>
      <c r="S36" s="71">
        <v>217.3</v>
      </c>
      <c r="T36" s="57">
        <v>114.1</v>
      </c>
      <c r="U36" s="57">
        <v>118.7</v>
      </c>
      <c r="V36" s="57">
        <v>148.19999999999999</v>
      </c>
      <c r="W36" s="57">
        <v>100.1</v>
      </c>
      <c r="X36" s="57">
        <v>87.8</v>
      </c>
      <c r="Y36" s="57">
        <v>73.2</v>
      </c>
      <c r="Z36" s="71">
        <v>69</v>
      </c>
      <c r="AA36" s="71">
        <v>97.9</v>
      </c>
      <c r="AB36" s="57">
        <v>179</v>
      </c>
      <c r="AC36" s="160">
        <v>187.8</v>
      </c>
      <c r="AD36" s="180">
        <v>1986</v>
      </c>
      <c r="AE36" s="589"/>
      <c r="AF36" s="590"/>
      <c r="AG36" s="138"/>
      <c r="AH36" s="138"/>
      <c r="AJ36" s="18"/>
      <c r="AU36" s="33"/>
      <c r="AX36" s="1"/>
    </row>
    <row r="37" spans="1:50" ht="21" customHeight="1">
      <c r="D37" s="597"/>
      <c r="E37" s="598">
        <v>1987</v>
      </c>
      <c r="F37" s="182">
        <v>381.8</v>
      </c>
      <c r="G37" s="170">
        <v>73.3</v>
      </c>
      <c r="H37" s="170">
        <v>245.3</v>
      </c>
      <c r="I37" s="170">
        <v>242.1</v>
      </c>
      <c r="J37" s="170">
        <v>140</v>
      </c>
      <c r="K37" s="170">
        <v>86.9</v>
      </c>
      <c r="L37" s="170">
        <v>36.9</v>
      </c>
      <c r="M37" s="170">
        <v>380.5</v>
      </c>
      <c r="N37" s="70">
        <v>183.3</v>
      </c>
      <c r="O37" s="70">
        <v>201.6</v>
      </c>
      <c r="P37" s="70">
        <v>164.1</v>
      </c>
      <c r="Q37" s="70">
        <v>105.9</v>
      </c>
      <c r="R37" s="70">
        <v>377.1</v>
      </c>
      <c r="S37" s="70">
        <v>226.8</v>
      </c>
      <c r="T37" s="170">
        <v>107.8</v>
      </c>
      <c r="U37" s="170">
        <v>113.6</v>
      </c>
      <c r="V37" s="170">
        <v>167.3</v>
      </c>
      <c r="W37" s="170">
        <v>125.9</v>
      </c>
      <c r="X37" s="170">
        <v>85.7</v>
      </c>
      <c r="Y37" s="170">
        <v>67.900000000000006</v>
      </c>
      <c r="Z37" s="70">
        <v>77.3</v>
      </c>
      <c r="AA37" s="70">
        <v>102.8</v>
      </c>
      <c r="AB37" s="70">
        <v>200.2</v>
      </c>
      <c r="AC37" s="171">
        <v>205.2</v>
      </c>
      <c r="AD37" s="599">
        <v>1987</v>
      </c>
      <c r="AE37" s="594"/>
      <c r="AF37" s="595"/>
      <c r="AG37" s="138"/>
      <c r="AH37" s="138"/>
      <c r="AJ37" s="18"/>
      <c r="AU37" s="33"/>
      <c r="AX37" s="1"/>
    </row>
    <row r="38" spans="1:50" s="17" customFormat="1" ht="21" customHeight="1">
      <c r="D38" s="221"/>
      <c r="E38" s="430">
        <v>1988</v>
      </c>
      <c r="F38" s="184">
        <v>353</v>
      </c>
      <c r="G38" s="74">
        <v>84.5</v>
      </c>
      <c r="H38" s="74">
        <v>208</v>
      </c>
      <c r="I38" s="74">
        <v>199</v>
      </c>
      <c r="J38" s="74">
        <v>137.69999999999999</v>
      </c>
      <c r="K38" s="74">
        <v>117.5</v>
      </c>
      <c r="L38" s="74">
        <v>85.1</v>
      </c>
      <c r="M38" s="74">
        <v>285.2</v>
      </c>
      <c r="N38" s="74">
        <v>162.9</v>
      </c>
      <c r="O38" s="74">
        <v>176.2</v>
      </c>
      <c r="P38" s="74">
        <v>119.2</v>
      </c>
      <c r="Q38" s="74">
        <v>99.2</v>
      </c>
      <c r="R38" s="74">
        <v>345.1</v>
      </c>
      <c r="S38" s="74">
        <v>193.1</v>
      </c>
      <c r="T38" s="74">
        <v>122.2</v>
      </c>
      <c r="U38" s="74">
        <v>121</v>
      </c>
      <c r="V38" s="74">
        <v>175.9</v>
      </c>
      <c r="W38" s="74">
        <v>115.3</v>
      </c>
      <c r="X38" s="74">
        <v>95.8</v>
      </c>
      <c r="Y38" s="74">
        <v>65</v>
      </c>
      <c r="Z38" s="74">
        <v>87.5</v>
      </c>
      <c r="AA38" s="74">
        <v>117.5</v>
      </c>
      <c r="AB38" s="74">
        <v>181.2</v>
      </c>
      <c r="AC38" s="162">
        <v>188.5</v>
      </c>
      <c r="AD38" s="600">
        <v>1988</v>
      </c>
      <c r="AE38" s="601"/>
      <c r="AF38" s="602"/>
      <c r="AG38" s="29"/>
      <c r="AH38" s="29"/>
      <c r="AJ38" s="26"/>
      <c r="AU38" s="402"/>
    </row>
    <row r="39" spans="1:50" s="437" customFormat="1" ht="35.1" hidden="1" customHeight="1">
      <c r="A39" s="17"/>
      <c r="B39" s="17"/>
      <c r="C39" s="17"/>
      <c r="D39" s="603"/>
      <c r="E39" s="604"/>
      <c r="F39" s="74"/>
      <c r="G39" s="74"/>
      <c r="H39" s="74"/>
      <c r="I39" s="74"/>
      <c r="J39" s="74"/>
      <c r="K39" s="74"/>
      <c r="L39" s="74"/>
      <c r="M39" s="74"/>
      <c r="N39" s="74"/>
      <c r="O39" s="75"/>
      <c r="P39" s="74"/>
      <c r="Q39" s="74"/>
      <c r="R39" s="74"/>
      <c r="S39" s="75"/>
      <c r="T39" s="74"/>
      <c r="U39" s="74"/>
      <c r="V39" s="74"/>
      <c r="W39" s="74"/>
      <c r="X39" s="74"/>
      <c r="Y39" s="74"/>
      <c r="Z39" s="74"/>
      <c r="AA39" s="74"/>
      <c r="AB39" s="75"/>
      <c r="AC39" s="253"/>
      <c r="AD39" s="601"/>
      <c r="AE39" s="601"/>
      <c r="AF39" s="602"/>
      <c r="AG39" s="605"/>
      <c r="AH39" s="605"/>
      <c r="AJ39" s="447"/>
      <c r="AU39" s="606"/>
    </row>
    <row r="40" spans="1:50" s="175" customFormat="1" ht="6.95" customHeight="1">
      <c r="A40" s="80"/>
      <c r="B40" s="80"/>
      <c r="C40" s="80"/>
      <c r="D40" s="607"/>
      <c r="E40" s="95"/>
      <c r="F40" s="425"/>
      <c r="G40" s="425"/>
      <c r="H40" s="425"/>
      <c r="I40" s="608"/>
      <c r="J40" s="608"/>
      <c r="K40" s="608"/>
      <c r="L40" s="608"/>
      <c r="M40" s="608"/>
      <c r="N40" s="608"/>
      <c r="O40" s="609"/>
      <c r="P40" s="608"/>
      <c r="Q40" s="608"/>
      <c r="R40" s="608"/>
      <c r="S40" s="609"/>
      <c r="T40" s="608"/>
      <c r="U40" s="608"/>
      <c r="V40" s="608"/>
      <c r="W40" s="608"/>
      <c r="X40" s="608"/>
      <c r="Y40" s="608"/>
      <c r="Z40" s="608"/>
      <c r="AA40" s="608"/>
      <c r="AB40" s="609"/>
      <c r="AC40" s="608"/>
      <c r="AD40" s="76"/>
      <c r="AE40" s="135"/>
      <c r="AF40" s="97"/>
      <c r="AG40" s="610"/>
      <c r="AH40" s="610"/>
    </row>
    <row r="41" spans="1:50" s="175" customFormat="1" ht="18" customHeight="1">
      <c r="A41" s="80"/>
      <c r="B41" s="80"/>
      <c r="C41" s="80"/>
      <c r="D41" s="607"/>
      <c r="E41" s="91" t="s">
        <v>1889</v>
      </c>
      <c r="F41" s="94" t="s">
        <v>1890</v>
      </c>
      <c r="G41" s="94"/>
      <c r="H41" s="94"/>
      <c r="I41" s="611"/>
      <c r="J41" s="611"/>
      <c r="K41" s="611"/>
      <c r="L41" s="611"/>
      <c r="M41" s="611"/>
      <c r="N41" s="611"/>
      <c r="O41" s="612"/>
      <c r="P41" s="611"/>
      <c r="Q41" s="611"/>
      <c r="R41" s="611"/>
      <c r="S41" s="612"/>
      <c r="T41" s="611"/>
      <c r="U41" s="611"/>
      <c r="V41" s="611"/>
      <c r="W41" s="611"/>
      <c r="X41" s="611"/>
      <c r="Y41" s="611"/>
      <c r="Z41" s="611"/>
      <c r="AA41" s="611"/>
      <c r="AB41" s="612"/>
      <c r="AC41" s="611"/>
      <c r="AD41" s="77"/>
      <c r="AE41" s="136" t="s">
        <v>1506</v>
      </c>
      <c r="AF41" s="97"/>
      <c r="AG41" s="610"/>
      <c r="AH41" s="610"/>
    </row>
    <row r="42" spans="1:50" s="175" customFormat="1" ht="18" customHeight="1">
      <c r="A42" s="80"/>
      <c r="B42" s="80"/>
      <c r="C42" s="80"/>
      <c r="D42" s="607"/>
      <c r="E42" s="78" t="s">
        <v>552</v>
      </c>
      <c r="F42" s="94" t="s">
        <v>1891</v>
      </c>
      <c r="G42" s="94"/>
      <c r="H42" s="94"/>
      <c r="I42" s="611"/>
      <c r="J42" s="611"/>
      <c r="K42" s="611"/>
      <c r="L42" s="611"/>
      <c r="M42" s="611"/>
      <c r="N42" s="611"/>
      <c r="O42" s="612"/>
      <c r="P42" s="611"/>
      <c r="Q42" s="611"/>
      <c r="R42" s="611"/>
      <c r="S42" s="612"/>
      <c r="T42" s="611"/>
      <c r="U42" s="611"/>
      <c r="V42" s="611"/>
      <c r="W42" s="611"/>
      <c r="X42" s="611"/>
      <c r="Y42" s="611"/>
      <c r="Z42" s="611"/>
      <c r="AA42" s="611"/>
      <c r="AB42" s="612"/>
      <c r="AC42" s="452"/>
      <c r="AD42" s="77"/>
      <c r="AE42" s="137" t="s">
        <v>1892</v>
      </c>
      <c r="AF42" s="613"/>
      <c r="AG42" s="610"/>
      <c r="AH42" s="610"/>
      <c r="AU42" s="403"/>
    </row>
    <row r="43" spans="1:50" s="154" customFormat="1" ht="18" customHeight="1">
      <c r="A43" s="37"/>
      <c r="B43" s="37"/>
      <c r="C43" s="37"/>
      <c r="D43" s="614"/>
      <c r="E43" s="543" t="s">
        <v>1893</v>
      </c>
      <c r="F43" s="611"/>
      <c r="G43" s="615"/>
      <c r="H43" s="615"/>
      <c r="I43" s="611"/>
      <c r="J43" s="611"/>
      <c r="K43" s="611"/>
      <c r="L43" s="615"/>
      <c r="M43" s="615"/>
      <c r="N43" s="611"/>
      <c r="O43" s="611"/>
      <c r="P43" s="611"/>
      <c r="Q43" s="611"/>
      <c r="R43" s="611"/>
      <c r="S43" s="615"/>
      <c r="T43" s="615"/>
      <c r="U43" s="615"/>
      <c r="V43" s="615"/>
      <c r="W43" s="615"/>
      <c r="X43" s="615"/>
      <c r="Y43" s="615"/>
      <c r="Z43" s="615"/>
      <c r="AA43" s="611"/>
      <c r="AB43" s="615"/>
      <c r="AC43" s="615"/>
      <c r="AD43" s="91"/>
      <c r="AE43" s="544" t="s">
        <v>1894</v>
      </c>
      <c r="AF43" s="519"/>
      <c r="AG43" s="616"/>
      <c r="AH43" s="616"/>
      <c r="AJ43" s="155"/>
      <c r="AU43" s="395"/>
    </row>
    <row r="44" spans="1:50" ht="36" customHeight="1">
      <c r="D44" s="530"/>
      <c r="E44" s="520"/>
      <c r="F44" s="5119" t="s">
        <v>1895</v>
      </c>
      <c r="G44" s="5114"/>
      <c r="H44" s="5114"/>
      <c r="I44" s="5114"/>
      <c r="J44" s="617"/>
      <c r="K44" s="618"/>
      <c r="L44" s="618"/>
      <c r="M44" s="118"/>
      <c r="N44" s="5122" t="s">
        <v>1896</v>
      </c>
      <c r="O44" s="5122"/>
      <c r="P44" s="5122"/>
      <c r="Q44" s="5122"/>
      <c r="R44" s="5114" t="s">
        <v>1895</v>
      </c>
      <c r="S44" s="5114"/>
      <c r="T44" s="5114"/>
      <c r="U44" s="5122" t="s">
        <v>1896</v>
      </c>
      <c r="V44" s="5122"/>
      <c r="W44" s="5122"/>
      <c r="X44" s="5122"/>
      <c r="Y44" s="396" t="s">
        <v>1796</v>
      </c>
      <c r="Z44" s="166"/>
      <c r="AA44" s="619"/>
      <c r="AB44" s="620"/>
      <c r="AC44" s="43"/>
      <c r="AD44" s="531"/>
      <c r="AE44" s="520"/>
      <c r="AF44" s="45"/>
      <c r="AG44" s="34"/>
      <c r="AH44" s="138"/>
      <c r="AJ44" s="18"/>
      <c r="AU44" s="33"/>
      <c r="AX44" s="1"/>
    </row>
    <row r="45" spans="1:50" s="85" customFormat="1" ht="33" customHeight="1">
      <c r="A45" s="36"/>
      <c r="B45" s="36"/>
      <c r="C45" s="36"/>
      <c r="D45" s="68"/>
      <c r="E45" s="451"/>
      <c r="F45" s="5140"/>
      <c r="G45" s="5141"/>
      <c r="H45" s="5141"/>
      <c r="I45" s="5141"/>
      <c r="J45" s="621"/>
      <c r="K45" s="622"/>
      <c r="L45" s="622"/>
      <c r="M45" s="623"/>
      <c r="N45" s="5123"/>
      <c r="O45" s="5123"/>
      <c r="P45" s="5123"/>
      <c r="Q45" s="5123"/>
      <c r="R45" s="5141"/>
      <c r="S45" s="5141"/>
      <c r="T45" s="5141"/>
      <c r="U45" s="5123"/>
      <c r="V45" s="5123"/>
      <c r="W45" s="5123"/>
      <c r="X45" s="5123"/>
      <c r="Y45" s="47" t="s">
        <v>1797</v>
      </c>
      <c r="Z45" s="46"/>
      <c r="AA45" s="624"/>
      <c r="AB45" s="625"/>
      <c r="AC45" s="440"/>
      <c r="AD45" s="626"/>
      <c r="AE45" s="451"/>
      <c r="AF45" s="627"/>
      <c r="AG45" s="429"/>
      <c r="AH45" s="582"/>
      <c r="AJ45" s="227"/>
      <c r="AU45" s="555"/>
    </row>
    <row r="46" spans="1:50" ht="3.75" customHeight="1">
      <c r="D46" s="532"/>
      <c r="E46" s="471"/>
      <c r="F46" s="628"/>
      <c r="G46" s="629"/>
      <c r="H46" s="630"/>
      <c r="I46" s="629"/>
      <c r="J46" s="631"/>
      <c r="K46" s="632"/>
      <c r="L46" s="633"/>
      <c r="M46" s="633"/>
      <c r="N46" s="632"/>
      <c r="O46" s="632"/>
      <c r="P46" s="634"/>
      <c r="Q46" s="635"/>
      <c r="R46" s="636"/>
      <c r="S46" s="497"/>
      <c r="T46" s="534"/>
      <c r="U46" s="106"/>
      <c r="V46" s="106"/>
      <c r="W46" s="534"/>
      <c r="X46" s="534"/>
      <c r="Y46" s="534"/>
      <c r="Z46" s="559"/>
      <c r="AA46" s="634"/>
      <c r="AB46" s="106"/>
      <c r="AC46" s="637"/>
      <c r="AD46" s="638"/>
      <c r="AE46" s="471"/>
      <c r="AF46" s="533"/>
      <c r="AG46" s="34"/>
      <c r="AH46" s="138"/>
      <c r="AJ46" s="18"/>
      <c r="AU46" s="33"/>
      <c r="AX46" s="1"/>
    </row>
    <row r="47" spans="1:50" ht="34.5" customHeight="1">
      <c r="D47" s="147"/>
      <c r="E47" s="125"/>
      <c r="F47" s="639"/>
      <c r="G47" s="639"/>
      <c r="H47" s="639"/>
      <c r="I47" s="639"/>
      <c r="J47" s="639"/>
      <c r="K47" s="623" t="s">
        <v>1830</v>
      </c>
      <c r="L47" s="126"/>
      <c r="M47" s="126"/>
      <c r="N47" s="126"/>
      <c r="O47" s="441" t="s">
        <v>1831</v>
      </c>
      <c r="P47" s="104"/>
      <c r="Q47" s="566"/>
      <c r="R47" s="132"/>
      <c r="S47" s="6"/>
      <c r="T47" s="6"/>
      <c r="U47" s="640"/>
      <c r="V47" s="6"/>
      <c r="W47" s="169"/>
      <c r="X47" s="169"/>
      <c r="Y47" s="6"/>
      <c r="Z47" s="102"/>
      <c r="AA47" s="102"/>
      <c r="AB47" s="104"/>
      <c r="AC47" s="641"/>
      <c r="AD47" s="642"/>
      <c r="AE47" s="521"/>
      <c r="AF47" s="643"/>
      <c r="AG47" s="18"/>
      <c r="AH47" s="138"/>
      <c r="AJ47" s="18"/>
      <c r="AU47" s="33"/>
      <c r="AX47" s="1"/>
    </row>
    <row r="48" spans="1:50" ht="20.100000000000001" customHeight="1">
      <c r="D48" s="147"/>
      <c r="E48" s="125"/>
      <c r="F48" s="644"/>
      <c r="G48" s="639"/>
      <c r="H48" s="639"/>
      <c r="I48" s="639"/>
      <c r="J48" s="639"/>
      <c r="K48" s="645"/>
      <c r="L48" s="108"/>
      <c r="M48" s="108"/>
      <c r="N48" s="108"/>
      <c r="O48" s="108"/>
      <c r="P48" s="102"/>
      <c r="Q48" s="566"/>
      <c r="R48" s="132"/>
      <c r="S48" s="6"/>
      <c r="T48" s="6"/>
      <c r="U48" s="6"/>
      <c r="V48" s="6"/>
      <c r="W48" s="169"/>
      <c r="X48" s="6"/>
      <c r="Y48" s="6"/>
      <c r="Z48" s="102"/>
      <c r="AA48" s="102" t="s">
        <v>1897</v>
      </c>
      <c r="AB48" s="104"/>
      <c r="AC48" s="641" t="s">
        <v>1832</v>
      </c>
      <c r="AD48" s="442"/>
      <c r="AE48" s="103"/>
      <c r="AF48" s="100"/>
      <c r="AG48" s="18"/>
      <c r="AH48" s="138"/>
      <c r="AJ48" s="18"/>
      <c r="AU48" s="33"/>
      <c r="AX48" s="1"/>
    </row>
    <row r="49" spans="1:50" ht="20.100000000000001" customHeight="1">
      <c r="D49" s="5107"/>
      <c r="E49" s="5131"/>
      <c r="F49" s="639"/>
      <c r="G49" s="639" t="s">
        <v>1898</v>
      </c>
      <c r="H49" s="639" t="s">
        <v>1899</v>
      </c>
      <c r="I49" s="639" t="s">
        <v>1798</v>
      </c>
      <c r="J49" s="639" t="s">
        <v>1798</v>
      </c>
      <c r="K49" s="132" t="s">
        <v>1834</v>
      </c>
      <c r="L49" s="102"/>
      <c r="M49" s="102"/>
      <c r="N49" s="571"/>
      <c r="O49" s="646"/>
      <c r="P49" s="102" t="s">
        <v>1900</v>
      </c>
      <c r="Q49" s="566" t="s">
        <v>1798</v>
      </c>
      <c r="R49" s="132" t="s">
        <v>1836</v>
      </c>
      <c r="S49" s="6" t="s">
        <v>1837</v>
      </c>
      <c r="T49" s="6"/>
      <c r="U49" s="6" t="s">
        <v>1386</v>
      </c>
      <c r="V49" s="6" t="s">
        <v>1386</v>
      </c>
      <c r="W49" s="6" t="s">
        <v>1317</v>
      </c>
      <c r="X49" s="6"/>
      <c r="Y49" s="104"/>
      <c r="Z49" s="104"/>
      <c r="AA49" s="102" t="s">
        <v>1901</v>
      </c>
      <c r="AB49" s="104"/>
      <c r="AC49" s="641" t="s">
        <v>1840</v>
      </c>
      <c r="AD49" s="5109"/>
      <c r="AE49" s="5110"/>
      <c r="AF49" s="5111"/>
      <c r="AG49" s="34"/>
      <c r="AH49" s="138"/>
      <c r="AJ49" s="18"/>
      <c r="AU49" s="33"/>
      <c r="AX49" s="1"/>
    </row>
    <row r="50" spans="1:50" ht="20.100000000000001" customHeight="1">
      <c r="D50" s="5107"/>
      <c r="E50" s="5131"/>
      <c r="F50" s="639" t="s">
        <v>330</v>
      </c>
      <c r="G50" s="639" t="s">
        <v>1902</v>
      </c>
      <c r="H50" s="639" t="s">
        <v>1903</v>
      </c>
      <c r="I50" s="639" t="s">
        <v>1904</v>
      </c>
      <c r="J50" s="639" t="s">
        <v>1800</v>
      </c>
      <c r="K50" s="132" t="s">
        <v>1847</v>
      </c>
      <c r="L50" s="102" t="s">
        <v>1905</v>
      </c>
      <c r="M50" s="102" t="s">
        <v>1848</v>
      </c>
      <c r="N50" s="102" t="s">
        <v>1906</v>
      </c>
      <c r="O50" s="7" t="s">
        <v>1907</v>
      </c>
      <c r="P50" s="102" t="s">
        <v>1908</v>
      </c>
      <c r="Q50" s="566" t="s">
        <v>1844</v>
      </c>
      <c r="R50" s="132" t="s">
        <v>1851</v>
      </c>
      <c r="S50" s="6" t="s">
        <v>1852</v>
      </c>
      <c r="T50" s="6" t="s">
        <v>1909</v>
      </c>
      <c r="U50" s="6" t="s">
        <v>1855</v>
      </c>
      <c r="V50" s="6" t="s">
        <v>1856</v>
      </c>
      <c r="W50" s="6" t="s">
        <v>1381</v>
      </c>
      <c r="X50" s="6" t="s">
        <v>1907</v>
      </c>
      <c r="Y50" s="6" t="s">
        <v>1573</v>
      </c>
      <c r="Z50" s="102" t="s">
        <v>1575</v>
      </c>
      <c r="AA50" s="102" t="s">
        <v>1910</v>
      </c>
      <c r="AB50" s="6" t="s">
        <v>1769</v>
      </c>
      <c r="AC50" s="641" t="s">
        <v>1911</v>
      </c>
      <c r="AD50" s="5109"/>
      <c r="AE50" s="5110"/>
      <c r="AF50" s="5111"/>
      <c r="AG50" s="34"/>
      <c r="AH50" s="138"/>
      <c r="AJ50" s="18"/>
      <c r="AU50" s="33"/>
      <c r="AX50" s="1"/>
    </row>
    <row r="51" spans="1:50" s="658" customFormat="1" ht="20.100000000000001" customHeight="1">
      <c r="A51" s="647"/>
      <c r="B51" s="647"/>
      <c r="C51" s="647"/>
      <c r="D51" s="648"/>
      <c r="E51" s="14"/>
      <c r="F51" s="649"/>
      <c r="G51" s="649"/>
      <c r="H51" s="649" t="s">
        <v>1912</v>
      </c>
      <c r="I51" s="649"/>
      <c r="J51" s="649"/>
      <c r="K51" s="650"/>
      <c r="L51" s="651"/>
      <c r="M51" s="651"/>
      <c r="N51" s="651"/>
      <c r="O51" s="652"/>
      <c r="P51" s="651" t="s">
        <v>1913</v>
      </c>
      <c r="Q51" s="653"/>
      <c r="R51" s="650" t="s">
        <v>1914</v>
      </c>
      <c r="S51" s="13" t="s">
        <v>1915</v>
      </c>
      <c r="T51" s="13"/>
      <c r="U51" s="13"/>
      <c r="V51" s="13"/>
      <c r="W51" s="13"/>
      <c r="X51" s="13"/>
      <c r="Y51" s="13"/>
      <c r="Z51" s="651"/>
      <c r="AA51" s="651" t="s">
        <v>1916</v>
      </c>
      <c r="AB51" s="12"/>
      <c r="AC51" s="654"/>
      <c r="AD51" s="655"/>
      <c r="AE51" s="654"/>
      <c r="AF51" s="656"/>
      <c r="AG51" s="657"/>
      <c r="AH51" s="578"/>
      <c r="AJ51" s="659"/>
      <c r="AU51" s="660"/>
    </row>
    <row r="52" spans="1:50" s="658" customFormat="1" ht="20.100000000000001" customHeight="1">
      <c r="A52" s="647"/>
      <c r="B52" s="647"/>
      <c r="C52" s="647"/>
      <c r="D52" s="5107"/>
      <c r="E52" s="5131"/>
      <c r="F52" s="649"/>
      <c r="G52" s="649" t="s">
        <v>1917</v>
      </c>
      <c r="H52" s="649" t="s">
        <v>1918</v>
      </c>
      <c r="I52" s="649" t="s">
        <v>1858</v>
      </c>
      <c r="J52" s="649" t="s">
        <v>1804</v>
      </c>
      <c r="K52" s="650" t="s">
        <v>1865</v>
      </c>
      <c r="L52" s="13" t="s">
        <v>1866</v>
      </c>
      <c r="M52" s="651"/>
      <c r="N52" s="651" t="s">
        <v>1919</v>
      </c>
      <c r="O52" s="652" t="s">
        <v>401</v>
      </c>
      <c r="P52" s="651" t="s">
        <v>1920</v>
      </c>
      <c r="Q52" s="653" t="s">
        <v>1864</v>
      </c>
      <c r="R52" s="650" t="s">
        <v>1921</v>
      </c>
      <c r="S52" s="13" t="s">
        <v>1921</v>
      </c>
      <c r="T52" s="13"/>
      <c r="U52" s="13" t="s">
        <v>1868</v>
      </c>
      <c r="V52" s="13" t="s">
        <v>1869</v>
      </c>
      <c r="W52" s="13" t="s">
        <v>1870</v>
      </c>
      <c r="X52" s="13"/>
      <c r="Y52" s="13"/>
      <c r="Z52" s="651" t="s">
        <v>1863</v>
      </c>
      <c r="AA52" s="651" t="s">
        <v>1922</v>
      </c>
      <c r="AB52" s="577"/>
      <c r="AC52" s="654" t="s">
        <v>401</v>
      </c>
      <c r="AD52" s="5109"/>
      <c r="AE52" s="5110"/>
      <c r="AF52" s="5111"/>
      <c r="AG52" s="657"/>
      <c r="AH52" s="578"/>
      <c r="AJ52" s="659"/>
      <c r="AU52" s="660"/>
    </row>
    <row r="53" spans="1:50" s="658" customFormat="1" ht="20.100000000000001" customHeight="1">
      <c r="A53" s="647"/>
      <c r="B53" s="647"/>
      <c r="C53" s="647"/>
      <c r="D53" s="5107"/>
      <c r="E53" s="5131"/>
      <c r="F53" s="661" t="s">
        <v>400</v>
      </c>
      <c r="G53" s="649" t="s">
        <v>1923</v>
      </c>
      <c r="H53" s="649" t="s">
        <v>1924</v>
      </c>
      <c r="I53" s="649" t="s">
        <v>1806</v>
      </c>
      <c r="J53" s="649" t="s">
        <v>1806</v>
      </c>
      <c r="K53" s="650" t="s">
        <v>1877</v>
      </c>
      <c r="L53" s="651" t="s">
        <v>1879</v>
      </c>
      <c r="M53" s="651" t="s">
        <v>1878</v>
      </c>
      <c r="N53" s="651" t="s">
        <v>1925</v>
      </c>
      <c r="O53" s="652"/>
      <c r="P53" s="651" t="s">
        <v>1806</v>
      </c>
      <c r="Q53" s="653" t="s">
        <v>1806</v>
      </c>
      <c r="R53" s="650" t="s">
        <v>1881</v>
      </c>
      <c r="S53" s="13" t="s">
        <v>1882</v>
      </c>
      <c r="T53" s="13" t="s">
        <v>1421</v>
      </c>
      <c r="U53" s="13" t="s">
        <v>1885</v>
      </c>
      <c r="V53" s="13" t="s">
        <v>1885</v>
      </c>
      <c r="W53" s="13" t="s">
        <v>126</v>
      </c>
      <c r="X53" s="13" t="s">
        <v>401</v>
      </c>
      <c r="Y53" s="13" t="s">
        <v>1586</v>
      </c>
      <c r="Z53" s="651" t="s">
        <v>1874</v>
      </c>
      <c r="AA53" s="651" t="s">
        <v>1655</v>
      </c>
      <c r="AB53" s="13" t="s">
        <v>401</v>
      </c>
      <c r="AC53" s="654" t="s">
        <v>1495</v>
      </c>
      <c r="AD53" s="5109"/>
      <c r="AE53" s="5110"/>
      <c r="AF53" s="5111"/>
      <c r="AG53" s="657"/>
      <c r="AH53" s="578"/>
      <c r="AJ53" s="659"/>
      <c r="AU53" s="660"/>
    </row>
    <row r="54" spans="1:50" s="85" customFormat="1" ht="20.100000000000001" customHeight="1">
      <c r="A54" s="36"/>
      <c r="B54" s="36"/>
      <c r="C54" s="36"/>
      <c r="D54" s="5148" t="s">
        <v>1926</v>
      </c>
      <c r="E54" s="5149"/>
      <c r="F54" s="5124">
        <v>6.1189999999999998</v>
      </c>
      <c r="G54" s="5124">
        <v>2.625</v>
      </c>
      <c r="H54" s="5124">
        <v>11.082000000000001</v>
      </c>
      <c r="I54" s="5124">
        <v>1.871</v>
      </c>
      <c r="J54" s="5124">
        <v>22.047999999999998</v>
      </c>
      <c r="K54" s="5124">
        <v>1.466</v>
      </c>
      <c r="L54" s="5126">
        <v>3.153</v>
      </c>
      <c r="M54" s="5126">
        <v>0.51900000000000002</v>
      </c>
      <c r="N54" s="5126">
        <v>4.681</v>
      </c>
      <c r="O54" s="5126">
        <v>9.7989999999999995</v>
      </c>
      <c r="P54" s="5124">
        <v>2.0449999999999999</v>
      </c>
      <c r="Q54" s="5142">
        <v>2.302</v>
      </c>
      <c r="R54" s="5144">
        <v>0.90900000000000003</v>
      </c>
      <c r="S54" s="5124">
        <v>2.7</v>
      </c>
      <c r="T54" s="5124">
        <v>10.359</v>
      </c>
      <c r="U54" s="5124">
        <v>0.64100000000000001</v>
      </c>
      <c r="V54" s="5124">
        <v>2.5329999999999999</v>
      </c>
      <c r="W54" s="5124">
        <v>6.0449999999999999</v>
      </c>
      <c r="X54" s="5124">
        <v>81.078000000000003</v>
      </c>
      <c r="Y54" s="5124">
        <v>8.3260000000000005</v>
      </c>
      <c r="Z54" s="5124">
        <v>9.7680000000000007</v>
      </c>
      <c r="AA54" s="5124">
        <v>0.82799999999999996</v>
      </c>
      <c r="AB54" s="5124">
        <v>18.922000000000001</v>
      </c>
      <c r="AC54" s="5159">
        <v>100</v>
      </c>
      <c r="AD54" s="5134" t="s">
        <v>1927</v>
      </c>
      <c r="AE54" s="5135"/>
      <c r="AF54" s="5136"/>
      <c r="AG54" s="662"/>
      <c r="AH54" s="582"/>
      <c r="AJ54" s="227"/>
      <c r="AU54" s="555"/>
    </row>
    <row r="55" spans="1:50" s="85" customFormat="1" ht="36" customHeight="1">
      <c r="A55" s="36"/>
      <c r="B55" s="36"/>
      <c r="C55" s="36"/>
      <c r="D55" s="5130"/>
      <c r="E55" s="4999"/>
      <c r="F55" s="5125"/>
      <c r="G55" s="5125"/>
      <c r="H55" s="5125"/>
      <c r="I55" s="5125"/>
      <c r="J55" s="5125"/>
      <c r="K55" s="5125"/>
      <c r="L55" s="5127"/>
      <c r="M55" s="5127"/>
      <c r="N55" s="5127"/>
      <c r="O55" s="5127"/>
      <c r="P55" s="5125"/>
      <c r="Q55" s="5143"/>
      <c r="R55" s="5145"/>
      <c r="S55" s="5125"/>
      <c r="T55" s="5125"/>
      <c r="U55" s="5125"/>
      <c r="V55" s="5125"/>
      <c r="W55" s="5125"/>
      <c r="X55" s="5125"/>
      <c r="Y55" s="5125"/>
      <c r="Z55" s="5125"/>
      <c r="AA55" s="5125"/>
      <c r="AB55" s="5125"/>
      <c r="AC55" s="5160"/>
      <c r="AD55" s="5109" t="s">
        <v>1888</v>
      </c>
      <c r="AE55" s="5110"/>
      <c r="AF55" s="5111"/>
      <c r="AG55" s="429"/>
      <c r="AH55" s="582"/>
      <c r="AJ55" s="227"/>
      <c r="AU55" s="555"/>
    </row>
    <row r="56" spans="1:50" ht="21" customHeight="1">
      <c r="D56" s="663"/>
      <c r="E56" s="232">
        <v>1989</v>
      </c>
      <c r="F56" s="664">
        <v>102.4</v>
      </c>
      <c r="G56" s="67">
        <v>96.7</v>
      </c>
      <c r="H56" s="67">
        <v>109.9</v>
      </c>
      <c r="I56" s="67">
        <v>84.5</v>
      </c>
      <c r="J56" s="67">
        <v>100.7</v>
      </c>
      <c r="K56" s="67">
        <v>134.5</v>
      </c>
      <c r="L56" s="67">
        <v>155.80000000000001</v>
      </c>
      <c r="M56" s="67">
        <v>109.2</v>
      </c>
      <c r="N56" s="67">
        <v>97.9</v>
      </c>
      <c r="O56" s="67">
        <v>122.5</v>
      </c>
      <c r="P56" s="67">
        <v>115.4</v>
      </c>
      <c r="Q56" s="67">
        <v>145.1</v>
      </c>
      <c r="R56" s="67">
        <v>80.099999999999994</v>
      </c>
      <c r="S56" s="67">
        <v>96.6</v>
      </c>
      <c r="T56" s="67">
        <v>79.5</v>
      </c>
      <c r="U56" s="67">
        <v>101.5</v>
      </c>
      <c r="V56" s="67">
        <v>120.4</v>
      </c>
      <c r="W56" s="67">
        <v>103.5</v>
      </c>
      <c r="X56" s="67">
        <v>103.6</v>
      </c>
      <c r="Y56" s="67">
        <v>100.4</v>
      </c>
      <c r="Z56" s="67">
        <v>118</v>
      </c>
      <c r="AA56" s="67">
        <v>119.1</v>
      </c>
      <c r="AB56" s="67">
        <v>110.3</v>
      </c>
      <c r="AC56" s="64">
        <v>104.9</v>
      </c>
      <c r="AD56" s="5150">
        <v>1989</v>
      </c>
      <c r="AE56" s="5151"/>
      <c r="AF56" s="5152"/>
      <c r="AG56" s="18"/>
      <c r="AH56" s="138"/>
      <c r="AJ56" s="18"/>
      <c r="AU56" s="33"/>
      <c r="AX56" s="1"/>
    </row>
    <row r="57" spans="1:50" ht="21" customHeight="1">
      <c r="D57" s="584"/>
      <c r="E57" s="596">
        <v>1990</v>
      </c>
      <c r="F57" s="178">
        <v>87.3</v>
      </c>
      <c r="G57" s="71">
        <v>90</v>
      </c>
      <c r="H57" s="71">
        <v>100.7</v>
      </c>
      <c r="I57" s="71">
        <v>108.9</v>
      </c>
      <c r="J57" s="71">
        <v>111.7</v>
      </c>
      <c r="K57" s="71">
        <v>168</v>
      </c>
      <c r="L57" s="71">
        <v>145.1</v>
      </c>
      <c r="M57" s="71">
        <v>109</v>
      </c>
      <c r="N57" s="71">
        <v>96.9</v>
      </c>
      <c r="O57" s="71">
        <v>123.5</v>
      </c>
      <c r="P57" s="71">
        <v>141</v>
      </c>
      <c r="Q57" s="71">
        <v>83.5</v>
      </c>
      <c r="R57" s="71">
        <v>79.099999999999994</v>
      </c>
      <c r="S57" s="71">
        <v>181.7</v>
      </c>
      <c r="T57" s="71">
        <v>86.5</v>
      </c>
      <c r="U57" s="71">
        <v>133.5</v>
      </c>
      <c r="V57" s="71">
        <v>113.6</v>
      </c>
      <c r="W57" s="71">
        <v>111.3</v>
      </c>
      <c r="X57" s="71">
        <v>107.8</v>
      </c>
      <c r="Y57" s="71">
        <v>105.6</v>
      </c>
      <c r="Z57" s="71">
        <v>99.5</v>
      </c>
      <c r="AA57" s="71">
        <v>121.2</v>
      </c>
      <c r="AB57" s="71">
        <v>103.2</v>
      </c>
      <c r="AC57" s="72">
        <v>107</v>
      </c>
      <c r="AD57" s="5153">
        <v>1990</v>
      </c>
      <c r="AE57" s="5154"/>
      <c r="AF57" s="5155"/>
      <c r="AG57" s="18"/>
      <c r="AH57" s="138"/>
      <c r="AJ57" s="18"/>
      <c r="AU57" s="33"/>
      <c r="AX57" s="1"/>
    </row>
    <row r="58" spans="1:50" ht="21" customHeight="1">
      <c r="D58" s="663"/>
      <c r="E58" s="232">
        <v>1991</v>
      </c>
      <c r="F58" s="665">
        <v>71</v>
      </c>
      <c r="G58" s="66">
        <v>106</v>
      </c>
      <c r="H58" s="66">
        <v>97.6</v>
      </c>
      <c r="I58" s="67">
        <v>97.1</v>
      </c>
      <c r="J58" s="67">
        <v>105.5</v>
      </c>
      <c r="K58" s="67">
        <v>228.8</v>
      </c>
      <c r="L58" s="66">
        <v>90.4</v>
      </c>
      <c r="M58" s="66">
        <v>135.1</v>
      </c>
      <c r="N58" s="67">
        <v>97.6</v>
      </c>
      <c r="O58" s="67">
        <v>116.6</v>
      </c>
      <c r="P58" s="67">
        <v>111.6</v>
      </c>
      <c r="Q58" s="67">
        <v>30.5</v>
      </c>
      <c r="R58" s="67">
        <v>87.8</v>
      </c>
      <c r="S58" s="67">
        <v>124.9</v>
      </c>
      <c r="T58" s="67">
        <v>96.7</v>
      </c>
      <c r="U58" s="66">
        <v>132.5</v>
      </c>
      <c r="V58" s="66">
        <v>147.80000000000001</v>
      </c>
      <c r="W58" s="66">
        <v>112.7</v>
      </c>
      <c r="X58" s="66">
        <v>102.4</v>
      </c>
      <c r="Y58" s="67">
        <v>102.6</v>
      </c>
      <c r="Z58" s="66">
        <v>78.8</v>
      </c>
      <c r="AA58" s="67">
        <v>129.4</v>
      </c>
      <c r="AB58" s="66">
        <v>91.5</v>
      </c>
      <c r="AC58" s="64">
        <v>100.3</v>
      </c>
      <c r="AD58" s="5156">
        <v>1991</v>
      </c>
      <c r="AE58" s="5157"/>
      <c r="AF58" s="5158"/>
      <c r="AG58" s="18"/>
      <c r="AH58" s="138"/>
      <c r="AJ58" s="18"/>
      <c r="AU58" s="33"/>
      <c r="AX58" s="1"/>
    </row>
    <row r="59" spans="1:50" ht="21" customHeight="1">
      <c r="D59" s="584"/>
      <c r="E59" s="248">
        <v>1992</v>
      </c>
      <c r="F59" s="178">
        <v>97.3</v>
      </c>
      <c r="G59" s="57">
        <v>113</v>
      </c>
      <c r="H59" s="57">
        <v>145.9</v>
      </c>
      <c r="I59" s="71">
        <v>126.3</v>
      </c>
      <c r="J59" s="71">
        <v>120.6</v>
      </c>
      <c r="K59" s="71">
        <v>251.8</v>
      </c>
      <c r="L59" s="57">
        <v>98.3</v>
      </c>
      <c r="M59" s="57">
        <v>143.1</v>
      </c>
      <c r="N59" s="71">
        <v>90.1</v>
      </c>
      <c r="O59" s="71">
        <v>119.4</v>
      </c>
      <c r="P59" s="71">
        <v>104.8</v>
      </c>
      <c r="Q59" s="71">
        <v>49.9</v>
      </c>
      <c r="R59" s="71">
        <v>103.5</v>
      </c>
      <c r="S59" s="71">
        <v>136.19999999999999</v>
      </c>
      <c r="T59" s="71">
        <v>84.4</v>
      </c>
      <c r="U59" s="57">
        <v>122</v>
      </c>
      <c r="V59" s="57">
        <v>172.4</v>
      </c>
      <c r="W59" s="57">
        <v>146.5</v>
      </c>
      <c r="X59" s="57">
        <v>118.9</v>
      </c>
      <c r="Y59" s="71">
        <v>101.2</v>
      </c>
      <c r="Z59" s="57">
        <v>77.400000000000006</v>
      </c>
      <c r="AA59" s="71">
        <v>108.5</v>
      </c>
      <c r="AB59" s="57">
        <v>89.2</v>
      </c>
      <c r="AC59" s="72">
        <v>113.3</v>
      </c>
      <c r="AD59" s="5153">
        <v>1992</v>
      </c>
      <c r="AE59" s="5154"/>
      <c r="AF59" s="5155"/>
      <c r="AG59" s="18"/>
      <c r="AH59" s="138"/>
      <c r="AJ59" s="18"/>
      <c r="AU59" s="33"/>
      <c r="AX59" s="1"/>
    </row>
    <row r="60" spans="1:50" ht="21" customHeight="1">
      <c r="D60" s="663"/>
      <c r="E60" s="232">
        <v>1993</v>
      </c>
      <c r="F60" s="665">
        <v>106.8</v>
      </c>
      <c r="G60" s="66">
        <v>94.7</v>
      </c>
      <c r="H60" s="66">
        <v>192.7</v>
      </c>
      <c r="I60" s="67">
        <v>134</v>
      </c>
      <c r="J60" s="67">
        <v>121.4</v>
      </c>
      <c r="K60" s="67">
        <v>270.60000000000002</v>
      </c>
      <c r="L60" s="66">
        <v>88.2</v>
      </c>
      <c r="M60" s="66">
        <v>137.1</v>
      </c>
      <c r="N60" s="67">
        <v>76.2</v>
      </c>
      <c r="O60" s="67">
        <v>112.3</v>
      </c>
      <c r="P60" s="67">
        <v>100.4</v>
      </c>
      <c r="Q60" s="67">
        <v>50.5</v>
      </c>
      <c r="R60" s="67">
        <v>100.8</v>
      </c>
      <c r="S60" s="67">
        <v>181.6</v>
      </c>
      <c r="T60" s="67">
        <v>94.3</v>
      </c>
      <c r="U60" s="66">
        <v>136.4</v>
      </c>
      <c r="V60" s="66">
        <v>237</v>
      </c>
      <c r="W60" s="66">
        <v>147.30000000000001</v>
      </c>
      <c r="X60" s="66">
        <v>129.80000000000001</v>
      </c>
      <c r="Y60" s="67">
        <v>104.5</v>
      </c>
      <c r="Z60" s="66">
        <v>75</v>
      </c>
      <c r="AA60" s="67">
        <v>114.2</v>
      </c>
      <c r="AB60" s="66">
        <v>89.7</v>
      </c>
      <c r="AC60" s="64">
        <v>122.2</v>
      </c>
      <c r="AD60" s="5156">
        <v>1993</v>
      </c>
      <c r="AE60" s="5157"/>
      <c r="AF60" s="5158"/>
      <c r="AG60" s="18"/>
      <c r="AH60" s="138"/>
      <c r="AJ60" s="18"/>
      <c r="AU60" s="33"/>
      <c r="AX60" s="1"/>
    </row>
    <row r="61" spans="1:50" ht="21" customHeight="1">
      <c r="D61" s="584"/>
      <c r="E61" s="248">
        <v>1994</v>
      </c>
      <c r="F61" s="178">
        <v>90.3</v>
      </c>
      <c r="G61" s="57">
        <v>77.599999999999994</v>
      </c>
      <c r="H61" s="57">
        <v>191.2</v>
      </c>
      <c r="I61" s="71">
        <v>150.19999999999999</v>
      </c>
      <c r="J61" s="71">
        <v>125.9</v>
      </c>
      <c r="K61" s="71">
        <v>251.6</v>
      </c>
      <c r="L61" s="57">
        <v>78.3</v>
      </c>
      <c r="M61" s="57">
        <v>159.30000000000001</v>
      </c>
      <c r="N61" s="71">
        <v>121.9</v>
      </c>
      <c r="O61" s="71">
        <v>129</v>
      </c>
      <c r="P61" s="71">
        <v>104.3</v>
      </c>
      <c r="Q61" s="71">
        <v>42.4</v>
      </c>
      <c r="R61" s="71">
        <v>89.1</v>
      </c>
      <c r="S61" s="71">
        <v>229</v>
      </c>
      <c r="T61" s="71">
        <v>114</v>
      </c>
      <c r="U61" s="57">
        <v>124.5</v>
      </c>
      <c r="V61" s="57">
        <v>299.89999999999998</v>
      </c>
      <c r="W61" s="57">
        <v>141.69999999999999</v>
      </c>
      <c r="X61" s="57">
        <v>136.69999999999999</v>
      </c>
      <c r="Y61" s="57">
        <v>118.4</v>
      </c>
      <c r="Z61" s="57">
        <v>74.900000000000006</v>
      </c>
      <c r="AA61" s="71">
        <v>128.30000000000001</v>
      </c>
      <c r="AB61" s="57">
        <v>96.4</v>
      </c>
      <c r="AC61" s="72">
        <v>129.1</v>
      </c>
      <c r="AD61" s="5153">
        <v>1994</v>
      </c>
      <c r="AE61" s="5154"/>
      <c r="AF61" s="5155"/>
      <c r="AG61" s="18"/>
      <c r="AH61" s="138"/>
      <c r="AJ61" s="18"/>
      <c r="AU61" s="33"/>
      <c r="AX61" s="1"/>
    </row>
    <row r="62" spans="1:50" ht="6" customHeight="1">
      <c r="D62" s="666"/>
      <c r="E62" s="222"/>
      <c r="F62" s="184"/>
      <c r="G62" s="74"/>
      <c r="H62" s="74"/>
      <c r="I62" s="74"/>
      <c r="J62" s="74"/>
      <c r="K62" s="74"/>
      <c r="L62" s="74"/>
      <c r="M62" s="74"/>
      <c r="N62" s="74"/>
      <c r="O62" s="75"/>
      <c r="P62" s="74"/>
      <c r="Q62" s="74"/>
      <c r="R62" s="74"/>
      <c r="S62" s="74"/>
      <c r="T62" s="74"/>
      <c r="U62" s="74"/>
      <c r="V62" s="74"/>
      <c r="W62" s="74"/>
      <c r="X62" s="75"/>
      <c r="Y62" s="74"/>
      <c r="Z62" s="74"/>
      <c r="AA62" s="74"/>
      <c r="AB62" s="75"/>
      <c r="AC62" s="75"/>
      <c r="AD62" s="667"/>
      <c r="AE62" s="668"/>
      <c r="AF62" s="449"/>
      <c r="AG62" s="18"/>
      <c r="AH62" s="138"/>
      <c r="AJ62" s="18"/>
      <c r="AU62" s="33"/>
      <c r="AX62" s="1"/>
    </row>
    <row r="63" spans="1:50" s="24" customFormat="1" ht="6.95" customHeight="1">
      <c r="A63" s="61"/>
      <c r="B63" s="61"/>
      <c r="C63" s="61"/>
      <c r="D63" s="425"/>
      <c r="E63" s="173"/>
      <c r="F63" s="425"/>
      <c r="G63" s="425"/>
      <c r="H63" s="608"/>
      <c r="I63" s="608"/>
      <c r="J63" s="608"/>
      <c r="K63" s="608"/>
      <c r="L63" s="608"/>
      <c r="M63" s="608"/>
      <c r="N63" s="608"/>
      <c r="O63" s="609"/>
      <c r="P63" s="608"/>
      <c r="Q63" s="608"/>
      <c r="R63" s="608"/>
      <c r="S63" s="608"/>
      <c r="T63" s="608"/>
      <c r="U63" s="608"/>
      <c r="V63" s="608"/>
      <c r="W63" s="608"/>
      <c r="X63" s="609"/>
      <c r="Y63" s="608"/>
      <c r="Z63" s="608"/>
      <c r="AA63" s="608"/>
      <c r="AB63" s="609"/>
      <c r="AC63" s="608"/>
      <c r="AD63" s="76"/>
      <c r="AE63" s="135"/>
      <c r="AF63" s="97"/>
      <c r="AG63" s="175"/>
      <c r="AH63" s="610"/>
      <c r="AJ63" s="175"/>
      <c r="AU63" s="403"/>
    </row>
    <row r="64" spans="1:50" s="24" customFormat="1" ht="18">
      <c r="A64" s="61"/>
      <c r="B64" s="61"/>
      <c r="C64" s="61"/>
      <c r="D64" s="425"/>
      <c r="E64" s="92" t="s">
        <v>1928</v>
      </c>
      <c r="F64" s="94"/>
      <c r="G64" s="94"/>
      <c r="H64" s="611"/>
      <c r="I64" s="611"/>
      <c r="J64" s="611"/>
      <c r="K64" s="611"/>
      <c r="L64" s="611"/>
      <c r="M64" s="611"/>
      <c r="N64" s="611"/>
      <c r="O64" s="612"/>
      <c r="P64" s="611"/>
      <c r="Q64" s="611"/>
      <c r="R64" s="611"/>
      <c r="S64" s="611"/>
      <c r="T64" s="611"/>
      <c r="U64" s="611"/>
      <c r="V64" s="611"/>
      <c r="W64" s="611"/>
      <c r="X64" s="612"/>
      <c r="Y64" s="611"/>
      <c r="Z64" s="611"/>
      <c r="AA64" s="611"/>
      <c r="AB64" s="612"/>
      <c r="AC64" s="611"/>
      <c r="AD64" s="77"/>
      <c r="AE64" s="136" t="s">
        <v>1929</v>
      </c>
      <c r="AF64" s="97"/>
      <c r="AG64" s="175"/>
      <c r="AH64" s="610"/>
      <c r="AJ64" s="175"/>
      <c r="AU64" s="403"/>
    </row>
    <row r="65" spans="1:50" s="24" customFormat="1">
      <c r="A65" s="61"/>
      <c r="B65" s="61"/>
      <c r="C65" s="61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669"/>
      <c r="S65" s="670"/>
      <c r="T65" s="669"/>
      <c r="U65" s="669"/>
      <c r="V65" s="669"/>
      <c r="W65" s="669"/>
      <c r="X65" s="669"/>
      <c r="Y65" s="669"/>
      <c r="Z65" s="669"/>
      <c r="AA65" s="669"/>
      <c r="AB65" s="670"/>
      <c r="AC65" s="671"/>
      <c r="AD65" s="672"/>
      <c r="AE65" s="673"/>
      <c r="AF65" s="674"/>
      <c r="AG65" s="175"/>
      <c r="AH65" s="610"/>
      <c r="AJ65" s="175"/>
      <c r="AU65" s="403"/>
    </row>
    <row r="66" spans="1:50" ht="20.100000000000001" customHeight="1"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669"/>
      <c r="S66" s="670"/>
      <c r="T66" s="669"/>
      <c r="U66" s="669"/>
      <c r="V66" s="669"/>
      <c r="W66" s="669"/>
      <c r="X66" s="669"/>
      <c r="Y66" s="669"/>
      <c r="Z66" s="669"/>
      <c r="AA66" s="669"/>
      <c r="AB66" s="670"/>
      <c r="AC66" s="671"/>
      <c r="AD66" s="672"/>
      <c r="AE66" s="673"/>
      <c r="AF66" s="34"/>
      <c r="AG66" s="34"/>
      <c r="AH66" s="138"/>
      <c r="AJ66" s="18"/>
      <c r="AU66" s="33"/>
      <c r="AX66" s="1"/>
    </row>
    <row r="67" spans="1:50" ht="20.100000000000001" customHeight="1">
      <c r="D67" s="26"/>
      <c r="E67" s="26"/>
      <c r="F67" s="26"/>
      <c r="G67" s="675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676"/>
      <c r="S67" s="677"/>
      <c r="T67" s="676"/>
      <c r="U67" s="676"/>
      <c r="V67" s="676"/>
      <c r="W67" s="676"/>
      <c r="X67" s="676"/>
      <c r="Y67" s="676"/>
      <c r="Z67" s="676"/>
      <c r="AA67" s="676"/>
      <c r="AB67" s="677"/>
      <c r="AC67" s="677"/>
      <c r="AD67" s="678"/>
      <c r="AE67" s="679"/>
      <c r="AF67" s="34"/>
      <c r="AG67" s="34"/>
      <c r="AH67" s="138"/>
      <c r="AJ67" s="18"/>
      <c r="AU67" s="33"/>
      <c r="AX67" s="1"/>
    </row>
    <row r="68" spans="1:50" ht="20.100000000000001" customHeight="1">
      <c r="C68" s="680"/>
      <c r="D68" s="681"/>
      <c r="E68" s="5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676"/>
      <c r="S68" s="677"/>
      <c r="T68" s="676"/>
      <c r="U68" s="676"/>
      <c r="V68" s="676"/>
      <c r="W68" s="676"/>
      <c r="X68" s="676"/>
      <c r="Y68" s="676"/>
      <c r="Z68" s="676"/>
      <c r="AA68" s="676"/>
      <c r="AB68" s="677"/>
      <c r="AC68" s="677"/>
      <c r="AD68" s="678"/>
      <c r="AE68" s="682"/>
      <c r="AF68" s="34"/>
      <c r="AG68" s="34"/>
      <c r="AH68" s="138"/>
      <c r="AJ68" s="18"/>
      <c r="AU68" s="33"/>
      <c r="AX68" s="1"/>
    </row>
    <row r="69" spans="1:50" ht="20.100000000000001" customHeight="1">
      <c r="A69" s="446"/>
      <c r="B69" s="446"/>
      <c r="C69" s="680"/>
      <c r="D69" s="683"/>
      <c r="E69" s="684"/>
      <c r="F69" s="683"/>
      <c r="G69" s="683"/>
      <c r="H69" s="683"/>
      <c r="I69" s="683"/>
      <c r="J69" s="683"/>
      <c r="K69" s="683"/>
      <c r="L69" s="683"/>
      <c r="M69" s="685"/>
      <c r="N69" s="686"/>
      <c r="O69" s="683"/>
      <c r="P69" s="448"/>
      <c r="Q69" s="448"/>
      <c r="R69" s="114"/>
      <c r="S69" s="129"/>
      <c r="T69" s="415"/>
      <c r="U69" s="5163"/>
      <c r="V69" s="5163"/>
      <c r="W69" s="5163"/>
      <c r="X69" s="5163"/>
      <c r="Y69" s="30"/>
      <c r="Z69" s="448"/>
      <c r="AA69" s="687"/>
      <c r="AB69" s="687"/>
      <c r="AC69" s="26"/>
      <c r="AD69" s="32"/>
      <c r="AE69" s="32"/>
      <c r="AF69" s="138"/>
      <c r="AG69" s="18"/>
      <c r="AH69" s="138"/>
      <c r="AJ69" s="18"/>
      <c r="AU69" s="33"/>
      <c r="AX69" s="1"/>
    </row>
    <row r="70" spans="1:50" ht="20.100000000000001" customHeight="1">
      <c r="A70" s="680"/>
      <c r="B70" s="680"/>
      <c r="C70" s="680"/>
      <c r="D70" s="688"/>
      <c r="E70" s="688"/>
      <c r="F70" s="231"/>
      <c r="G70" s="231"/>
      <c r="H70" s="688"/>
      <c r="I70" s="688"/>
      <c r="J70" s="231"/>
      <c r="K70" s="231"/>
      <c r="L70" s="231"/>
      <c r="M70" s="231"/>
      <c r="N70" s="231"/>
      <c r="O70" s="231"/>
      <c r="P70" s="231"/>
      <c r="Q70" s="231"/>
      <c r="R70" s="73"/>
      <c r="S70" s="134"/>
      <c r="T70" s="234"/>
      <c r="U70" s="5163"/>
      <c r="V70" s="5163"/>
      <c r="W70" s="5163"/>
      <c r="X70" s="5163"/>
      <c r="Y70" s="684"/>
      <c r="Z70" s="684"/>
      <c r="AA70" s="689"/>
      <c r="AB70" s="689"/>
      <c r="AC70" s="50"/>
      <c r="AD70" s="247"/>
      <c r="AE70" s="247"/>
      <c r="AF70" s="86"/>
      <c r="AG70" s="18"/>
      <c r="AH70" s="138"/>
      <c r="AJ70" s="18"/>
      <c r="AU70" s="33"/>
      <c r="AX70" s="1"/>
    </row>
    <row r="71" spans="1:50" ht="20.100000000000001" customHeight="1">
      <c r="A71" s="680"/>
      <c r="B71" s="680"/>
      <c r="C71" s="680"/>
      <c r="D71" s="684"/>
      <c r="E71" s="684"/>
      <c r="F71" s="683"/>
      <c r="G71" s="683"/>
      <c r="H71" s="684"/>
      <c r="I71" s="684"/>
      <c r="J71" s="683"/>
      <c r="K71" s="683"/>
      <c r="L71" s="683"/>
      <c r="M71" s="683"/>
      <c r="N71" s="683"/>
      <c r="O71" s="683"/>
      <c r="P71" s="448"/>
      <c r="Q71" s="448"/>
      <c r="R71" s="129"/>
      <c r="S71" s="415"/>
      <c r="T71" s="32"/>
      <c r="U71" s="26"/>
      <c r="V71" s="26"/>
      <c r="W71" s="32"/>
      <c r="X71" s="32"/>
      <c r="Y71" s="32"/>
      <c r="Z71" s="446"/>
      <c r="AA71" s="690"/>
      <c r="AB71" s="26"/>
      <c r="AC71" s="690"/>
      <c r="AD71" s="32"/>
      <c r="AE71" s="32"/>
      <c r="AF71" s="138"/>
      <c r="AG71" s="34"/>
      <c r="AH71" s="138"/>
      <c r="AJ71" s="18"/>
      <c r="AU71" s="33"/>
      <c r="AX71" s="1"/>
    </row>
    <row r="72" spans="1:50" ht="20.100000000000001" customHeight="1">
      <c r="A72" s="680"/>
      <c r="B72" s="680"/>
      <c r="C72" s="680"/>
      <c r="D72" s="691"/>
      <c r="E72" s="692"/>
      <c r="F72" s="41"/>
      <c r="G72" s="41"/>
      <c r="H72" s="41"/>
      <c r="I72" s="41"/>
      <c r="J72" s="693"/>
      <c r="K72" s="693"/>
      <c r="L72" s="693"/>
      <c r="M72" s="693"/>
      <c r="N72" s="693"/>
      <c r="O72" s="693"/>
      <c r="P72" s="694"/>
      <c r="Q72" s="695"/>
      <c r="R72" s="680"/>
      <c r="S72" s="31"/>
      <c r="T72" s="31"/>
      <c r="U72" s="414"/>
      <c r="V72" s="31"/>
      <c r="W72" s="148"/>
      <c r="X72" s="148"/>
      <c r="Y72" s="31"/>
      <c r="Z72" s="680"/>
      <c r="AA72" s="680"/>
      <c r="AB72" s="26"/>
      <c r="AC72" s="696"/>
      <c r="AD72" s="414"/>
      <c r="AE72" s="148"/>
      <c r="AF72" s="138"/>
      <c r="AG72" s="34"/>
      <c r="AH72" s="138"/>
      <c r="AJ72" s="18"/>
      <c r="AU72" s="33"/>
      <c r="AX72" s="1"/>
    </row>
    <row r="73" spans="1:50" ht="20.100000000000001" customHeight="1">
      <c r="A73" s="680"/>
      <c r="B73" s="680"/>
      <c r="C73" s="680"/>
      <c r="D73" s="684"/>
      <c r="E73" s="684"/>
      <c r="F73" s="683"/>
      <c r="G73" s="683"/>
      <c r="H73" s="683"/>
      <c r="I73" s="683"/>
      <c r="J73" s="50"/>
      <c r="K73" s="50"/>
      <c r="L73" s="50"/>
      <c r="M73" s="50"/>
      <c r="N73" s="50"/>
      <c r="O73" s="50"/>
      <c r="P73" s="697"/>
      <c r="Q73" s="697"/>
      <c r="R73" s="680"/>
      <c r="S73" s="31"/>
      <c r="T73" s="31"/>
      <c r="U73" s="31"/>
      <c r="V73" s="31"/>
      <c r="W73" s="148"/>
      <c r="X73" s="31"/>
      <c r="Y73" s="31"/>
      <c r="Z73" s="680"/>
      <c r="AA73" s="680"/>
      <c r="AB73" s="26"/>
      <c r="AC73" s="696"/>
      <c r="AD73" s="26"/>
      <c r="AE73" s="26"/>
      <c r="AF73" s="34"/>
      <c r="AG73" s="34"/>
      <c r="AH73" s="138"/>
      <c r="AJ73" s="18"/>
      <c r="AU73" s="33"/>
      <c r="AX73" s="1"/>
    </row>
    <row r="74" spans="1:50" s="214" customFormat="1" ht="20.100000000000001" customHeight="1">
      <c r="A74" s="680"/>
      <c r="B74" s="680"/>
      <c r="C74" s="111"/>
      <c r="D74" s="5164"/>
      <c r="E74" s="5164"/>
      <c r="F74" s="5164"/>
      <c r="G74" s="5164"/>
      <c r="H74" s="26"/>
      <c r="I74" s="26"/>
      <c r="J74" s="28"/>
      <c r="K74" s="28"/>
      <c r="L74" s="28"/>
      <c r="M74" s="28"/>
      <c r="N74" s="5165"/>
      <c r="O74" s="5165"/>
      <c r="P74" s="5165"/>
      <c r="Q74" s="5165"/>
      <c r="R74" s="680"/>
      <c r="S74" s="31"/>
      <c r="T74" s="31"/>
      <c r="U74" s="31"/>
      <c r="V74" s="31"/>
      <c r="W74" s="31"/>
      <c r="X74" s="31"/>
      <c r="Y74" s="26"/>
      <c r="Z74" s="26"/>
      <c r="AA74" s="680"/>
      <c r="AB74" s="26"/>
      <c r="AC74" s="696"/>
      <c r="AD74" s="32"/>
      <c r="AE74" s="32"/>
      <c r="AF74" s="582"/>
      <c r="AG74" s="582"/>
      <c r="AH74" s="138"/>
      <c r="AJ74" s="86"/>
      <c r="AU74" s="698"/>
    </row>
    <row r="75" spans="1:50" s="214" customFormat="1" ht="20.100000000000001" customHeight="1">
      <c r="A75" s="111"/>
      <c r="B75" s="111"/>
      <c r="C75" s="111"/>
      <c r="D75" s="5164"/>
      <c r="E75" s="5164"/>
      <c r="F75" s="5164"/>
      <c r="G75" s="5164"/>
      <c r="H75" s="26"/>
      <c r="I75" s="26"/>
      <c r="J75" s="28"/>
      <c r="K75" s="28"/>
      <c r="L75" s="28"/>
      <c r="M75" s="26"/>
      <c r="N75" s="5165"/>
      <c r="O75" s="5165"/>
      <c r="P75" s="5165"/>
      <c r="Q75" s="5165"/>
      <c r="R75" s="680"/>
      <c r="S75" s="31"/>
      <c r="T75" s="31"/>
      <c r="U75" s="31"/>
      <c r="V75" s="31"/>
      <c r="W75" s="31"/>
      <c r="X75" s="29"/>
      <c r="Y75" s="31"/>
      <c r="Z75" s="680"/>
      <c r="AA75" s="680"/>
      <c r="AB75" s="29"/>
      <c r="AC75" s="696"/>
      <c r="AD75" s="32"/>
      <c r="AE75" s="32"/>
      <c r="AF75" s="582"/>
      <c r="AG75" s="582"/>
      <c r="AH75" s="138"/>
      <c r="AJ75" s="86"/>
      <c r="AU75" s="698"/>
    </row>
    <row r="76" spans="1:50" s="214" customFormat="1" ht="20.100000000000001" customHeight="1">
      <c r="A76" s="111"/>
      <c r="B76" s="111"/>
      <c r="C76" s="111"/>
      <c r="D76" s="5164"/>
      <c r="E76" s="5164"/>
      <c r="F76" s="5164"/>
      <c r="G76" s="5164"/>
      <c r="H76" s="26"/>
      <c r="I76" s="26"/>
      <c r="J76" s="28"/>
      <c r="K76" s="28"/>
      <c r="L76" s="28"/>
      <c r="M76" s="26"/>
      <c r="N76" s="5165"/>
      <c r="O76" s="5165"/>
      <c r="P76" s="5165"/>
      <c r="Q76" s="5165"/>
      <c r="R76" s="699"/>
      <c r="S76" s="700"/>
      <c r="T76" s="700"/>
      <c r="U76" s="700"/>
      <c r="V76" s="700"/>
      <c r="W76" s="700"/>
      <c r="X76" s="700"/>
      <c r="Y76" s="700"/>
      <c r="Z76" s="699"/>
      <c r="AA76" s="699"/>
      <c r="AB76" s="701"/>
      <c r="AC76" s="702"/>
      <c r="AD76" s="702"/>
      <c r="AE76" s="702"/>
      <c r="AF76" s="582"/>
      <c r="AG76" s="582"/>
      <c r="AH76" s="138"/>
      <c r="AJ76" s="86"/>
      <c r="AU76" s="698"/>
    </row>
    <row r="77" spans="1:50" s="214" customFormat="1" ht="20.100000000000001" customHeight="1">
      <c r="A77" s="111"/>
      <c r="B77" s="111"/>
      <c r="C77" s="111"/>
      <c r="D77" s="5164"/>
      <c r="E77" s="5164"/>
      <c r="F77" s="5164"/>
      <c r="G77" s="5164"/>
      <c r="H77" s="703"/>
      <c r="I77" s="703"/>
      <c r="J77" s="26"/>
      <c r="K77" s="26"/>
      <c r="L77" s="26"/>
      <c r="M77" s="704"/>
      <c r="N77" s="5165"/>
      <c r="O77" s="5165"/>
      <c r="P77" s="5165"/>
      <c r="Q77" s="5165"/>
      <c r="R77" s="699"/>
      <c r="S77" s="700"/>
      <c r="T77" s="700"/>
      <c r="U77" s="700"/>
      <c r="V77" s="700"/>
      <c r="W77" s="700"/>
      <c r="X77" s="700"/>
      <c r="Y77" s="700"/>
      <c r="Z77" s="699"/>
      <c r="AA77" s="699"/>
      <c r="AB77" s="503"/>
      <c r="AC77" s="702"/>
      <c r="AD77" s="702"/>
      <c r="AE77" s="702"/>
      <c r="AF77" s="582"/>
      <c r="AG77" s="582"/>
      <c r="AH77" s="138"/>
      <c r="AJ77" s="86"/>
      <c r="AU77" s="698"/>
    </row>
    <row r="78" spans="1:50" ht="20.100000000000001" customHeight="1">
      <c r="A78" s="111"/>
      <c r="B78" s="111"/>
      <c r="C78" s="26"/>
      <c r="D78" s="5164"/>
      <c r="E78" s="5164"/>
      <c r="F78" s="5164"/>
      <c r="G78" s="5164"/>
      <c r="H78" s="28"/>
      <c r="I78" s="28"/>
      <c r="J78" s="28"/>
      <c r="K78" s="28"/>
      <c r="L78" s="28"/>
      <c r="M78" s="704"/>
      <c r="N78" s="5165"/>
      <c r="O78" s="5165"/>
      <c r="P78" s="5165"/>
      <c r="Q78" s="5165"/>
      <c r="R78" s="699"/>
      <c r="S78" s="700"/>
      <c r="T78" s="700"/>
      <c r="U78" s="700"/>
      <c r="V78" s="700"/>
      <c r="W78" s="700"/>
      <c r="X78" s="702"/>
      <c r="Y78" s="700"/>
      <c r="Z78" s="699"/>
      <c r="AA78" s="699"/>
      <c r="AB78" s="702"/>
      <c r="AC78" s="702"/>
      <c r="AD78" s="702"/>
      <c r="AE78" s="702"/>
      <c r="AF78" s="705"/>
      <c r="AG78" s="706"/>
      <c r="AH78" s="138"/>
      <c r="AJ78" s="18"/>
      <c r="AU78" s="33"/>
      <c r="AX78" s="1"/>
    </row>
    <row r="79" spans="1:50" ht="20.100000000000001" customHeight="1">
      <c r="A79" s="707"/>
      <c r="B79" s="707"/>
      <c r="C79" s="26"/>
      <c r="D79" s="5164"/>
      <c r="E79" s="5164"/>
      <c r="F79" s="5164"/>
      <c r="G79" s="5164"/>
      <c r="H79" s="703"/>
      <c r="I79" s="703"/>
      <c r="J79" s="28"/>
      <c r="K79" s="28"/>
      <c r="L79" s="28"/>
      <c r="M79" s="704"/>
      <c r="N79" s="5165"/>
      <c r="O79" s="5165"/>
      <c r="P79" s="5165"/>
      <c r="Q79" s="5165"/>
      <c r="R79" s="5166"/>
      <c r="S79" s="5161"/>
      <c r="T79" s="5161"/>
      <c r="U79" s="5161"/>
      <c r="V79" s="5161"/>
      <c r="W79" s="5161"/>
      <c r="X79" s="5161"/>
      <c r="Y79" s="5161"/>
      <c r="Z79" s="5161"/>
      <c r="AA79" s="5161"/>
      <c r="AB79" s="5161"/>
      <c r="AC79" s="5162"/>
      <c r="AD79" s="684"/>
      <c r="AE79" s="683"/>
      <c r="AF79" s="466"/>
      <c r="AG79" s="34"/>
      <c r="AH79" s="138"/>
      <c r="AJ79" s="18"/>
      <c r="AU79" s="33"/>
      <c r="AX79" s="1"/>
    </row>
    <row r="80" spans="1:50" s="18" customFormat="1" ht="30" customHeight="1">
      <c r="A80" s="26"/>
      <c r="B80" s="26"/>
      <c r="C80" s="26"/>
      <c r="D80" s="5164"/>
      <c r="E80" s="5164"/>
      <c r="F80" s="5164"/>
      <c r="G80" s="5164"/>
      <c r="H80" s="28"/>
      <c r="I80" s="28"/>
      <c r="J80" s="28"/>
      <c r="K80" s="28"/>
      <c r="L80" s="28"/>
      <c r="M80" s="704"/>
      <c r="N80" s="5165"/>
      <c r="O80" s="5165"/>
      <c r="P80" s="5165"/>
      <c r="Q80" s="5165"/>
      <c r="R80" s="5166"/>
      <c r="S80" s="5161"/>
      <c r="T80" s="5161"/>
      <c r="U80" s="5161"/>
      <c r="V80" s="5161"/>
      <c r="W80" s="5161"/>
      <c r="X80" s="5161"/>
      <c r="Y80" s="5161"/>
      <c r="Z80" s="5161"/>
      <c r="AA80" s="5161"/>
      <c r="AB80" s="5161"/>
      <c r="AC80" s="5162"/>
      <c r="AD80" s="684"/>
      <c r="AE80" s="684"/>
      <c r="AF80" s="138"/>
      <c r="AG80" s="138"/>
      <c r="AH80" s="138"/>
      <c r="AU80" s="33"/>
    </row>
    <row r="81" spans="3:50" ht="30" customHeight="1">
      <c r="C81" s="26"/>
      <c r="D81" s="5164"/>
      <c r="E81" s="5164"/>
      <c r="F81" s="5164"/>
      <c r="G81" s="5164"/>
      <c r="H81" s="697"/>
      <c r="I81" s="697"/>
      <c r="J81" s="697"/>
      <c r="K81" s="697"/>
      <c r="L81" s="697"/>
      <c r="M81" s="697"/>
      <c r="N81" s="5165"/>
      <c r="O81" s="5165"/>
      <c r="P81" s="5165"/>
      <c r="Q81" s="5165"/>
      <c r="R81" s="708"/>
      <c r="S81" s="704"/>
      <c r="T81" s="704"/>
      <c r="U81" s="704"/>
      <c r="V81" s="704"/>
      <c r="W81" s="704"/>
      <c r="X81" s="704"/>
      <c r="Y81" s="704"/>
      <c r="Z81" s="704"/>
      <c r="AA81" s="704"/>
      <c r="AB81" s="704"/>
      <c r="AC81" s="704"/>
      <c r="AD81" s="684"/>
      <c r="AE81" s="684"/>
      <c r="AF81" s="138"/>
      <c r="AG81" s="436"/>
      <c r="AH81" s="138"/>
      <c r="AJ81" s="18"/>
      <c r="AU81" s="33"/>
      <c r="AX81" s="1"/>
    </row>
    <row r="82" spans="3:50" ht="30" customHeight="1"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111"/>
      <c r="S82" s="111"/>
      <c r="T82" s="111"/>
      <c r="U82" s="111"/>
      <c r="V82" s="111"/>
      <c r="W82" s="111"/>
      <c r="X82" s="163"/>
      <c r="Y82" s="111"/>
      <c r="Z82" s="111"/>
      <c r="AA82" s="111"/>
      <c r="AB82" s="163"/>
      <c r="AC82" s="163"/>
      <c r="AD82" s="30"/>
      <c r="AE82" s="448"/>
      <c r="AF82" s="138"/>
      <c r="AG82" s="18"/>
      <c r="AH82" s="454"/>
      <c r="AJ82" s="18"/>
      <c r="AU82" s="33"/>
      <c r="AX82" s="1"/>
    </row>
    <row r="83" spans="3:50" ht="30" customHeight="1">
      <c r="C83" s="26"/>
      <c r="D83" s="50"/>
      <c r="E83" s="234"/>
      <c r="F83" s="233"/>
      <c r="G83" s="233"/>
      <c r="H83" s="163"/>
      <c r="I83" s="163"/>
      <c r="J83" s="163"/>
      <c r="K83" s="163"/>
      <c r="L83" s="163"/>
      <c r="M83" s="704"/>
      <c r="N83" s="50"/>
      <c r="O83" s="50"/>
      <c r="P83" s="697"/>
      <c r="Q83" s="697"/>
      <c r="R83" s="111"/>
      <c r="S83" s="111"/>
      <c r="T83" s="111"/>
      <c r="U83" s="111"/>
      <c r="V83" s="111"/>
      <c r="W83" s="111"/>
      <c r="X83" s="163"/>
      <c r="Y83" s="111"/>
      <c r="Z83" s="111"/>
      <c r="AA83" s="111"/>
      <c r="AB83" s="163"/>
      <c r="AC83" s="163"/>
      <c r="AD83" s="684"/>
      <c r="AE83" s="684"/>
      <c r="AF83" s="138"/>
      <c r="AG83" s="436"/>
      <c r="AH83" s="138"/>
      <c r="AJ83" s="18"/>
      <c r="AU83" s="33"/>
      <c r="AX83" s="1"/>
    </row>
    <row r="84" spans="3:50" ht="30" customHeight="1">
      <c r="C84" s="26"/>
      <c r="D84" s="50"/>
      <c r="E84" s="234"/>
      <c r="F84" s="233"/>
      <c r="G84" s="233"/>
      <c r="H84" s="163"/>
      <c r="I84" s="163"/>
      <c r="J84" s="163"/>
      <c r="K84" s="163"/>
      <c r="L84" s="163"/>
      <c r="M84" s="704"/>
      <c r="N84" s="50"/>
      <c r="O84" s="50"/>
      <c r="P84" s="697"/>
      <c r="Q84" s="697"/>
      <c r="R84" s="111"/>
      <c r="S84" s="111"/>
      <c r="T84" s="111"/>
      <c r="U84" s="111"/>
      <c r="V84" s="111"/>
      <c r="W84" s="111"/>
      <c r="X84" s="163"/>
      <c r="Y84" s="111"/>
      <c r="Z84" s="111"/>
      <c r="AA84" s="111"/>
      <c r="AB84" s="163"/>
      <c r="AC84" s="163"/>
      <c r="AD84" s="684"/>
      <c r="AE84" s="684"/>
      <c r="AF84" s="138"/>
      <c r="AG84" s="18"/>
      <c r="AH84" s="454"/>
      <c r="AJ84" s="18"/>
      <c r="AU84" s="33"/>
      <c r="AX84" s="1"/>
    </row>
    <row r="85" spans="3:50" ht="30" customHeight="1">
      <c r="C85" s="26"/>
      <c r="D85" s="50"/>
      <c r="E85" s="234"/>
      <c r="F85" s="709"/>
      <c r="G85" s="233"/>
      <c r="H85" s="111"/>
      <c r="I85" s="111"/>
      <c r="J85" s="111"/>
      <c r="K85" s="111"/>
      <c r="L85" s="111"/>
      <c r="M85" s="710"/>
      <c r="N85" s="50"/>
      <c r="O85" s="711"/>
      <c r="P85" s="697"/>
      <c r="Q85" s="697"/>
      <c r="R85" s="111"/>
      <c r="S85" s="111"/>
      <c r="T85" s="111"/>
      <c r="U85" s="111"/>
      <c r="V85" s="111"/>
      <c r="W85" s="111"/>
      <c r="X85" s="163"/>
      <c r="Y85" s="111"/>
      <c r="Z85" s="111"/>
      <c r="AA85" s="111"/>
      <c r="AB85" s="163"/>
      <c r="AC85" s="163"/>
      <c r="AD85" s="684"/>
      <c r="AE85" s="684"/>
      <c r="AF85" s="454"/>
      <c r="AG85" s="18"/>
      <c r="AH85" s="454"/>
      <c r="AJ85" s="18"/>
      <c r="AU85" s="33"/>
      <c r="AX85" s="1"/>
    </row>
    <row r="86" spans="3:50" ht="30" customHeight="1">
      <c r="C86" s="26"/>
      <c r="D86" s="50"/>
      <c r="E86" s="50"/>
      <c r="F86" s="712"/>
      <c r="G86" s="50"/>
      <c r="H86" s="111"/>
      <c r="I86" s="111"/>
      <c r="J86" s="111"/>
      <c r="K86" s="111"/>
      <c r="L86" s="111"/>
      <c r="M86" s="710"/>
      <c r="N86" s="50"/>
      <c r="O86" s="713"/>
      <c r="P86" s="50"/>
      <c r="Q86" s="50"/>
      <c r="R86" s="111"/>
      <c r="S86" s="111"/>
      <c r="T86" s="111"/>
      <c r="U86" s="111"/>
      <c r="V86" s="111"/>
      <c r="W86" s="111"/>
      <c r="X86" s="163"/>
      <c r="Y86" s="111"/>
      <c r="Z86" s="111"/>
      <c r="AA86" s="111"/>
      <c r="AB86" s="163"/>
      <c r="AC86" s="163"/>
      <c r="AD86" s="684"/>
      <c r="AE86" s="684"/>
      <c r="AF86" s="454"/>
      <c r="AG86" s="18"/>
      <c r="AH86" s="454"/>
      <c r="AJ86" s="18"/>
      <c r="AU86" s="33"/>
      <c r="AX86" s="1"/>
    </row>
    <row r="87" spans="3:50" ht="30" customHeight="1">
      <c r="C87" s="26"/>
      <c r="D87" s="50"/>
      <c r="E87" s="50"/>
      <c r="F87" s="712"/>
      <c r="G87" s="50"/>
      <c r="H87" s="111"/>
      <c r="I87" s="111"/>
      <c r="J87" s="111"/>
      <c r="K87" s="111"/>
      <c r="L87" s="111"/>
      <c r="M87" s="710"/>
      <c r="N87" s="50"/>
      <c r="O87" s="713"/>
      <c r="P87" s="50"/>
      <c r="Q87" s="50"/>
      <c r="R87" s="111"/>
      <c r="S87" s="111"/>
      <c r="T87" s="111"/>
      <c r="U87" s="111"/>
      <c r="V87" s="111"/>
      <c r="W87" s="111"/>
      <c r="X87" s="163"/>
      <c r="Y87" s="111"/>
      <c r="Z87" s="111"/>
      <c r="AA87" s="111"/>
      <c r="AB87" s="163"/>
      <c r="AC87" s="163"/>
      <c r="AD87" s="684"/>
      <c r="AE87" s="684"/>
      <c r="AF87" s="189"/>
      <c r="AG87" s="436"/>
      <c r="AH87" s="138"/>
      <c r="AJ87" s="18"/>
      <c r="AU87" s="33"/>
      <c r="AX87" s="1"/>
    </row>
    <row r="88" spans="3:50" ht="30" customHeight="1">
      <c r="C88" s="26"/>
      <c r="D88" s="50"/>
      <c r="E88" s="234"/>
      <c r="F88" s="50"/>
      <c r="G88" s="233"/>
      <c r="H88" s="163"/>
      <c r="I88" s="163"/>
      <c r="J88" s="163"/>
      <c r="K88" s="163"/>
      <c r="L88" s="163"/>
      <c r="M88" s="704"/>
      <c r="N88" s="50"/>
      <c r="O88" s="50"/>
      <c r="P88" s="697"/>
      <c r="Q88" s="697"/>
      <c r="R88" s="111"/>
      <c r="S88" s="111"/>
      <c r="T88" s="111"/>
      <c r="U88" s="111"/>
      <c r="V88" s="111"/>
      <c r="W88" s="111"/>
      <c r="X88" s="163"/>
      <c r="Y88" s="111"/>
      <c r="Z88" s="111"/>
      <c r="AA88" s="111"/>
      <c r="AB88" s="163"/>
      <c r="AC88" s="163"/>
      <c r="AD88" s="684"/>
      <c r="AE88" s="684"/>
      <c r="AF88" s="34"/>
      <c r="AG88" s="18"/>
      <c r="AH88" s="454"/>
      <c r="AJ88" s="18"/>
      <c r="AU88" s="33"/>
      <c r="AX88" s="1"/>
    </row>
    <row r="89" spans="3:50" ht="30" customHeight="1">
      <c r="C89" s="26"/>
      <c r="D89" s="50"/>
      <c r="E89" s="50"/>
      <c r="F89" s="712"/>
      <c r="G89" s="50"/>
      <c r="H89" s="111"/>
      <c r="I89" s="111"/>
      <c r="J89" s="111"/>
      <c r="K89" s="111"/>
      <c r="L89" s="111"/>
      <c r="M89" s="710"/>
      <c r="N89" s="50"/>
      <c r="O89" s="713"/>
      <c r="P89" s="50"/>
      <c r="Q89" s="50"/>
      <c r="R89" s="111"/>
      <c r="S89" s="111"/>
      <c r="T89" s="111"/>
      <c r="U89" s="111"/>
      <c r="V89" s="111"/>
      <c r="W89" s="111"/>
      <c r="X89" s="163"/>
      <c r="Y89" s="111"/>
      <c r="Z89" s="111"/>
      <c r="AA89" s="111"/>
      <c r="AB89" s="163"/>
      <c r="AC89" s="163"/>
      <c r="AD89" s="684"/>
      <c r="AE89" s="684"/>
      <c r="AF89" s="34"/>
      <c r="AG89" s="436"/>
      <c r="AH89" s="138"/>
      <c r="AJ89" s="18"/>
      <c r="AU89" s="33"/>
      <c r="AX89" s="1"/>
    </row>
    <row r="90" spans="3:50" ht="30" customHeight="1">
      <c r="C90" s="26"/>
      <c r="D90" s="50"/>
      <c r="E90" s="50"/>
      <c r="F90" s="712"/>
      <c r="G90" s="50"/>
      <c r="H90" s="111"/>
      <c r="I90" s="111"/>
      <c r="J90" s="111"/>
      <c r="K90" s="111"/>
      <c r="L90" s="111"/>
      <c r="M90" s="710"/>
      <c r="N90" s="50"/>
      <c r="O90" s="713"/>
      <c r="P90" s="50"/>
      <c r="Q90" s="50"/>
      <c r="R90" s="669"/>
      <c r="S90" s="714"/>
      <c r="T90" s="714"/>
      <c r="U90" s="714"/>
      <c r="V90" s="714"/>
      <c r="W90" s="714"/>
      <c r="X90" s="715"/>
      <c r="Y90" s="714"/>
      <c r="Z90" s="714"/>
      <c r="AA90" s="714"/>
      <c r="AB90" s="715"/>
      <c r="AC90" s="714"/>
      <c r="AD90" s="63"/>
      <c r="AE90" s="186" t="s">
        <v>1929</v>
      </c>
      <c r="AF90" s="34"/>
      <c r="AG90" s="18"/>
      <c r="AH90" s="454"/>
      <c r="AJ90" s="18"/>
      <c r="AU90" s="33"/>
      <c r="AX90" s="1"/>
    </row>
    <row r="91" spans="3:50" ht="30" customHeight="1">
      <c r="C91" s="26"/>
      <c r="D91" s="50"/>
      <c r="E91" s="50"/>
      <c r="F91" s="712"/>
      <c r="G91" s="50"/>
      <c r="H91" s="111"/>
      <c r="I91" s="111"/>
      <c r="J91" s="111"/>
      <c r="K91" s="111"/>
      <c r="L91" s="111"/>
      <c r="M91" s="710"/>
      <c r="N91" s="50"/>
      <c r="O91" s="713"/>
      <c r="P91" s="50"/>
      <c r="Q91" s="50"/>
      <c r="R91" s="31"/>
      <c r="S91" s="716"/>
      <c r="T91" s="716"/>
      <c r="U91" s="86"/>
      <c r="V91" s="86"/>
      <c r="W91" s="86"/>
      <c r="X91" s="86"/>
      <c r="Y91" s="86"/>
      <c r="Z91" s="716"/>
      <c r="AA91" s="716"/>
      <c r="AB91" s="86"/>
      <c r="AC91" s="138"/>
      <c r="AD91" s="138"/>
      <c r="AE91" s="138"/>
      <c r="AF91" s="138"/>
      <c r="AG91" s="436"/>
      <c r="AH91" s="454"/>
      <c r="AJ91" s="18"/>
      <c r="AU91" s="33"/>
      <c r="AX91" s="1"/>
    </row>
    <row r="92" spans="3:50" ht="30" customHeight="1">
      <c r="C92" s="26"/>
      <c r="D92" s="50"/>
      <c r="E92" s="50"/>
      <c r="F92" s="712"/>
      <c r="G92" s="712"/>
      <c r="H92" s="111"/>
      <c r="I92" s="111"/>
      <c r="J92" s="111"/>
      <c r="K92" s="111"/>
      <c r="L92" s="111"/>
      <c r="M92" s="717"/>
      <c r="N92" s="50"/>
      <c r="O92" s="718"/>
      <c r="P92" s="50"/>
      <c r="Q92" s="50"/>
      <c r="R92" s="680"/>
      <c r="S92" s="716"/>
      <c r="T92" s="716"/>
      <c r="U92" s="86"/>
      <c r="V92" s="86"/>
      <c r="W92" s="86"/>
      <c r="X92" s="86"/>
      <c r="Y92" s="86"/>
      <c r="Z92" s="716"/>
      <c r="AA92" s="716"/>
      <c r="AB92" s="86"/>
      <c r="AC92" s="138"/>
      <c r="AD92" s="86"/>
      <c r="AE92" s="86"/>
      <c r="AF92" s="86"/>
      <c r="AG92" s="18"/>
      <c r="AH92" s="454"/>
      <c r="AJ92" s="18"/>
      <c r="AU92" s="33"/>
      <c r="AX92" s="1"/>
    </row>
    <row r="93" spans="3:50" ht="30" customHeight="1">
      <c r="D93" s="50"/>
      <c r="E93" s="50"/>
      <c r="F93" s="712"/>
      <c r="G93" s="712"/>
      <c r="H93" s="111"/>
      <c r="I93" s="111"/>
      <c r="J93" s="111"/>
      <c r="K93" s="111"/>
      <c r="L93" s="111"/>
      <c r="M93" s="717"/>
      <c r="N93" s="713"/>
      <c r="O93" s="718"/>
      <c r="P93" s="50"/>
      <c r="Q93" s="50"/>
      <c r="R93" s="680"/>
      <c r="S93" s="716"/>
      <c r="T93" s="716"/>
      <c r="U93" s="86"/>
      <c r="V93" s="86"/>
      <c r="W93" s="86"/>
      <c r="X93" s="86"/>
      <c r="Y93" s="86"/>
      <c r="Z93" s="86"/>
      <c r="AA93" s="716"/>
      <c r="AB93" s="86"/>
      <c r="AC93" s="138"/>
      <c r="AD93" s="138"/>
      <c r="AE93" s="138"/>
      <c r="AF93" s="138"/>
      <c r="AG93" s="436"/>
      <c r="AH93" s="454"/>
      <c r="AJ93" s="18"/>
      <c r="AU93" s="33"/>
      <c r="AX93" s="1"/>
    </row>
    <row r="94" spans="3:50" ht="30" customHeight="1">
      <c r="D94" s="50"/>
      <c r="E94" s="50"/>
      <c r="F94" s="709"/>
      <c r="G94" s="712"/>
      <c r="H94" s="111"/>
      <c r="I94" s="111"/>
      <c r="J94" s="111"/>
      <c r="K94" s="111"/>
      <c r="L94" s="111"/>
      <c r="M94" s="710"/>
      <c r="N94" s="713"/>
      <c r="O94" s="718"/>
      <c r="P94" s="50"/>
      <c r="Q94" s="50"/>
      <c r="R94" s="680"/>
      <c r="S94" s="716"/>
      <c r="T94" s="716"/>
      <c r="U94" s="86"/>
      <c r="V94" s="86"/>
      <c r="W94" s="86"/>
      <c r="X94" s="138"/>
      <c r="Y94" s="86"/>
      <c r="Z94" s="716"/>
      <c r="AA94" s="716"/>
      <c r="AB94" s="138"/>
      <c r="AC94" s="138"/>
      <c r="AD94" s="138"/>
      <c r="AE94" s="138"/>
      <c r="AF94" s="138"/>
      <c r="AG94" s="436"/>
      <c r="AH94" s="454"/>
      <c r="AJ94" s="18"/>
      <c r="AU94" s="33"/>
      <c r="AX94" s="1"/>
    </row>
    <row r="95" spans="3:50" ht="30" customHeight="1">
      <c r="C95" s="220"/>
      <c r="D95" s="50"/>
      <c r="E95" s="50"/>
      <c r="F95" s="712"/>
      <c r="G95" s="26"/>
      <c r="H95" s="111"/>
      <c r="I95" s="111"/>
      <c r="J95" s="111"/>
      <c r="K95" s="111"/>
      <c r="L95" s="111"/>
      <c r="M95" s="717"/>
      <c r="N95" s="26"/>
      <c r="O95" s="718"/>
      <c r="P95" s="50"/>
      <c r="Q95" s="50"/>
      <c r="R95" s="680"/>
      <c r="S95" s="716"/>
      <c r="T95" s="716"/>
      <c r="U95" s="86"/>
      <c r="V95" s="86"/>
      <c r="W95" s="86"/>
      <c r="X95" s="138"/>
      <c r="Y95" s="86"/>
      <c r="Z95" s="716"/>
      <c r="AA95" s="716"/>
      <c r="AB95" s="138"/>
      <c r="AC95" s="34"/>
      <c r="AD95" s="34"/>
      <c r="AE95" s="34"/>
      <c r="AF95" s="34"/>
      <c r="AG95" s="436"/>
      <c r="AH95" s="454"/>
      <c r="AI95" s="454"/>
      <c r="AJ95" s="18"/>
      <c r="AU95" s="33"/>
      <c r="AX95" s="1"/>
    </row>
    <row r="96" spans="3:50" ht="30" customHeight="1">
      <c r="C96" s="220"/>
      <c r="D96" s="50"/>
      <c r="E96" s="50"/>
      <c r="F96" s="709"/>
      <c r="G96" s="26"/>
      <c r="H96" s="111"/>
      <c r="I96" s="111"/>
      <c r="J96" s="111"/>
      <c r="K96" s="111"/>
      <c r="L96" s="111"/>
      <c r="M96" s="717"/>
      <c r="N96" s="26"/>
      <c r="O96" s="718"/>
      <c r="P96" s="50"/>
      <c r="Q96" s="50"/>
      <c r="R96" s="111"/>
      <c r="S96" s="537"/>
      <c r="T96" s="537"/>
      <c r="U96" s="82"/>
      <c r="V96" s="82"/>
      <c r="W96" s="82"/>
      <c r="X96" s="82"/>
      <c r="Y96" s="82"/>
      <c r="Z96" s="537"/>
      <c r="AA96" s="537"/>
      <c r="AB96" s="86"/>
      <c r="AC96" s="582"/>
      <c r="AD96" s="582"/>
      <c r="AE96" s="582"/>
      <c r="AF96" s="582"/>
      <c r="AG96" s="436"/>
      <c r="AH96" s="454"/>
      <c r="AI96" s="454"/>
      <c r="AJ96" s="18"/>
      <c r="AU96" s="33"/>
      <c r="AX96" s="1"/>
    </row>
    <row r="97" spans="3:50" ht="30" customHeight="1">
      <c r="C97" s="220"/>
      <c r="D97" s="50"/>
      <c r="E97" s="50"/>
      <c r="F97" s="709"/>
      <c r="G97" s="26"/>
      <c r="H97" s="111"/>
      <c r="I97" s="111"/>
      <c r="J97" s="111"/>
      <c r="K97" s="111"/>
      <c r="L97" s="111"/>
      <c r="M97" s="717"/>
      <c r="N97" s="26"/>
      <c r="O97" s="718"/>
      <c r="P97" s="50"/>
      <c r="Q97" s="50"/>
      <c r="R97" s="111"/>
      <c r="S97" s="537"/>
      <c r="T97" s="537"/>
      <c r="U97" s="82"/>
      <c r="V97" s="82"/>
      <c r="W97" s="82"/>
      <c r="X97" s="82"/>
      <c r="Y97" s="82"/>
      <c r="Z97" s="537"/>
      <c r="AA97" s="537"/>
      <c r="AB97" s="86"/>
      <c r="AC97" s="582"/>
      <c r="AD97" s="582"/>
      <c r="AE97" s="582"/>
      <c r="AF97" s="582"/>
      <c r="AG97" s="436"/>
      <c r="AH97" s="454"/>
      <c r="AI97" s="454"/>
      <c r="AJ97" s="18"/>
      <c r="AU97" s="33"/>
      <c r="AX97" s="1"/>
    </row>
    <row r="98" spans="3:50" ht="30" customHeight="1">
      <c r="D98" s="50"/>
      <c r="E98" s="50"/>
      <c r="F98" s="709"/>
      <c r="G98" s="26"/>
      <c r="H98" s="111"/>
      <c r="I98" s="111"/>
      <c r="J98" s="111"/>
      <c r="K98" s="111"/>
      <c r="L98" s="111"/>
      <c r="M98" s="710"/>
      <c r="N98" s="26"/>
      <c r="O98" s="718"/>
      <c r="P98" s="50"/>
      <c r="Q98" s="50"/>
      <c r="R98" s="111"/>
      <c r="S98" s="537"/>
      <c r="T98" s="537"/>
      <c r="U98" s="82"/>
      <c r="V98" s="82"/>
      <c r="W98" s="82"/>
      <c r="X98" s="582"/>
      <c r="Y98" s="82"/>
      <c r="Z98" s="537"/>
      <c r="AA98" s="537"/>
      <c r="AB98" s="582"/>
      <c r="AC98" s="582"/>
      <c r="AD98" s="582"/>
      <c r="AE98" s="582"/>
      <c r="AF98" s="582"/>
      <c r="AG98" s="436"/>
      <c r="AH98" s="454"/>
      <c r="AI98" s="454"/>
      <c r="AJ98" s="18"/>
      <c r="AU98" s="33"/>
      <c r="AX98" s="1"/>
    </row>
    <row r="99" spans="3:50" ht="30" customHeight="1">
      <c r="D99" s="50"/>
      <c r="E99" s="50"/>
      <c r="F99" s="709"/>
      <c r="G99" s="26"/>
      <c r="H99" s="111"/>
      <c r="I99" s="111"/>
      <c r="J99" s="111"/>
      <c r="K99" s="111"/>
      <c r="L99" s="111"/>
      <c r="M99" s="710"/>
      <c r="N99" s="26"/>
      <c r="O99" s="718"/>
      <c r="P99" s="50"/>
      <c r="Q99" s="50"/>
      <c r="R99" s="111"/>
      <c r="S99" s="537"/>
      <c r="T99" s="537"/>
      <c r="U99" s="82"/>
      <c r="V99" s="82"/>
      <c r="W99" s="82"/>
      <c r="X99" s="582"/>
      <c r="Y99" s="82"/>
      <c r="Z99" s="537"/>
      <c r="AA99" s="537"/>
      <c r="AB99" s="582"/>
      <c r="AC99" s="582"/>
      <c r="AD99" s="582"/>
      <c r="AE99" s="582"/>
      <c r="AF99" s="582"/>
      <c r="AG99" s="18"/>
      <c r="AH99" s="454"/>
      <c r="AI99" s="454"/>
      <c r="AJ99" s="18"/>
      <c r="AU99" s="33"/>
      <c r="AX99" s="1"/>
    </row>
    <row r="100" spans="3:50" ht="30" customHeight="1">
      <c r="D100" s="50"/>
      <c r="E100" s="50"/>
      <c r="F100" s="712"/>
      <c r="G100" s="712"/>
      <c r="H100" s="111"/>
      <c r="I100" s="111"/>
      <c r="J100" s="111"/>
      <c r="K100" s="111"/>
      <c r="L100" s="111"/>
      <c r="M100" s="710"/>
      <c r="N100" s="26"/>
      <c r="O100" s="718"/>
      <c r="P100" s="50"/>
      <c r="Q100" s="50"/>
      <c r="R100" s="719"/>
      <c r="S100" s="720"/>
      <c r="T100" s="720"/>
      <c r="U100" s="720"/>
      <c r="V100" s="720"/>
      <c r="W100" s="720"/>
      <c r="X100" s="720"/>
      <c r="Y100" s="720"/>
      <c r="Z100" s="720"/>
      <c r="AA100" s="720"/>
      <c r="AB100" s="720"/>
      <c r="AC100" s="720"/>
      <c r="AD100" s="466"/>
      <c r="AE100" s="705"/>
      <c r="AF100" s="705"/>
      <c r="AG100" s="454"/>
      <c r="AH100" s="454"/>
      <c r="AI100" s="454"/>
      <c r="AJ100" s="18"/>
      <c r="AU100" s="33"/>
      <c r="AX100" s="1"/>
    </row>
    <row r="101" spans="3:50" ht="30" customHeight="1">
      <c r="D101" s="50"/>
      <c r="E101" s="50"/>
      <c r="F101" s="709"/>
      <c r="G101" s="233"/>
      <c r="H101" s="111"/>
      <c r="I101" s="111"/>
      <c r="J101" s="111"/>
      <c r="K101" s="111"/>
      <c r="L101" s="111"/>
      <c r="M101" s="710"/>
      <c r="N101" s="50"/>
      <c r="O101" s="718"/>
      <c r="P101" s="50"/>
      <c r="Q101" s="50"/>
      <c r="R101" s="129"/>
      <c r="S101" s="721"/>
      <c r="T101" s="86"/>
      <c r="U101" s="721"/>
      <c r="V101" s="86"/>
      <c r="W101" s="721"/>
      <c r="X101" s="720"/>
      <c r="Y101" s="722"/>
      <c r="Z101" s="721"/>
      <c r="AA101" s="721"/>
      <c r="AB101" s="18"/>
      <c r="AC101" s="720"/>
      <c r="AD101" s="466"/>
      <c r="AE101" s="466"/>
      <c r="AF101" s="466"/>
      <c r="AG101" s="454"/>
      <c r="AH101" s="454"/>
      <c r="AI101" s="454"/>
      <c r="AJ101" s="18"/>
      <c r="AU101" s="33"/>
      <c r="AX101" s="1"/>
    </row>
    <row r="102" spans="3:50" ht="30" customHeight="1">
      <c r="D102" s="50"/>
      <c r="E102" s="50"/>
      <c r="F102" s="709"/>
      <c r="G102" s="712"/>
      <c r="H102" s="111"/>
      <c r="I102" s="111"/>
      <c r="J102" s="111"/>
      <c r="K102" s="111"/>
      <c r="L102" s="111"/>
      <c r="M102" s="710"/>
      <c r="N102" s="26"/>
      <c r="O102" s="713"/>
      <c r="P102" s="50"/>
      <c r="Q102" s="50"/>
      <c r="R102" s="111"/>
      <c r="S102" s="537"/>
      <c r="T102" s="537"/>
      <c r="U102" s="537"/>
      <c r="V102" s="537"/>
      <c r="W102" s="537"/>
      <c r="X102" s="537"/>
      <c r="Y102" s="537"/>
      <c r="Z102" s="537"/>
      <c r="AA102" s="537"/>
      <c r="AB102" s="723"/>
      <c r="AC102" s="723"/>
      <c r="AD102" s="18"/>
      <c r="AE102" s="138"/>
      <c r="AF102" s="138"/>
      <c r="AG102" s="454"/>
      <c r="AH102" s="454"/>
      <c r="AI102" s="454"/>
      <c r="AJ102" s="18"/>
      <c r="AU102" s="33"/>
      <c r="AX102" s="1"/>
    </row>
    <row r="103" spans="3:50" ht="30" customHeight="1">
      <c r="D103" s="50"/>
      <c r="E103" s="50"/>
      <c r="F103" s="709"/>
      <c r="G103" s="712"/>
      <c r="H103" s="111"/>
      <c r="I103" s="111"/>
      <c r="J103" s="111"/>
      <c r="K103" s="111"/>
      <c r="L103" s="111"/>
      <c r="M103" s="710"/>
      <c r="N103" s="26"/>
      <c r="O103" s="713"/>
      <c r="P103" s="50"/>
      <c r="Q103" s="50"/>
      <c r="R103" s="111"/>
      <c r="S103" s="537"/>
      <c r="T103" s="537"/>
      <c r="U103" s="537"/>
      <c r="V103" s="537"/>
      <c r="W103" s="537"/>
      <c r="X103" s="537"/>
      <c r="Y103" s="537"/>
      <c r="Z103" s="537"/>
      <c r="AA103" s="537"/>
      <c r="AB103" s="723"/>
      <c r="AC103" s="723"/>
      <c r="AD103" s="18"/>
      <c r="AE103" s="138"/>
      <c r="AF103" s="138"/>
      <c r="AG103" s="454"/>
      <c r="AH103" s="454"/>
      <c r="AI103" s="454"/>
      <c r="AJ103" s="18"/>
      <c r="AU103" s="33"/>
      <c r="AX103" s="1"/>
    </row>
    <row r="104" spans="3:50" ht="30" customHeight="1">
      <c r="D104" s="50"/>
      <c r="E104" s="50"/>
      <c r="F104" s="709"/>
      <c r="G104" s="712"/>
      <c r="H104" s="111"/>
      <c r="I104" s="111"/>
      <c r="J104" s="111"/>
      <c r="K104" s="111"/>
      <c r="L104" s="111"/>
      <c r="M104" s="710"/>
      <c r="N104" s="26"/>
      <c r="O104" s="713"/>
      <c r="P104" s="50"/>
      <c r="Q104" s="50"/>
      <c r="R104" s="111"/>
      <c r="S104" s="537"/>
      <c r="T104" s="537"/>
      <c r="U104" s="537"/>
      <c r="V104" s="537"/>
      <c r="W104" s="537"/>
      <c r="X104" s="537"/>
      <c r="Y104" s="537"/>
      <c r="Z104" s="537"/>
      <c r="AA104" s="537"/>
      <c r="AB104" s="723"/>
      <c r="AC104" s="723"/>
      <c r="AD104" s="18"/>
      <c r="AE104" s="138"/>
      <c r="AF104" s="138"/>
      <c r="AG104" s="454"/>
      <c r="AH104" s="454"/>
      <c r="AI104" s="454"/>
      <c r="AJ104" s="18"/>
      <c r="AU104" s="33"/>
      <c r="AX104" s="1"/>
    </row>
    <row r="105" spans="3:50" ht="30" customHeight="1">
      <c r="D105" s="50"/>
      <c r="E105" s="50"/>
      <c r="F105" s="709"/>
      <c r="G105" s="712"/>
      <c r="H105" s="111"/>
      <c r="I105" s="111"/>
      <c r="J105" s="111"/>
      <c r="K105" s="111"/>
      <c r="L105" s="111"/>
      <c r="M105" s="710"/>
      <c r="N105" s="26"/>
      <c r="O105" s="713"/>
      <c r="P105" s="50"/>
      <c r="Q105" s="50"/>
      <c r="R105" s="111"/>
      <c r="S105" s="537"/>
      <c r="T105" s="537"/>
      <c r="U105" s="537"/>
      <c r="V105" s="537"/>
      <c r="W105" s="537"/>
      <c r="X105" s="537"/>
      <c r="Y105" s="537"/>
      <c r="Z105" s="537"/>
      <c r="AA105" s="537"/>
      <c r="AB105" s="723"/>
      <c r="AC105" s="723"/>
      <c r="AD105" s="18"/>
      <c r="AE105" s="138"/>
      <c r="AF105" s="138"/>
      <c r="AG105" s="454"/>
      <c r="AH105" s="454"/>
      <c r="AI105" s="454"/>
      <c r="AJ105" s="18"/>
      <c r="AU105" s="33"/>
      <c r="AX105" s="1"/>
    </row>
    <row r="106" spans="3:50" ht="30" customHeight="1">
      <c r="D106" s="50"/>
      <c r="E106" s="50"/>
      <c r="F106" s="709"/>
      <c r="G106" s="712"/>
      <c r="H106" s="111"/>
      <c r="I106" s="111"/>
      <c r="J106" s="111"/>
      <c r="K106" s="111"/>
      <c r="L106" s="111"/>
      <c r="M106" s="710"/>
      <c r="N106" s="713"/>
      <c r="O106" s="26"/>
      <c r="P106" s="50"/>
      <c r="Q106" s="50"/>
      <c r="R106" s="111"/>
      <c r="S106" s="723"/>
      <c r="T106" s="537"/>
      <c r="U106" s="537"/>
      <c r="V106" s="537"/>
      <c r="W106" s="537"/>
      <c r="X106" s="537"/>
      <c r="Y106" s="537"/>
      <c r="Z106" s="537"/>
      <c r="AA106" s="537"/>
      <c r="AB106" s="537"/>
      <c r="AC106" s="537"/>
      <c r="AD106" s="537"/>
      <c r="AE106" s="537"/>
      <c r="AF106" s="537"/>
      <c r="AG106" s="454"/>
      <c r="AH106" s="454"/>
      <c r="AI106" s="454"/>
      <c r="AJ106" s="18"/>
      <c r="AU106" s="33"/>
      <c r="AX106" s="1"/>
    </row>
    <row r="107" spans="3:50" ht="30" customHeight="1">
      <c r="D107" s="50"/>
      <c r="E107" s="50"/>
      <c r="F107" s="709"/>
      <c r="G107" s="712"/>
      <c r="H107" s="111"/>
      <c r="I107" s="111"/>
      <c r="J107" s="111"/>
      <c r="K107" s="111"/>
      <c r="L107" s="111"/>
      <c r="M107" s="710"/>
      <c r="N107" s="26"/>
      <c r="O107" s="713"/>
      <c r="P107" s="50"/>
      <c r="Q107" s="50"/>
      <c r="R107" s="111"/>
      <c r="S107" s="723"/>
      <c r="T107" s="537"/>
      <c r="U107" s="537"/>
      <c r="V107" s="537"/>
      <c r="W107" s="537"/>
      <c r="X107" s="537"/>
      <c r="Y107" s="537"/>
      <c r="Z107" s="537"/>
      <c r="AA107" s="537"/>
      <c r="AB107" s="537"/>
      <c r="AC107" s="537"/>
      <c r="AD107" s="537"/>
      <c r="AE107" s="537"/>
      <c r="AF107" s="537"/>
      <c r="AG107" s="454"/>
      <c r="AH107" s="454"/>
      <c r="AI107" s="454"/>
      <c r="AJ107" s="18"/>
      <c r="AU107" s="33"/>
      <c r="AX107" s="1"/>
    </row>
    <row r="108" spans="3:50" ht="30" customHeight="1">
      <c r="D108" s="50"/>
      <c r="E108" s="50"/>
      <c r="F108" s="709"/>
      <c r="G108" s="712"/>
      <c r="H108" s="111"/>
      <c r="I108" s="111"/>
      <c r="J108" s="111"/>
      <c r="K108" s="111"/>
      <c r="L108" s="111"/>
      <c r="M108" s="710"/>
      <c r="N108" s="713"/>
      <c r="O108" s="26"/>
      <c r="P108" s="50"/>
      <c r="Q108" s="50"/>
      <c r="R108" s="111"/>
      <c r="S108" s="723"/>
      <c r="T108" s="537"/>
      <c r="U108" s="537"/>
      <c r="V108" s="537"/>
      <c r="W108" s="537"/>
      <c r="X108" s="537"/>
      <c r="Y108" s="537"/>
      <c r="Z108" s="537"/>
      <c r="AA108" s="537"/>
      <c r="AB108" s="537"/>
      <c r="AC108" s="537"/>
      <c r="AD108" s="537"/>
      <c r="AE108" s="537"/>
      <c r="AF108" s="537"/>
      <c r="AG108" s="454"/>
      <c r="AH108" s="454"/>
      <c r="AI108" s="454" t="s">
        <v>1930</v>
      </c>
      <c r="AJ108" s="18"/>
      <c r="AU108" s="33"/>
      <c r="AX108" s="1"/>
    </row>
    <row r="109" spans="3:50" ht="30" customHeight="1">
      <c r="D109" s="50"/>
      <c r="E109" s="50"/>
      <c r="F109" s="712"/>
      <c r="G109" s="26"/>
      <c r="H109" s="111"/>
      <c r="I109" s="111"/>
      <c r="J109" s="111"/>
      <c r="K109" s="111"/>
      <c r="L109" s="111"/>
      <c r="M109" s="710"/>
      <c r="N109" s="26"/>
      <c r="O109" s="713"/>
      <c r="P109" s="50"/>
      <c r="Q109" s="50"/>
      <c r="R109" s="111"/>
      <c r="S109" s="723"/>
      <c r="T109" s="537"/>
      <c r="U109" s="537"/>
      <c r="V109" s="537"/>
      <c r="W109" s="537"/>
      <c r="X109" s="537"/>
      <c r="Y109" s="537"/>
      <c r="Z109" s="537"/>
      <c r="AA109" s="537"/>
      <c r="AB109" s="537"/>
      <c r="AC109" s="537"/>
      <c r="AD109" s="537"/>
      <c r="AE109" s="537"/>
      <c r="AF109" s="537"/>
      <c r="AG109" s="454"/>
      <c r="AH109" s="454"/>
      <c r="AI109" s="454" t="s">
        <v>1931</v>
      </c>
      <c r="AJ109" s="18"/>
      <c r="AU109" s="33"/>
      <c r="AX109" s="1"/>
    </row>
    <row r="110" spans="3:50" ht="30" customHeight="1">
      <c r="D110" s="50"/>
      <c r="E110" s="50"/>
      <c r="F110" s="709"/>
      <c r="G110" s="712"/>
      <c r="H110" s="111"/>
      <c r="I110" s="111"/>
      <c r="J110" s="111"/>
      <c r="K110" s="111"/>
      <c r="L110" s="111"/>
      <c r="M110" s="710"/>
      <c r="N110" s="26"/>
      <c r="O110" s="713"/>
      <c r="P110" s="50"/>
      <c r="Q110" s="50"/>
      <c r="R110" s="111"/>
      <c r="S110" s="723"/>
      <c r="T110" s="537"/>
      <c r="U110" s="537"/>
      <c r="V110" s="537"/>
      <c r="W110" s="537"/>
      <c r="X110" s="537"/>
      <c r="Y110" s="537"/>
      <c r="Z110" s="537"/>
      <c r="AA110" s="537"/>
      <c r="AB110" s="537"/>
      <c r="AC110" s="537"/>
      <c r="AD110" s="537"/>
      <c r="AE110" s="537"/>
      <c r="AF110" s="537"/>
      <c r="AG110" s="454"/>
      <c r="AH110" s="454"/>
      <c r="AI110" s="454" t="s">
        <v>1932</v>
      </c>
      <c r="AJ110" s="18"/>
      <c r="AU110" s="33"/>
      <c r="AX110" s="1"/>
    </row>
    <row r="111" spans="3:50" ht="30" customHeight="1">
      <c r="D111" s="50"/>
      <c r="E111" s="50"/>
      <c r="F111" s="709"/>
      <c r="G111" s="712"/>
      <c r="H111" s="111"/>
      <c r="I111" s="111"/>
      <c r="J111" s="111"/>
      <c r="K111" s="111"/>
      <c r="L111" s="111"/>
      <c r="M111" s="710"/>
      <c r="N111" s="26"/>
      <c r="O111" s="713"/>
      <c r="P111" s="50"/>
      <c r="Q111" s="50"/>
      <c r="R111" s="111"/>
      <c r="S111" s="723"/>
      <c r="T111" s="537"/>
      <c r="U111" s="537"/>
      <c r="V111" s="537"/>
      <c r="W111" s="537"/>
      <c r="X111" s="537"/>
      <c r="Y111" s="537"/>
      <c r="Z111" s="537"/>
      <c r="AA111" s="537"/>
      <c r="AB111" s="537"/>
      <c r="AC111" s="537"/>
      <c r="AD111" s="537"/>
      <c r="AE111" s="537"/>
      <c r="AF111" s="537"/>
      <c r="AG111" s="454"/>
      <c r="AH111" s="454"/>
      <c r="AI111" s="454"/>
      <c r="AJ111" s="18"/>
      <c r="AU111" s="33"/>
      <c r="AX111" s="1"/>
    </row>
    <row r="112" spans="3:50" ht="30" customHeight="1">
      <c r="D112" s="50"/>
      <c r="E112" s="50"/>
      <c r="F112" s="709"/>
      <c r="G112" s="712"/>
      <c r="H112" s="111"/>
      <c r="I112" s="111"/>
      <c r="J112" s="111"/>
      <c r="K112" s="111"/>
      <c r="L112" s="111"/>
      <c r="M112" s="710"/>
      <c r="N112" s="713"/>
      <c r="O112" s="26"/>
      <c r="P112" s="50"/>
      <c r="Q112" s="50"/>
      <c r="R112" s="111"/>
      <c r="S112" s="723"/>
      <c r="T112" s="537"/>
      <c r="U112" s="537"/>
      <c r="V112" s="537"/>
      <c r="W112" s="537"/>
      <c r="X112" s="537"/>
      <c r="Y112" s="537"/>
      <c r="Z112" s="537"/>
      <c r="AA112" s="537"/>
      <c r="AB112" s="537"/>
      <c r="AC112" s="537"/>
      <c r="AD112" s="537"/>
      <c r="AE112" s="537"/>
      <c r="AF112" s="537"/>
      <c r="AG112" s="454"/>
      <c r="AH112" s="454"/>
      <c r="AI112" s="454" t="s">
        <v>1933</v>
      </c>
      <c r="AJ112" s="18"/>
      <c r="AU112" s="33"/>
      <c r="AX112" s="1"/>
    </row>
    <row r="113" spans="1:50" ht="30" customHeight="1">
      <c r="D113" s="50"/>
      <c r="E113" s="50"/>
      <c r="F113" s="709"/>
      <c r="G113" s="712"/>
      <c r="H113" s="111"/>
      <c r="I113" s="111"/>
      <c r="J113" s="111"/>
      <c r="K113" s="111"/>
      <c r="L113" s="111"/>
      <c r="M113" s="710"/>
      <c r="N113" s="26"/>
      <c r="O113" s="713"/>
      <c r="P113" s="50"/>
      <c r="Q113" s="50"/>
      <c r="R113" s="111"/>
      <c r="S113" s="723"/>
      <c r="T113" s="537"/>
      <c r="U113" s="537"/>
      <c r="V113" s="537"/>
      <c r="W113" s="537"/>
      <c r="X113" s="537"/>
      <c r="Y113" s="537"/>
      <c r="Z113" s="537"/>
      <c r="AA113" s="537"/>
      <c r="AB113" s="537"/>
      <c r="AC113" s="537"/>
      <c r="AD113" s="537"/>
      <c r="AE113" s="537"/>
      <c r="AF113" s="537"/>
      <c r="AG113" s="454"/>
      <c r="AH113" s="454"/>
      <c r="AI113" s="454"/>
      <c r="AJ113" s="18"/>
      <c r="AU113" s="33"/>
      <c r="AX113" s="1"/>
    </row>
    <row r="114" spans="1:50" ht="30" customHeight="1">
      <c r="D114" s="50"/>
      <c r="E114" s="50"/>
      <c r="F114" s="709"/>
      <c r="G114" s="712"/>
      <c r="H114" s="111"/>
      <c r="I114" s="111"/>
      <c r="J114" s="111"/>
      <c r="K114" s="111"/>
      <c r="L114" s="111"/>
      <c r="M114" s="710"/>
      <c r="N114" s="26"/>
      <c r="O114" s="713"/>
      <c r="P114" s="50"/>
      <c r="Q114" s="50"/>
      <c r="R114" s="111"/>
      <c r="S114" s="723"/>
      <c r="T114" s="537"/>
      <c r="U114" s="537"/>
      <c r="V114" s="537"/>
      <c r="W114" s="537"/>
      <c r="X114" s="537"/>
      <c r="Y114" s="537"/>
      <c r="Z114" s="537"/>
      <c r="AA114" s="537"/>
      <c r="AB114" s="537"/>
      <c r="AC114" s="537"/>
      <c r="AD114" s="537"/>
      <c r="AE114" s="537"/>
      <c r="AF114" s="537"/>
      <c r="AG114" s="454"/>
      <c r="AH114" s="454"/>
      <c r="AI114" s="454"/>
      <c r="AJ114" s="18"/>
      <c r="AU114" s="33"/>
      <c r="AX114" s="1"/>
    </row>
    <row r="115" spans="1:50" ht="30" customHeight="1">
      <c r="D115" s="50"/>
      <c r="E115" s="234"/>
      <c r="F115" s="50"/>
      <c r="G115" s="233"/>
      <c r="H115" s="163"/>
      <c r="I115" s="163"/>
      <c r="J115" s="163"/>
      <c r="K115" s="163"/>
      <c r="L115" s="163"/>
      <c r="M115" s="704"/>
      <c r="N115" s="50"/>
      <c r="O115" s="50"/>
      <c r="P115" s="697"/>
      <c r="Q115" s="697"/>
      <c r="R115" s="111"/>
      <c r="S115" s="723"/>
      <c r="T115" s="537"/>
      <c r="U115" s="537"/>
      <c r="V115" s="537"/>
      <c r="W115" s="537"/>
      <c r="X115" s="537"/>
      <c r="Y115" s="537"/>
      <c r="Z115" s="537"/>
      <c r="AA115" s="537"/>
      <c r="AB115" s="537"/>
      <c r="AC115" s="537"/>
      <c r="AD115" s="537"/>
      <c r="AE115" s="537"/>
      <c r="AF115" s="537"/>
      <c r="AG115" s="83"/>
      <c r="AH115" s="454"/>
      <c r="AI115" s="454"/>
      <c r="AJ115" s="18"/>
      <c r="AU115" s="33"/>
      <c r="AX115" s="1"/>
    </row>
    <row r="116" spans="1:50" ht="30" customHeight="1">
      <c r="D116" s="50"/>
      <c r="E116" s="247"/>
      <c r="F116" s="709"/>
      <c r="G116" s="712"/>
      <c r="H116" s="163"/>
      <c r="I116" s="163"/>
      <c r="J116" s="163"/>
      <c r="K116" s="163"/>
      <c r="L116" s="163"/>
      <c r="M116" s="163"/>
      <c r="N116" s="26"/>
      <c r="O116" s="713"/>
      <c r="P116" s="697"/>
      <c r="Q116" s="50"/>
      <c r="R116" s="111"/>
      <c r="S116" s="723"/>
      <c r="T116" s="537"/>
      <c r="U116" s="537"/>
      <c r="V116" s="537"/>
      <c r="W116" s="537"/>
      <c r="X116" s="537"/>
      <c r="Y116" s="537"/>
      <c r="Z116" s="537"/>
      <c r="AA116" s="537"/>
      <c r="AB116" s="537"/>
      <c r="AC116" s="537"/>
      <c r="AD116" s="537"/>
      <c r="AE116" s="537"/>
      <c r="AF116" s="537"/>
      <c r="AG116" s="18"/>
      <c r="AH116" s="454"/>
      <c r="AI116" s="454"/>
      <c r="AJ116" s="18"/>
      <c r="AU116" s="33"/>
      <c r="AX116" s="1"/>
    </row>
    <row r="117" spans="1:50" ht="20.100000000000001" customHeight="1">
      <c r="D117" s="50"/>
      <c r="E117" s="247"/>
      <c r="F117" s="709"/>
      <c r="G117" s="712"/>
      <c r="H117" s="163"/>
      <c r="I117" s="163"/>
      <c r="J117" s="163"/>
      <c r="K117" s="163"/>
      <c r="L117" s="163"/>
      <c r="M117" s="704"/>
      <c r="N117" s="26"/>
      <c r="O117" s="713"/>
      <c r="P117" s="697"/>
      <c r="Q117" s="50"/>
      <c r="R117" s="111"/>
      <c r="S117" s="723"/>
      <c r="T117" s="537"/>
      <c r="U117" s="537"/>
      <c r="V117" s="537"/>
      <c r="W117" s="537"/>
      <c r="X117" s="537"/>
      <c r="Y117" s="537"/>
      <c r="Z117" s="537"/>
      <c r="AA117" s="537"/>
      <c r="AB117" s="537"/>
      <c r="AC117" s="537"/>
      <c r="AD117" s="537"/>
      <c r="AE117" s="537"/>
      <c r="AF117" s="537"/>
      <c r="AG117" s="454"/>
      <c r="AH117" s="454"/>
      <c r="AI117" s="454"/>
      <c r="AJ117" s="18"/>
      <c r="AU117" s="33"/>
      <c r="AX117" s="1"/>
    </row>
    <row r="118" spans="1:50" ht="20.100000000000001" customHeight="1">
      <c r="D118" s="50"/>
      <c r="E118" s="247"/>
      <c r="F118" s="709"/>
      <c r="G118" s="712"/>
      <c r="H118" s="163"/>
      <c r="I118" s="163"/>
      <c r="J118" s="163"/>
      <c r="K118" s="163"/>
      <c r="L118" s="163"/>
      <c r="M118" s="704"/>
      <c r="N118" s="26"/>
      <c r="O118" s="713"/>
      <c r="P118" s="697"/>
      <c r="Q118" s="50"/>
      <c r="R118" s="111"/>
      <c r="S118" s="723"/>
      <c r="T118" s="537"/>
      <c r="U118" s="537"/>
      <c r="V118" s="537"/>
      <c r="W118" s="537"/>
      <c r="X118" s="537"/>
      <c r="Y118" s="537"/>
      <c r="Z118" s="537"/>
      <c r="AA118" s="537"/>
      <c r="AB118" s="537"/>
      <c r="AC118" s="537"/>
      <c r="AD118" s="537"/>
      <c r="AE118" s="537"/>
      <c r="AF118" s="537"/>
      <c r="AG118" s="454"/>
      <c r="AH118" s="454"/>
      <c r="AI118" s="454"/>
      <c r="AJ118" s="18"/>
      <c r="AU118" s="33"/>
      <c r="AX118" s="1"/>
    </row>
    <row r="119" spans="1:50" ht="20.100000000000001" customHeight="1">
      <c r="D119" s="724"/>
      <c r="E119" s="725"/>
      <c r="F119" s="725"/>
      <c r="G119" s="724"/>
      <c r="H119" s="724"/>
      <c r="I119" s="724"/>
      <c r="J119" s="79"/>
      <c r="K119" s="724"/>
      <c r="L119" s="724"/>
      <c r="M119" s="724"/>
      <c r="N119" s="724"/>
      <c r="O119" s="80"/>
      <c r="P119" s="724"/>
      <c r="Q119" s="726"/>
      <c r="R119" s="111"/>
      <c r="S119" s="723"/>
      <c r="T119" s="537"/>
      <c r="U119" s="537"/>
      <c r="V119" s="537"/>
      <c r="W119" s="537"/>
      <c r="X119" s="537"/>
      <c r="Y119" s="537"/>
      <c r="Z119" s="537"/>
      <c r="AA119" s="537"/>
      <c r="AB119" s="537"/>
      <c r="AC119" s="537"/>
      <c r="AD119" s="537"/>
      <c r="AE119" s="537"/>
      <c r="AF119" s="537"/>
      <c r="AG119" s="454"/>
      <c r="AH119" s="454"/>
      <c r="AI119" s="454"/>
      <c r="AJ119" s="18"/>
      <c r="AU119" s="33"/>
      <c r="AX119" s="1"/>
    </row>
    <row r="120" spans="1:50" s="18" customFormat="1" ht="20.100000000000001" customHeight="1">
      <c r="A120" s="26"/>
      <c r="B120" s="26"/>
      <c r="C120" s="26"/>
      <c r="D120" s="50"/>
      <c r="E120" s="50"/>
      <c r="F120" s="247"/>
      <c r="G120" s="73"/>
      <c r="H120" s="73"/>
      <c r="I120" s="73"/>
      <c r="J120" s="73"/>
      <c r="K120" s="73"/>
      <c r="L120" s="73"/>
      <c r="M120" s="73"/>
      <c r="N120" s="73"/>
      <c r="O120" s="134"/>
      <c r="P120" s="73"/>
      <c r="Q120" s="73"/>
      <c r="R120" s="73"/>
      <c r="S120" s="727"/>
      <c r="T120" s="728"/>
      <c r="U120" s="728"/>
      <c r="V120" s="728"/>
      <c r="W120" s="728"/>
      <c r="X120" s="728"/>
      <c r="Y120" s="728"/>
      <c r="Z120" s="728"/>
      <c r="AA120" s="728"/>
      <c r="AB120" s="728"/>
      <c r="AC120" s="728"/>
      <c r="AD120" s="728"/>
      <c r="AE120" s="728"/>
      <c r="AF120" s="728"/>
      <c r="AG120" s="454"/>
      <c r="AH120" s="138"/>
      <c r="AU120" s="33"/>
    </row>
    <row r="121" spans="1:50" ht="20.100000000000001" customHeight="1">
      <c r="D121" s="729"/>
      <c r="E121" s="227"/>
      <c r="F121" s="582"/>
      <c r="G121" s="537"/>
      <c r="H121" s="537"/>
      <c r="I121" s="537"/>
      <c r="J121" s="537"/>
      <c r="K121" s="537"/>
      <c r="L121" s="537"/>
      <c r="M121" s="537"/>
      <c r="N121" s="537"/>
      <c r="O121" s="723"/>
      <c r="P121" s="537"/>
      <c r="Q121" s="537"/>
      <c r="R121" s="537"/>
      <c r="S121" s="723"/>
      <c r="T121" s="537"/>
      <c r="U121" s="537"/>
      <c r="V121" s="537"/>
      <c r="W121" s="537"/>
      <c r="X121" s="537"/>
      <c r="Y121" s="537"/>
      <c r="Z121" s="537"/>
      <c r="AA121" s="537"/>
      <c r="AB121" s="537"/>
      <c r="AC121" s="537"/>
      <c r="AD121" s="537"/>
      <c r="AE121" s="537"/>
      <c r="AF121" s="537"/>
      <c r="AG121" s="454"/>
      <c r="AH121" s="454"/>
      <c r="AI121" s="454"/>
      <c r="AJ121" s="18"/>
      <c r="AU121" s="33"/>
      <c r="AX121" s="1"/>
    </row>
    <row r="122" spans="1:50" s="18" customFormat="1" ht="20.100000000000001" customHeight="1">
      <c r="A122" s="26"/>
      <c r="B122" s="26"/>
      <c r="C122" s="26"/>
      <c r="D122" s="729"/>
      <c r="E122" s="227"/>
      <c r="F122" s="582"/>
      <c r="G122" s="537"/>
      <c r="H122" s="537"/>
      <c r="I122" s="537"/>
      <c r="J122" s="537"/>
      <c r="K122" s="537"/>
      <c r="L122" s="537"/>
      <c r="M122" s="537"/>
      <c r="N122" s="537"/>
      <c r="O122" s="723"/>
      <c r="P122" s="537"/>
      <c r="Q122" s="537"/>
      <c r="R122" s="537"/>
      <c r="S122" s="723"/>
      <c r="T122" s="537"/>
      <c r="U122" s="537"/>
      <c r="V122" s="537"/>
      <c r="W122" s="537"/>
      <c r="X122" s="537"/>
      <c r="Y122" s="537"/>
      <c r="Z122" s="537"/>
      <c r="AA122" s="537"/>
      <c r="AB122" s="537"/>
      <c r="AC122" s="537"/>
      <c r="AD122" s="537"/>
      <c r="AE122" s="537"/>
      <c r="AF122" s="537"/>
      <c r="AG122" s="454"/>
      <c r="AH122" s="454"/>
      <c r="AI122" s="454"/>
      <c r="AU122" s="33"/>
    </row>
    <row r="123" spans="1:50" s="18" customFormat="1" ht="20.100000000000001" customHeight="1">
      <c r="A123" s="26"/>
      <c r="B123" s="26"/>
      <c r="C123" s="26"/>
      <c r="D123" s="729"/>
      <c r="E123" s="227"/>
      <c r="F123" s="582"/>
      <c r="G123" s="537"/>
      <c r="H123" s="537"/>
      <c r="I123" s="537"/>
      <c r="J123" s="537"/>
      <c r="K123" s="537"/>
      <c r="L123" s="537"/>
      <c r="M123" s="537"/>
      <c r="N123" s="537"/>
      <c r="O123" s="723"/>
      <c r="P123" s="537"/>
      <c r="Q123" s="537"/>
      <c r="R123" s="537"/>
      <c r="S123" s="723"/>
      <c r="T123" s="537"/>
      <c r="U123" s="537"/>
      <c r="V123" s="537"/>
      <c r="W123" s="537"/>
      <c r="X123" s="537"/>
      <c r="Y123" s="537"/>
      <c r="Z123" s="537"/>
      <c r="AA123" s="537"/>
      <c r="AB123" s="537"/>
      <c r="AC123" s="537"/>
      <c r="AD123" s="537"/>
      <c r="AE123" s="537"/>
      <c r="AF123" s="537"/>
      <c r="AG123" s="454"/>
      <c r="AH123" s="454"/>
      <c r="AI123" s="454"/>
      <c r="AU123" s="33"/>
    </row>
    <row r="124" spans="1:50" s="18" customFormat="1" ht="20.100000000000001" customHeight="1">
      <c r="A124" s="26"/>
      <c r="B124" s="26"/>
      <c r="C124" s="26"/>
      <c r="D124" s="729"/>
      <c r="E124" s="227"/>
      <c r="F124" s="582"/>
      <c r="G124" s="537"/>
      <c r="H124" s="537"/>
      <c r="I124" s="537"/>
      <c r="J124" s="537"/>
      <c r="K124" s="537"/>
      <c r="L124" s="537"/>
      <c r="M124" s="537"/>
      <c r="N124" s="537"/>
      <c r="O124" s="723"/>
      <c r="P124" s="537"/>
      <c r="Q124" s="537"/>
      <c r="R124" s="537"/>
      <c r="S124" s="723"/>
      <c r="T124" s="537"/>
      <c r="U124" s="537"/>
      <c r="V124" s="537"/>
      <c r="W124" s="537"/>
      <c r="X124" s="537"/>
      <c r="Y124" s="537"/>
      <c r="Z124" s="537"/>
      <c r="AA124" s="537"/>
      <c r="AB124" s="537"/>
      <c r="AC124" s="537"/>
      <c r="AD124" s="537"/>
      <c r="AE124" s="537"/>
      <c r="AF124" s="537"/>
      <c r="AG124" s="454"/>
      <c r="AH124" s="454"/>
      <c r="AI124" s="454"/>
      <c r="AU124" s="33"/>
    </row>
    <row r="125" spans="1:50" ht="20.100000000000001" customHeight="1">
      <c r="D125" s="729"/>
      <c r="E125" s="227"/>
      <c r="F125" s="582"/>
      <c r="G125" s="537"/>
      <c r="H125" s="537"/>
      <c r="I125" s="537"/>
      <c r="J125" s="537"/>
      <c r="K125" s="537"/>
      <c r="L125" s="537"/>
      <c r="M125" s="537"/>
      <c r="N125" s="537"/>
      <c r="O125" s="723"/>
      <c r="P125" s="537"/>
      <c r="Q125" s="537"/>
      <c r="R125" s="537"/>
      <c r="S125" s="723"/>
      <c r="T125" s="537"/>
      <c r="U125" s="537"/>
      <c r="V125" s="537"/>
      <c r="W125" s="537"/>
      <c r="X125" s="537"/>
      <c r="Y125" s="537"/>
      <c r="Z125" s="537"/>
      <c r="AA125" s="537"/>
      <c r="AB125" s="537"/>
      <c r="AC125" s="537"/>
      <c r="AD125" s="537"/>
      <c r="AE125" s="537"/>
      <c r="AF125" s="537"/>
      <c r="AG125" s="454"/>
      <c r="AH125" s="454"/>
      <c r="AI125" s="454"/>
      <c r="AJ125" s="18"/>
      <c r="AU125" s="33"/>
      <c r="AX125" s="1"/>
    </row>
    <row r="126" spans="1:50" ht="20.100000000000001" customHeight="1">
      <c r="D126" s="729"/>
      <c r="E126" s="227"/>
      <c r="F126" s="582"/>
      <c r="G126" s="537"/>
      <c r="H126" s="537"/>
      <c r="I126" s="537"/>
      <c r="J126" s="537"/>
      <c r="K126" s="537"/>
      <c r="L126" s="537"/>
      <c r="M126" s="537"/>
      <c r="N126" s="537"/>
      <c r="O126" s="723"/>
      <c r="P126" s="537"/>
      <c r="Q126" s="537"/>
      <c r="R126" s="537"/>
      <c r="S126" s="723"/>
      <c r="T126" s="537"/>
      <c r="U126" s="537"/>
      <c r="V126" s="537"/>
      <c r="W126" s="537"/>
      <c r="X126" s="537"/>
      <c r="Y126" s="537"/>
      <c r="Z126" s="537"/>
      <c r="AA126" s="537"/>
      <c r="AB126" s="537"/>
      <c r="AC126" s="537"/>
      <c r="AD126" s="537"/>
      <c r="AE126" s="537"/>
      <c r="AF126" s="537"/>
      <c r="AG126" s="454"/>
      <c r="AH126" s="454"/>
      <c r="AI126" s="454"/>
      <c r="AJ126" s="18"/>
      <c r="AU126" s="33"/>
      <c r="AX126" s="1"/>
    </row>
    <row r="127" spans="1:50" ht="0.95" customHeight="1">
      <c r="D127" s="729"/>
      <c r="E127" s="227"/>
      <c r="F127" s="582"/>
      <c r="G127" s="537"/>
      <c r="H127" s="537"/>
      <c r="I127" s="537"/>
      <c r="J127" s="537"/>
      <c r="K127" s="537"/>
      <c r="L127" s="537"/>
      <c r="M127" s="537"/>
      <c r="N127" s="537"/>
      <c r="O127" s="730"/>
      <c r="P127" s="537"/>
      <c r="Q127" s="537"/>
      <c r="R127" s="537"/>
      <c r="S127" s="723"/>
      <c r="T127" s="537"/>
      <c r="U127" s="537"/>
      <c r="V127" s="537"/>
      <c r="W127" s="537"/>
      <c r="X127" s="537"/>
      <c r="Y127" s="537"/>
      <c r="Z127" s="731"/>
      <c r="AA127" s="537"/>
      <c r="AB127" s="537"/>
      <c r="AC127" s="537"/>
      <c r="AD127" s="18"/>
      <c r="AE127" s="18"/>
      <c r="AG127" s="18"/>
      <c r="AH127" s="454"/>
      <c r="AI127" s="454"/>
      <c r="AJ127" s="18"/>
      <c r="AU127" s="33"/>
      <c r="AX127" s="1"/>
    </row>
    <row r="128" spans="1:50" ht="20.100000000000001" customHeight="1">
      <c r="D128" s="729"/>
      <c r="E128" s="227"/>
      <c r="F128" s="582"/>
      <c r="G128" s="537"/>
      <c r="H128" s="537"/>
      <c r="I128" s="537"/>
      <c r="J128" s="537"/>
      <c r="K128" s="537"/>
      <c r="L128" s="537"/>
      <c r="M128" s="537"/>
      <c r="N128" s="537"/>
      <c r="O128" s="723"/>
      <c r="P128" s="537"/>
      <c r="Q128" s="537"/>
      <c r="R128" s="537"/>
      <c r="S128" s="723"/>
      <c r="T128" s="537"/>
      <c r="U128" s="537"/>
      <c r="V128" s="537"/>
      <c r="W128" s="537"/>
      <c r="X128" s="537"/>
      <c r="Y128" s="537"/>
      <c r="Z128" s="537"/>
      <c r="AA128" s="537"/>
      <c r="AB128" s="537"/>
      <c r="AC128" s="537"/>
      <c r="AD128" s="537"/>
      <c r="AE128" s="537"/>
      <c r="AF128" s="537"/>
      <c r="AG128" s="454"/>
      <c r="AH128" s="454"/>
      <c r="AI128" s="454"/>
      <c r="AJ128" s="18"/>
      <c r="AU128" s="33"/>
      <c r="AX128" s="1"/>
    </row>
    <row r="129" spans="1:50" ht="0.95" customHeight="1">
      <c r="D129" s="729"/>
      <c r="E129" s="227"/>
      <c r="F129" s="582"/>
      <c r="G129" s="537"/>
      <c r="H129" s="537"/>
      <c r="I129" s="537"/>
      <c r="J129" s="537"/>
      <c r="K129" s="537"/>
      <c r="L129" s="537"/>
      <c r="M129" s="537"/>
      <c r="N129" s="537"/>
      <c r="O129" s="723"/>
      <c r="P129" s="537"/>
      <c r="Q129" s="537"/>
      <c r="R129" s="537"/>
      <c r="S129" s="723"/>
      <c r="T129" s="537"/>
      <c r="U129" s="537"/>
      <c r="V129" s="537"/>
      <c r="W129" s="537"/>
      <c r="X129" s="537"/>
      <c r="Y129" s="537"/>
      <c r="Z129" s="537"/>
      <c r="AA129" s="537"/>
      <c r="AB129" s="537"/>
      <c r="AC129" s="537"/>
      <c r="AD129" s="537"/>
      <c r="AE129" s="537"/>
      <c r="AF129" s="537"/>
      <c r="AG129" s="454"/>
      <c r="AH129" s="454"/>
      <c r="AI129" s="454"/>
      <c r="AJ129" s="18"/>
      <c r="AU129" s="33"/>
      <c r="AX129" s="1"/>
    </row>
    <row r="130" spans="1:50" ht="20.100000000000001" customHeight="1">
      <c r="D130" s="729"/>
      <c r="E130" s="227"/>
      <c r="F130" s="582"/>
      <c r="G130" s="537"/>
      <c r="H130" s="537"/>
      <c r="I130" s="537"/>
      <c r="J130" s="537"/>
      <c r="K130" s="537"/>
      <c r="L130" s="537"/>
      <c r="M130" s="537"/>
      <c r="N130" s="537"/>
      <c r="O130" s="723"/>
      <c r="P130" s="537"/>
      <c r="Q130" s="732"/>
      <c r="R130" s="537"/>
      <c r="S130" s="723"/>
      <c r="T130" s="537"/>
      <c r="U130" s="537"/>
      <c r="V130" s="537"/>
      <c r="W130" s="537"/>
      <c r="X130" s="537"/>
      <c r="Y130" s="537"/>
      <c r="Z130" s="537"/>
      <c r="AA130" s="537"/>
      <c r="AB130" s="537"/>
      <c r="AC130" s="537"/>
      <c r="AD130" s="537"/>
      <c r="AE130" s="537"/>
      <c r="AF130" s="537"/>
      <c r="AG130" s="454"/>
      <c r="AH130" s="454"/>
      <c r="AI130" s="454"/>
      <c r="AJ130" s="18"/>
      <c r="AU130" s="33"/>
      <c r="AX130" s="1"/>
    </row>
    <row r="131" spans="1:50" ht="20.100000000000001" customHeight="1">
      <c r="D131" s="729"/>
      <c r="E131" s="227"/>
      <c r="F131" s="582"/>
      <c r="G131" s="537"/>
      <c r="H131" s="537"/>
      <c r="I131" s="537"/>
      <c r="J131" s="537"/>
      <c r="K131" s="537"/>
      <c r="L131" s="537"/>
      <c r="M131" s="537"/>
      <c r="N131" s="537"/>
      <c r="O131" s="723"/>
      <c r="P131" s="537"/>
      <c r="Q131" s="537"/>
      <c r="R131" s="537"/>
      <c r="S131" s="723"/>
      <c r="T131" s="537"/>
      <c r="U131" s="537"/>
      <c r="V131" s="537"/>
      <c r="W131" s="537"/>
      <c r="X131" s="537"/>
      <c r="Y131" s="537"/>
      <c r="Z131" s="537"/>
      <c r="AA131" s="537"/>
      <c r="AB131" s="537"/>
      <c r="AC131" s="537"/>
      <c r="AD131" s="537"/>
      <c r="AE131" s="537"/>
      <c r="AF131" s="537"/>
      <c r="AG131" s="454"/>
      <c r="AH131" s="454"/>
      <c r="AI131" s="454"/>
      <c r="AJ131" s="18"/>
      <c r="AU131" s="33"/>
      <c r="AX131" s="1"/>
    </row>
    <row r="132" spans="1:50" ht="17.100000000000001" customHeight="1">
      <c r="D132" s="729"/>
      <c r="E132" s="227"/>
      <c r="F132" s="582"/>
      <c r="G132" s="537"/>
      <c r="H132" s="537"/>
      <c r="I132" s="537"/>
      <c r="J132" s="537"/>
      <c r="K132" s="537"/>
      <c r="L132" s="537"/>
      <c r="M132" s="537"/>
      <c r="N132" s="537"/>
      <c r="O132" s="723"/>
      <c r="P132" s="537"/>
      <c r="Q132" s="732"/>
      <c r="R132" s="537"/>
      <c r="S132" s="723"/>
      <c r="T132" s="537"/>
      <c r="U132" s="537"/>
      <c r="V132" s="537"/>
      <c r="W132" s="537"/>
      <c r="X132" s="537"/>
      <c r="Y132" s="537"/>
      <c r="Z132" s="537"/>
      <c r="AA132" s="537"/>
      <c r="AB132" s="537"/>
      <c r="AC132" s="537"/>
      <c r="AD132" s="537"/>
      <c r="AE132" s="537"/>
      <c r="AF132" s="537"/>
      <c r="AG132" s="454"/>
      <c r="AH132" s="454"/>
      <c r="AI132" s="454"/>
      <c r="AJ132" s="18"/>
      <c r="AU132" s="33"/>
      <c r="AX132" s="1"/>
    </row>
    <row r="133" spans="1:50" ht="14.1" customHeight="1">
      <c r="D133" s="729"/>
      <c r="E133" s="227"/>
      <c r="F133" s="582"/>
      <c r="G133" s="537"/>
      <c r="H133" s="537"/>
      <c r="I133" s="537"/>
      <c r="J133" s="537"/>
      <c r="K133" s="537"/>
      <c r="L133" s="537"/>
      <c r="M133" s="537"/>
      <c r="N133" s="537"/>
      <c r="O133" s="723"/>
      <c r="P133" s="537"/>
      <c r="Q133" s="537"/>
      <c r="R133" s="537"/>
      <c r="S133" s="723"/>
      <c r="T133" s="537"/>
      <c r="U133" s="537"/>
      <c r="V133" s="537"/>
      <c r="W133" s="537"/>
      <c r="X133" s="537"/>
      <c r="Y133" s="537"/>
      <c r="Z133" s="537"/>
      <c r="AA133" s="537"/>
      <c r="AB133" s="537"/>
      <c r="AC133" s="537"/>
      <c r="AD133" s="537"/>
      <c r="AE133" s="537"/>
      <c r="AF133" s="537"/>
      <c r="AG133" s="454"/>
      <c r="AH133" s="454"/>
      <c r="AI133" s="454"/>
      <c r="AJ133" s="18"/>
      <c r="AU133" s="33"/>
      <c r="AX133" s="1"/>
    </row>
    <row r="134" spans="1:50" s="517" customFormat="1" ht="18" customHeight="1">
      <c r="A134" s="26"/>
      <c r="B134" s="26"/>
      <c r="C134" s="26"/>
      <c r="D134" s="733"/>
      <c r="E134" s="734"/>
      <c r="F134" s="735"/>
      <c r="G134" s="736"/>
      <c r="H134" s="736"/>
      <c r="I134" s="736"/>
      <c r="J134" s="736"/>
      <c r="K134" s="736"/>
      <c r="L134" s="736"/>
      <c r="M134" s="736"/>
      <c r="N134" s="736"/>
      <c r="O134" s="737"/>
      <c r="P134" s="736"/>
      <c r="Q134" s="736"/>
      <c r="R134" s="736"/>
      <c r="S134" s="737"/>
      <c r="T134" s="736"/>
      <c r="U134" s="736"/>
      <c r="V134" s="736"/>
      <c r="W134" s="736"/>
      <c r="X134" s="736"/>
      <c r="Y134" s="736"/>
      <c r="Z134" s="736"/>
      <c r="AA134" s="736"/>
      <c r="AB134" s="736"/>
      <c r="AC134" s="736"/>
      <c r="AD134" s="736"/>
      <c r="AE134" s="736"/>
      <c r="AF134" s="736"/>
      <c r="AG134" s="454"/>
      <c r="AH134" s="454"/>
      <c r="AI134" s="454"/>
      <c r="AJ134" s="18"/>
      <c r="AK134" s="18"/>
      <c r="AL134" s="18"/>
      <c r="AM134" s="18"/>
      <c r="AN134" s="18"/>
      <c r="AU134" s="738"/>
    </row>
    <row r="135" spans="1:50" ht="21.95" customHeight="1">
      <c r="D135" s="739"/>
      <c r="E135" s="739"/>
      <c r="F135" s="34"/>
      <c r="G135" s="2"/>
      <c r="H135" s="2"/>
      <c r="I135" s="2"/>
      <c r="J135" s="34"/>
      <c r="K135" s="34"/>
      <c r="L135" s="2"/>
      <c r="M135" s="2"/>
      <c r="N135" s="2"/>
      <c r="P135" s="2"/>
      <c r="R135" s="34"/>
      <c r="T135" s="2"/>
      <c r="U135" s="2"/>
      <c r="V135" s="2"/>
      <c r="W135" s="2"/>
      <c r="X135" s="2"/>
      <c r="Y135" s="2"/>
      <c r="Z135" s="138"/>
      <c r="AA135" s="2"/>
      <c r="AB135" s="2"/>
      <c r="AC135" s="2"/>
      <c r="AD135" s="2"/>
      <c r="AE135" s="2"/>
      <c r="AF135" s="34"/>
      <c r="AG135" s="2"/>
      <c r="AH135" s="34"/>
      <c r="AI135" s="18"/>
      <c r="AJ135" s="18"/>
      <c r="AU135" s="33"/>
      <c r="AX135" s="1"/>
    </row>
    <row r="136" spans="1:50" ht="18.95" customHeight="1">
      <c r="C136" s="220"/>
      <c r="E136" s="87" t="s">
        <v>1889</v>
      </c>
      <c r="F136" s="1" t="s">
        <v>1934</v>
      </c>
      <c r="G136" s="1"/>
      <c r="H136" s="213"/>
      <c r="K136" s="34"/>
      <c r="L136" s="2"/>
      <c r="M136" s="2"/>
      <c r="N136" s="2"/>
      <c r="P136" s="2"/>
      <c r="Q136" s="2"/>
      <c r="T136" s="2"/>
      <c r="U136" s="2"/>
      <c r="V136" s="2"/>
      <c r="W136" s="2"/>
      <c r="X136" s="2"/>
      <c r="Y136" s="2"/>
      <c r="Z136" s="86"/>
      <c r="AA136" s="1"/>
      <c r="AD136" s="404"/>
      <c r="AE136" s="404"/>
      <c r="AF136" s="87"/>
      <c r="AG136" s="404"/>
      <c r="AH136" s="86"/>
      <c r="AI136" s="213"/>
      <c r="AU136" s="33"/>
      <c r="AX136" s="1"/>
    </row>
    <row r="137" spans="1:50" ht="20.100000000000001" customHeight="1">
      <c r="E137" s="88" t="s">
        <v>552</v>
      </c>
      <c r="F137" s="18" t="s">
        <v>1935</v>
      </c>
      <c r="AA137" s="1"/>
      <c r="AD137" s="404"/>
      <c r="AE137" s="404"/>
      <c r="AF137" s="87"/>
      <c r="AG137" s="404"/>
      <c r="AH137" s="86"/>
      <c r="AI137" s="740"/>
    </row>
    <row r="138" spans="1:50" ht="20.100000000000001" customHeight="1">
      <c r="E138" s="732"/>
      <c r="F138" s="227"/>
      <c r="AA138" s="1"/>
      <c r="AD138" s="404"/>
      <c r="AE138" s="404"/>
      <c r="AF138" s="87"/>
      <c r="AG138" s="87"/>
      <c r="AH138" s="214"/>
      <c r="AI138" s="732"/>
    </row>
  </sheetData>
  <mergeCells count="105">
    <mergeCell ref="Y79:Y80"/>
    <mergeCell ref="Z79:Z80"/>
    <mergeCell ref="AA79:AA80"/>
    <mergeCell ref="AB79:AB80"/>
    <mergeCell ref="AC79:AC80"/>
    <mergeCell ref="U69:X70"/>
    <mergeCell ref="D74:G81"/>
    <mergeCell ref="N74:Q81"/>
    <mergeCell ref="R79:R80"/>
    <mergeCell ref="S79:S80"/>
    <mergeCell ref="T79:T80"/>
    <mergeCell ref="U79:U80"/>
    <mergeCell ref="V79:V80"/>
    <mergeCell ref="W79:W80"/>
    <mergeCell ref="X79:X80"/>
    <mergeCell ref="AD56:AF56"/>
    <mergeCell ref="AD57:AF57"/>
    <mergeCell ref="AD58:AF58"/>
    <mergeCell ref="AD59:AF59"/>
    <mergeCell ref="AD60:AF60"/>
    <mergeCell ref="AD61:AF61"/>
    <mergeCell ref="Y54:Y55"/>
    <mergeCell ref="Z54:Z55"/>
    <mergeCell ref="AA54:AA55"/>
    <mergeCell ref="AB54:AB55"/>
    <mergeCell ref="AC54:AC55"/>
    <mergeCell ref="AD54:AF54"/>
    <mergeCell ref="AD55:AF55"/>
    <mergeCell ref="D53:E53"/>
    <mergeCell ref="AD53:AF53"/>
    <mergeCell ref="D54:E55"/>
    <mergeCell ref="F54:F55"/>
    <mergeCell ref="G54:G55"/>
    <mergeCell ref="H54:H55"/>
    <mergeCell ref="I54:I55"/>
    <mergeCell ref="J54:J55"/>
    <mergeCell ref="K54:K55"/>
    <mergeCell ref="L54:L55"/>
    <mergeCell ref="S54:S55"/>
    <mergeCell ref="T54:T55"/>
    <mergeCell ref="U54:U55"/>
    <mergeCell ref="V54:V55"/>
    <mergeCell ref="W54:W55"/>
    <mergeCell ref="X54:X55"/>
    <mergeCell ref="M54:M55"/>
    <mergeCell ref="N54:N55"/>
    <mergeCell ref="O54:O55"/>
    <mergeCell ref="P54:P55"/>
    <mergeCell ref="Q54:Q55"/>
    <mergeCell ref="R54:R55"/>
    <mergeCell ref="D49:E49"/>
    <mergeCell ref="AD49:AF49"/>
    <mergeCell ref="D50:E50"/>
    <mergeCell ref="AD50:AF50"/>
    <mergeCell ref="D52:E52"/>
    <mergeCell ref="AD52:AF52"/>
    <mergeCell ref="AC16:AC17"/>
    <mergeCell ref="AD16:AF16"/>
    <mergeCell ref="AD17:AF17"/>
    <mergeCell ref="F44:I45"/>
    <mergeCell ref="N44:Q45"/>
    <mergeCell ref="R44:T45"/>
    <mergeCell ref="U44:X45"/>
    <mergeCell ref="W16:W17"/>
    <mergeCell ref="X16:X17"/>
    <mergeCell ref="Y16:Y17"/>
    <mergeCell ref="Z16:Z17"/>
    <mergeCell ref="AA16:AA17"/>
    <mergeCell ref="AB16:AB17"/>
    <mergeCell ref="Q16:Q17"/>
    <mergeCell ref="R16:R17"/>
    <mergeCell ref="S16:S17"/>
    <mergeCell ref="T16:T17"/>
    <mergeCell ref="U16:U17"/>
    <mergeCell ref="V16:V17"/>
    <mergeCell ref="K16:K17"/>
    <mergeCell ref="L16:L17"/>
    <mergeCell ref="M16:M17"/>
    <mergeCell ref="N16:N17"/>
    <mergeCell ref="O16:O17"/>
    <mergeCell ref="P16:P17"/>
    <mergeCell ref="D14:E14"/>
    <mergeCell ref="AD14:AF14"/>
    <mergeCell ref="D15:E15"/>
    <mergeCell ref="AD15:AF15"/>
    <mergeCell ref="D16:E17"/>
    <mergeCell ref="F16:F17"/>
    <mergeCell ref="G16:G17"/>
    <mergeCell ref="H16:H17"/>
    <mergeCell ref="I16:I17"/>
    <mergeCell ref="J16:J17"/>
    <mergeCell ref="D10:E10"/>
    <mergeCell ref="AD10:AF10"/>
    <mergeCell ref="D11:E11"/>
    <mergeCell ref="AD11:AF11"/>
    <mergeCell ref="AD12:AF12"/>
    <mergeCell ref="AD13:AF13"/>
    <mergeCell ref="D3:Q3"/>
    <mergeCell ref="R3:AE3"/>
    <mergeCell ref="D4:Q4"/>
    <mergeCell ref="R4:AE4"/>
    <mergeCell ref="K7:M8"/>
    <mergeCell ref="N7:O8"/>
    <mergeCell ref="P7:Q8"/>
    <mergeCell ref="R7:S8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6" orientation="portrait" horizontalDpi="300" verticalDpi="300" r:id="rId1"/>
  <headerFooter alignWithMargins="0">
    <oddFooter>&amp;C&amp;"Times,Regular"&amp;22-69-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8"/>
  <sheetViews>
    <sheetView rightToLeft="1" topLeftCell="B7" zoomScale="75" zoomScaleNormal="75" workbookViewId="0">
      <selection activeCell="Q1" sqref="Q1"/>
    </sheetView>
  </sheetViews>
  <sheetFormatPr defaultRowHeight="15"/>
  <cols>
    <col min="1" max="3" width="10" customWidth="1"/>
    <col min="6" max="6" width="8.42578125" customWidth="1"/>
    <col min="7" max="7" width="9.5703125" customWidth="1"/>
    <col min="8" max="8" width="11.5703125" customWidth="1"/>
    <col min="12" max="13" width="9.28515625" customWidth="1"/>
    <col min="17" max="17" width="21.5703125" customWidth="1"/>
    <col min="259" max="259" width="9" customWidth="1"/>
    <col min="262" max="262" width="8.42578125" customWidth="1"/>
    <col min="263" max="263" width="9.5703125" customWidth="1"/>
    <col min="264" max="264" width="11.5703125" customWidth="1"/>
    <col min="268" max="269" width="9.28515625" customWidth="1"/>
    <col min="273" max="273" width="21.5703125" customWidth="1"/>
    <col min="515" max="515" width="9" customWidth="1"/>
    <col min="518" max="518" width="8.42578125" customWidth="1"/>
    <col min="519" max="519" width="9.5703125" customWidth="1"/>
    <col min="520" max="520" width="11.5703125" customWidth="1"/>
    <col min="524" max="525" width="9.28515625" customWidth="1"/>
    <col min="529" max="529" width="21.5703125" customWidth="1"/>
    <col min="771" max="771" width="9" customWidth="1"/>
    <col min="774" max="774" width="8.42578125" customWidth="1"/>
    <col min="775" max="775" width="9.5703125" customWidth="1"/>
    <col min="776" max="776" width="11.5703125" customWidth="1"/>
    <col min="780" max="781" width="9.28515625" customWidth="1"/>
    <col min="785" max="785" width="21.5703125" customWidth="1"/>
    <col min="1027" max="1027" width="9" customWidth="1"/>
    <col min="1030" max="1030" width="8.42578125" customWidth="1"/>
    <col min="1031" max="1031" width="9.5703125" customWidth="1"/>
    <col min="1032" max="1032" width="11.5703125" customWidth="1"/>
    <col min="1036" max="1037" width="9.28515625" customWidth="1"/>
    <col min="1041" max="1041" width="21.5703125" customWidth="1"/>
    <col min="1283" max="1283" width="9" customWidth="1"/>
    <col min="1286" max="1286" width="8.42578125" customWidth="1"/>
    <col min="1287" max="1287" width="9.5703125" customWidth="1"/>
    <col min="1288" max="1288" width="11.5703125" customWidth="1"/>
    <col min="1292" max="1293" width="9.28515625" customWidth="1"/>
    <col min="1297" max="1297" width="21.5703125" customWidth="1"/>
    <col min="1539" max="1539" width="9" customWidth="1"/>
    <col min="1542" max="1542" width="8.42578125" customWidth="1"/>
    <col min="1543" max="1543" width="9.5703125" customWidth="1"/>
    <col min="1544" max="1544" width="11.5703125" customWidth="1"/>
    <col min="1548" max="1549" width="9.28515625" customWidth="1"/>
    <col min="1553" max="1553" width="21.5703125" customWidth="1"/>
    <col min="1795" max="1795" width="9" customWidth="1"/>
    <col min="1798" max="1798" width="8.42578125" customWidth="1"/>
    <col min="1799" max="1799" width="9.5703125" customWidth="1"/>
    <col min="1800" max="1800" width="11.5703125" customWidth="1"/>
    <col min="1804" max="1805" width="9.28515625" customWidth="1"/>
    <col min="1809" max="1809" width="21.5703125" customWidth="1"/>
    <col min="2051" max="2051" width="9" customWidth="1"/>
    <col min="2054" max="2054" width="8.42578125" customWidth="1"/>
    <col min="2055" max="2055" width="9.5703125" customWidth="1"/>
    <col min="2056" max="2056" width="11.5703125" customWidth="1"/>
    <col min="2060" max="2061" width="9.28515625" customWidth="1"/>
    <col min="2065" max="2065" width="21.5703125" customWidth="1"/>
    <col min="2307" max="2307" width="9" customWidth="1"/>
    <col min="2310" max="2310" width="8.42578125" customWidth="1"/>
    <col min="2311" max="2311" width="9.5703125" customWidth="1"/>
    <col min="2312" max="2312" width="11.5703125" customWidth="1"/>
    <col min="2316" max="2317" width="9.28515625" customWidth="1"/>
    <col min="2321" max="2321" width="21.5703125" customWidth="1"/>
    <col min="2563" max="2563" width="9" customWidth="1"/>
    <col min="2566" max="2566" width="8.42578125" customWidth="1"/>
    <col min="2567" max="2567" width="9.5703125" customWidth="1"/>
    <col min="2568" max="2568" width="11.5703125" customWidth="1"/>
    <col min="2572" max="2573" width="9.28515625" customWidth="1"/>
    <col min="2577" max="2577" width="21.5703125" customWidth="1"/>
    <col min="2819" max="2819" width="9" customWidth="1"/>
    <col min="2822" max="2822" width="8.42578125" customWidth="1"/>
    <col min="2823" max="2823" width="9.5703125" customWidth="1"/>
    <col min="2824" max="2824" width="11.5703125" customWidth="1"/>
    <col min="2828" max="2829" width="9.28515625" customWidth="1"/>
    <col min="2833" max="2833" width="21.5703125" customWidth="1"/>
    <col min="3075" max="3075" width="9" customWidth="1"/>
    <col min="3078" max="3078" width="8.42578125" customWidth="1"/>
    <col min="3079" max="3079" width="9.5703125" customWidth="1"/>
    <col min="3080" max="3080" width="11.5703125" customWidth="1"/>
    <col min="3084" max="3085" width="9.28515625" customWidth="1"/>
    <col min="3089" max="3089" width="21.5703125" customWidth="1"/>
    <col min="3331" max="3331" width="9" customWidth="1"/>
    <col min="3334" max="3334" width="8.42578125" customWidth="1"/>
    <col min="3335" max="3335" width="9.5703125" customWidth="1"/>
    <col min="3336" max="3336" width="11.5703125" customWidth="1"/>
    <col min="3340" max="3341" width="9.28515625" customWidth="1"/>
    <col min="3345" max="3345" width="21.5703125" customWidth="1"/>
    <col min="3587" max="3587" width="9" customWidth="1"/>
    <col min="3590" max="3590" width="8.42578125" customWidth="1"/>
    <col min="3591" max="3591" width="9.5703125" customWidth="1"/>
    <col min="3592" max="3592" width="11.5703125" customWidth="1"/>
    <col min="3596" max="3597" width="9.28515625" customWidth="1"/>
    <col min="3601" max="3601" width="21.5703125" customWidth="1"/>
    <col min="3843" max="3843" width="9" customWidth="1"/>
    <col min="3846" max="3846" width="8.42578125" customWidth="1"/>
    <col min="3847" max="3847" width="9.5703125" customWidth="1"/>
    <col min="3848" max="3848" width="11.5703125" customWidth="1"/>
    <col min="3852" max="3853" width="9.28515625" customWidth="1"/>
    <col min="3857" max="3857" width="21.5703125" customWidth="1"/>
    <col min="4099" max="4099" width="9" customWidth="1"/>
    <col min="4102" max="4102" width="8.42578125" customWidth="1"/>
    <col min="4103" max="4103" width="9.5703125" customWidth="1"/>
    <col min="4104" max="4104" width="11.5703125" customWidth="1"/>
    <col min="4108" max="4109" width="9.28515625" customWidth="1"/>
    <col min="4113" max="4113" width="21.5703125" customWidth="1"/>
    <col min="4355" max="4355" width="9" customWidth="1"/>
    <col min="4358" max="4358" width="8.42578125" customWidth="1"/>
    <col min="4359" max="4359" width="9.5703125" customWidth="1"/>
    <col min="4360" max="4360" width="11.5703125" customWidth="1"/>
    <col min="4364" max="4365" width="9.28515625" customWidth="1"/>
    <col min="4369" max="4369" width="21.5703125" customWidth="1"/>
    <col min="4611" max="4611" width="9" customWidth="1"/>
    <col min="4614" max="4614" width="8.42578125" customWidth="1"/>
    <col min="4615" max="4615" width="9.5703125" customWidth="1"/>
    <col min="4616" max="4616" width="11.5703125" customWidth="1"/>
    <col min="4620" max="4621" width="9.28515625" customWidth="1"/>
    <col min="4625" max="4625" width="21.5703125" customWidth="1"/>
    <col min="4867" max="4867" width="9" customWidth="1"/>
    <col min="4870" max="4870" width="8.42578125" customWidth="1"/>
    <col min="4871" max="4871" width="9.5703125" customWidth="1"/>
    <col min="4872" max="4872" width="11.5703125" customWidth="1"/>
    <col min="4876" max="4877" width="9.28515625" customWidth="1"/>
    <col min="4881" max="4881" width="21.5703125" customWidth="1"/>
    <col min="5123" max="5123" width="9" customWidth="1"/>
    <col min="5126" max="5126" width="8.42578125" customWidth="1"/>
    <col min="5127" max="5127" width="9.5703125" customWidth="1"/>
    <col min="5128" max="5128" width="11.5703125" customWidth="1"/>
    <col min="5132" max="5133" width="9.28515625" customWidth="1"/>
    <col min="5137" max="5137" width="21.5703125" customWidth="1"/>
    <col min="5379" max="5379" width="9" customWidth="1"/>
    <col min="5382" max="5382" width="8.42578125" customWidth="1"/>
    <col min="5383" max="5383" width="9.5703125" customWidth="1"/>
    <col min="5384" max="5384" width="11.5703125" customWidth="1"/>
    <col min="5388" max="5389" width="9.28515625" customWidth="1"/>
    <col min="5393" max="5393" width="21.5703125" customWidth="1"/>
    <col min="5635" max="5635" width="9" customWidth="1"/>
    <col min="5638" max="5638" width="8.42578125" customWidth="1"/>
    <col min="5639" max="5639" width="9.5703125" customWidth="1"/>
    <col min="5640" max="5640" width="11.5703125" customWidth="1"/>
    <col min="5644" max="5645" width="9.28515625" customWidth="1"/>
    <col min="5649" max="5649" width="21.5703125" customWidth="1"/>
    <col min="5891" max="5891" width="9" customWidth="1"/>
    <col min="5894" max="5894" width="8.42578125" customWidth="1"/>
    <col min="5895" max="5895" width="9.5703125" customWidth="1"/>
    <col min="5896" max="5896" width="11.5703125" customWidth="1"/>
    <col min="5900" max="5901" width="9.28515625" customWidth="1"/>
    <col min="5905" max="5905" width="21.5703125" customWidth="1"/>
    <col min="6147" max="6147" width="9" customWidth="1"/>
    <col min="6150" max="6150" width="8.42578125" customWidth="1"/>
    <col min="6151" max="6151" width="9.5703125" customWidth="1"/>
    <col min="6152" max="6152" width="11.5703125" customWidth="1"/>
    <col min="6156" max="6157" width="9.28515625" customWidth="1"/>
    <col min="6161" max="6161" width="21.5703125" customWidth="1"/>
    <col min="6403" max="6403" width="9" customWidth="1"/>
    <col min="6406" max="6406" width="8.42578125" customWidth="1"/>
    <col min="6407" max="6407" width="9.5703125" customWidth="1"/>
    <col min="6408" max="6408" width="11.5703125" customWidth="1"/>
    <col min="6412" max="6413" width="9.28515625" customWidth="1"/>
    <col min="6417" max="6417" width="21.5703125" customWidth="1"/>
    <col min="6659" max="6659" width="9" customWidth="1"/>
    <col min="6662" max="6662" width="8.42578125" customWidth="1"/>
    <col min="6663" max="6663" width="9.5703125" customWidth="1"/>
    <col min="6664" max="6664" width="11.5703125" customWidth="1"/>
    <col min="6668" max="6669" width="9.28515625" customWidth="1"/>
    <col min="6673" max="6673" width="21.5703125" customWidth="1"/>
    <col min="6915" max="6915" width="9" customWidth="1"/>
    <col min="6918" max="6918" width="8.42578125" customWidth="1"/>
    <col min="6919" max="6919" width="9.5703125" customWidth="1"/>
    <col min="6920" max="6920" width="11.5703125" customWidth="1"/>
    <col min="6924" max="6925" width="9.28515625" customWidth="1"/>
    <col min="6929" max="6929" width="21.5703125" customWidth="1"/>
    <col min="7171" max="7171" width="9" customWidth="1"/>
    <col min="7174" max="7174" width="8.42578125" customWidth="1"/>
    <col min="7175" max="7175" width="9.5703125" customWidth="1"/>
    <col min="7176" max="7176" width="11.5703125" customWidth="1"/>
    <col min="7180" max="7181" width="9.28515625" customWidth="1"/>
    <col min="7185" max="7185" width="21.5703125" customWidth="1"/>
    <col min="7427" max="7427" width="9" customWidth="1"/>
    <col min="7430" max="7430" width="8.42578125" customWidth="1"/>
    <col min="7431" max="7431" width="9.5703125" customWidth="1"/>
    <col min="7432" max="7432" width="11.5703125" customWidth="1"/>
    <col min="7436" max="7437" width="9.28515625" customWidth="1"/>
    <col min="7441" max="7441" width="21.5703125" customWidth="1"/>
    <col min="7683" max="7683" width="9" customWidth="1"/>
    <col min="7686" max="7686" width="8.42578125" customWidth="1"/>
    <col min="7687" max="7687" width="9.5703125" customWidth="1"/>
    <col min="7688" max="7688" width="11.5703125" customWidth="1"/>
    <col min="7692" max="7693" width="9.28515625" customWidth="1"/>
    <col min="7697" max="7697" width="21.5703125" customWidth="1"/>
    <col min="7939" max="7939" width="9" customWidth="1"/>
    <col min="7942" max="7942" width="8.42578125" customWidth="1"/>
    <col min="7943" max="7943" width="9.5703125" customWidth="1"/>
    <col min="7944" max="7944" width="11.5703125" customWidth="1"/>
    <col min="7948" max="7949" width="9.28515625" customWidth="1"/>
    <col min="7953" max="7953" width="21.5703125" customWidth="1"/>
    <col min="8195" max="8195" width="9" customWidth="1"/>
    <col min="8198" max="8198" width="8.42578125" customWidth="1"/>
    <col min="8199" max="8199" width="9.5703125" customWidth="1"/>
    <col min="8200" max="8200" width="11.5703125" customWidth="1"/>
    <col min="8204" max="8205" width="9.28515625" customWidth="1"/>
    <col min="8209" max="8209" width="21.5703125" customWidth="1"/>
    <col min="8451" max="8451" width="9" customWidth="1"/>
    <col min="8454" max="8454" width="8.42578125" customWidth="1"/>
    <col min="8455" max="8455" width="9.5703125" customWidth="1"/>
    <col min="8456" max="8456" width="11.5703125" customWidth="1"/>
    <col min="8460" max="8461" width="9.28515625" customWidth="1"/>
    <col min="8465" max="8465" width="21.5703125" customWidth="1"/>
    <col min="8707" max="8707" width="9" customWidth="1"/>
    <col min="8710" max="8710" width="8.42578125" customWidth="1"/>
    <col min="8711" max="8711" width="9.5703125" customWidth="1"/>
    <col min="8712" max="8712" width="11.5703125" customWidth="1"/>
    <col min="8716" max="8717" width="9.28515625" customWidth="1"/>
    <col min="8721" max="8721" width="21.5703125" customWidth="1"/>
    <col min="8963" max="8963" width="9" customWidth="1"/>
    <col min="8966" max="8966" width="8.42578125" customWidth="1"/>
    <col min="8967" max="8967" width="9.5703125" customWidth="1"/>
    <col min="8968" max="8968" width="11.5703125" customWidth="1"/>
    <col min="8972" max="8973" width="9.28515625" customWidth="1"/>
    <col min="8977" max="8977" width="21.5703125" customWidth="1"/>
    <col min="9219" max="9219" width="9" customWidth="1"/>
    <col min="9222" max="9222" width="8.42578125" customWidth="1"/>
    <col min="9223" max="9223" width="9.5703125" customWidth="1"/>
    <col min="9224" max="9224" width="11.5703125" customWidth="1"/>
    <col min="9228" max="9229" width="9.28515625" customWidth="1"/>
    <col min="9233" max="9233" width="21.5703125" customWidth="1"/>
    <col min="9475" max="9475" width="9" customWidth="1"/>
    <col min="9478" max="9478" width="8.42578125" customWidth="1"/>
    <col min="9479" max="9479" width="9.5703125" customWidth="1"/>
    <col min="9480" max="9480" width="11.5703125" customWidth="1"/>
    <col min="9484" max="9485" width="9.28515625" customWidth="1"/>
    <col min="9489" max="9489" width="21.5703125" customWidth="1"/>
    <col min="9731" max="9731" width="9" customWidth="1"/>
    <col min="9734" max="9734" width="8.42578125" customWidth="1"/>
    <col min="9735" max="9735" width="9.5703125" customWidth="1"/>
    <col min="9736" max="9736" width="11.5703125" customWidth="1"/>
    <col min="9740" max="9741" width="9.28515625" customWidth="1"/>
    <col min="9745" max="9745" width="21.5703125" customWidth="1"/>
    <col min="9987" max="9987" width="9" customWidth="1"/>
    <col min="9990" max="9990" width="8.42578125" customWidth="1"/>
    <col min="9991" max="9991" width="9.5703125" customWidth="1"/>
    <col min="9992" max="9992" width="11.5703125" customWidth="1"/>
    <col min="9996" max="9997" width="9.28515625" customWidth="1"/>
    <col min="10001" max="10001" width="21.5703125" customWidth="1"/>
    <col min="10243" max="10243" width="9" customWidth="1"/>
    <col min="10246" max="10246" width="8.42578125" customWidth="1"/>
    <col min="10247" max="10247" width="9.5703125" customWidth="1"/>
    <col min="10248" max="10248" width="11.5703125" customWidth="1"/>
    <col min="10252" max="10253" width="9.28515625" customWidth="1"/>
    <col min="10257" max="10257" width="21.5703125" customWidth="1"/>
    <col min="10499" max="10499" width="9" customWidth="1"/>
    <col min="10502" max="10502" width="8.42578125" customWidth="1"/>
    <col min="10503" max="10503" width="9.5703125" customWidth="1"/>
    <col min="10504" max="10504" width="11.5703125" customWidth="1"/>
    <col min="10508" max="10509" width="9.28515625" customWidth="1"/>
    <col min="10513" max="10513" width="21.5703125" customWidth="1"/>
    <col min="10755" max="10755" width="9" customWidth="1"/>
    <col min="10758" max="10758" width="8.42578125" customWidth="1"/>
    <col min="10759" max="10759" width="9.5703125" customWidth="1"/>
    <col min="10760" max="10760" width="11.5703125" customWidth="1"/>
    <col min="10764" max="10765" width="9.28515625" customWidth="1"/>
    <col min="10769" max="10769" width="21.5703125" customWidth="1"/>
    <col min="11011" max="11011" width="9" customWidth="1"/>
    <col min="11014" max="11014" width="8.42578125" customWidth="1"/>
    <col min="11015" max="11015" width="9.5703125" customWidth="1"/>
    <col min="11016" max="11016" width="11.5703125" customWidth="1"/>
    <col min="11020" max="11021" width="9.28515625" customWidth="1"/>
    <col min="11025" max="11025" width="21.5703125" customWidth="1"/>
    <col min="11267" max="11267" width="9" customWidth="1"/>
    <col min="11270" max="11270" width="8.42578125" customWidth="1"/>
    <col min="11271" max="11271" width="9.5703125" customWidth="1"/>
    <col min="11272" max="11272" width="11.5703125" customWidth="1"/>
    <col min="11276" max="11277" width="9.28515625" customWidth="1"/>
    <col min="11281" max="11281" width="21.5703125" customWidth="1"/>
    <col min="11523" max="11523" width="9" customWidth="1"/>
    <col min="11526" max="11526" width="8.42578125" customWidth="1"/>
    <col min="11527" max="11527" width="9.5703125" customWidth="1"/>
    <col min="11528" max="11528" width="11.5703125" customWidth="1"/>
    <col min="11532" max="11533" width="9.28515625" customWidth="1"/>
    <col min="11537" max="11537" width="21.5703125" customWidth="1"/>
    <col min="11779" max="11779" width="9" customWidth="1"/>
    <col min="11782" max="11782" width="8.42578125" customWidth="1"/>
    <col min="11783" max="11783" width="9.5703125" customWidth="1"/>
    <col min="11784" max="11784" width="11.5703125" customWidth="1"/>
    <col min="11788" max="11789" width="9.28515625" customWidth="1"/>
    <col min="11793" max="11793" width="21.5703125" customWidth="1"/>
    <col min="12035" max="12035" width="9" customWidth="1"/>
    <col min="12038" max="12038" width="8.42578125" customWidth="1"/>
    <col min="12039" max="12039" width="9.5703125" customWidth="1"/>
    <col min="12040" max="12040" width="11.5703125" customWidth="1"/>
    <col min="12044" max="12045" width="9.28515625" customWidth="1"/>
    <col min="12049" max="12049" width="21.5703125" customWidth="1"/>
    <col min="12291" max="12291" width="9" customWidth="1"/>
    <col min="12294" max="12294" width="8.42578125" customWidth="1"/>
    <col min="12295" max="12295" width="9.5703125" customWidth="1"/>
    <col min="12296" max="12296" width="11.5703125" customWidth="1"/>
    <col min="12300" max="12301" width="9.28515625" customWidth="1"/>
    <col min="12305" max="12305" width="21.5703125" customWidth="1"/>
    <col min="12547" max="12547" width="9" customWidth="1"/>
    <col min="12550" max="12550" width="8.42578125" customWidth="1"/>
    <col min="12551" max="12551" width="9.5703125" customWidth="1"/>
    <col min="12552" max="12552" width="11.5703125" customWidth="1"/>
    <col min="12556" max="12557" width="9.28515625" customWidth="1"/>
    <col min="12561" max="12561" width="21.5703125" customWidth="1"/>
    <col min="12803" max="12803" width="9" customWidth="1"/>
    <col min="12806" max="12806" width="8.42578125" customWidth="1"/>
    <col min="12807" max="12807" width="9.5703125" customWidth="1"/>
    <col min="12808" max="12808" width="11.5703125" customWidth="1"/>
    <col min="12812" max="12813" width="9.28515625" customWidth="1"/>
    <col min="12817" max="12817" width="21.5703125" customWidth="1"/>
    <col min="13059" max="13059" width="9" customWidth="1"/>
    <col min="13062" max="13062" width="8.42578125" customWidth="1"/>
    <col min="13063" max="13063" width="9.5703125" customWidth="1"/>
    <col min="13064" max="13064" width="11.5703125" customWidth="1"/>
    <col min="13068" max="13069" width="9.28515625" customWidth="1"/>
    <col min="13073" max="13073" width="21.5703125" customWidth="1"/>
    <col min="13315" max="13315" width="9" customWidth="1"/>
    <col min="13318" max="13318" width="8.42578125" customWidth="1"/>
    <col min="13319" max="13319" width="9.5703125" customWidth="1"/>
    <col min="13320" max="13320" width="11.5703125" customWidth="1"/>
    <col min="13324" max="13325" width="9.28515625" customWidth="1"/>
    <col min="13329" max="13329" width="21.5703125" customWidth="1"/>
    <col min="13571" max="13571" width="9" customWidth="1"/>
    <col min="13574" max="13574" width="8.42578125" customWidth="1"/>
    <col min="13575" max="13575" width="9.5703125" customWidth="1"/>
    <col min="13576" max="13576" width="11.5703125" customWidth="1"/>
    <col min="13580" max="13581" width="9.28515625" customWidth="1"/>
    <col min="13585" max="13585" width="21.5703125" customWidth="1"/>
    <col min="13827" max="13827" width="9" customWidth="1"/>
    <col min="13830" max="13830" width="8.42578125" customWidth="1"/>
    <col min="13831" max="13831" width="9.5703125" customWidth="1"/>
    <col min="13832" max="13832" width="11.5703125" customWidth="1"/>
    <col min="13836" max="13837" width="9.28515625" customWidth="1"/>
    <col min="13841" max="13841" width="21.5703125" customWidth="1"/>
    <col min="14083" max="14083" width="9" customWidth="1"/>
    <col min="14086" max="14086" width="8.42578125" customWidth="1"/>
    <col min="14087" max="14087" width="9.5703125" customWidth="1"/>
    <col min="14088" max="14088" width="11.5703125" customWidth="1"/>
    <col min="14092" max="14093" width="9.28515625" customWidth="1"/>
    <col min="14097" max="14097" width="21.5703125" customWidth="1"/>
    <col min="14339" max="14339" width="9" customWidth="1"/>
    <col min="14342" max="14342" width="8.42578125" customWidth="1"/>
    <col min="14343" max="14343" width="9.5703125" customWidth="1"/>
    <col min="14344" max="14344" width="11.5703125" customWidth="1"/>
    <col min="14348" max="14349" width="9.28515625" customWidth="1"/>
    <col min="14353" max="14353" width="21.5703125" customWidth="1"/>
    <col min="14595" max="14595" width="9" customWidth="1"/>
    <col min="14598" max="14598" width="8.42578125" customWidth="1"/>
    <col min="14599" max="14599" width="9.5703125" customWidth="1"/>
    <col min="14600" max="14600" width="11.5703125" customWidth="1"/>
    <col min="14604" max="14605" width="9.28515625" customWidth="1"/>
    <col min="14609" max="14609" width="21.5703125" customWidth="1"/>
    <col min="14851" max="14851" width="9" customWidth="1"/>
    <col min="14854" max="14854" width="8.42578125" customWidth="1"/>
    <col min="14855" max="14855" width="9.5703125" customWidth="1"/>
    <col min="14856" max="14856" width="11.5703125" customWidth="1"/>
    <col min="14860" max="14861" width="9.28515625" customWidth="1"/>
    <col min="14865" max="14865" width="21.5703125" customWidth="1"/>
    <col min="15107" max="15107" width="9" customWidth="1"/>
    <col min="15110" max="15110" width="8.42578125" customWidth="1"/>
    <col min="15111" max="15111" width="9.5703125" customWidth="1"/>
    <col min="15112" max="15112" width="11.5703125" customWidth="1"/>
    <col min="15116" max="15117" width="9.28515625" customWidth="1"/>
    <col min="15121" max="15121" width="21.5703125" customWidth="1"/>
    <col min="15363" max="15363" width="9" customWidth="1"/>
    <col min="15366" max="15366" width="8.42578125" customWidth="1"/>
    <col min="15367" max="15367" width="9.5703125" customWidth="1"/>
    <col min="15368" max="15368" width="11.5703125" customWidth="1"/>
    <col min="15372" max="15373" width="9.28515625" customWidth="1"/>
    <col min="15377" max="15377" width="21.5703125" customWidth="1"/>
    <col min="15619" max="15619" width="9" customWidth="1"/>
    <col min="15622" max="15622" width="8.42578125" customWidth="1"/>
    <col min="15623" max="15623" width="9.5703125" customWidth="1"/>
    <col min="15624" max="15624" width="11.5703125" customWidth="1"/>
    <col min="15628" max="15629" width="9.28515625" customWidth="1"/>
    <col min="15633" max="15633" width="21.5703125" customWidth="1"/>
    <col min="15875" max="15875" width="9" customWidth="1"/>
    <col min="15878" max="15878" width="8.42578125" customWidth="1"/>
    <col min="15879" max="15879" width="9.5703125" customWidth="1"/>
    <col min="15880" max="15880" width="11.5703125" customWidth="1"/>
    <col min="15884" max="15885" width="9.28515625" customWidth="1"/>
    <col min="15889" max="15889" width="21.5703125" customWidth="1"/>
    <col min="16131" max="16131" width="9" customWidth="1"/>
    <col min="16134" max="16134" width="8.42578125" customWidth="1"/>
    <col min="16135" max="16135" width="9.5703125" customWidth="1"/>
    <col min="16136" max="16136" width="11.5703125" customWidth="1"/>
    <col min="16140" max="16141" width="9.28515625" customWidth="1"/>
    <col min="16145" max="16145" width="21.5703125" customWidth="1"/>
  </cols>
  <sheetData>
    <row r="1" spans="1:17" ht="35.1" customHeight="1"/>
    <row r="2" spans="1:17" ht="35.1" customHeight="1"/>
    <row r="3" spans="1:17" ht="35.1" customHeight="1">
      <c r="B3" s="741"/>
      <c r="C3" s="742"/>
      <c r="D3" s="4987" t="s">
        <v>1936</v>
      </c>
      <c r="E3" s="4987"/>
      <c r="F3" s="4987"/>
      <c r="G3" s="4987"/>
      <c r="H3" s="4987"/>
      <c r="I3" s="4987"/>
      <c r="J3" s="4987"/>
      <c r="K3" s="4987"/>
      <c r="L3" s="4987"/>
      <c r="M3" s="4987"/>
      <c r="N3" s="4987"/>
      <c r="O3" s="4987"/>
      <c r="P3" s="4987"/>
      <c r="Q3" s="4987"/>
    </row>
    <row r="4" spans="1:17" ht="35.1" customHeight="1">
      <c r="B4" s="743"/>
      <c r="C4" s="744"/>
      <c r="D4" s="5113" t="s">
        <v>1937</v>
      </c>
      <c r="E4" s="5113"/>
      <c r="F4" s="5113"/>
      <c r="G4" s="5113"/>
      <c r="H4" s="5113"/>
      <c r="I4" s="5113"/>
      <c r="J4" s="5113"/>
      <c r="K4" s="5113"/>
      <c r="L4" s="5113"/>
      <c r="M4" s="5113"/>
      <c r="N4" s="5113"/>
      <c r="O4" s="5113"/>
      <c r="P4" s="5113"/>
      <c r="Q4" s="5113"/>
    </row>
    <row r="5" spans="1:17" ht="18" customHeight="1">
      <c r="A5" s="188"/>
      <c r="B5" s="189"/>
      <c r="C5" s="227"/>
      <c r="D5" s="5169" t="s">
        <v>1496</v>
      </c>
      <c r="E5" s="5169"/>
      <c r="F5" s="746"/>
      <c r="G5" s="746"/>
      <c r="H5" s="747"/>
      <c r="I5" s="747"/>
      <c r="J5" s="747"/>
      <c r="K5" s="747"/>
      <c r="L5" s="747"/>
      <c r="M5" s="747"/>
      <c r="N5" s="747"/>
      <c r="O5" s="747"/>
      <c r="P5" s="747"/>
      <c r="Q5" s="747"/>
    </row>
    <row r="6" spans="1:17" ht="35.1" customHeight="1">
      <c r="D6" s="5170" t="s">
        <v>1938</v>
      </c>
      <c r="E6" s="5171"/>
      <c r="F6" s="5171"/>
      <c r="G6" s="5171"/>
      <c r="H6" s="748"/>
      <c r="I6" s="5176">
        <v>1995</v>
      </c>
      <c r="J6" s="5176">
        <v>1996</v>
      </c>
      <c r="K6" s="5176">
        <v>1997</v>
      </c>
      <c r="L6" s="5176">
        <v>1998</v>
      </c>
      <c r="M6" s="5176">
        <v>1999</v>
      </c>
      <c r="N6" s="5176" t="s">
        <v>693</v>
      </c>
      <c r="O6" s="5176"/>
      <c r="P6" s="5176"/>
      <c r="Q6" s="5179"/>
    </row>
    <row r="7" spans="1:17" ht="35.1" customHeight="1">
      <c r="D7" s="5172"/>
      <c r="E7" s="5173"/>
      <c r="F7" s="5173"/>
      <c r="G7" s="5173"/>
      <c r="H7" s="749" t="s">
        <v>1927</v>
      </c>
      <c r="I7" s="5177"/>
      <c r="J7" s="5177"/>
      <c r="K7" s="5177"/>
      <c r="L7" s="5177"/>
      <c r="M7" s="5177"/>
      <c r="N7" s="5177"/>
      <c r="O7" s="5177"/>
      <c r="P7" s="5177"/>
      <c r="Q7" s="5180"/>
    </row>
    <row r="8" spans="1:17" ht="35.1" customHeight="1">
      <c r="D8" s="5172"/>
      <c r="E8" s="5173"/>
      <c r="F8" s="5173"/>
      <c r="G8" s="5173"/>
      <c r="H8" s="750" t="s">
        <v>1939</v>
      </c>
      <c r="I8" s="5177"/>
      <c r="J8" s="5177"/>
      <c r="K8" s="5177"/>
      <c r="L8" s="5177"/>
      <c r="M8" s="5177"/>
      <c r="N8" s="5177"/>
      <c r="O8" s="5177"/>
      <c r="P8" s="5177"/>
      <c r="Q8" s="5180"/>
    </row>
    <row r="9" spans="1:17" ht="35.1" customHeight="1">
      <c r="D9" s="5172"/>
      <c r="E9" s="5173"/>
      <c r="F9" s="5173"/>
      <c r="G9" s="5173"/>
      <c r="H9" s="751" t="s">
        <v>1940</v>
      </c>
      <c r="I9" s="5177"/>
      <c r="J9" s="5177"/>
      <c r="K9" s="5177"/>
      <c r="L9" s="5177"/>
      <c r="M9" s="5177"/>
      <c r="N9" s="5177"/>
      <c r="O9" s="5177"/>
      <c r="P9" s="5177"/>
      <c r="Q9" s="5180"/>
    </row>
    <row r="10" spans="1:17" ht="35.1" customHeight="1">
      <c r="D10" s="5174"/>
      <c r="E10" s="5175"/>
      <c r="F10" s="5175"/>
      <c r="G10" s="5175"/>
      <c r="H10" s="752" t="s">
        <v>1941</v>
      </c>
      <c r="I10" s="5178"/>
      <c r="J10" s="5178"/>
      <c r="K10" s="5178"/>
      <c r="L10" s="5178"/>
      <c r="M10" s="5178"/>
      <c r="N10" s="5178"/>
      <c r="O10" s="5178"/>
      <c r="P10" s="5178"/>
      <c r="Q10" s="5181"/>
    </row>
    <row r="11" spans="1:17" ht="27.75" customHeight="1">
      <c r="D11" s="5182" t="s">
        <v>1942</v>
      </c>
      <c r="E11" s="5183"/>
      <c r="F11" s="5183"/>
      <c r="G11" s="5183"/>
      <c r="H11" s="753">
        <v>91.737000000000009</v>
      </c>
      <c r="I11" s="754">
        <v>112.43619150397332</v>
      </c>
      <c r="J11" s="754">
        <v>105.25397167991105</v>
      </c>
      <c r="K11" s="754">
        <v>110.69589696632767</v>
      </c>
      <c r="L11" s="754">
        <v>112.65623358077984</v>
      </c>
      <c r="M11" s="755">
        <v>112.43577073590809</v>
      </c>
      <c r="N11" s="5184" t="s">
        <v>1943</v>
      </c>
      <c r="O11" s="5184"/>
      <c r="P11" s="5184"/>
      <c r="Q11" s="5185"/>
    </row>
    <row r="12" spans="1:17" ht="27.75" customHeight="1">
      <c r="D12" s="5186" t="s">
        <v>1944</v>
      </c>
      <c r="E12" s="5187"/>
      <c r="F12" s="5187"/>
      <c r="G12" s="5187"/>
      <c r="H12" s="756">
        <v>15.007999999999999</v>
      </c>
      <c r="I12" s="72">
        <v>116.2</v>
      </c>
      <c r="J12" s="72">
        <v>117.8</v>
      </c>
      <c r="K12" s="72">
        <v>120.9</v>
      </c>
      <c r="L12" s="72">
        <v>115.5</v>
      </c>
      <c r="M12" s="160">
        <v>125.4</v>
      </c>
      <c r="N12" s="5188" t="s">
        <v>1945</v>
      </c>
      <c r="O12" s="5188"/>
      <c r="P12" s="5188"/>
      <c r="Q12" s="5189"/>
    </row>
    <row r="13" spans="1:17" ht="27.75" customHeight="1">
      <c r="D13" s="757"/>
      <c r="E13" s="758" t="s">
        <v>1946</v>
      </c>
      <c r="F13" s="759"/>
      <c r="G13" s="759"/>
      <c r="H13" s="760">
        <v>0.89100000000000001</v>
      </c>
      <c r="I13" s="761">
        <v>112.7</v>
      </c>
      <c r="J13" s="761">
        <v>78.8</v>
      </c>
      <c r="K13" s="761">
        <v>219.4</v>
      </c>
      <c r="L13" s="761">
        <v>61.541666666666679</v>
      </c>
      <c r="M13" s="762">
        <v>70.2</v>
      </c>
      <c r="N13" s="5190" t="s">
        <v>1947</v>
      </c>
      <c r="O13" s="5190"/>
      <c r="P13" s="5190"/>
      <c r="Q13" s="5191"/>
    </row>
    <row r="14" spans="1:17" ht="27.75" customHeight="1">
      <c r="D14" s="238"/>
      <c r="E14" s="153" t="s">
        <v>1948</v>
      </c>
      <c r="F14" s="241"/>
      <c r="G14" s="241"/>
      <c r="H14" s="763">
        <v>6.83</v>
      </c>
      <c r="I14" s="71">
        <v>118.1</v>
      </c>
      <c r="J14" s="57">
        <v>128.5</v>
      </c>
      <c r="K14" s="57">
        <v>139.5</v>
      </c>
      <c r="L14" s="57">
        <v>140.52500000000001</v>
      </c>
      <c r="M14" s="58">
        <v>142.5708333333333</v>
      </c>
      <c r="N14" s="5167" t="s">
        <v>1949</v>
      </c>
      <c r="O14" s="5167"/>
      <c r="P14" s="5167"/>
      <c r="Q14" s="5168"/>
    </row>
    <row r="15" spans="1:17" ht="27.75" customHeight="1">
      <c r="D15" s="757"/>
      <c r="E15" s="764" t="s">
        <v>1950</v>
      </c>
      <c r="F15" s="765"/>
      <c r="G15" s="765"/>
      <c r="H15" s="760">
        <v>7.2869999999999999</v>
      </c>
      <c r="I15" s="761">
        <v>114.8</v>
      </c>
      <c r="J15" s="766">
        <v>112.6</v>
      </c>
      <c r="K15" s="766">
        <v>91.34</v>
      </c>
      <c r="L15" s="766">
        <v>98.625</v>
      </c>
      <c r="M15" s="762">
        <v>116.08333333333333</v>
      </c>
      <c r="N15" s="5190" t="s">
        <v>1951</v>
      </c>
      <c r="O15" s="5190"/>
      <c r="P15" s="5190"/>
      <c r="Q15" s="5191"/>
    </row>
    <row r="16" spans="1:17" ht="27.75" customHeight="1">
      <c r="D16" s="250" t="s">
        <v>1952</v>
      </c>
      <c r="E16" s="251"/>
      <c r="F16" s="251"/>
      <c r="G16" s="767"/>
      <c r="H16" s="756">
        <v>76.729000000000013</v>
      </c>
      <c r="I16" s="56">
        <v>111.7</v>
      </c>
      <c r="J16" s="56">
        <v>102.8</v>
      </c>
      <c r="K16" s="56">
        <v>108.7</v>
      </c>
      <c r="L16" s="56">
        <v>112.1</v>
      </c>
      <c r="M16" s="160">
        <v>109.9</v>
      </c>
      <c r="N16" s="5188" t="s">
        <v>1953</v>
      </c>
      <c r="O16" s="5188"/>
      <c r="P16" s="5188"/>
      <c r="Q16" s="5189"/>
    </row>
    <row r="17" spans="4:17" ht="27.75" customHeight="1">
      <c r="D17" s="757"/>
      <c r="E17" s="764" t="s">
        <v>1954</v>
      </c>
      <c r="F17" s="765"/>
      <c r="G17" s="765"/>
      <c r="H17" s="760">
        <v>13.55</v>
      </c>
      <c r="I17" s="761">
        <v>126</v>
      </c>
      <c r="J17" s="766">
        <v>98.5</v>
      </c>
      <c r="K17" s="766">
        <v>94.2</v>
      </c>
      <c r="L17" s="766">
        <v>102.1</v>
      </c>
      <c r="M17" s="762">
        <v>108.83333333333331</v>
      </c>
      <c r="N17" s="5190" t="s">
        <v>1955</v>
      </c>
      <c r="O17" s="5190"/>
      <c r="P17" s="5190"/>
      <c r="Q17" s="5191"/>
    </row>
    <row r="18" spans="4:17" ht="27.75" customHeight="1">
      <c r="D18" s="238"/>
      <c r="E18" s="153" t="s">
        <v>1956</v>
      </c>
      <c r="F18" s="241"/>
      <c r="G18" s="241"/>
      <c r="H18" s="763">
        <v>10.15</v>
      </c>
      <c r="I18" s="71">
        <v>107.4</v>
      </c>
      <c r="J18" s="57">
        <v>113.1</v>
      </c>
      <c r="K18" s="57">
        <v>104.6</v>
      </c>
      <c r="L18" s="57">
        <v>145.53333333333333</v>
      </c>
      <c r="M18" s="58">
        <v>165.47499999999999</v>
      </c>
      <c r="N18" s="5167" t="s">
        <v>1957</v>
      </c>
      <c r="O18" s="5167"/>
      <c r="P18" s="5167"/>
      <c r="Q18" s="5168"/>
    </row>
    <row r="19" spans="4:17" ht="27.75" customHeight="1">
      <c r="D19" s="757"/>
      <c r="E19" s="764" t="s">
        <v>1958</v>
      </c>
      <c r="F19" s="765"/>
      <c r="G19" s="765"/>
      <c r="H19" s="760">
        <v>4.2713000000000001</v>
      </c>
      <c r="I19" s="761">
        <v>96</v>
      </c>
      <c r="J19" s="761">
        <v>112</v>
      </c>
      <c r="K19" s="761">
        <v>102.1</v>
      </c>
      <c r="L19" s="761">
        <v>99.528679839633469</v>
      </c>
      <c r="M19" s="762">
        <v>85.709337414089347</v>
      </c>
      <c r="N19" s="5190" t="s">
        <v>1959</v>
      </c>
      <c r="O19" s="5190"/>
      <c r="P19" s="5190"/>
      <c r="Q19" s="5191"/>
    </row>
    <row r="20" spans="4:17" ht="27.75" customHeight="1">
      <c r="D20" s="238"/>
      <c r="E20" s="450" t="s">
        <v>1960</v>
      </c>
      <c r="F20" s="241"/>
      <c r="G20" s="241"/>
      <c r="H20" s="768">
        <v>1.1299999999999999</v>
      </c>
      <c r="I20" s="71">
        <v>90</v>
      </c>
      <c r="J20" s="57">
        <v>78.099999999999994</v>
      </c>
      <c r="K20" s="57">
        <v>90.7</v>
      </c>
      <c r="L20" s="57">
        <v>98.733333333333348</v>
      </c>
      <c r="M20" s="58">
        <v>54.075000000000003</v>
      </c>
      <c r="N20" s="5167" t="s">
        <v>1961</v>
      </c>
      <c r="O20" s="5167"/>
      <c r="P20" s="5167"/>
      <c r="Q20" s="5168"/>
    </row>
    <row r="21" spans="4:17" ht="27.75" customHeight="1">
      <c r="D21" s="769"/>
      <c r="E21" s="770" t="s">
        <v>1962</v>
      </c>
      <c r="F21" s="765"/>
      <c r="G21" s="765"/>
      <c r="H21" s="771">
        <v>2.7974000000000001</v>
      </c>
      <c r="I21" s="761">
        <v>109.4</v>
      </c>
      <c r="J21" s="761">
        <v>101.2</v>
      </c>
      <c r="K21" s="761">
        <v>78.8</v>
      </c>
      <c r="L21" s="761">
        <v>108.04166666666669</v>
      </c>
      <c r="M21" s="762">
        <v>142.73333333333335</v>
      </c>
      <c r="N21" s="5190" t="s">
        <v>1963</v>
      </c>
      <c r="O21" s="5190"/>
      <c r="P21" s="5190"/>
      <c r="Q21" s="5191"/>
    </row>
    <row r="22" spans="4:17" ht="27.75" customHeight="1">
      <c r="D22" s="772"/>
      <c r="E22" s="450" t="s">
        <v>1964</v>
      </c>
      <c r="F22" s="241"/>
      <c r="G22" s="241"/>
      <c r="H22" s="763">
        <v>2.8079999999999998</v>
      </c>
      <c r="I22" s="71">
        <v>99.6</v>
      </c>
      <c r="J22" s="71">
        <v>97.9</v>
      </c>
      <c r="K22" s="71">
        <v>107.9</v>
      </c>
      <c r="L22" s="71">
        <v>94.025000000000006</v>
      </c>
      <c r="M22" s="58">
        <v>81.841666666666669</v>
      </c>
      <c r="N22" s="5167" t="s">
        <v>1965</v>
      </c>
      <c r="O22" s="5167"/>
      <c r="P22" s="5167"/>
      <c r="Q22" s="5168"/>
    </row>
    <row r="23" spans="4:17" ht="27.75" customHeight="1">
      <c r="D23" s="757"/>
      <c r="E23" s="770" t="s">
        <v>1803</v>
      </c>
      <c r="F23" s="765"/>
      <c r="G23" s="765"/>
      <c r="H23" s="771">
        <v>2.99</v>
      </c>
      <c r="I23" s="761">
        <v>127.9</v>
      </c>
      <c r="J23" s="766">
        <v>112.2</v>
      </c>
      <c r="K23" s="766">
        <v>110.1</v>
      </c>
      <c r="L23" s="766">
        <v>141.72499999999999</v>
      </c>
      <c r="M23" s="762">
        <v>138.05833333333334</v>
      </c>
      <c r="N23" s="5190" t="s">
        <v>1966</v>
      </c>
      <c r="O23" s="5190"/>
      <c r="P23" s="5190"/>
      <c r="Q23" s="5191"/>
    </row>
    <row r="24" spans="4:17" ht="27.75" customHeight="1">
      <c r="D24" s="238"/>
      <c r="E24" s="450" t="s">
        <v>1967</v>
      </c>
      <c r="F24" s="241"/>
      <c r="G24" s="241"/>
      <c r="H24" s="768">
        <v>0.874</v>
      </c>
      <c r="I24" s="71">
        <v>93.5</v>
      </c>
      <c r="J24" s="57">
        <v>80.599999999999994</v>
      </c>
      <c r="K24" s="57">
        <v>130.9</v>
      </c>
      <c r="L24" s="57">
        <v>139.54166666666666</v>
      </c>
      <c r="M24" s="58">
        <v>147.36666666666665</v>
      </c>
      <c r="N24" s="5167" t="s">
        <v>1968</v>
      </c>
      <c r="O24" s="5167"/>
      <c r="P24" s="5167"/>
      <c r="Q24" s="5168"/>
    </row>
    <row r="25" spans="4:17" ht="27.75" customHeight="1">
      <c r="D25" s="757"/>
      <c r="E25" s="770" t="s">
        <v>1969</v>
      </c>
      <c r="F25" s="765"/>
      <c r="G25" s="765"/>
      <c r="H25" s="771">
        <v>4.5960000000000001</v>
      </c>
      <c r="I25" s="761">
        <v>106.4</v>
      </c>
      <c r="J25" s="766">
        <v>97.4</v>
      </c>
      <c r="K25" s="766">
        <v>126.6</v>
      </c>
      <c r="L25" s="766">
        <v>159.00833333333335</v>
      </c>
      <c r="M25" s="762">
        <v>149.47499999999999</v>
      </c>
      <c r="N25" s="5190" t="s">
        <v>1970</v>
      </c>
      <c r="O25" s="5190"/>
      <c r="P25" s="5190"/>
      <c r="Q25" s="5191"/>
    </row>
    <row r="26" spans="4:17" ht="27.75" customHeight="1">
      <c r="D26" s="238"/>
      <c r="E26" s="450" t="s">
        <v>1971</v>
      </c>
      <c r="F26" s="241"/>
      <c r="G26" s="241"/>
      <c r="H26" s="763">
        <v>1.3540000000000001</v>
      </c>
      <c r="I26" s="71">
        <v>423.7</v>
      </c>
      <c r="J26" s="71">
        <v>311.89999999999998</v>
      </c>
      <c r="K26" s="71">
        <v>610.29999999999995</v>
      </c>
      <c r="L26" s="71">
        <v>240.22499999999999</v>
      </c>
      <c r="M26" s="58">
        <v>108.00833333333333</v>
      </c>
      <c r="N26" s="5167" t="s">
        <v>1972</v>
      </c>
      <c r="O26" s="5167"/>
      <c r="P26" s="5167"/>
      <c r="Q26" s="5168"/>
    </row>
    <row r="27" spans="4:17" ht="27.75" customHeight="1">
      <c r="D27" s="757"/>
      <c r="E27" s="770" t="s">
        <v>1973</v>
      </c>
      <c r="F27" s="765"/>
      <c r="G27" s="765"/>
      <c r="H27" s="760">
        <v>1.31</v>
      </c>
      <c r="I27" s="761">
        <v>148.1</v>
      </c>
      <c r="J27" s="761">
        <v>64.400000000000006</v>
      </c>
      <c r="K27" s="761">
        <v>101.8</v>
      </c>
      <c r="L27" s="761">
        <v>111.50833333333334</v>
      </c>
      <c r="M27" s="762">
        <v>62.774999999999999</v>
      </c>
      <c r="N27" s="5190" t="s">
        <v>1974</v>
      </c>
      <c r="O27" s="5190"/>
      <c r="P27" s="5190"/>
      <c r="Q27" s="5191"/>
    </row>
    <row r="28" spans="4:17" ht="27.75" customHeight="1">
      <c r="D28" s="238"/>
      <c r="E28" s="450" t="s">
        <v>1975</v>
      </c>
      <c r="F28" s="241"/>
      <c r="G28" s="241"/>
      <c r="H28" s="763">
        <v>3.5939999999999999</v>
      </c>
      <c r="I28" s="71">
        <v>104.6</v>
      </c>
      <c r="J28" s="71">
        <v>106.9</v>
      </c>
      <c r="K28" s="71">
        <v>112.2</v>
      </c>
      <c r="L28" s="71">
        <v>109.95</v>
      </c>
      <c r="M28" s="58">
        <v>112.14166666666667</v>
      </c>
      <c r="N28" s="5167" t="s">
        <v>1976</v>
      </c>
      <c r="O28" s="5167"/>
      <c r="P28" s="5167"/>
      <c r="Q28" s="5168"/>
    </row>
    <row r="29" spans="4:17" ht="27.75" customHeight="1">
      <c r="D29" s="757"/>
      <c r="E29" s="770" t="s">
        <v>1977</v>
      </c>
      <c r="F29" s="765"/>
      <c r="G29" s="765"/>
      <c r="H29" s="760">
        <v>3.081</v>
      </c>
      <c r="I29" s="761">
        <v>86.3</v>
      </c>
      <c r="J29" s="761">
        <v>86.7</v>
      </c>
      <c r="K29" s="761">
        <v>77.599999999999994</v>
      </c>
      <c r="L29" s="761">
        <v>86.858333333333334</v>
      </c>
      <c r="M29" s="762">
        <v>79.883333333333326</v>
      </c>
      <c r="N29" s="5190" t="s">
        <v>1978</v>
      </c>
      <c r="O29" s="5190"/>
      <c r="P29" s="5190"/>
      <c r="Q29" s="5191"/>
    </row>
    <row r="30" spans="4:17" ht="27.75" customHeight="1">
      <c r="D30" s="238"/>
      <c r="E30" s="153" t="s">
        <v>1979</v>
      </c>
      <c r="F30" s="241"/>
      <c r="G30" s="241"/>
      <c r="H30" s="763">
        <v>9.0399999999999991</v>
      </c>
      <c r="I30" s="71">
        <v>99.9</v>
      </c>
      <c r="J30" s="57">
        <v>102.7</v>
      </c>
      <c r="K30" s="57">
        <v>95.4</v>
      </c>
      <c r="L30" s="57">
        <v>80.424999999999997</v>
      </c>
      <c r="M30" s="58">
        <v>80.741666666666674</v>
      </c>
      <c r="N30" s="5167" t="s">
        <v>1980</v>
      </c>
      <c r="O30" s="5167"/>
      <c r="P30" s="5167"/>
      <c r="Q30" s="5168"/>
    </row>
    <row r="31" spans="4:17" ht="27.75" customHeight="1">
      <c r="D31" s="757"/>
      <c r="E31" s="764" t="s">
        <v>1981</v>
      </c>
      <c r="F31" s="765"/>
      <c r="G31" s="765"/>
      <c r="H31" s="760">
        <v>1.972</v>
      </c>
      <c r="I31" s="761">
        <v>103.5</v>
      </c>
      <c r="J31" s="766">
        <v>117.2</v>
      </c>
      <c r="K31" s="766">
        <v>82.9</v>
      </c>
      <c r="L31" s="766">
        <v>72.26666666666668</v>
      </c>
      <c r="M31" s="762">
        <v>87.841666666666654</v>
      </c>
      <c r="N31" s="5190" t="s">
        <v>1982</v>
      </c>
      <c r="O31" s="5190"/>
      <c r="P31" s="5190"/>
      <c r="Q31" s="5191"/>
    </row>
    <row r="32" spans="4:17" ht="27.75" customHeight="1">
      <c r="D32" s="238"/>
      <c r="E32" s="153" t="s">
        <v>1983</v>
      </c>
      <c r="F32" s="241"/>
      <c r="G32" s="241"/>
      <c r="H32" s="763">
        <v>1.69</v>
      </c>
      <c r="I32" s="71">
        <v>99.4</v>
      </c>
      <c r="J32" s="71">
        <v>127.5</v>
      </c>
      <c r="K32" s="71">
        <v>129.19999999999999</v>
      </c>
      <c r="L32" s="71">
        <v>174.7</v>
      </c>
      <c r="M32" s="58">
        <v>166.77500000000001</v>
      </c>
      <c r="N32" s="5167" t="s">
        <v>1984</v>
      </c>
      <c r="O32" s="5167"/>
      <c r="P32" s="5167"/>
      <c r="Q32" s="5168"/>
    </row>
    <row r="33" spans="1:17" ht="27.75" customHeight="1">
      <c r="D33" s="757"/>
      <c r="E33" s="764" t="s">
        <v>1985</v>
      </c>
      <c r="F33" s="765"/>
      <c r="G33" s="765"/>
      <c r="H33" s="760"/>
      <c r="I33" s="761"/>
      <c r="J33" s="761"/>
      <c r="K33" s="761"/>
      <c r="L33" s="761" t="s">
        <v>8</v>
      </c>
      <c r="M33" s="762"/>
      <c r="N33" s="5190" t="s">
        <v>1986</v>
      </c>
      <c r="O33" s="5190"/>
      <c r="P33" s="5190"/>
      <c r="Q33" s="5191"/>
    </row>
    <row r="34" spans="1:17" ht="27.75" customHeight="1">
      <c r="D34" s="238"/>
      <c r="E34" s="241" t="s">
        <v>1987</v>
      </c>
      <c r="F34" s="241"/>
      <c r="G34" s="241"/>
      <c r="H34" s="763">
        <v>2.1360000000000001</v>
      </c>
      <c r="I34" s="71">
        <v>94.9</v>
      </c>
      <c r="J34" s="71">
        <v>95.8</v>
      </c>
      <c r="K34" s="71">
        <v>89.8</v>
      </c>
      <c r="L34" s="71">
        <v>83.766666666666666</v>
      </c>
      <c r="M34" s="58">
        <v>69.891666666666666</v>
      </c>
      <c r="N34" s="5167" t="s">
        <v>1988</v>
      </c>
      <c r="O34" s="5167"/>
      <c r="P34" s="5167"/>
      <c r="Q34" s="5168"/>
    </row>
    <row r="35" spans="1:17" ht="27.75" customHeight="1">
      <c r="D35" s="757"/>
      <c r="E35" s="764" t="s">
        <v>1989</v>
      </c>
      <c r="F35" s="765"/>
      <c r="G35" s="765"/>
      <c r="H35" s="760"/>
      <c r="I35" s="761"/>
      <c r="J35" s="761"/>
      <c r="K35" s="761"/>
      <c r="L35" s="761" t="s">
        <v>8</v>
      </c>
      <c r="M35" s="762"/>
      <c r="N35" s="5190" t="s">
        <v>1990</v>
      </c>
      <c r="O35" s="5190"/>
      <c r="P35" s="5190"/>
      <c r="Q35" s="5191"/>
    </row>
    <row r="36" spans="1:17" ht="27.75" customHeight="1">
      <c r="D36" s="238"/>
      <c r="E36" s="153" t="s">
        <v>1991</v>
      </c>
      <c r="F36" s="241"/>
      <c r="G36" s="241"/>
      <c r="H36" s="763">
        <v>1.8049999999999999</v>
      </c>
      <c r="I36" s="71">
        <v>106.6</v>
      </c>
      <c r="J36" s="71">
        <v>98.4</v>
      </c>
      <c r="K36" s="71">
        <v>168.2</v>
      </c>
      <c r="L36" s="71">
        <v>196.89166666666668</v>
      </c>
      <c r="M36" s="58">
        <v>132.27500000000001</v>
      </c>
      <c r="N36" s="5167" t="s">
        <v>1992</v>
      </c>
      <c r="O36" s="5167"/>
      <c r="P36" s="5167" t="s">
        <v>1993</v>
      </c>
      <c r="Q36" s="5168"/>
    </row>
    <row r="37" spans="1:17" ht="27.75" customHeight="1">
      <c r="D37" s="757"/>
      <c r="E37" s="764" t="s">
        <v>1994</v>
      </c>
      <c r="F37" s="765"/>
      <c r="G37" s="765"/>
      <c r="H37" s="760">
        <v>1.67</v>
      </c>
      <c r="I37" s="761">
        <v>56.6</v>
      </c>
      <c r="J37" s="761">
        <v>64</v>
      </c>
      <c r="K37" s="761">
        <v>74.099999999999994</v>
      </c>
      <c r="L37" s="761">
        <v>72.674999999999997</v>
      </c>
      <c r="M37" s="762">
        <v>50.416666666666664</v>
      </c>
      <c r="N37" s="5190" t="s">
        <v>1995</v>
      </c>
      <c r="O37" s="5190"/>
      <c r="P37" s="5190"/>
      <c r="Q37" s="5191"/>
    </row>
    <row r="38" spans="1:17" ht="27.75" customHeight="1">
      <c r="D38" s="238"/>
      <c r="E38" s="153" t="s">
        <v>1996</v>
      </c>
      <c r="F38" s="241"/>
      <c r="G38" s="241"/>
      <c r="H38" s="763">
        <v>1.0620000000000001</v>
      </c>
      <c r="I38" s="71">
        <v>115.5</v>
      </c>
      <c r="J38" s="71">
        <v>93.9</v>
      </c>
      <c r="K38" s="71">
        <v>114.2</v>
      </c>
      <c r="L38" s="71">
        <v>114.53333333333335</v>
      </c>
      <c r="M38" s="58">
        <v>118.89166666666667</v>
      </c>
      <c r="N38" s="5167" t="s">
        <v>1997</v>
      </c>
      <c r="O38" s="5167"/>
      <c r="P38" s="5167"/>
      <c r="Q38" s="5168"/>
    </row>
    <row r="39" spans="1:17" ht="27.75" customHeight="1">
      <c r="D39" s="757"/>
      <c r="E39" s="764" t="s">
        <v>1998</v>
      </c>
      <c r="F39" s="765"/>
      <c r="G39" s="765"/>
      <c r="H39" s="760"/>
      <c r="I39" s="761"/>
      <c r="J39" s="761"/>
      <c r="K39" s="761"/>
      <c r="L39" s="761" t="s">
        <v>8</v>
      </c>
      <c r="M39" s="762"/>
      <c r="N39" s="5190" t="s">
        <v>1999</v>
      </c>
      <c r="O39" s="5190"/>
      <c r="P39" s="5190"/>
      <c r="Q39" s="5191"/>
    </row>
    <row r="40" spans="1:17" ht="27.75" customHeight="1">
      <c r="D40" s="238" t="s">
        <v>2000</v>
      </c>
      <c r="E40" s="241"/>
      <c r="F40" s="241"/>
      <c r="G40" s="773"/>
      <c r="H40" s="763">
        <v>1.43</v>
      </c>
      <c r="I40" s="71">
        <v>83.4</v>
      </c>
      <c r="J40" s="71">
        <v>84.2</v>
      </c>
      <c r="K40" s="71">
        <v>62.3</v>
      </c>
      <c r="L40" s="71">
        <v>46.033333333333339</v>
      </c>
      <c r="M40" s="58">
        <v>49.116666666666674</v>
      </c>
      <c r="N40" s="5167" t="s">
        <v>2001</v>
      </c>
      <c r="O40" s="5167"/>
      <c r="P40" s="5167"/>
      <c r="Q40" s="5168"/>
    </row>
    <row r="41" spans="1:17" ht="27.75" customHeight="1">
      <c r="D41" s="757"/>
      <c r="E41" s="764" t="s">
        <v>2002</v>
      </c>
      <c r="F41" s="765"/>
      <c r="G41" s="765"/>
      <c r="H41" s="760">
        <v>1.8580000000000001</v>
      </c>
      <c r="I41" s="761">
        <v>98.4</v>
      </c>
      <c r="J41" s="761">
        <v>21.7</v>
      </c>
      <c r="K41" s="761">
        <v>74.5</v>
      </c>
      <c r="L41" s="761">
        <v>33.333333333333336</v>
      </c>
      <c r="M41" s="762">
        <v>48.083333333333336</v>
      </c>
      <c r="N41" s="5190" t="s">
        <v>2003</v>
      </c>
      <c r="O41" s="5190"/>
      <c r="P41" s="5190"/>
      <c r="Q41" s="5191"/>
    </row>
    <row r="42" spans="1:17" ht="27.75" customHeight="1">
      <c r="D42" s="238"/>
      <c r="E42" s="153" t="s">
        <v>330</v>
      </c>
      <c r="F42" s="241"/>
      <c r="G42" s="241"/>
      <c r="H42" s="763">
        <v>1.5602999999999838</v>
      </c>
      <c r="I42" s="71">
        <v>78.099999999999994</v>
      </c>
      <c r="J42" s="71">
        <v>92.1</v>
      </c>
      <c r="K42" s="71">
        <v>66</v>
      </c>
      <c r="L42" s="71">
        <v>99.036390358612593</v>
      </c>
      <c r="M42" s="58">
        <v>109.21646580442878</v>
      </c>
      <c r="N42" s="5167" t="s">
        <v>2004</v>
      </c>
      <c r="O42" s="5167"/>
      <c r="P42" s="5167" t="s">
        <v>400</v>
      </c>
      <c r="Q42" s="5168"/>
    </row>
    <row r="43" spans="1:17" ht="27.75" customHeight="1">
      <c r="D43" s="774" t="s">
        <v>2005</v>
      </c>
      <c r="E43" s="775"/>
      <c r="F43" s="775"/>
      <c r="G43" s="776"/>
      <c r="H43" s="777">
        <v>8.2629999999999999</v>
      </c>
      <c r="I43" s="754">
        <v>113.33333333333333</v>
      </c>
      <c r="J43" s="754">
        <v>121.50833333333334</v>
      </c>
      <c r="K43" s="754">
        <v>127</v>
      </c>
      <c r="L43" s="754">
        <v>140.4</v>
      </c>
      <c r="M43" s="778">
        <v>147.4</v>
      </c>
      <c r="N43" s="5204" t="s">
        <v>2006</v>
      </c>
      <c r="O43" s="5205"/>
      <c r="P43" s="5205"/>
      <c r="Q43" s="5206"/>
    </row>
    <row r="44" spans="1:17" ht="18.75" customHeight="1">
      <c r="D44" s="5192" t="s">
        <v>2007</v>
      </c>
      <c r="E44" s="5193"/>
      <c r="F44" s="5193"/>
      <c r="G44" s="5193"/>
      <c r="H44" s="5196">
        <v>100.00000000000001</v>
      </c>
      <c r="I44" s="5198">
        <v>112.51032233333333</v>
      </c>
      <c r="J44" s="5198">
        <v>106.59706958333332</v>
      </c>
      <c r="K44" s="5198">
        <v>112.043105</v>
      </c>
      <c r="L44" s="5198">
        <v>114.948701</v>
      </c>
      <c r="M44" s="5200">
        <v>115.32486500000002</v>
      </c>
      <c r="N44" s="5193" t="s">
        <v>2008</v>
      </c>
      <c r="O44" s="5193"/>
      <c r="P44" s="5193"/>
      <c r="Q44" s="5202"/>
    </row>
    <row r="45" spans="1:17" ht="18.75" customHeight="1">
      <c r="D45" s="5194"/>
      <c r="E45" s="5195"/>
      <c r="F45" s="5195"/>
      <c r="G45" s="5195"/>
      <c r="H45" s="5197"/>
      <c r="I45" s="5199"/>
      <c r="J45" s="5199"/>
      <c r="K45" s="5199"/>
      <c r="L45" s="5199"/>
      <c r="M45" s="5201"/>
      <c r="N45" s="5195"/>
      <c r="O45" s="5195"/>
      <c r="P45" s="5195"/>
      <c r="Q45" s="5203"/>
    </row>
    <row r="46" spans="1:17" ht="6.95" customHeight="1">
      <c r="A46" s="50"/>
      <c r="B46" s="247"/>
      <c r="C46" s="704"/>
      <c r="D46" s="96"/>
      <c r="E46" s="445"/>
      <c r="F46" s="779"/>
      <c r="G46" s="25"/>
      <c r="H46" s="747"/>
      <c r="I46" s="747"/>
      <c r="J46" s="747"/>
      <c r="K46" s="747"/>
      <c r="L46" s="747"/>
      <c r="M46" s="747"/>
      <c r="N46" s="747"/>
      <c r="O46" s="747"/>
      <c r="P46" s="747"/>
      <c r="Q46" s="747"/>
    </row>
    <row r="47" spans="1:17" ht="18" customHeight="1">
      <c r="A47" s="50"/>
      <c r="B47" s="247"/>
      <c r="C47" s="704"/>
      <c r="D47" s="136" t="s">
        <v>2009</v>
      </c>
      <c r="E47" s="780"/>
      <c r="F47" s="781"/>
      <c r="G47" s="782"/>
      <c r="H47" s="783"/>
      <c r="I47" s="783"/>
      <c r="J47" s="783"/>
      <c r="K47" s="783"/>
      <c r="L47" s="783"/>
      <c r="M47" s="783"/>
      <c r="N47" s="783"/>
      <c r="O47" s="783"/>
      <c r="P47" s="783"/>
      <c r="Q47" s="784" t="s">
        <v>1928</v>
      </c>
    </row>
    <row r="48" spans="1:17" ht="15.75">
      <c r="A48" s="185"/>
      <c r="B48" s="60"/>
      <c r="C48" s="785"/>
      <c r="D48" s="62"/>
      <c r="E48" s="24"/>
      <c r="F48" s="185"/>
      <c r="G48" s="62"/>
    </row>
  </sheetData>
  <mergeCells count="53">
    <mergeCell ref="L44:L45"/>
    <mergeCell ref="M44:M45"/>
    <mergeCell ref="N44:Q45"/>
    <mergeCell ref="N39:Q39"/>
    <mergeCell ref="N40:Q40"/>
    <mergeCell ref="N41:Q41"/>
    <mergeCell ref="N42:Q42"/>
    <mergeCell ref="N43:Q43"/>
    <mergeCell ref="D44:G45"/>
    <mergeCell ref="H44:H45"/>
    <mergeCell ref="I44:I45"/>
    <mergeCell ref="J44:J45"/>
    <mergeCell ref="K44:K45"/>
    <mergeCell ref="N38:Q38"/>
    <mergeCell ref="N27:Q27"/>
    <mergeCell ref="N28:Q28"/>
    <mergeCell ref="N29:Q29"/>
    <mergeCell ref="N30:Q30"/>
    <mergeCell ref="N31:Q31"/>
    <mergeCell ref="N32:Q32"/>
    <mergeCell ref="N33:Q33"/>
    <mergeCell ref="N34:Q34"/>
    <mergeCell ref="N35:Q35"/>
    <mergeCell ref="N36:Q36"/>
    <mergeCell ref="N37:Q37"/>
    <mergeCell ref="N26:Q26"/>
    <mergeCell ref="N15:Q15"/>
    <mergeCell ref="N16:Q16"/>
    <mergeCell ref="N17:Q17"/>
    <mergeCell ref="N18:Q18"/>
    <mergeCell ref="N19:Q19"/>
    <mergeCell ref="N20:Q20"/>
    <mergeCell ref="N21:Q21"/>
    <mergeCell ref="N22:Q22"/>
    <mergeCell ref="N23:Q23"/>
    <mergeCell ref="N24:Q24"/>
    <mergeCell ref="N25:Q25"/>
    <mergeCell ref="N14:Q14"/>
    <mergeCell ref="D3:Q3"/>
    <mergeCell ref="D4:Q4"/>
    <mergeCell ref="D5:E5"/>
    <mergeCell ref="D6:G10"/>
    <mergeCell ref="I6:I10"/>
    <mergeCell ref="J6:J10"/>
    <mergeCell ref="K6:K10"/>
    <mergeCell ref="L6:L10"/>
    <mergeCell ref="M6:M10"/>
    <mergeCell ref="N6:Q10"/>
    <mergeCell ref="D11:G11"/>
    <mergeCell ref="N11:Q11"/>
    <mergeCell ref="D12:G12"/>
    <mergeCell ref="N12:Q12"/>
    <mergeCell ref="N13:Q13"/>
  </mergeCells>
  <pageMargins left="0.51181102362204722" right="1.299212598425197" top="0.55118110236220474" bottom="0.55118110236220474" header="0" footer="0"/>
  <pageSetup paperSize="9" scale="51" orientation="portrait" r:id="rId1"/>
  <headerFooter>
    <oddFooter>&amp;C&amp;"+,Regular"&amp;22-70-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D1:Z79"/>
  <sheetViews>
    <sheetView zoomScale="75" zoomScaleNormal="75" workbookViewId="0"/>
  </sheetViews>
  <sheetFormatPr defaultColWidth="0" defaultRowHeight="20.25"/>
  <cols>
    <col min="1" max="3" width="10" style="201" customWidth="1"/>
    <col min="4" max="4" width="56.42578125" style="201" customWidth="1"/>
    <col min="5" max="5" width="12.42578125" style="1174" customWidth="1"/>
    <col min="6" max="6" width="13.42578125" style="1208" customWidth="1"/>
    <col min="7" max="16" width="13.42578125" style="786" customWidth="1"/>
    <col min="17" max="20" width="13.42578125" style="787" customWidth="1"/>
    <col min="21" max="21" width="18" style="787" customWidth="1"/>
    <col min="22" max="22" width="36.42578125" style="787" customWidth="1"/>
    <col min="23" max="23" width="2.42578125" style="787" customWidth="1"/>
    <col min="24" max="24" width="2.28515625" style="787" customWidth="1"/>
    <col min="25" max="25" width="1.28515625" style="787" customWidth="1"/>
    <col min="26" max="26" width="8.28515625" style="201" customWidth="1"/>
    <col min="27" max="260" width="0" style="201" hidden="1"/>
    <col min="261" max="261" width="6" style="201" customWidth="1"/>
    <col min="262" max="262" width="56.42578125" style="201" customWidth="1"/>
    <col min="263" max="276" width="13.42578125" style="201" customWidth="1"/>
    <col min="277" max="277" width="18" style="201" customWidth="1"/>
    <col min="278" max="278" width="36.42578125" style="201" customWidth="1"/>
    <col min="279" max="279" width="2.42578125" style="201" customWidth="1"/>
    <col min="280" max="280" width="2.28515625" style="201" customWidth="1"/>
    <col min="281" max="281" width="1.28515625" style="201" customWidth="1"/>
    <col min="282" max="282" width="8.28515625" style="201" customWidth="1"/>
    <col min="283" max="516" width="0" style="201" hidden="1"/>
    <col min="517" max="517" width="6" style="201" customWidth="1"/>
    <col min="518" max="518" width="56.42578125" style="201" customWidth="1"/>
    <col min="519" max="532" width="13.42578125" style="201" customWidth="1"/>
    <col min="533" max="533" width="18" style="201" customWidth="1"/>
    <col min="534" max="534" width="36.42578125" style="201" customWidth="1"/>
    <col min="535" max="535" width="2.42578125" style="201" customWidth="1"/>
    <col min="536" max="536" width="2.28515625" style="201" customWidth="1"/>
    <col min="537" max="537" width="1.28515625" style="201" customWidth="1"/>
    <col min="538" max="538" width="8.28515625" style="201" customWidth="1"/>
    <col min="539" max="772" width="0" style="201" hidden="1"/>
    <col min="773" max="773" width="6" style="201" customWidth="1"/>
    <col min="774" max="774" width="56.42578125" style="201" customWidth="1"/>
    <col min="775" max="788" width="13.42578125" style="201" customWidth="1"/>
    <col min="789" max="789" width="18" style="201" customWidth="1"/>
    <col min="790" max="790" width="36.42578125" style="201" customWidth="1"/>
    <col min="791" max="791" width="2.42578125" style="201" customWidth="1"/>
    <col min="792" max="792" width="2.28515625" style="201" customWidth="1"/>
    <col min="793" max="793" width="1.28515625" style="201" customWidth="1"/>
    <col min="794" max="794" width="8.28515625" style="201" customWidth="1"/>
    <col min="795" max="1028" width="0" style="201" hidden="1"/>
    <col min="1029" max="1029" width="6" style="201" customWidth="1"/>
    <col min="1030" max="1030" width="56.42578125" style="201" customWidth="1"/>
    <col min="1031" max="1044" width="13.42578125" style="201" customWidth="1"/>
    <col min="1045" max="1045" width="18" style="201" customWidth="1"/>
    <col min="1046" max="1046" width="36.42578125" style="201" customWidth="1"/>
    <col min="1047" max="1047" width="2.42578125" style="201" customWidth="1"/>
    <col min="1048" max="1048" width="2.28515625" style="201" customWidth="1"/>
    <col min="1049" max="1049" width="1.28515625" style="201" customWidth="1"/>
    <col min="1050" max="1050" width="8.28515625" style="201" customWidth="1"/>
    <col min="1051" max="1284" width="0" style="201" hidden="1"/>
    <col min="1285" max="1285" width="6" style="201" customWidth="1"/>
    <col min="1286" max="1286" width="56.42578125" style="201" customWidth="1"/>
    <col min="1287" max="1300" width="13.42578125" style="201" customWidth="1"/>
    <col min="1301" max="1301" width="18" style="201" customWidth="1"/>
    <col min="1302" max="1302" width="36.42578125" style="201" customWidth="1"/>
    <col min="1303" max="1303" width="2.42578125" style="201" customWidth="1"/>
    <col min="1304" max="1304" width="2.28515625" style="201" customWidth="1"/>
    <col min="1305" max="1305" width="1.28515625" style="201" customWidth="1"/>
    <col min="1306" max="1306" width="8.28515625" style="201" customWidth="1"/>
    <col min="1307" max="1540" width="0" style="201" hidden="1"/>
    <col min="1541" max="1541" width="6" style="201" customWidth="1"/>
    <col min="1542" max="1542" width="56.42578125" style="201" customWidth="1"/>
    <col min="1543" max="1556" width="13.42578125" style="201" customWidth="1"/>
    <col min="1557" max="1557" width="18" style="201" customWidth="1"/>
    <col min="1558" max="1558" width="36.42578125" style="201" customWidth="1"/>
    <col min="1559" max="1559" width="2.42578125" style="201" customWidth="1"/>
    <col min="1560" max="1560" width="2.28515625" style="201" customWidth="1"/>
    <col min="1561" max="1561" width="1.28515625" style="201" customWidth="1"/>
    <col min="1562" max="1562" width="8.28515625" style="201" customWidth="1"/>
    <col min="1563" max="1796" width="0" style="201" hidden="1"/>
    <col min="1797" max="1797" width="6" style="201" customWidth="1"/>
    <col min="1798" max="1798" width="56.42578125" style="201" customWidth="1"/>
    <col min="1799" max="1812" width="13.42578125" style="201" customWidth="1"/>
    <col min="1813" max="1813" width="18" style="201" customWidth="1"/>
    <col min="1814" max="1814" width="36.42578125" style="201" customWidth="1"/>
    <col min="1815" max="1815" width="2.42578125" style="201" customWidth="1"/>
    <col min="1816" max="1816" width="2.28515625" style="201" customWidth="1"/>
    <col min="1817" max="1817" width="1.28515625" style="201" customWidth="1"/>
    <col min="1818" max="1818" width="8.28515625" style="201" customWidth="1"/>
    <col min="1819" max="2052" width="0" style="201" hidden="1"/>
    <col min="2053" max="2053" width="6" style="201" customWidth="1"/>
    <col min="2054" max="2054" width="56.42578125" style="201" customWidth="1"/>
    <col min="2055" max="2068" width="13.42578125" style="201" customWidth="1"/>
    <col min="2069" max="2069" width="18" style="201" customWidth="1"/>
    <col min="2070" max="2070" width="36.42578125" style="201" customWidth="1"/>
    <col min="2071" max="2071" width="2.42578125" style="201" customWidth="1"/>
    <col min="2072" max="2072" width="2.28515625" style="201" customWidth="1"/>
    <col min="2073" max="2073" width="1.28515625" style="201" customWidth="1"/>
    <col min="2074" max="2074" width="8.28515625" style="201" customWidth="1"/>
    <col min="2075" max="2308" width="0" style="201" hidden="1"/>
    <col min="2309" max="2309" width="6" style="201" customWidth="1"/>
    <col min="2310" max="2310" width="56.42578125" style="201" customWidth="1"/>
    <col min="2311" max="2324" width="13.42578125" style="201" customWidth="1"/>
    <col min="2325" max="2325" width="18" style="201" customWidth="1"/>
    <col min="2326" max="2326" width="36.42578125" style="201" customWidth="1"/>
    <col min="2327" max="2327" width="2.42578125" style="201" customWidth="1"/>
    <col min="2328" max="2328" width="2.28515625" style="201" customWidth="1"/>
    <col min="2329" max="2329" width="1.28515625" style="201" customWidth="1"/>
    <col min="2330" max="2330" width="8.28515625" style="201" customWidth="1"/>
    <col min="2331" max="2564" width="0" style="201" hidden="1"/>
    <col min="2565" max="2565" width="6" style="201" customWidth="1"/>
    <col min="2566" max="2566" width="56.42578125" style="201" customWidth="1"/>
    <col min="2567" max="2580" width="13.42578125" style="201" customWidth="1"/>
    <col min="2581" max="2581" width="18" style="201" customWidth="1"/>
    <col min="2582" max="2582" width="36.42578125" style="201" customWidth="1"/>
    <col min="2583" max="2583" width="2.42578125" style="201" customWidth="1"/>
    <col min="2584" max="2584" width="2.28515625" style="201" customWidth="1"/>
    <col min="2585" max="2585" width="1.28515625" style="201" customWidth="1"/>
    <col min="2586" max="2586" width="8.28515625" style="201" customWidth="1"/>
    <col min="2587" max="2820" width="0" style="201" hidden="1"/>
    <col min="2821" max="2821" width="6" style="201" customWidth="1"/>
    <col min="2822" max="2822" width="56.42578125" style="201" customWidth="1"/>
    <col min="2823" max="2836" width="13.42578125" style="201" customWidth="1"/>
    <col min="2837" max="2837" width="18" style="201" customWidth="1"/>
    <col min="2838" max="2838" width="36.42578125" style="201" customWidth="1"/>
    <col min="2839" max="2839" width="2.42578125" style="201" customWidth="1"/>
    <col min="2840" max="2840" width="2.28515625" style="201" customWidth="1"/>
    <col min="2841" max="2841" width="1.28515625" style="201" customWidth="1"/>
    <col min="2842" max="2842" width="8.28515625" style="201" customWidth="1"/>
    <col min="2843" max="3076" width="0" style="201" hidden="1"/>
    <col min="3077" max="3077" width="6" style="201" customWidth="1"/>
    <col min="3078" max="3078" width="56.42578125" style="201" customWidth="1"/>
    <col min="3079" max="3092" width="13.42578125" style="201" customWidth="1"/>
    <col min="3093" max="3093" width="18" style="201" customWidth="1"/>
    <col min="3094" max="3094" width="36.42578125" style="201" customWidth="1"/>
    <col min="3095" max="3095" width="2.42578125" style="201" customWidth="1"/>
    <col min="3096" max="3096" width="2.28515625" style="201" customWidth="1"/>
    <col min="3097" max="3097" width="1.28515625" style="201" customWidth="1"/>
    <col min="3098" max="3098" width="8.28515625" style="201" customWidth="1"/>
    <col min="3099" max="3332" width="0" style="201" hidden="1"/>
    <col min="3333" max="3333" width="6" style="201" customWidth="1"/>
    <col min="3334" max="3334" width="56.42578125" style="201" customWidth="1"/>
    <col min="3335" max="3348" width="13.42578125" style="201" customWidth="1"/>
    <col min="3349" max="3349" width="18" style="201" customWidth="1"/>
    <col min="3350" max="3350" width="36.42578125" style="201" customWidth="1"/>
    <col min="3351" max="3351" width="2.42578125" style="201" customWidth="1"/>
    <col min="3352" max="3352" width="2.28515625" style="201" customWidth="1"/>
    <col min="3353" max="3353" width="1.28515625" style="201" customWidth="1"/>
    <col min="3354" max="3354" width="8.28515625" style="201" customWidth="1"/>
    <col min="3355" max="3588" width="0" style="201" hidden="1"/>
    <col min="3589" max="3589" width="6" style="201" customWidth="1"/>
    <col min="3590" max="3590" width="56.42578125" style="201" customWidth="1"/>
    <col min="3591" max="3604" width="13.42578125" style="201" customWidth="1"/>
    <col min="3605" max="3605" width="18" style="201" customWidth="1"/>
    <col min="3606" max="3606" width="36.42578125" style="201" customWidth="1"/>
    <col min="3607" max="3607" width="2.42578125" style="201" customWidth="1"/>
    <col min="3608" max="3608" width="2.28515625" style="201" customWidth="1"/>
    <col min="3609" max="3609" width="1.28515625" style="201" customWidth="1"/>
    <col min="3610" max="3610" width="8.28515625" style="201" customWidth="1"/>
    <col min="3611" max="3844" width="0" style="201" hidden="1"/>
    <col min="3845" max="3845" width="6" style="201" customWidth="1"/>
    <col min="3846" max="3846" width="56.42578125" style="201" customWidth="1"/>
    <col min="3847" max="3860" width="13.42578125" style="201" customWidth="1"/>
    <col min="3861" max="3861" width="18" style="201" customWidth="1"/>
    <col min="3862" max="3862" width="36.42578125" style="201" customWidth="1"/>
    <col min="3863" max="3863" width="2.42578125" style="201" customWidth="1"/>
    <col min="3864" max="3864" width="2.28515625" style="201" customWidth="1"/>
    <col min="3865" max="3865" width="1.28515625" style="201" customWidth="1"/>
    <col min="3866" max="3866" width="8.28515625" style="201" customWidth="1"/>
    <col min="3867" max="4100" width="0" style="201" hidden="1"/>
    <col min="4101" max="4101" width="6" style="201" customWidth="1"/>
    <col min="4102" max="4102" width="56.42578125" style="201" customWidth="1"/>
    <col min="4103" max="4116" width="13.42578125" style="201" customWidth="1"/>
    <col min="4117" max="4117" width="18" style="201" customWidth="1"/>
    <col min="4118" max="4118" width="36.42578125" style="201" customWidth="1"/>
    <col min="4119" max="4119" width="2.42578125" style="201" customWidth="1"/>
    <col min="4120" max="4120" width="2.28515625" style="201" customWidth="1"/>
    <col min="4121" max="4121" width="1.28515625" style="201" customWidth="1"/>
    <col min="4122" max="4122" width="8.28515625" style="201" customWidth="1"/>
    <col min="4123" max="4356" width="0" style="201" hidden="1"/>
    <col min="4357" max="4357" width="6" style="201" customWidth="1"/>
    <col min="4358" max="4358" width="56.42578125" style="201" customWidth="1"/>
    <col min="4359" max="4372" width="13.42578125" style="201" customWidth="1"/>
    <col min="4373" max="4373" width="18" style="201" customWidth="1"/>
    <col min="4374" max="4374" width="36.42578125" style="201" customWidth="1"/>
    <col min="4375" max="4375" width="2.42578125" style="201" customWidth="1"/>
    <col min="4376" max="4376" width="2.28515625" style="201" customWidth="1"/>
    <col min="4377" max="4377" width="1.28515625" style="201" customWidth="1"/>
    <col min="4378" max="4378" width="8.28515625" style="201" customWidth="1"/>
    <col min="4379" max="4612" width="0" style="201" hidden="1"/>
    <col min="4613" max="4613" width="6" style="201" customWidth="1"/>
    <col min="4614" max="4614" width="56.42578125" style="201" customWidth="1"/>
    <col min="4615" max="4628" width="13.42578125" style="201" customWidth="1"/>
    <col min="4629" max="4629" width="18" style="201" customWidth="1"/>
    <col min="4630" max="4630" width="36.42578125" style="201" customWidth="1"/>
    <col min="4631" max="4631" width="2.42578125" style="201" customWidth="1"/>
    <col min="4632" max="4632" width="2.28515625" style="201" customWidth="1"/>
    <col min="4633" max="4633" width="1.28515625" style="201" customWidth="1"/>
    <col min="4634" max="4634" width="8.28515625" style="201" customWidth="1"/>
    <col min="4635" max="4868" width="0" style="201" hidden="1"/>
    <col min="4869" max="4869" width="6" style="201" customWidth="1"/>
    <col min="4870" max="4870" width="56.42578125" style="201" customWidth="1"/>
    <col min="4871" max="4884" width="13.42578125" style="201" customWidth="1"/>
    <col min="4885" max="4885" width="18" style="201" customWidth="1"/>
    <col min="4886" max="4886" width="36.42578125" style="201" customWidth="1"/>
    <col min="4887" max="4887" width="2.42578125" style="201" customWidth="1"/>
    <col min="4888" max="4888" width="2.28515625" style="201" customWidth="1"/>
    <col min="4889" max="4889" width="1.28515625" style="201" customWidth="1"/>
    <col min="4890" max="4890" width="8.28515625" style="201" customWidth="1"/>
    <col min="4891" max="5124" width="0" style="201" hidden="1"/>
    <col min="5125" max="5125" width="6" style="201" customWidth="1"/>
    <col min="5126" max="5126" width="56.42578125" style="201" customWidth="1"/>
    <col min="5127" max="5140" width="13.42578125" style="201" customWidth="1"/>
    <col min="5141" max="5141" width="18" style="201" customWidth="1"/>
    <col min="5142" max="5142" width="36.42578125" style="201" customWidth="1"/>
    <col min="5143" max="5143" width="2.42578125" style="201" customWidth="1"/>
    <col min="5144" max="5144" width="2.28515625" style="201" customWidth="1"/>
    <col min="5145" max="5145" width="1.28515625" style="201" customWidth="1"/>
    <col min="5146" max="5146" width="8.28515625" style="201" customWidth="1"/>
    <col min="5147" max="5380" width="0" style="201" hidden="1"/>
    <col min="5381" max="5381" width="6" style="201" customWidth="1"/>
    <col min="5382" max="5382" width="56.42578125" style="201" customWidth="1"/>
    <col min="5383" max="5396" width="13.42578125" style="201" customWidth="1"/>
    <col min="5397" max="5397" width="18" style="201" customWidth="1"/>
    <col min="5398" max="5398" width="36.42578125" style="201" customWidth="1"/>
    <col min="5399" max="5399" width="2.42578125" style="201" customWidth="1"/>
    <col min="5400" max="5400" width="2.28515625" style="201" customWidth="1"/>
    <col min="5401" max="5401" width="1.28515625" style="201" customWidth="1"/>
    <col min="5402" max="5402" width="8.28515625" style="201" customWidth="1"/>
    <col min="5403" max="5636" width="0" style="201" hidden="1"/>
    <col min="5637" max="5637" width="6" style="201" customWidth="1"/>
    <col min="5638" max="5638" width="56.42578125" style="201" customWidth="1"/>
    <col min="5639" max="5652" width="13.42578125" style="201" customWidth="1"/>
    <col min="5653" max="5653" width="18" style="201" customWidth="1"/>
    <col min="5654" max="5654" width="36.42578125" style="201" customWidth="1"/>
    <col min="5655" max="5655" width="2.42578125" style="201" customWidth="1"/>
    <col min="5656" max="5656" width="2.28515625" style="201" customWidth="1"/>
    <col min="5657" max="5657" width="1.28515625" style="201" customWidth="1"/>
    <col min="5658" max="5658" width="8.28515625" style="201" customWidth="1"/>
    <col min="5659" max="5892" width="0" style="201" hidden="1"/>
    <col min="5893" max="5893" width="6" style="201" customWidth="1"/>
    <col min="5894" max="5894" width="56.42578125" style="201" customWidth="1"/>
    <col min="5895" max="5908" width="13.42578125" style="201" customWidth="1"/>
    <col min="5909" max="5909" width="18" style="201" customWidth="1"/>
    <col min="5910" max="5910" width="36.42578125" style="201" customWidth="1"/>
    <col min="5911" max="5911" width="2.42578125" style="201" customWidth="1"/>
    <col min="5912" max="5912" width="2.28515625" style="201" customWidth="1"/>
    <col min="5913" max="5913" width="1.28515625" style="201" customWidth="1"/>
    <col min="5914" max="5914" width="8.28515625" style="201" customWidth="1"/>
    <col min="5915" max="6148" width="0" style="201" hidden="1"/>
    <col min="6149" max="6149" width="6" style="201" customWidth="1"/>
    <col min="6150" max="6150" width="56.42578125" style="201" customWidth="1"/>
    <col min="6151" max="6164" width="13.42578125" style="201" customWidth="1"/>
    <col min="6165" max="6165" width="18" style="201" customWidth="1"/>
    <col min="6166" max="6166" width="36.42578125" style="201" customWidth="1"/>
    <col min="6167" max="6167" width="2.42578125" style="201" customWidth="1"/>
    <col min="6168" max="6168" width="2.28515625" style="201" customWidth="1"/>
    <col min="6169" max="6169" width="1.28515625" style="201" customWidth="1"/>
    <col min="6170" max="6170" width="8.28515625" style="201" customWidth="1"/>
    <col min="6171" max="6404" width="0" style="201" hidden="1"/>
    <col min="6405" max="6405" width="6" style="201" customWidth="1"/>
    <col min="6406" max="6406" width="56.42578125" style="201" customWidth="1"/>
    <col min="6407" max="6420" width="13.42578125" style="201" customWidth="1"/>
    <col min="6421" max="6421" width="18" style="201" customWidth="1"/>
    <col min="6422" max="6422" width="36.42578125" style="201" customWidth="1"/>
    <col min="6423" max="6423" width="2.42578125" style="201" customWidth="1"/>
    <col min="6424" max="6424" width="2.28515625" style="201" customWidth="1"/>
    <col min="6425" max="6425" width="1.28515625" style="201" customWidth="1"/>
    <col min="6426" max="6426" width="8.28515625" style="201" customWidth="1"/>
    <col min="6427" max="6660" width="0" style="201" hidden="1"/>
    <col min="6661" max="6661" width="6" style="201" customWidth="1"/>
    <col min="6662" max="6662" width="56.42578125" style="201" customWidth="1"/>
    <col min="6663" max="6676" width="13.42578125" style="201" customWidth="1"/>
    <col min="6677" max="6677" width="18" style="201" customWidth="1"/>
    <col min="6678" max="6678" width="36.42578125" style="201" customWidth="1"/>
    <col min="6679" max="6679" width="2.42578125" style="201" customWidth="1"/>
    <col min="6680" max="6680" width="2.28515625" style="201" customWidth="1"/>
    <col min="6681" max="6681" width="1.28515625" style="201" customWidth="1"/>
    <col min="6682" max="6682" width="8.28515625" style="201" customWidth="1"/>
    <col min="6683" max="6916" width="0" style="201" hidden="1"/>
    <col min="6917" max="6917" width="6" style="201" customWidth="1"/>
    <col min="6918" max="6918" width="56.42578125" style="201" customWidth="1"/>
    <col min="6919" max="6932" width="13.42578125" style="201" customWidth="1"/>
    <col min="6933" max="6933" width="18" style="201" customWidth="1"/>
    <col min="6934" max="6934" width="36.42578125" style="201" customWidth="1"/>
    <col min="6935" max="6935" width="2.42578125" style="201" customWidth="1"/>
    <col min="6936" max="6936" width="2.28515625" style="201" customWidth="1"/>
    <col min="6937" max="6937" width="1.28515625" style="201" customWidth="1"/>
    <col min="6938" max="6938" width="8.28515625" style="201" customWidth="1"/>
    <col min="6939" max="7172" width="0" style="201" hidden="1"/>
    <col min="7173" max="7173" width="6" style="201" customWidth="1"/>
    <col min="7174" max="7174" width="56.42578125" style="201" customWidth="1"/>
    <col min="7175" max="7188" width="13.42578125" style="201" customWidth="1"/>
    <col min="7189" max="7189" width="18" style="201" customWidth="1"/>
    <col min="7190" max="7190" width="36.42578125" style="201" customWidth="1"/>
    <col min="7191" max="7191" width="2.42578125" style="201" customWidth="1"/>
    <col min="7192" max="7192" width="2.28515625" style="201" customWidth="1"/>
    <col min="7193" max="7193" width="1.28515625" style="201" customWidth="1"/>
    <col min="7194" max="7194" width="8.28515625" style="201" customWidth="1"/>
    <col min="7195" max="7428" width="0" style="201" hidden="1"/>
    <col min="7429" max="7429" width="6" style="201" customWidth="1"/>
    <col min="7430" max="7430" width="56.42578125" style="201" customWidth="1"/>
    <col min="7431" max="7444" width="13.42578125" style="201" customWidth="1"/>
    <col min="7445" max="7445" width="18" style="201" customWidth="1"/>
    <col min="7446" max="7446" width="36.42578125" style="201" customWidth="1"/>
    <col min="7447" max="7447" width="2.42578125" style="201" customWidth="1"/>
    <col min="7448" max="7448" width="2.28515625" style="201" customWidth="1"/>
    <col min="7449" max="7449" width="1.28515625" style="201" customWidth="1"/>
    <col min="7450" max="7450" width="8.28515625" style="201" customWidth="1"/>
    <col min="7451" max="7684" width="0" style="201" hidden="1"/>
    <col min="7685" max="7685" width="6" style="201" customWidth="1"/>
    <col min="7686" max="7686" width="56.42578125" style="201" customWidth="1"/>
    <col min="7687" max="7700" width="13.42578125" style="201" customWidth="1"/>
    <col min="7701" max="7701" width="18" style="201" customWidth="1"/>
    <col min="7702" max="7702" width="36.42578125" style="201" customWidth="1"/>
    <col min="7703" max="7703" width="2.42578125" style="201" customWidth="1"/>
    <col min="7704" max="7704" width="2.28515625" style="201" customWidth="1"/>
    <col min="7705" max="7705" width="1.28515625" style="201" customWidth="1"/>
    <col min="7706" max="7706" width="8.28515625" style="201" customWidth="1"/>
    <col min="7707" max="7940" width="0" style="201" hidden="1"/>
    <col min="7941" max="7941" width="6" style="201" customWidth="1"/>
    <col min="7942" max="7942" width="56.42578125" style="201" customWidth="1"/>
    <col min="7943" max="7956" width="13.42578125" style="201" customWidth="1"/>
    <col min="7957" max="7957" width="18" style="201" customWidth="1"/>
    <col min="7958" max="7958" width="36.42578125" style="201" customWidth="1"/>
    <col min="7959" max="7959" width="2.42578125" style="201" customWidth="1"/>
    <col min="7960" max="7960" width="2.28515625" style="201" customWidth="1"/>
    <col min="7961" max="7961" width="1.28515625" style="201" customWidth="1"/>
    <col min="7962" max="7962" width="8.28515625" style="201" customWidth="1"/>
    <col min="7963" max="8196" width="0" style="201" hidden="1"/>
    <col min="8197" max="8197" width="6" style="201" customWidth="1"/>
    <col min="8198" max="8198" width="56.42578125" style="201" customWidth="1"/>
    <col min="8199" max="8212" width="13.42578125" style="201" customWidth="1"/>
    <col min="8213" max="8213" width="18" style="201" customWidth="1"/>
    <col min="8214" max="8214" width="36.42578125" style="201" customWidth="1"/>
    <col min="8215" max="8215" width="2.42578125" style="201" customWidth="1"/>
    <col min="8216" max="8216" width="2.28515625" style="201" customWidth="1"/>
    <col min="8217" max="8217" width="1.28515625" style="201" customWidth="1"/>
    <col min="8218" max="8218" width="8.28515625" style="201" customWidth="1"/>
    <col min="8219" max="8452" width="0" style="201" hidden="1"/>
    <col min="8453" max="8453" width="6" style="201" customWidth="1"/>
    <col min="8454" max="8454" width="56.42578125" style="201" customWidth="1"/>
    <col min="8455" max="8468" width="13.42578125" style="201" customWidth="1"/>
    <col min="8469" max="8469" width="18" style="201" customWidth="1"/>
    <col min="8470" max="8470" width="36.42578125" style="201" customWidth="1"/>
    <col min="8471" max="8471" width="2.42578125" style="201" customWidth="1"/>
    <col min="8472" max="8472" width="2.28515625" style="201" customWidth="1"/>
    <col min="8473" max="8473" width="1.28515625" style="201" customWidth="1"/>
    <col min="8474" max="8474" width="8.28515625" style="201" customWidth="1"/>
    <col min="8475" max="8708" width="0" style="201" hidden="1"/>
    <col min="8709" max="8709" width="6" style="201" customWidth="1"/>
    <col min="8710" max="8710" width="56.42578125" style="201" customWidth="1"/>
    <col min="8711" max="8724" width="13.42578125" style="201" customWidth="1"/>
    <col min="8725" max="8725" width="18" style="201" customWidth="1"/>
    <col min="8726" max="8726" width="36.42578125" style="201" customWidth="1"/>
    <col min="8727" max="8727" width="2.42578125" style="201" customWidth="1"/>
    <col min="8728" max="8728" width="2.28515625" style="201" customWidth="1"/>
    <col min="8729" max="8729" width="1.28515625" style="201" customWidth="1"/>
    <col min="8730" max="8730" width="8.28515625" style="201" customWidth="1"/>
    <col min="8731" max="8964" width="0" style="201" hidden="1"/>
    <col min="8965" max="8965" width="6" style="201" customWidth="1"/>
    <col min="8966" max="8966" width="56.42578125" style="201" customWidth="1"/>
    <col min="8967" max="8980" width="13.42578125" style="201" customWidth="1"/>
    <col min="8981" max="8981" width="18" style="201" customWidth="1"/>
    <col min="8982" max="8982" width="36.42578125" style="201" customWidth="1"/>
    <col min="8983" max="8983" width="2.42578125" style="201" customWidth="1"/>
    <col min="8984" max="8984" width="2.28515625" style="201" customWidth="1"/>
    <col min="8985" max="8985" width="1.28515625" style="201" customWidth="1"/>
    <col min="8986" max="8986" width="8.28515625" style="201" customWidth="1"/>
    <col min="8987" max="9220" width="0" style="201" hidden="1"/>
    <col min="9221" max="9221" width="6" style="201" customWidth="1"/>
    <col min="9222" max="9222" width="56.42578125" style="201" customWidth="1"/>
    <col min="9223" max="9236" width="13.42578125" style="201" customWidth="1"/>
    <col min="9237" max="9237" width="18" style="201" customWidth="1"/>
    <col min="9238" max="9238" width="36.42578125" style="201" customWidth="1"/>
    <col min="9239" max="9239" width="2.42578125" style="201" customWidth="1"/>
    <col min="9240" max="9240" width="2.28515625" style="201" customWidth="1"/>
    <col min="9241" max="9241" width="1.28515625" style="201" customWidth="1"/>
    <col min="9242" max="9242" width="8.28515625" style="201" customWidth="1"/>
    <col min="9243" max="9476" width="0" style="201" hidden="1"/>
    <col min="9477" max="9477" width="6" style="201" customWidth="1"/>
    <col min="9478" max="9478" width="56.42578125" style="201" customWidth="1"/>
    <col min="9479" max="9492" width="13.42578125" style="201" customWidth="1"/>
    <col min="9493" max="9493" width="18" style="201" customWidth="1"/>
    <col min="9494" max="9494" width="36.42578125" style="201" customWidth="1"/>
    <col min="9495" max="9495" width="2.42578125" style="201" customWidth="1"/>
    <col min="9496" max="9496" width="2.28515625" style="201" customWidth="1"/>
    <col min="9497" max="9497" width="1.28515625" style="201" customWidth="1"/>
    <col min="9498" max="9498" width="8.28515625" style="201" customWidth="1"/>
    <col min="9499" max="9732" width="0" style="201" hidden="1"/>
    <col min="9733" max="9733" width="6" style="201" customWidth="1"/>
    <col min="9734" max="9734" width="56.42578125" style="201" customWidth="1"/>
    <col min="9735" max="9748" width="13.42578125" style="201" customWidth="1"/>
    <col min="9749" max="9749" width="18" style="201" customWidth="1"/>
    <col min="9750" max="9750" width="36.42578125" style="201" customWidth="1"/>
    <col min="9751" max="9751" width="2.42578125" style="201" customWidth="1"/>
    <col min="9752" max="9752" width="2.28515625" style="201" customWidth="1"/>
    <col min="9753" max="9753" width="1.28515625" style="201" customWidth="1"/>
    <col min="9754" max="9754" width="8.28515625" style="201" customWidth="1"/>
    <col min="9755" max="9988" width="0" style="201" hidden="1"/>
    <col min="9989" max="9989" width="6" style="201" customWidth="1"/>
    <col min="9990" max="9990" width="56.42578125" style="201" customWidth="1"/>
    <col min="9991" max="10004" width="13.42578125" style="201" customWidth="1"/>
    <col min="10005" max="10005" width="18" style="201" customWidth="1"/>
    <col min="10006" max="10006" width="36.42578125" style="201" customWidth="1"/>
    <col min="10007" max="10007" width="2.42578125" style="201" customWidth="1"/>
    <col min="10008" max="10008" width="2.28515625" style="201" customWidth="1"/>
    <col min="10009" max="10009" width="1.28515625" style="201" customWidth="1"/>
    <col min="10010" max="10010" width="8.28515625" style="201" customWidth="1"/>
    <col min="10011" max="10244" width="0" style="201" hidden="1"/>
    <col min="10245" max="10245" width="6" style="201" customWidth="1"/>
    <col min="10246" max="10246" width="56.42578125" style="201" customWidth="1"/>
    <col min="10247" max="10260" width="13.42578125" style="201" customWidth="1"/>
    <col min="10261" max="10261" width="18" style="201" customWidth="1"/>
    <col min="10262" max="10262" width="36.42578125" style="201" customWidth="1"/>
    <col min="10263" max="10263" width="2.42578125" style="201" customWidth="1"/>
    <col min="10264" max="10264" width="2.28515625" style="201" customWidth="1"/>
    <col min="10265" max="10265" width="1.28515625" style="201" customWidth="1"/>
    <col min="10266" max="10266" width="8.28515625" style="201" customWidth="1"/>
    <col min="10267" max="10500" width="0" style="201" hidden="1"/>
    <col min="10501" max="10501" width="6" style="201" customWidth="1"/>
    <col min="10502" max="10502" width="56.42578125" style="201" customWidth="1"/>
    <col min="10503" max="10516" width="13.42578125" style="201" customWidth="1"/>
    <col min="10517" max="10517" width="18" style="201" customWidth="1"/>
    <col min="10518" max="10518" width="36.42578125" style="201" customWidth="1"/>
    <col min="10519" max="10519" width="2.42578125" style="201" customWidth="1"/>
    <col min="10520" max="10520" width="2.28515625" style="201" customWidth="1"/>
    <col min="10521" max="10521" width="1.28515625" style="201" customWidth="1"/>
    <col min="10522" max="10522" width="8.28515625" style="201" customWidth="1"/>
    <col min="10523" max="10756" width="0" style="201" hidden="1"/>
    <col min="10757" max="10757" width="6" style="201" customWidth="1"/>
    <col min="10758" max="10758" width="56.42578125" style="201" customWidth="1"/>
    <col min="10759" max="10772" width="13.42578125" style="201" customWidth="1"/>
    <col min="10773" max="10773" width="18" style="201" customWidth="1"/>
    <col min="10774" max="10774" width="36.42578125" style="201" customWidth="1"/>
    <col min="10775" max="10775" width="2.42578125" style="201" customWidth="1"/>
    <col min="10776" max="10776" width="2.28515625" style="201" customWidth="1"/>
    <col min="10777" max="10777" width="1.28515625" style="201" customWidth="1"/>
    <col min="10778" max="10778" width="8.28515625" style="201" customWidth="1"/>
    <col min="10779" max="11012" width="0" style="201" hidden="1"/>
    <col min="11013" max="11013" width="6" style="201" customWidth="1"/>
    <col min="11014" max="11014" width="56.42578125" style="201" customWidth="1"/>
    <col min="11015" max="11028" width="13.42578125" style="201" customWidth="1"/>
    <col min="11029" max="11029" width="18" style="201" customWidth="1"/>
    <col min="11030" max="11030" width="36.42578125" style="201" customWidth="1"/>
    <col min="11031" max="11031" width="2.42578125" style="201" customWidth="1"/>
    <col min="11032" max="11032" width="2.28515625" style="201" customWidth="1"/>
    <col min="11033" max="11033" width="1.28515625" style="201" customWidth="1"/>
    <col min="11034" max="11034" width="8.28515625" style="201" customWidth="1"/>
    <col min="11035" max="11268" width="0" style="201" hidden="1"/>
    <col min="11269" max="11269" width="6" style="201" customWidth="1"/>
    <col min="11270" max="11270" width="56.42578125" style="201" customWidth="1"/>
    <col min="11271" max="11284" width="13.42578125" style="201" customWidth="1"/>
    <col min="11285" max="11285" width="18" style="201" customWidth="1"/>
    <col min="11286" max="11286" width="36.42578125" style="201" customWidth="1"/>
    <col min="11287" max="11287" width="2.42578125" style="201" customWidth="1"/>
    <col min="11288" max="11288" width="2.28515625" style="201" customWidth="1"/>
    <col min="11289" max="11289" width="1.28515625" style="201" customWidth="1"/>
    <col min="11290" max="11290" width="8.28515625" style="201" customWidth="1"/>
    <col min="11291" max="11524" width="0" style="201" hidden="1"/>
    <col min="11525" max="11525" width="6" style="201" customWidth="1"/>
    <col min="11526" max="11526" width="56.42578125" style="201" customWidth="1"/>
    <col min="11527" max="11540" width="13.42578125" style="201" customWidth="1"/>
    <col min="11541" max="11541" width="18" style="201" customWidth="1"/>
    <col min="11542" max="11542" width="36.42578125" style="201" customWidth="1"/>
    <col min="11543" max="11543" width="2.42578125" style="201" customWidth="1"/>
    <col min="11544" max="11544" width="2.28515625" style="201" customWidth="1"/>
    <col min="11545" max="11545" width="1.28515625" style="201" customWidth="1"/>
    <col min="11546" max="11546" width="8.28515625" style="201" customWidth="1"/>
    <col min="11547" max="11780" width="0" style="201" hidden="1"/>
    <col min="11781" max="11781" width="6" style="201" customWidth="1"/>
    <col min="11782" max="11782" width="56.42578125" style="201" customWidth="1"/>
    <col min="11783" max="11796" width="13.42578125" style="201" customWidth="1"/>
    <col min="11797" max="11797" width="18" style="201" customWidth="1"/>
    <col min="11798" max="11798" width="36.42578125" style="201" customWidth="1"/>
    <col min="11799" max="11799" width="2.42578125" style="201" customWidth="1"/>
    <col min="11800" max="11800" width="2.28515625" style="201" customWidth="1"/>
    <col min="11801" max="11801" width="1.28515625" style="201" customWidth="1"/>
    <col min="11802" max="11802" width="8.28515625" style="201" customWidth="1"/>
    <col min="11803" max="12036" width="0" style="201" hidden="1"/>
    <col min="12037" max="12037" width="6" style="201" customWidth="1"/>
    <col min="12038" max="12038" width="56.42578125" style="201" customWidth="1"/>
    <col min="12039" max="12052" width="13.42578125" style="201" customWidth="1"/>
    <col min="12053" max="12053" width="18" style="201" customWidth="1"/>
    <col min="12054" max="12054" width="36.42578125" style="201" customWidth="1"/>
    <col min="12055" max="12055" width="2.42578125" style="201" customWidth="1"/>
    <col min="12056" max="12056" width="2.28515625" style="201" customWidth="1"/>
    <col min="12057" max="12057" width="1.28515625" style="201" customWidth="1"/>
    <col min="12058" max="12058" width="8.28515625" style="201" customWidth="1"/>
    <col min="12059" max="12292" width="0" style="201" hidden="1"/>
    <col min="12293" max="12293" width="6" style="201" customWidth="1"/>
    <col min="12294" max="12294" width="56.42578125" style="201" customWidth="1"/>
    <col min="12295" max="12308" width="13.42578125" style="201" customWidth="1"/>
    <col min="12309" max="12309" width="18" style="201" customWidth="1"/>
    <col min="12310" max="12310" width="36.42578125" style="201" customWidth="1"/>
    <col min="12311" max="12311" width="2.42578125" style="201" customWidth="1"/>
    <col min="12312" max="12312" width="2.28515625" style="201" customWidth="1"/>
    <col min="12313" max="12313" width="1.28515625" style="201" customWidth="1"/>
    <col min="12314" max="12314" width="8.28515625" style="201" customWidth="1"/>
    <col min="12315" max="12548" width="0" style="201" hidden="1"/>
    <col min="12549" max="12549" width="6" style="201" customWidth="1"/>
    <col min="12550" max="12550" width="56.42578125" style="201" customWidth="1"/>
    <col min="12551" max="12564" width="13.42578125" style="201" customWidth="1"/>
    <col min="12565" max="12565" width="18" style="201" customWidth="1"/>
    <col min="12566" max="12566" width="36.42578125" style="201" customWidth="1"/>
    <col min="12567" max="12567" width="2.42578125" style="201" customWidth="1"/>
    <col min="12568" max="12568" width="2.28515625" style="201" customWidth="1"/>
    <col min="12569" max="12569" width="1.28515625" style="201" customWidth="1"/>
    <col min="12570" max="12570" width="8.28515625" style="201" customWidth="1"/>
    <col min="12571" max="12804" width="0" style="201" hidden="1"/>
    <col min="12805" max="12805" width="6" style="201" customWidth="1"/>
    <col min="12806" max="12806" width="56.42578125" style="201" customWidth="1"/>
    <col min="12807" max="12820" width="13.42578125" style="201" customWidth="1"/>
    <col min="12821" max="12821" width="18" style="201" customWidth="1"/>
    <col min="12822" max="12822" width="36.42578125" style="201" customWidth="1"/>
    <col min="12823" max="12823" width="2.42578125" style="201" customWidth="1"/>
    <col min="12824" max="12824" width="2.28515625" style="201" customWidth="1"/>
    <col min="12825" max="12825" width="1.28515625" style="201" customWidth="1"/>
    <col min="12826" max="12826" width="8.28515625" style="201" customWidth="1"/>
    <col min="12827" max="13060" width="0" style="201" hidden="1"/>
    <col min="13061" max="13061" width="6" style="201" customWidth="1"/>
    <col min="13062" max="13062" width="56.42578125" style="201" customWidth="1"/>
    <col min="13063" max="13076" width="13.42578125" style="201" customWidth="1"/>
    <col min="13077" max="13077" width="18" style="201" customWidth="1"/>
    <col min="13078" max="13078" width="36.42578125" style="201" customWidth="1"/>
    <col min="13079" max="13079" width="2.42578125" style="201" customWidth="1"/>
    <col min="13080" max="13080" width="2.28515625" style="201" customWidth="1"/>
    <col min="13081" max="13081" width="1.28515625" style="201" customWidth="1"/>
    <col min="13082" max="13082" width="8.28515625" style="201" customWidth="1"/>
    <col min="13083" max="13316" width="0" style="201" hidden="1"/>
    <col min="13317" max="13317" width="6" style="201" customWidth="1"/>
    <col min="13318" max="13318" width="56.42578125" style="201" customWidth="1"/>
    <col min="13319" max="13332" width="13.42578125" style="201" customWidth="1"/>
    <col min="13333" max="13333" width="18" style="201" customWidth="1"/>
    <col min="13334" max="13334" width="36.42578125" style="201" customWidth="1"/>
    <col min="13335" max="13335" width="2.42578125" style="201" customWidth="1"/>
    <col min="13336" max="13336" width="2.28515625" style="201" customWidth="1"/>
    <col min="13337" max="13337" width="1.28515625" style="201" customWidth="1"/>
    <col min="13338" max="13338" width="8.28515625" style="201" customWidth="1"/>
    <col min="13339" max="13572" width="0" style="201" hidden="1"/>
    <col min="13573" max="13573" width="6" style="201" customWidth="1"/>
    <col min="13574" max="13574" width="56.42578125" style="201" customWidth="1"/>
    <col min="13575" max="13588" width="13.42578125" style="201" customWidth="1"/>
    <col min="13589" max="13589" width="18" style="201" customWidth="1"/>
    <col min="13590" max="13590" width="36.42578125" style="201" customWidth="1"/>
    <col min="13591" max="13591" width="2.42578125" style="201" customWidth="1"/>
    <col min="13592" max="13592" width="2.28515625" style="201" customWidth="1"/>
    <col min="13593" max="13593" width="1.28515625" style="201" customWidth="1"/>
    <col min="13594" max="13594" width="8.28515625" style="201" customWidth="1"/>
    <col min="13595" max="13828" width="0" style="201" hidden="1"/>
    <col min="13829" max="13829" width="6" style="201" customWidth="1"/>
    <col min="13830" max="13830" width="56.42578125" style="201" customWidth="1"/>
    <col min="13831" max="13844" width="13.42578125" style="201" customWidth="1"/>
    <col min="13845" max="13845" width="18" style="201" customWidth="1"/>
    <col min="13846" max="13846" width="36.42578125" style="201" customWidth="1"/>
    <col min="13847" max="13847" width="2.42578125" style="201" customWidth="1"/>
    <col min="13848" max="13848" width="2.28515625" style="201" customWidth="1"/>
    <col min="13849" max="13849" width="1.28515625" style="201" customWidth="1"/>
    <col min="13850" max="13850" width="8.28515625" style="201" customWidth="1"/>
    <col min="13851" max="14084" width="0" style="201" hidden="1"/>
    <col min="14085" max="14085" width="6" style="201" customWidth="1"/>
    <col min="14086" max="14086" width="56.42578125" style="201" customWidth="1"/>
    <col min="14087" max="14100" width="13.42578125" style="201" customWidth="1"/>
    <col min="14101" max="14101" width="18" style="201" customWidth="1"/>
    <col min="14102" max="14102" width="36.42578125" style="201" customWidth="1"/>
    <col min="14103" max="14103" width="2.42578125" style="201" customWidth="1"/>
    <col min="14104" max="14104" width="2.28515625" style="201" customWidth="1"/>
    <col min="14105" max="14105" width="1.28515625" style="201" customWidth="1"/>
    <col min="14106" max="14106" width="8.28515625" style="201" customWidth="1"/>
    <col min="14107" max="14340" width="0" style="201" hidden="1"/>
    <col min="14341" max="14341" width="6" style="201" customWidth="1"/>
    <col min="14342" max="14342" width="56.42578125" style="201" customWidth="1"/>
    <col min="14343" max="14356" width="13.42578125" style="201" customWidth="1"/>
    <col min="14357" max="14357" width="18" style="201" customWidth="1"/>
    <col min="14358" max="14358" width="36.42578125" style="201" customWidth="1"/>
    <col min="14359" max="14359" width="2.42578125" style="201" customWidth="1"/>
    <col min="14360" max="14360" width="2.28515625" style="201" customWidth="1"/>
    <col min="14361" max="14361" width="1.28515625" style="201" customWidth="1"/>
    <col min="14362" max="14362" width="8.28515625" style="201" customWidth="1"/>
    <col min="14363" max="14596" width="0" style="201" hidden="1"/>
    <col min="14597" max="14597" width="6" style="201" customWidth="1"/>
    <col min="14598" max="14598" width="56.42578125" style="201" customWidth="1"/>
    <col min="14599" max="14612" width="13.42578125" style="201" customWidth="1"/>
    <col min="14613" max="14613" width="18" style="201" customWidth="1"/>
    <col min="14614" max="14614" width="36.42578125" style="201" customWidth="1"/>
    <col min="14615" max="14615" width="2.42578125" style="201" customWidth="1"/>
    <col min="14616" max="14616" width="2.28515625" style="201" customWidth="1"/>
    <col min="14617" max="14617" width="1.28515625" style="201" customWidth="1"/>
    <col min="14618" max="14618" width="8.28515625" style="201" customWidth="1"/>
    <col min="14619" max="14852" width="0" style="201" hidden="1"/>
    <col min="14853" max="14853" width="6" style="201" customWidth="1"/>
    <col min="14854" max="14854" width="56.42578125" style="201" customWidth="1"/>
    <col min="14855" max="14868" width="13.42578125" style="201" customWidth="1"/>
    <col min="14869" max="14869" width="18" style="201" customWidth="1"/>
    <col min="14870" max="14870" width="36.42578125" style="201" customWidth="1"/>
    <col min="14871" max="14871" width="2.42578125" style="201" customWidth="1"/>
    <col min="14872" max="14872" width="2.28515625" style="201" customWidth="1"/>
    <col min="14873" max="14873" width="1.28515625" style="201" customWidth="1"/>
    <col min="14874" max="14874" width="8.28515625" style="201" customWidth="1"/>
    <col min="14875" max="15108" width="0" style="201" hidden="1"/>
    <col min="15109" max="15109" width="6" style="201" customWidth="1"/>
    <col min="15110" max="15110" width="56.42578125" style="201" customWidth="1"/>
    <col min="15111" max="15124" width="13.42578125" style="201" customWidth="1"/>
    <col min="15125" max="15125" width="18" style="201" customWidth="1"/>
    <col min="15126" max="15126" width="36.42578125" style="201" customWidth="1"/>
    <col min="15127" max="15127" width="2.42578125" style="201" customWidth="1"/>
    <col min="15128" max="15128" width="2.28515625" style="201" customWidth="1"/>
    <col min="15129" max="15129" width="1.28515625" style="201" customWidth="1"/>
    <col min="15130" max="15130" width="8.28515625" style="201" customWidth="1"/>
    <col min="15131" max="15364" width="0" style="201" hidden="1"/>
    <col min="15365" max="15365" width="6" style="201" customWidth="1"/>
    <col min="15366" max="15366" width="56.42578125" style="201" customWidth="1"/>
    <col min="15367" max="15380" width="13.42578125" style="201" customWidth="1"/>
    <col min="15381" max="15381" width="18" style="201" customWidth="1"/>
    <col min="15382" max="15382" width="36.42578125" style="201" customWidth="1"/>
    <col min="15383" max="15383" width="2.42578125" style="201" customWidth="1"/>
    <col min="15384" max="15384" width="2.28515625" style="201" customWidth="1"/>
    <col min="15385" max="15385" width="1.28515625" style="201" customWidth="1"/>
    <col min="15386" max="15386" width="8.28515625" style="201" customWidth="1"/>
    <col min="15387" max="15620" width="0" style="201" hidden="1"/>
    <col min="15621" max="15621" width="6" style="201" customWidth="1"/>
    <col min="15622" max="15622" width="56.42578125" style="201" customWidth="1"/>
    <col min="15623" max="15636" width="13.42578125" style="201" customWidth="1"/>
    <col min="15637" max="15637" width="18" style="201" customWidth="1"/>
    <col min="15638" max="15638" width="36.42578125" style="201" customWidth="1"/>
    <col min="15639" max="15639" width="2.42578125" style="201" customWidth="1"/>
    <col min="15640" max="15640" width="2.28515625" style="201" customWidth="1"/>
    <col min="15641" max="15641" width="1.28515625" style="201" customWidth="1"/>
    <col min="15642" max="15642" width="8.28515625" style="201" customWidth="1"/>
    <col min="15643" max="15876" width="0" style="201" hidden="1"/>
    <col min="15877" max="15877" width="6" style="201" customWidth="1"/>
    <col min="15878" max="15878" width="56.42578125" style="201" customWidth="1"/>
    <col min="15879" max="15892" width="13.42578125" style="201" customWidth="1"/>
    <col min="15893" max="15893" width="18" style="201" customWidth="1"/>
    <col min="15894" max="15894" width="36.42578125" style="201" customWidth="1"/>
    <col min="15895" max="15895" width="2.42578125" style="201" customWidth="1"/>
    <col min="15896" max="15896" width="2.28515625" style="201" customWidth="1"/>
    <col min="15897" max="15897" width="1.28515625" style="201" customWidth="1"/>
    <col min="15898" max="15898" width="8.28515625" style="201" customWidth="1"/>
    <col min="15899" max="16132" width="0" style="201" hidden="1"/>
    <col min="16133" max="16133" width="6" style="201" customWidth="1"/>
    <col min="16134" max="16134" width="56.42578125" style="201" customWidth="1"/>
    <col min="16135" max="16148" width="13.42578125" style="201" customWidth="1"/>
    <col min="16149" max="16149" width="18" style="201" customWidth="1"/>
    <col min="16150" max="16150" width="36.42578125" style="201" customWidth="1"/>
    <col min="16151" max="16151" width="2.42578125" style="201" customWidth="1"/>
    <col min="16152" max="16152" width="2.28515625" style="201" customWidth="1"/>
    <col min="16153" max="16153" width="1.28515625" style="201" customWidth="1"/>
    <col min="16154" max="16154" width="8.28515625" style="201" customWidth="1"/>
    <col min="16155" max="16384" width="0" style="201" hidden="1"/>
  </cols>
  <sheetData>
    <row r="1" spans="4:26" ht="35.1" customHeight="1"/>
    <row r="2" spans="4:26" ht="35.1" customHeight="1">
      <c r="F2" s="1209"/>
      <c r="G2" s="788"/>
      <c r="H2" s="788"/>
      <c r="I2" s="788"/>
      <c r="J2" s="788"/>
      <c r="K2" s="788"/>
      <c r="L2" s="788"/>
      <c r="M2" s="788"/>
      <c r="N2" s="788"/>
      <c r="O2" s="788"/>
      <c r="P2" s="788"/>
      <c r="Q2" s="788"/>
      <c r="R2" s="788"/>
      <c r="S2" s="788"/>
      <c r="T2" s="788"/>
      <c r="U2" s="788"/>
      <c r="V2" s="788"/>
      <c r="W2" s="788"/>
      <c r="X2" s="788"/>
      <c r="Y2" s="788"/>
    </row>
    <row r="3" spans="4:26" s="202" customFormat="1" ht="35.1" customHeight="1">
      <c r="D3" s="5216" t="s">
        <v>2010</v>
      </c>
      <c r="E3" s="5216"/>
      <c r="F3" s="5216"/>
      <c r="G3" s="5216"/>
      <c r="H3" s="5216"/>
      <c r="I3" s="5216"/>
      <c r="J3" s="5216"/>
      <c r="K3" s="5216"/>
      <c r="L3" s="5216"/>
      <c r="M3" s="5216"/>
      <c r="N3" s="5216"/>
      <c r="O3" s="5216" t="s">
        <v>2011</v>
      </c>
      <c r="P3" s="5216"/>
      <c r="Q3" s="5216"/>
      <c r="R3" s="5216"/>
      <c r="S3" s="5216"/>
      <c r="T3" s="5216"/>
      <c r="U3" s="5216"/>
      <c r="V3" s="5216"/>
      <c r="W3" s="5216"/>
      <c r="X3" s="5216"/>
      <c r="Y3" s="5216"/>
      <c r="Z3" s="789"/>
    </row>
    <row r="4" spans="4:26" s="254" customFormat="1" ht="35.1" customHeight="1">
      <c r="D4" s="5217" t="s">
        <v>1937</v>
      </c>
      <c r="E4" s="5217"/>
      <c r="F4" s="5217"/>
      <c r="G4" s="5217"/>
      <c r="H4" s="5217"/>
      <c r="I4" s="5217"/>
      <c r="J4" s="5217"/>
      <c r="K4" s="5217"/>
      <c r="L4" s="5217"/>
      <c r="M4" s="5217"/>
      <c r="N4" s="5217"/>
      <c r="O4" s="5217" t="s">
        <v>2012</v>
      </c>
      <c r="P4" s="5217"/>
      <c r="Q4" s="5217"/>
      <c r="R4" s="5217"/>
      <c r="S4" s="5217"/>
      <c r="T4" s="5217"/>
      <c r="U4" s="5217"/>
      <c r="V4" s="5217"/>
      <c r="W4" s="5217"/>
      <c r="X4" s="5217"/>
      <c r="Y4" s="5217"/>
      <c r="Z4" s="790"/>
    </row>
    <row r="5" spans="4:26" s="794" customFormat="1" ht="21.2" customHeight="1">
      <c r="D5" s="791"/>
      <c r="E5" s="1535"/>
      <c r="F5" s="1210"/>
      <c r="G5" s="792"/>
      <c r="H5" s="792"/>
      <c r="I5" s="792"/>
      <c r="J5" s="792"/>
      <c r="K5" s="792"/>
      <c r="L5" s="792"/>
      <c r="M5" s="792"/>
      <c r="N5" s="792"/>
      <c r="O5" s="792"/>
      <c r="P5" s="792"/>
      <c r="Q5" s="793"/>
      <c r="R5" s="793"/>
      <c r="S5" s="793"/>
      <c r="T5" s="793"/>
      <c r="U5" s="793"/>
      <c r="V5" s="5218" t="s">
        <v>2013</v>
      </c>
      <c r="W5" s="5218"/>
      <c r="X5" s="5218"/>
      <c r="Y5" s="5218"/>
    </row>
    <row r="6" spans="4:26" s="203" customFormat="1" ht="6" customHeight="1">
      <c r="D6" s="204"/>
      <c r="E6" s="1185"/>
      <c r="F6" s="1210"/>
      <c r="G6" s="792"/>
      <c r="H6" s="792"/>
      <c r="I6" s="792"/>
      <c r="J6" s="792"/>
      <c r="K6" s="792"/>
      <c r="L6" s="792"/>
      <c r="M6" s="792"/>
      <c r="N6" s="792"/>
      <c r="O6" s="792"/>
      <c r="P6" s="792"/>
      <c r="Q6" s="795"/>
      <c r="R6" s="795"/>
      <c r="S6" s="795"/>
      <c r="T6" s="795"/>
      <c r="U6" s="795"/>
      <c r="V6" s="795"/>
      <c r="W6" s="795"/>
      <c r="X6" s="796"/>
      <c r="Y6" s="796"/>
    </row>
    <row r="7" spans="4:26" ht="30" customHeight="1">
      <c r="D7" s="5207" t="s">
        <v>693</v>
      </c>
      <c r="E7" s="5213" t="s">
        <v>2615</v>
      </c>
      <c r="F7" s="5213" t="s">
        <v>2565</v>
      </c>
      <c r="G7" s="5210" t="s">
        <v>2014</v>
      </c>
      <c r="H7" s="5210">
        <v>2012</v>
      </c>
      <c r="I7" s="5210">
        <v>2011</v>
      </c>
      <c r="J7" s="5210">
        <v>2010</v>
      </c>
      <c r="K7" s="5210">
        <v>2009</v>
      </c>
      <c r="L7" s="5210">
        <v>2008</v>
      </c>
      <c r="M7" s="5210">
        <v>2007</v>
      </c>
      <c r="N7" s="5210">
        <v>2006</v>
      </c>
      <c r="O7" s="5234">
        <v>2005</v>
      </c>
      <c r="P7" s="5210">
        <v>2004</v>
      </c>
      <c r="Q7" s="5210">
        <v>2003</v>
      </c>
      <c r="R7" s="5210">
        <v>2002</v>
      </c>
      <c r="S7" s="5210">
        <v>2001</v>
      </c>
      <c r="T7" s="5210">
        <v>2000</v>
      </c>
      <c r="U7" s="797"/>
      <c r="V7" s="5210" t="s">
        <v>1938</v>
      </c>
      <c r="W7" s="5210"/>
      <c r="X7" s="5210"/>
      <c r="Y7" s="5231"/>
    </row>
    <row r="8" spans="4:26" ht="30" customHeight="1">
      <c r="D8" s="5208"/>
      <c r="E8" s="5214"/>
      <c r="F8" s="5214"/>
      <c r="G8" s="5211"/>
      <c r="H8" s="5211"/>
      <c r="I8" s="5211"/>
      <c r="J8" s="5211"/>
      <c r="K8" s="5211"/>
      <c r="L8" s="5211"/>
      <c r="M8" s="5211"/>
      <c r="N8" s="5211"/>
      <c r="O8" s="5235"/>
      <c r="P8" s="5211"/>
      <c r="Q8" s="5211"/>
      <c r="R8" s="5211"/>
      <c r="S8" s="5211"/>
      <c r="T8" s="5211"/>
      <c r="U8" s="798" t="s">
        <v>2015</v>
      </c>
      <c r="V8" s="5211"/>
      <c r="W8" s="5211"/>
      <c r="X8" s="5211"/>
      <c r="Y8" s="5232"/>
    </row>
    <row r="9" spans="4:26" ht="30" customHeight="1">
      <c r="D9" s="5208"/>
      <c r="E9" s="5214"/>
      <c r="F9" s="5214"/>
      <c r="G9" s="5211"/>
      <c r="H9" s="5211"/>
      <c r="I9" s="5211"/>
      <c r="J9" s="5211"/>
      <c r="K9" s="5211"/>
      <c r="L9" s="5211"/>
      <c r="M9" s="5211"/>
      <c r="N9" s="5211"/>
      <c r="O9" s="5235"/>
      <c r="P9" s="5211"/>
      <c r="Q9" s="5211"/>
      <c r="R9" s="5211"/>
      <c r="S9" s="5211"/>
      <c r="T9" s="5211"/>
      <c r="U9" s="798" t="s">
        <v>1939</v>
      </c>
      <c r="V9" s="5211"/>
      <c r="W9" s="5211"/>
      <c r="X9" s="5211"/>
      <c r="Y9" s="5232"/>
    </row>
    <row r="10" spans="4:26" ht="30" customHeight="1">
      <c r="D10" s="5208"/>
      <c r="E10" s="5214"/>
      <c r="F10" s="5214"/>
      <c r="G10" s="5211"/>
      <c r="H10" s="5211"/>
      <c r="I10" s="5211"/>
      <c r="J10" s="5211"/>
      <c r="K10" s="5211"/>
      <c r="L10" s="5211"/>
      <c r="M10" s="5211"/>
      <c r="N10" s="5211"/>
      <c r="O10" s="5235"/>
      <c r="P10" s="5211"/>
      <c r="Q10" s="5211"/>
      <c r="R10" s="5211"/>
      <c r="S10" s="5211"/>
      <c r="T10" s="5211"/>
      <c r="U10" s="798"/>
      <c r="V10" s="5211"/>
      <c r="W10" s="5211"/>
      <c r="X10" s="5211"/>
      <c r="Y10" s="5232"/>
    </row>
    <row r="11" spans="4:26" ht="30" customHeight="1">
      <c r="D11" s="5208"/>
      <c r="E11" s="5214"/>
      <c r="F11" s="5214"/>
      <c r="G11" s="5211"/>
      <c r="H11" s="5211"/>
      <c r="I11" s="5211"/>
      <c r="J11" s="5211"/>
      <c r="K11" s="5211"/>
      <c r="L11" s="5211"/>
      <c r="M11" s="5211"/>
      <c r="N11" s="5211"/>
      <c r="O11" s="5235"/>
      <c r="P11" s="5211"/>
      <c r="Q11" s="5211"/>
      <c r="R11" s="5211"/>
      <c r="S11" s="5211"/>
      <c r="T11" s="5211"/>
      <c r="U11" s="799" t="s">
        <v>1940</v>
      </c>
      <c r="V11" s="5211"/>
      <c r="W11" s="5211"/>
      <c r="X11" s="5211"/>
      <c r="Y11" s="5232"/>
    </row>
    <row r="12" spans="4:26" ht="32.25" customHeight="1">
      <c r="D12" s="5209"/>
      <c r="E12" s="5215"/>
      <c r="F12" s="5215"/>
      <c r="G12" s="5212"/>
      <c r="H12" s="5212"/>
      <c r="I12" s="5212"/>
      <c r="J12" s="5212"/>
      <c r="K12" s="5212"/>
      <c r="L12" s="5212"/>
      <c r="M12" s="5212"/>
      <c r="N12" s="5212"/>
      <c r="O12" s="5236"/>
      <c r="P12" s="5212"/>
      <c r="Q12" s="5212"/>
      <c r="R12" s="5212"/>
      <c r="S12" s="5212"/>
      <c r="T12" s="5212"/>
      <c r="U12" s="799" t="s">
        <v>1941</v>
      </c>
      <c r="V12" s="5212"/>
      <c r="W12" s="5212"/>
      <c r="X12" s="5212"/>
      <c r="Y12" s="5233"/>
    </row>
    <row r="13" spans="4:26" ht="39.950000000000003" customHeight="1">
      <c r="D13" s="800" t="s">
        <v>1943</v>
      </c>
      <c r="E13" s="1211">
        <v>153.83827941503992</v>
      </c>
      <c r="F13" s="1211">
        <v>154</v>
      </c>
      <c r="G13" s="801">
        <v>151.4</v>
      </c>
      <c r="H13" s="801">
        <v>148.30000000000001</v>
      </c>
      <c r="I13" s="801">
        <v>148.6</v>
      </c>
      <c r="J13" s="801">
        <v>149.70749791657684</v>
      </c>
      <c r="K13" s="801">
        <v>154.30960936447997</v>
      </c>
      <c r="L13" s="801">
        <v>156.1</v>
      </c>
      <c r="M13" s="801">
        <v>153.92037537588155</v>
      </c>
      <c r="N13" s="802">
        <v>150.80000000000001</v>
      </c>
      <c r="O13" s="803">
        <v>143.5</v>
      </c>
      <c r="P13" s="801">
        <v>130.1</v>
      </c>
      <c r="Q13" s="804">
        <v>116.1939514922182</v>
      </c>
      <c r="R13" s="804">
        <v>127.61619056781254</v>
      </c>
      <c r="S13" s="804">
        <v>120.12607245168462</v>
      </c>
      <c r="T13" s="804">
        <v>107.09886084744313</v>
      </c>
      <c r="U13" s="805">
        <f>U14+U19</f>
        <v>93.552000000000007</v>
      </c>
      <c r="V13" s="806"/>
      <c r="W13" s="807"/>
      <c r="X13" s="808"/>
      <c r="Y13" s="809" t="s">
        <v>2016</v>
      </c>
    </row>
    <row r="14" spans="4:26" ht="39.950000000000003" customHeight="1">
      <c r="D14" s="810" t="s">
        <v>2017</v>
      </c>
      <c r="E14" s="1212">
        <v>126.95280560474993</v>
      </c>
      <c r="F14" s="1212">
        <v>114</v>
      </c>
      <c r="G14" s="811">
        <v>88.9</v>
      </c>
      <c r="H14" s="811">
        <v>100.4</v>
      </c>
      <c r="I14" s="811">
        <v>120.82932499017562</v>
      </c>
      <c r="J14" s="811">
        <v>103.73413938514553</v>
      </c>
      <c r="K14" s="811">
        <v>74.251888546295433</v>
      </c>
      <c r="L14" s="811">
        <v>104.06022520480035</v>
      </c>
      <c r="M14" s="811">
        <v>93.892355128321398</v>
      </c>
      <c r="N14" s="812">
        <v>95.2</v>
      </c>
      <c r="O14" s="813">
        <v>103.8</v>
      </c>
      <c r="P14" s="811">
        <v>105.1</v>
      </c>
      <c r="Q14" s="813">
        <v>109.26180012696109</v>
      </c>
      <c r="R14" s="813">
        <v>111.56717511562528</v>
      </c>
      <c r="S14" s="813">
        <v>103.95144826335357</v>
      </c>
      <c r="T14" s="813">
        <v>101.71305522807653</v>
      </c>
      <c r="U14" s="814">
        <f>U15+U16+U17+U18</f>
        <v>11.027000000000001</v>
      </c>
      <c r="V14" s="815"/>
      <c r="W14" s="816"/>
      <c r="X14" s="816" t="s">
        <v>2018</v>
      </c>
      <c r="Y14" s="817"/>
    </row>
    <row r="15" spans="4:26" ht="39.950000000000003" customHeight="1">
      <c r="D15" s="818" t="s">
        <v>2019</v>
      </c>
      <c r="E15" s="1213">
        <v>47.940789166433973</v>
      </c>
      <c r="F15" s="1213">
        <v>49.7</v>
      </c>
      <c r="G15" s="819">
        <v>58.9</v>
      </c>
      <c r="H15" s="819">
        <v>63.8</v>
      </c>
      <c r="I15" s="819">
        <v>70.683333333333337</v>
      </c>
      <c r="J15" s="819">
        <v>77.725000000000009</v>
      </c>
      <c r="K15" s="819">
        <v>86.189166666666665</v>
      </c>
      <c r="L15" s="819">
        <v>80.022500000000008</v>
      </c>
      <c r="M15" s="819">
        <v>85.458333333333329</v>
      </c>
      <c r="N15" s="820">
        <v>97.8</v>
      </c>
      <c r="O15" s="821">
        <v>94.3</v>
      </c>
      <c r="P15" s="819">
        <v>114.6</v>
      </c>
      <c r="Q15" s="821">
        <v>112.39</v>
      </c>
      <c r="R15" s="821">
        <v>99.76</v>
      </c>
      <c r="S15" s="821">
        <v>100.36</v>
      </c>
      <c r="T15" s="821">
        <v>112.05</v>
      </c>
      <c r="U15" s="822">
        <v>0.35699999999999998</v>
      </c>
      <c r="V15" s="823"/>
      <c r="W15" s="824" t="s">
        <v>2020</v>
      </c>
      <c r="X15" s="824"/>
      <c r="Y15" s="825"/>
    </row>
    <row r="16" spans="4:26" ht="39.950000000000003" customHeight="1">
      <c r="D16" s="826" t="s">
        <v>2021</v>
      </c>
      <c r="E16" s="1214">
        <v>6.2795732987973878</v>
      </c>
      <c r="F16" s="1214">
        <v>12.2</v>
      </c>
      <c r="G16" s="827">
        <v>16.5</v>
      </c>
      <c r="H16" s="827">
        <v>41.5</v>
      </c>
      <c r="I16" s="827">
        <v>47.916666666666664</v>
      </c>
      <c r="J16" s="827">
        <v>38.033333333333331</v>
      </c>
      <c r="K16" s="827">
        <v>52.501666666666665</v>
      </c>
      <c r="L16" s="827">
        <v>69.99666666666667</v>
      </c>
      <c r="M16" s="827">
        <v>65.24166666666666</v>
      </c>
      <c r="N16" s="828">
        <v>69.2</v>
      </c>
      <c r="O16" s="829">
        <v>108.4</v>
      </c>
      <c r="P16" s="827">
        <v>94.2</v>
      </c>
      <c r="Q16" s="829">
        <v>66.11</v>
      </c>
      <c r="R16" s="829">
        <v>66.92</v>
      </c>
      <c r="S16" s="829">
        <v>137.56</v>
      </c>
      <c r="T16" s="829">
        <v>159.87</v>
      </c>
      <c r="U16" s="830">
        <v>0.39300000000000002</v>
      </c>
      <c r="V16" s="817"/>
      <c r="W16" s="831" t="s">
        <v>2022</v>
      </c>
      <c r="X16" s="831"/>
      <c r="Y16" s="817"/>
    </row>
    <row r="17" spans="4:25" ht="39.950000000000003" customHeight="1">
      <c r="D17" s="832" t="s">
        <v>2023</v>
      </c>
      <c r="E17" s="1213">
        <v>137.41176485065205</v>
      </c>
      <c r="F17" s="1213">
        <v>123.9</v>
      </c>
      <c r="G17" s="819">
        <v>89.4</v>
      </c>
      <c r="H17" s="819">
        <v>106.1</v>
      </c>
      <c r="I17" s="819">
        <v>125.23333333333335</v>
      </c>
      <c r="J17" s="819">
        <v>107.23249999999997</v>
      </c>
      <c r="K17" s="819">
        <v>85.697500000000005</v>
      </c>
      <c r="L17" s="819">
        <v>102.15166666666666</v>
      </c>
      <c r="M17" s="819">
        <v>92.149999999999991</v>
      </c>
      <c r="N17" s="820">
        <v>97.7</v>
      </c>
      <c r="O17" s="821">
        <v>106.1</v>
      </c>
      <c r="P17" s="819">
        <v>103.5</v>
      </c>
      <c r="Q17" s="821">
        <v>112.45</v>
      </c>
      <c r="R17" s="821">
        <v>118.18</v>
      </c>
      <c r="S17" s="821">
        <v>97.16</v>
      </c>
      <c r="T17" s="821">
        <v>91.54</v>
      </c>
      <c r="U17" s="822">
        <v>5.4139999999999997</v>
      </c>
      <c r="V17" s="833"/>
      <c r="W17" s="833" t="s">
        <v>1948</v>
      </c>
      <c r="X17" s="833"/>
      <c r="Y17" s="825"/>
    </row>
    <row r="18" spans="4:25" ht="39.950000000000003" customHeight="1">
      <c r="D18" s="826" t="s">
        <v>2024</v>
      </c>
      <c r="E18" s="1214">
        <v>130.86131163135983</v>
      </c>
      <c r="F18" s="1214">
        <v>115.9</v>
      </c>
      <c r="G18" s="827">
        <v>96.4</v>
      </c>
      <c r="H18" s="827">
        <v>101.6</v>
      </c>
      <c r="I18" s="827">
        <v>125.5</v>
      </c>
      <c r="J18" s="827">
        <v>107.05833333333334</v>
      </c>
      <c r="K18" s="827">
        <v>62.390833333333326</v>
      </c>
      <c r="L18" s="827">
        <v>110.7025</v>
      </c>
      <c r="M18" s="827">
        <v>98.766666666666666</v>
      </c>
      <c r="N18" s="828">
        <v>94.4</v>
      </c>
      <c r="O18" s="829">
        <v>101.6</v>
      </c>
      <c r="P18" s="827">
        <v>107.2</v>
      </c>
      <c r="Q18" s="829">
        <v>108.97</v>
      </c>
      <c r="R18" s="829">
        <v>108.68</v>
      </c>
      <c r="S18" s="829">
        <v>109.06</v>
      </c>
      <c r="T18" s="829">
        <v>107.58</v>
      </c>
      <c r="U18" s="830">
        <v>4.8630000000000004</v>
      </c>
      <c r="V18" s="817"/>
      <c r="W18" s="831" t="s">
        <v>1950</v>
      </c>
      <c r="X18" s="831"/>
      <c r="Y18" s="817"/>
    </row>
    <row r="19" spans="4:25" ht="39.950000000000003" customHeight="1">
      <c r="D19" s="834" t="s">
        <v>2025</v>
      </c>
      <c r="E19" s="1215">
        <v>157.43071952053603</v>
      </c>
      <c r="F19" s="1215">
        <v>159.4</v>
      </c>
      <c r="G19" s="835">
        <v>159.69999999999999</v>
      </c>
      <c r="H19" s="835">
        <v>154.69999999999999</v>
      </c>
      <c r="I19" s="835">
        <v>152.5</v>
      </c>
      <c r="J19" s="835">
        <v>155.85046337584484</v>
      </c>
      <c r="K19" s="835">
        <v>165.00693123618092</v>
      </c>
      <c r="L19" s="835">
        <v>163</v>
      </c>
      <c r="M19" s="835">
        <v>161.94132635158402</v>
      </c>
      <c r="N19" s="836">
        <v>158.19999999999999</v>
      </c>
      <c r="O19" s="804">
        <v>148.80000000000001</v>
      </c>
      <c r="P19" s="835">
        <v>133.5</v>
      </c>
      <c r="Q19" s="804">
        <v>117.12022635564978</v>
      </c>
      <c r="R19" s="804">
        <v>129.69999999999999</v>
      </c>
      <c r="S19" s="804">
        <v>122.28732759769767</v>
      </c>
      <c r="T19" s="804">
        <v>107.8185128142987</v>
      </c>
      <c r="U19" s="837">
        <f>U20+U21+U22+U23+U24+U25+U26+U27+U28+U29+U30+U31+U32+U33+U34+U35+U36+U37+U38+U39++U40+U41+U42+U44+U45+U46+U47</f>
        <v>82.525000000000006</v>
      </c>
      <c r="V19" s="806"/>
      <c r="W19" s="807"/>
      <c r="X19" s="807" t="s">
        <v>2026</v>
      </c>
      <c r="Y19" s="825"/>
    </row>
    <row r="20" spans="4:25" ht="39.950000000000003" customHeight="1">
      <c r="D20" s="826" t="s">
        <v>2027</v>
      </c>
      <c r="E20" s="1214">
        <v>211.57350285896766</v>
      </c>
      <c r="F20" s="1214">
        <v>203.3</v>
      </c>
      <c r="G20" s="827">
        <v>206.4</v>
      </c>
      <c r="H20" s="827">
        <v>196.5</v>
      </c>
      <c r="I20" s="827">
        <v>190.33333333333334</v>
      </c>
      <c r="J20" s="827">
        <v>198.66250000000002</v>
      </c>
      <c r="K20" s="827">
        <v>196.26333333333332</v>
      </c>
      <c r="L20" s="827">
        <v>161.1</v>
      </c>
      <c r="M20" s="827">
        <v>151.94999999999999</v>
      </c>
      <c r="N20" s="828">
        <v>162.19999999999999</v>
      </c>
      <c r="O20" s="829">
        <v>155.1</v>
      </c>
      <c r="P20" s="827">
        <v>130.80000000000001</v>
      </c>
      <c r="Q20" s="829">
        <v>113.17</v>
      </c>
      <c r="R20" s="829">
        <v>139.04</v>
      </c>
      <c r="S20" s="829">
        <v>138.80000000000001</v>
      </c>
      <c r="T20" s="829">
        <v>134.29</v>
      </c>
      <c r="U20" s="830">
        <v>15.396000000000001</v>
      </c>
      <c r="V20" s="817"/>
      <c r="W20" s="831" t="s">
        <v>2028</v>
      </c>
      <c r="X20" s="831"/>
      <c r="Y20" s="817"/>
    </row>
    <row r="21" spans="4:25" ht="39.950000000000003" customHeight="1">
      <c r="D21" s="832" t="s">
        <v>2029</v>
      </c>
      <c r="E21" s="1213">
        <v>448.46852290357987</v>
      </c>
      <c r="F21" s="1213">
        <v>469</v>
      </c>
      <c r="G21" s="819">
        <v>445.3</v>
      </c>
      <c r="H21" s="819">
        <v>343.2</v>
      </c>
      <c r="I21" s="819">
        <v>343.14166666666665</v>
      </c>
      <c r="J21" s="819">
        <v>314.28749999999997</v>
      </c>
      <c r="K21" s="819">
        <v>292.42666666666668</v>
      </c>
      <c r="L21" s="819">
        <v>304.36666666666667</v>
      </c>
      <c r="M21" s="819">
        <v>303.59999999999997</v>
      </c>
      <c r="N21" s="820">
        <v>272.60000000000002</v>
      </c>
      <c r="O21" s="821">
        <v>243.4</v>
      </c>
      <c r="P21" s="819">
        <v>208</v>
      </c>
      <c r="Q21" s="821">
        <v>186.35</v>
      </c>
      <c r="R21" s="821">
        <v>170.72</v>
      </c>
      <c r="S21" s="821">
        <v>193.6</v>
      </c>
      <c r="T21" s="821">
        <v>109.89</v>
      </c>
      <c r="U21" s="822">
        <v>2.4009999999999998</v>
      </c>
      <c r="V21" s="825"/>
      <c r="W21" s="833" t="s">
        <v>2030</v>
      </c>
      <c r="X21" s="833"/>
      <c r="Y21" s="825"/>
    </row>
    <row r="22" spans="4:25" ht="39.950000000000003" customHeight="1">
      <c r="D22" s="826" t="s">
        <v>2031</v>
      </c>
      <c r="E22" s="1214">
        <v>89.837448255114325</v>
      </c>
      <c r="F22" s="1214">
        <v>113.6</v>
      </c>
      <c r="G22" s="827">
        <v>110.5</v>
      </c>
      <c r="H22" s="827">
        <v>129.69999999999999</v>
      </c>
      <c r="I22" s="827">
        <v>142.81552948255117</v>
      </c>
      <c r="J22" s="827">
        <v>117.98399638989169</v>
      </c>
      <c r="K22" s="827">
        <v>117.66802286401928</v>
      </c>
      <c r="L22" s="827">
        <v>115.48946931407943</v>
      </c>
      <c r="M22" s="827">
        <v>116.03143561973526</v>
      </c>
      <c r="N22" s="828">
        <v>117.7</v>
      </c>
      <c r="O22" s="829">
        <v>107.6</v>
      </c>
      <c r="P22" s="827">
        <v>113.2</v>
      </c>
      <c r="Q22" s="829">
        <v>100.7367725631769</v>
      </c>
      <c r="R22" s="829">
        <v>103.33557400722023</v>
      </c>
      <c r="S22" s="829">
        <v>86.966252707581233</v>
      </c>
      <c r="T22" s="829">
        <v>94</v>
      </c>
      <c r="U22" s="830">
        <v>2.77</v>
      </c>
      <c r="V22" s="817"/>
      <c r="W22" s="831" t="s">
        <v>1958</v>
      </c>
      <c r="X22" s="831"/>
      <c r="Y22" s="817"/>
    </row>
    <row r="23" spans="4:25" ht="39.950000000000003" customHeight="1">
      <c r="D23" s="832" t="s">
        <v>2032</v>
      </c>
      <c r="E23" s="1213">
        <v>28.972276358320737</v>
      </c>
      <c r="F23" s="1213">
        <v>21.9</v>
      </c>
      <c r="G23" s="819">
        <v>21.8</v>
      </c>
      <c r="H23" s="819">
        <v>19.399999999999999</v>
      </c>
      <c r="I23" s="819">
        <v>18.116666666666667</v>
      </c>
      <c r="J23" s="819">
        <v>17.891666666666669</v>
      </c>
      <c r="K23" s="819">
        <v>92.077500000000001</v>
      </c>
      <c r="L23" s="819">
        <v>54.982500000000009</v>
      </c>
      <c r="M23" s="819">
        <v>8.7916666666666679</v>
      </c>
      <c r="N23" s="820">
        <v>72.099999999999994</v>
      </c>
      <c r="O23" s="821">
        <v>60.9</v>
      </c>
      <c r="P23" s="819">
        <v>146.6</v>
      </c>
      <c r="Q23" s="821">
        <v>128.22999999999999</v>
      </c>
      <c r="R23" s="821">
        <v>131.77000000000001</v>
      </c>
      <c r="S23" s="821">
        <v>151.97999999999999</v>
      </c>
      <c r="T23" s="821">
        <v>138.28</v>
      </c>
      <c r="U23" s="838">
        <v>0.63600000000000001</v>
      </c>
      <c r="V23" s="825"/>
      <c r="W23" s="824" t="s">
        <v>1960</v>
      </c>
      <c r="X23" s="824"/>
      <c r="Y23" s="825"/>
    </row>
    <row r="24" spans="4:25" ht="39.950000000000003" customHeight="1">
      <c r="D24" s="839" t="s">
        <v>2033</v>
      </c>
      <c r="E24" s="1214">
        <v>183.69227390677938</v>
      </c>
      <c r="F24" s="1214">
        <v>195.6</v>
      </c>
      <c r="G24" s="827">
        <v>188.8</v>
      </c>
      <c r="H24" s="827">
        <v>210.5</v>
      </c>
      <c r="I24" s="827">
        <v>203.95833333333334</v>
      </c>
      <c r="J24" s="827">
        <v>207.78750000000005</v>
      </c>
      <c r="K24" s="827">
        <v>156.27083333333334</v>
      </c>
      <c r="L24" s="827">
        <v>157.64916666666667</v>
      </c>
      <c r="M24" s="827">
        <v>164.04166666666666</v>
      </c>
      <c r="N24" s="828">
        <v>138.30000000000001</v>
      </c>
      <c r="O24" s="829">
        <v>131.69999999999999</v>
      </c>
      <c r="P24" s="827">
        <v>108.7</v>
      </c>
      <c r="Q24" s="829">
        <v>95.6</v>
      </c>
      <c r="R24" s="829">
        <v>81.400000000000006</v>
      </c>
      <c r="S24" s="829">
        <v>98.3</v>
      </c>
      <c r="T24" s="829">
        <v>91.6</v>
      </c>
      <c r="U24" s="830">
        <v>2.024</v>
      </c>
      <c r="V24" s="817"/>
      <c r="W24" s="831" t="s">
        <v>1962</v>
      </c>
      <c r="X24" s="831"/>
      <c r="Y24" s="817"/>
    </row>
    <row r="25" spans="4:25" ht="39.950000000000003" customHeight="1">
      <c r="D25" s="840" t="s">
        <v>2034</v>
      </c>
      <c r="E25" s="1213">
        <v>61.912212207745831</v>
      </c>
      <c r="F25" s="1213">
        <v>60.9</v>
      </c>
      <c r="G25" s="819">
        <v>35.200000000000003</v>
      </c>
      <c r="H25" s="819">
        <v>35.1</v>
      </c>
      <c r="I25" s="819">
        <v>34.783333333333331</v>
      </c>
      <c r="J25" s="819">
        <v>33.216666666666669</v>
      </c>
      <c r="K25" s="819">
        <v>32.19916666666667</v>
      </c>
      <c r="L25" s="819">
        <v>31.735833333333332</v>
      </c>
      <c r="M25" s="819">
        <v>31.441666666666663</v>
      </c>
      <c r="N25" s="820">
        <v>30</v>
      </c>
      <c r="O25" s="821">
        <v>31.4</v>
      </c>
      <c r="P25" s="819">
        <v>69.7</v>
      </c>
      <c r="Q25" s="821">
        <v>44.65</v>
      </c>
      <c r="R25" s="821">
        <v>1388.18</v>
      </c>
      <c r="S25" s="821">
        <v>226.09</v>
      </c>
      <c r="T25" s="821">
        <v>69.8</v>
      </c>
      <c r="U25" s="838">
        <v>0.40400000000000003</v>
      </c>
      <c r="V25" s="825"/>
      <c r="W25" s="824" t="s">
        <v>2035</v>
      </c>
      <c r="X25" s="824"/>
      <c r="Y25" s="825"/>
    </row>
    <row r="26" spans="4:25" ht="39.950000000000003" customHeight="1">
      <c r="D26" s="839" t="s">
        <v>2036</v>
      </c>
      <c r="E26" s="1214">
        <v>67.21474699460245</v>
      </c>
      <c r="F26" s="1214">
        <v>70</v>
      </c>
      <c r="G26" s="827">
        <v>86.4</v>
      </c>
      <c r="H26" s="827">
        <v>108.8</v>
      </c>
      <c r="I26" s="827">
        <v>94.77500000000002</v>
      </c>
      <c r="J26" s="827">
        <v>111.825</v>
      </c>
      <c r="K26" s="827">
        <v>119.91083333333334</v>
      </c>
      <c r="L26" s="827">
        <v>146.34166666666667</v>
      </c>
      <c r="M26" s="827">
        <v>157.14166666666662</v>
      </c>
      <c r="N26" s="828">
        <v>145.4</v>
      </c>
      <c r="O26" s="829">
        <v>137.5</v>
      </c>
      <c r="P26" s="827">
        <v>122.3</v>
      </c>
      <c r="Q26" s="829">
        <v>97.02</v>
      </c>
      <c r="R26" s="829">
        <v>107.71</v>
      </c>
      <c r="S26" s="829">
        <v>110.5</v>
      </c>
      <c r="T26" s="829">
        <v>100.22</v>
      </c>
      <c r="U26" s="830">
        <v>2.859</v>
      </c>
      <c r="V26" s="817"/>
      <c r="W26" s="831" t="s">
        <v>1964</v>
      </c>
      <c r="X26" s="831"/>
      <c r="Y26" s="817"/>
    </row>
    <row r="27" spans="4:25" ht="39.950000000000003" customHeight="1">
      <c r="D27" s="841" t="s">
        <v>2037</v>
      </c>
      <c r="E27" s="1213">
        <v>97.449381018067456</v>
      </c>
      <c r="F27" s="1213">
        <v>110.1</v>
      </c>
      <c r="G27" s="819">
        <v>93.5</v>
      </c>
      <c r="H27" s="819">
        <v>87.5</v>
      </c>
      <c r="I27" s="819">
        <v>100.66166666666665</v>
      </c>
      <c r="J27" s="819">
        <v>107.22916666666667</v>
      </c>
      <c r="K27" s="819">
        <v>98.346666666666678</v>
      </c>
      <c r="L27" s="819">
        <v>104.70583333333336</v>
      </c>
      <c r="M27" s="819">
        <v>104.40833333333332</v>
      </c>
      <c r="N27" s="820">
        <v>116.1</v>
      </c>
      <c r="O27" s="821">
        <v>106.4</v>
      </c>
      <c r="P27" s="819">
        <v>105.3</v>
      </c>
      <c r="Q27" s="821">
        <v>89.66</v>
      </c>
      <c r="R27" s="821">
        <v>97.26</v>
      </c>
      <c r="S27" s="821">
        <v>102.8</v>
      </c>
      <c r="T27" s="821">
        <v>86.43</v>
      </c>
      <c r="U27" s="822">
        <v>10.664999999999999</v>
      </c>
      <c r="V27" s="825"/>
      <c r="W27" s="824" t="s">
        <v>1803</v>
      </c>
      <c r="X27" s="824"/>
      <c r="Y27" s="825"/>
    </row>
    <row r="28" spans="4:25" ht="39.950000000000003" customHeight="1">
      <c r="D28" s="839" t="s">
        <v>2038</v>
      </c>
      <c r="E28" s="1214">
        <v>59.906925005263304</v>
      </c>
      <c r="F28" s="1214">
        <v>62.6</v>
      </c>
      <c r="G28" s="827">
        <v>70.3</v>
      </c>
      <c r="H28" s="827">
        <v>80.7</v>
      </c>
      <c r="I28" s="827">
        <v>77.499999999999986</v>
      </c>
      <c r="J28" s="827">
        <v>86.899999999999991</v>
      </c>
      <c r="K28" s="827">
        <v>87.055833333333339</v>
      </c>
      <c r="L28" s="827">
        <v>91.155833333333348</v>
      </c>
      <c r="M28" s="827">
        <v>118.83333333333333</v>
      </c>
      <c r="N28" s="828">
        <v>120.1</v>
      </c>
      <c r="O28" s="829">
        <v>103.6</v>
      </c>
      <c r="P28" s="827">
        <v>121.3</v>
      </c>
      <c r="Q28" s="829">
        <v>132.44999999999999</v>
      </c>
      <c r="R28" s="829">
        <v>102.7</v>
      </c>
      <c r="S28" s="829">
        <v>103.07</v>
      </c>
      <c r="T28" s="829">
        <v>92.49</v>
      </c>
      <c r="U28" s="830">
        <v>0.53500000000000003</v>
      </c>
      <c r="V28" s="817"/>
      <c r="W28" s="831" t="s">
        <v>2039</v>
      </c>
      <c r="X28" s="831"/>
      <c r="Y28" s="817"/>
    </row>
    <row r="29" spans="4:25" ht="39.950000000000003" customHeight="1">
      <c r="D29" s="841" t="s">
        <v>2040</v>
      </c>
      <c r="E29" s="1213">
        <v>272.90893699738882</v>
      </c>
      <c r="F29" s="1213">
        <v>245.9</v>
      </c>
      <c r="G29" s="819">
        <v>253.1</v>
      </c>
      <c r="H29" s="819">
        <v>271.8</v>
      </c>
      <c r="I29" s="819">
        <v>292.56666666666672</v>
      </c>
      <c r="J29" s="819">
        <v>289.48166666666663</v>
      </c>
      <c r="K29" s="819">
        <v>267.2908333333333</v>
      </c>
      <c r="L29" s="819">
        <v>283.05666666666662</v>
      </c>
      <c r="M29" s="819">
        <v>260.11666666666662</v>
      </c>
      <c r="N29" s="820">
        <v>233.4</v>
      </c>
      <c r="O29" s="821">
        <v>220</v>
      </c>
      <c r="P29" s="819">
        <v>186.3</v>
      </c>
      <c r="Q29" s="821">
        <v>140.46</v>
      </c>
      <c r="R29" s="821">
        <v>134.66</v>
      </c>
      <c r="S29" s="821">
        <v>117.56</v>
      </c>
      <c r="T29" s="821">
        <v>99.85</v>
      </c>
      <c r="U29" s="838">
        <v>1.0660000000000001</v>
      </c>
      <c r="V29" s="825"/>
      <c r="W29" s="824" t="s">
        <v>1967</v>
      </c>
      <c r="X29" s="824"/>
      <c r="Y29" s="825"/>
    </row>
    <row r="30" spans="4:25" ht="39.950000000000003" customHeight="1">
      <c r="D30" s="839" t="s">
        <v>2041</v>
      </c>
      <c r="E30" s="1214">
        <v>218.54374841482513</v>
      </c>
      <c r="F30" s="1214">
        <v>216.2</v>
      </c>
      <c r="G30" s="827">
        <v>222</v>
      </c>
      <c r="H30" s="827">
        <v>215.3</v>
      </c>
      <c r="I30" s="827">
        <v>209.3</v>
      </c>
      <c r="J30" s="827">
        <v>215.25000000000003</v>
      </c>
      <c r="K30" s="827">
        <v>246.4041666666667</v>
      </c>
      <c r="L30" s="827">
        <v>227.1</v>
      </c>
      <c r="M30" s="827">
        <v>201.70000000000002</v>
      </c>
      <c r="N30" s="828">
        <v>174.1</v>
      </c>
      <c r="O30" s="829">
        <v>163.19999999999999</v>
      </c>
      <c r="P30" s="827">
        <v>134.69999999999999</v>
      </c>
      <c r="Q30" s="829">
        <v>123.08</v>
      </c>
      <c r="R30" s="829">
        <v>118.48</v>
      </c>
      <c r="S30" s="829">
        <v>132.76</v>
      </c>
      <c r="T30" s="829">
        <v>108.27</v>
      </c>
      <c r="U30" s="830">
        <v>4.4359999999999999</v>
      </c>
      <c r="V30" s="817"/>
      <c r="W30" s="831" t="s">
        <v>1969</v>
      </c>
      <c r="X30" s="831"/>
      <c r="Y30" s="817"/>
    </row>
    <row r="31" spans="4:25" ht="39.950000000000003" customHeight="1">
      <c r="D31" s="841" t="s">
        <v>2042</v>
      </c>
      <c r="E31" s="1213">
        <v>125.93885516368465</v>
      </c>
      <c r="F31" s="1213">
        <v>131</v>
      </c>
      <c r="G31" s="819">
        <v>256.7</v>
      </c>
      <c r="H31" s="819">
        <v>137.30000000000001</v>
      </c>
      <c r="I31" s="819">
        <v>123.18333333333334</v>
      </c>
      <c r="J31" s="819">
        <v>100.40833333333335</v>
      </c>
      <c r="K31" s="819">
        <v>73.328333333333333</v>
      </c>
      <c r="L31" s="819">
        <v>54.49583333333333</v>
      </c>
      <c r="M31" s="819">
        <v>69.075000000000003</v>
      </c>
      <c r="N31" s="820">
        <v>90.6</v>
      </c>
      <c r="O31" s="821">
        <v>83.9</v>
      </c>
      <c r="P31" s="819">
        <v>888</v>
      </c>
      <c r="Q31" s="821">
        <v>72.91</v>
      </c>
      <c r="R31" s="821">
        <v>100</v>
      </c>
      <c r="S31" s="821">
        <v>76.010000000000005</v>
      </c>
      <c r="T31" s="821">
        <v>70.11</v>
      </c>
      <c r="U31" s="822">
        <v>2.5710000000000002</v>
      </c>
      <c r="V31" s="825"/>
      <c r="W31" s="824" t="s">
        <v>1971</v>
      </c>
      <c r="X31" s="824"/>
      <c r="Y31" s="825"/>
    </row>
    <row r="32" spans="4:25" ht="39.950000000000003" customHeight="1">
      <c r="D32" s="839" t="s">
        <v>2043</v>
      </c>
      <c r="E32" s="1214">
        <v>98.858731333793898</v>
      </c>
      <c r="F32" s="1214">
        <v>93.2</v>
      </c>
      <c r="G32" s="827">
        <v>96</v>
      </c>
      <c r="H32" s="827">
        <v>107.6</v>
      </c>
      <c r="I32" s="827">
        <v>98.008333333333326</v>
      </c>
      <c r="J32" s="827">
        <v>103.11666666666666</v>
      </c>
      <c r="K32" s="827">
        <v>108.64166666666665</v>
      </c>
      <c r="L32" s="827">
        <v>120.58499999999999</v>
      </c>
      <c r="M32" s="827">
        <v>119.72499999999998</v>
      </c>
      <c r="N32" s="828">
        <v>123.8</v>
      </c>
      <c r="O32" s="829">
        <v>129.19999999999999</v>
      </c>
      <c r="P32" s="827">
        <v>120.9</v>
      </c>
      <c r="Q32" s="829">
        <v>113.09</v>
      </c>
      <c r="R32" s="829">
        <v>111.29</v>
      </c>
      <c r="S32" s="829">
        <v>110.2</v>
      </c>
      <c r="T32" s="829">
        <v>109.43</v>
      </c>
      <c r="U32" s="830">
        <v>14.712999999999999</v>
      </c>
      <c r="V32" s="817"/>
      <c r="W32" s="831" t="s">
        <v>2044</v>
      </c>
      <c r="X32" s="831"/>
      <c r="Y32" s="817"/>
    </row>
    <row r="33" spans="4:25" ht="39.950000000000003" customHeight="1">
      <c r="D33" s="841" t="s">
        <v>2045</v>
      </c>
      <c r="E33" s="1213">
        <v>158.74505387252222</v>
      </c>
      <c r="F33" s="1213">
        <v>168.3</v>
      </c>
      <c r="G33" s="819">
        <v>164.2</v>
      </c>
      <c r="H33" s="819">
        <v>159.30000000000001</v>
      </c>
      <c r="I33" s="819">
        <v>151.32500000000002</v>
      </c>
      <c r="J33" s="819">
        <v>157.23999999999998</v>
      </c>
      <c r="K33" s="819">
        <v>172.8691666666667</v>
      </c>
      <c r="L33" s="819">
        <v>145.27250000000004</v>
      </c>
      <c r="M33" s="819">
        <v>186.2416666666667</v>
      </c>
      <c r="N33" s="820">
        <v>164.6</v>
      </c>
      <c r="O33" s="821">
        <v>180.5</v>
      </c>
      <c r="P33" s="819">
        <v>147.5</v>
      </c>
      <c r="Q33" s="821">
        <v>143.41999999999999</v>
      </c>
      <c r="R33" s="821">
        <v>184.34</v>
      </c>
      <c r="S33" s="821">
        <v>151.85</v>
      </c>
      <c r="T33" s="821">
        <v>109.1</v>
      </c>
      <c r="U33" s="822">
        <v>2.694</v>
      </c>
      <c r="V33" s="825"/>
      <c r="W33" s="824" t="s">
        <v>2046</v>
      </c>
      <c r="X33" s="824"/>
      <c r="Y33" s="825"/>
    </row>
    <row r="34" spans="4:25" ht="39.950000000000003" customHeight="1">
      <c r="D34" s="842" t="s">
        <v>2047</v>
      </c>
      <c r="E34" s="1214">
        <v>34.638467206627467</v>
      </c>
      <c r="F34" s="1214">
        <v>40.6</v>
      </c>
      <c r="G34" s="827">
        <v>37</v>
      </c>
      <c r="H34" s="827">
        <v>45</v>
      </c>
      <c r="I34" s="827">
        <v>58.133333333333326</v>
      </c>
      <c r="J34" s="827">
        <v>79.108333333333334</v>
      </c>
      <c r="K34" s="827">
        <v>137.27083333333331</v>
      </c>
      <c r="L34" s="827">
        <v>154.28916666666666</v>
      </c>
      <c r="M34" s="827">
        <v>145.30000000000001</v>
      </c>
      <c r="N34" s="828">
        <v>144.19999999999999</v>
      </c>
      <c r="O34" s="829">
        <v>146.80000000000001</v>
      </c>
      <c r="P34" s="827">
        <v>142.4</v>
      </c>
      <c r="Q34" s="829">
        <v>128.34</v>
      </c>
      <c r="R34" s="829">
        <v>129.88</v>
      </c>
      <c r="S34" s="829">
        <v>115.38</v>
      </c>
      <c r="T34" s="829">
        <v>97.95</v>
      </c>
      <c r="U34" s="830">
        <v>3.3090000000000002</v>
      </c>
      <c r="V34" s="817"/>
      <c r="W34" s="843" t="s">
        <v>1979</v>
      </c>
      <c r="X34" s="843"/>
      <c r="Y34" s="817"/>
    </row>
    <row r="35" spans="4:25" ht="39.950000000000003" customHeight="1">
      <c r="D35" s="841" t="s">
        <v>2048</v>
      </c>
      <c r="E35" s="1213">
        <v>105.67420531164173</v>
      </c>
      <c r="F35" s="1213">
        <v>102.9</v>
      </c>
      <c r="G35" s="819">
        <v>102.3</v>
      </c>
      <c r="H35" s="819">
        <v>118.7</v>
      </c>
      <c r="I35" s="819">
        <v>121.74166666666667</v>
      </c>
      <c r="J35" s="819">
        <v>110.75833333333333</v>
      </c>
      <c r="K35" s="819">
        <v>118.60333333333335</v>
      </c>
      <c r="L35" s="819">
        <v>133.11083333333329</v>
      </c>
      <c r="M35" s="819">
        <v>142.125</v>
      </c>
      <c r="N35" s="820">
        <v>129.6</v>
      </c>
      <c r="O35" s="821">
        <v>160.9</v>
      </c>
      <c r="P35" s="819">
        <v>127.5</v>
      </c>
      <c r="Q35" s="821">
        <v>113.96</v>
      </c>
      <c r="R35" s="821">
        <v>106.23</v>
      </c>
      <c r="S35" s="821">
        <v>127.06</v>
      </c>
      <c r="T35" s="821">
        <v>100.89</v>
      </c>
      <c r="U35" s="822">
        <v>2.9140000000000001</v>
      </c>
      <c r="V35" s="825"/>
      <c r="W35" s="833" t="s">
        <v>1981</v>
      </c>
      <c r="X35" s="833"/>
      <c r="Y35" s="825"/>
    </row>
    <row r="36" spans="4:25" ht="39.950000000000003" customHeight="1">
      <c r="D36" s="842" t="s">
        <v>2049</v>
      </c>
      <c r="E36" s="1214">
        <v>108.25201548438459</v>
      </c>
      <c r="F36" s="1214">
        <v>105</v>
      </c>
      <c r="G36" s="827">
        <v>99.7</v>
      </c>
      <c r="H36" s="827">
        <v>111.6</v>
      </c>
      <c r="I36" s="827">
        <v>102.84999999999998</v>
      </c>
      <c r="J36" s="827">
        <v>105.70833333333333</v>
      </c>
      <c r="K36" s="827">
        <v>119.76166666666666</v>
      </c>
      <c r="L36" s="827">
        <v>92.129166666666649</v>
      </c>
      <c r="M36" s="827">
        <v>112.19999999999999</v>
      </c>
      <c r="N36" s="828">
        <v>110.5</v>
      </c>
      <c r="O36" s="829">
        <v>107.2</v>
      </c>
      <c r="P36" s="827">
        <v>92.5</v>
      </c>
      <c r="Q36" s="829">
        <v>80.88</v>
      </c>
      <c r="R36" s="829">
        <v>92.29</v>
      </c>
      <c r="S36" s="829">
        <v>134.5</v>
      </c>
      <c r="T36" s="829">
        <v>120.53</v>
      </c>
      <c r="U36" s="830">
        <v>1.804</v>
      </c>
      <c r="V36" s="817"/>
      <c r="W36" s="843" t="s">
        <v>1983</v>
      </c>
      <c r="X36" s="843"/>
      <c r="Y36" s="817"/>
    </row>
    <row r="37" spans="4:25" ht="39.950000000000003" customHeight="1">
      <c r="D37" s="841" t="s">
        <v>2050</v>
      </c>
      <c r="E37" s="1213">
        <v>475.4891651149839</v>
      </c>
      <c r="F37" s="1213">
        <v>479.4</v>
      </c>
      <c r="G37" s="819">
        <v>423.6</v>
      </c>
      <c r="H37" s="819">
        <v>400.8</v>
      </c>
      <c r="I37" s="819">
        <v>320.52500000000003</v>
      </c>
      <c r="J37" s="819">
        <v>313.45833333333331</v>
      </c>
      <c r="K37" s="819">
        <v>334.49</v>
      </c>
      <c r="L37" s="819">
        <v>355.2</v>
      </c>
      <c r="M37" s="819">
        <v>383.10833333333329</v>
      </c>
      <c r="N37" s="820">
        <v>348.8</v>
      </c>
      <c r="O37" s="821">
        <v>317.5</v>
      </c>
      <c r="P37" s="819">
        <v>257.89999999999998</v>
      </c>
      <c r="Q37" s="821">
        <v>218.1</v>
      </c>
      <c r="R37" s="821">
        <v>220.9</v>
      </c>
      <c r="S37" s="821">
        <v>165.15</v>
      </c>
      <c r="T37" s="821">
        <v>145.37</v>
      </c>
      <c r="U37" s="822">
        <v>2.2530000000000001</v>
      </c>
      <c r="V37" s="825"/>
      <c r="W37" s="833" t="s">
        <v>2051</v>
      </c>
      <c r="X37" s="833"/>
      <c r="Y37" s="825"/>
    </row>
    <row r="38" spans="4:25" ht="39.950000000000003" customHeight="1">
      <c r="D38" s="842" t="s">
        <v>2052</v>
      </c>
      <c r="E38" s="1214">
        <v>115.1476907786751</v>
      </c>
      <c r="F38" s="1214">
        <v>128.30000000000001</v>
      </c>
      <c r="G38" s="827">
        <v>115.8</v>
      </c>
      <c r="H38" s="827">
        <v>114.2</v>
      </c>
      <c r="I38" s="827">
        <v>116.28333333333332</v>
      </c>
      <c r="J38" s="827">
        <v>122.09166666666668</v>
      </c>
      <c r="K38" s="827">
        <v>112.94833333333334</v>
      </c>
      <c r="L38" s="827">
        <v>126.43</v>
      </c>
      <c r="M38" s="827">
        <v>114.09166666666668</v>
      </c>
      <c r="N38" s="828">
        <v>119.7</v>
      </c>
      <c r="O38" s="829">
        <v>113.9</v>
      </c>
      <c r="P38" s="827">
        <v>98.3</v>
      </c>
      <c r="Q38" s="829">
        <v>102.74</v>
      </c>
      <c r="R38" s="829">
        <v>84.37</v>
      </c>
      <c r="S38" s="829">
        <v>88.59</v>
      </c>
      <c r="T38" s="829">
        <v>94.74</v>
      </c>
      <c r="U38" s="830">
        <v>0.91500000000000004</v>
      </c>
      <c r="V38" s="817"/>
      <c r="W38" s="843" t="s">
        <v>2053</v>
      </c>
      <c r="X38" s="843"/>
      <c r="Y38" s="817"/>
    </row>
    <row r="39" spans="4:25" ht="39.950000000000003" customHeight="1">
      <c r="D39" s="840" t="s">
        <v>2054</v>
      </c>
      <c r="E39" s="1213">
        <v>163.791109077117</v>
      </c>
      <c r="F39" s="1213">
        <v>166.3</v>
      </c>
      <c r="G39" s="819">
        <v>190.1</v>
      </c>
      <c r="H39" s="819">
        <v>189.2</v>
      </c>
      <c r="I39" s="819">
        <v>248.7</v>
      </c>
      <c r="J39" s="819">
        <v>369.12499999999994</v>
      </c>
      <c r="K39" s="819">
        <v>570.0675</v>
      </c>
      <c r="L39" s="819">
        <v>612.46083333333331</v>
      </c>
      <c r="M39" s="819">
        <v>455.375</v>
      </c>
      <c r="N39" s="820">
        <v>366.8</v>
      </c>
      <c r="O39" s="821">
        <v>205.9</v>
      </c>
      <c r="P39" s="819">
        <v>189</v>
      </c>
      <c r="Q39" s="821">
        <v>155.5</v>
      </c>
      <c r="R39" s="821">
        <v>129.31</v>
      </c>
      <c r="S39" s="821">
        <v>91.35</v>
      </c>
      <c r="T39" s="821">
        <v>99.51</v>
      </c>
      <c r="U39" s="822">
        <v>1.25</v>
      </c>
      <c r="V39" s="825"/>
      <c r="W39" s="833" t="s">
        <v>1994</v>
      </c>
      <c r="X39" s="833"/>
      <c r="Y39" s="825"/>
    </row>
    <row r="40" spans="4:25" ht="39.950000000000003" customHeight="1">
      <c r="D40" s="842" t="s">
        <v>2055</v>
      </c>
      <c r="E40" s="1214">
        <v>4.0056006974023664</v>
      </c>
      <c r="F40" s="1214">
        <v>10.6</v>
      </c>
      <c r="G40" s="827">
        <v>72.5</v>
      </c>
      <c r="H40" s="827">
        <v>65</v>
      </c>
      <c r="I40" s="827">
        <v>59.016666666666659</v>
      </c>
      <c r="J40" s="827">
        <v>39.49166666666666</v>
      </c>
      <c r="K40" s="827">
        <v>68.87833333333333</v>
      </c>
      <c r="L40" s="827">
        <v>20.674166666666668</v>
      </c>
      <c r="M40" s="827">
        <v>26.875</v>
      </c>
      <c r="N40" s="828">
        <v>41.6</v>
      </c>
      <c r="O40" s="829">
        <v>57.8</v>
      </c>
      <c r="P40" s="827">
        <v>70</v>
      </c>
      <c r="Q40" s="829">
        <v>103.78</v>
      </c>
      <c r="R40" s="829">
        <v>131.57</v>
      </c>
      <c r="S40" s="829">
        <v>96.06</v>
      </c>
      <c r="T40" s="829">
        <v>104.34</v>
      </c>
      <c r="U40" s="830">
        <v>0.21</v>
      </c>
      <c r="V40" s="817"/>
      <c r="W40" s="843" t="s">
        <v>2056</v>
      </c>
      <c r="X40" s="843"/>
      <c r="Y40" s="817"/>
    </row>
    <row r="41" spans="4:25" ht="39.950000000000003" customHeight="1">
      <c r="D41" s="841" t="s">
        <v>2057</v>
      </c>
      <c r="E41" s="1213">
        <v>115.61450680094266</v>
      </c>
      <c r="F41" s="1213">
        <v>126.8</v>
      </c>
      <c r="G41" s="819">
        <v>151.80000000000001</v>
      </c>
      <c r="H41" s="819">
        <v>163.9</v>
      </c>
      <c r="I41" s="819">
        <v>156.37500000000003</v>
      </c>
      <c r="J41" s="819">
        <v>188.68333333333331</v>
      </c>
      <c r="K41" s="819">
        <v>307.04250000000002</v>
      </c>
      <c r="L41" s="819">
        <v>301.7</v>
      </c>
      <c r="M41" s="819">
        <v>279.2166666666667</v>
      </c>
      <c r="N41" s="820">
        <v>233.4</v>
      </c>
      <c r="O41" s="821">
        <v>217.4</v>
      </c>
      <c r="P41" s="819">
        <v>177.3</v>
      </c>
      <c r="Q41" s="821">
        <v>125.29</v>
      </c>
      <c r="R41" s="821">
        <v>123.28</v>
      </c>
      <c r="S41" s="821">
        <v>115.55</v>
      </c>
      <c r="T41" s="821">
        <v>98.49</v>
      </c>
      <c r="U41" s="822">
        <v>1.2849999999999999</v>
      </c>
      <c r="V41" s="825"/>
      <c r="W41" s="833" t="s">
        <v>1996</v>
      </c>
      <c r="X41" s="833"/>
      <c r="Y41" s="825"/>
    </row>
    <row r="42" spans="4:25" ht="39.950000000000003" customHeight="1">
      <c r="D42" s="842" t="s">
        <v>2058</v>
      </c>
      <c r="E42" s="1214">
        <v>105.03115604592377</v>
      </c>
      <c r="F42" s="1214">
        <v>115</v>
      </c>
      <c r="G42" s="827">
        <v>105</v>
      </c>
      <c r="H42" s="827">
        <v>102.9</v>
      </c>
      <c r="I42" s="827">
        <v>119</v>
      </c>
      <c r="J42" s="827">
        <v>114.28333333333335</v>
      </c>
      <c r="K42" s="827">
        <v>102.81333333333333</v>
      </c>
      <c r="L42" s="827">
        <v>112.46833333333335</v>
      </c>
      <c r="M42" s="827">
        <v>107.02500000000002</v>
      </c>
      <c r="N42" s="828">
        <v>118.7</v>
      </c>
      <c r="O42" s="829">
        <v>118.4</v>
      </c>
      <c r="P42" s="827">
        <v>151.1</v>
      </c>
      <c r="Q42" s="829">
        <v>146.69999999999999</v>
      </c>
      <c r="R42" s="829">
        <v>125.3</v>
      </c>
      <c r="S42" s="829">
        <v>110.9</v>
      </c>
      <c r="T42" s="829">
        <v>95.8</v>
      </c>
      <c r="U42" s="830">
        <v>0.64700000000000002</v>
      </c>
      <c r="V42" s="817"/>
      <c r="W42" s="843" t="s">
        <v>2059</v>
      </c>
      <c r="X42" s="843"/>
      <c r="Y42" s="817"/>
    </row>
    <row r="43" spans="4:25" ht="39.950000000000003" customHeight="1">
      <c r="D43" s="841" t="s">
        <v>2060</v>
      </c>
      <c r="E43" s="1213"/>
      <c r="F43" s="1213"/>
      <c r="G43" s="819"/>
      <c r="H43" s="819"/>
      <c r="I43" s="819"/>
      <c r="J43" s="819"/>
      <c r="K43" s="819"/>
      <c r="L43" s="819"/>
      <c r="M43" s="819"/>
      <c r="N43" s="820"/>
      <c r="O43" s="821"/>
      <c r="P43" s="819"/>
      <c r="Q43" s="821"/>
      <c r="R43" s="821"/>
      <c r="S43" s="821"/>
      <c r="T43" s="821"/>
      <c r="U43" s="822"/>
      <c r="V43" s="825"/>
      <c r="W43" s="833" t="s">
        <v>2061</v>
      </c>
      <c r="X43" s="833"/>
      <c r="Y43" s="825"/>
    </row>
    <row r="44" spans="4:25" ht="39.950000000000003" customHeight="1">
      <c r="D44" s="842" t="s">
        <v>2062</v>
      </c>
      <c r="E44" s="1214">
        <v>326.5958248949737</v>
      </c>
      <c r="F44" s="1214">
        <v>334.1</v>
      </c>
      <c r="G44" s="827">
        <v>314.5</v>
      </c>
      <c r="H44" s="827">
        <v>295.3</v>
      </c>
      <c r="I44" s="827">
        <v>317.3</v>
      </c>
      <c r="J44" s="827">
        <v>283.44166666666666</v>
      </c>
      <c r="K44" s="827">
        <v>281.01333333333338</v>
      </c>
      <c r="L44" s="827">
        <v>275.39999999999998</v>
      </c>
      <c r="M44" s="827">
        <v>263.66666666666669</v>
      </c>
      <c r="N44" s="828">
        <v>205.5</v>
      </c>
      <c r="O44" s="829">
        <v>182.7</v>
      </c>
      <c r="P44" s="827">
        <v>164.4</v>
      </c>
      <c r="Q44" s="829">
        <v>137.31</v>
      </c>
      <c r="R44" s="829">
        <v>141.91</v>
      </c>
      <c r="S44" s="829">
        <v>157.38</v>
      </c>
      <c r="T44" s="829">
        <v>111.26</v>
      </c>
      <c r="U44" s="830">
        <v>2.6819999999999999</v>
      </c>
      <c r="V44" s="817"/>
      <c r="W44" s="843" t="s">
        <v>2063</v>
      </c>
      <c r="X44" s="843"/>
      <c r="Y44" s="817"/>
    </row>
    <row r="45" spans="4:25" ht="39.950000000000003" customHeight="1">
      <c r="D45" s="841" t="s">
        <v>2064</v>
      </c>
      <c r="E45" s="1213">
        <v>16.634620108116575</v>
      </c>
      <c r="F45" s="1213">
        <v>16.899999999999999</v>
      </c>
      <c r="G45" s="819">
        <v>14</v>
      </c>
      <c r="H45" s="819">
        <v>9.6999999999999993</v>
      </c>
      <c r="I45" s="819">
        <v>20.7</v>
      </c>
      <c r="J45" s="819">
        <v>35.891666666666659</v>
      </c>
      <c r="K45" s="819">
        <v>174.27833333333331</v>
      </c>
      <c r="L45" s="819">
        <v>320.63</v>
      </c>
      <c r="M45" s="819">
        <v>645.81666666666672</v>
      </c>
      <c r="N45" s="820">
        <v>695.9</v>
      </c>
      <c r="O45" s="821">
        <v>380.8</v>
      </c>
      <c r="P45" s="819">
        <v>309.2</v>
      </c>
      <c r="Q45" s="821">
        <v>210.5</v>
      </c>
      <c r="R45" s="821">
        <v>124.7</v>
      </c>
      <c r="S45" s="821">
        <v>99.9</v>
      </c>
      <c r="T45" s="821">
        <v>83</v>
      </c>
      <c r="U45" s="822">
        <v>0.65200000000000002</v>
      </c>
      <c r="V45" s="825"/>
      <c r="W45" s="844" t="s">
        <v>2065</v>
      </c>
      <c r="X45" s="844"/>
      <c r="Y45" s="825"/>
    </row>
    <row r="46" spans="4:25" ht="39.950000000000003" customHeight="1">
      <c r="D46" s="842" t="s">
        <v>2066</v>
      </c>
      <c r="E46" s="1214">
        <v>69.105843169912546</v>
      </c>
      <c r="F46" s="1214">
        <v>73</v>
      </c>
      <c r="G46" s="827">
        <v>91.3</v>
      </c>
      <c r="H46" s="827">
        <v>95.6</v>
      </c>
      <c r="I46" s="827">
        <v>102.45</v>
      </c>
      <c r="J46" s="827">
        <v>108.375</v>
      </c>
      <c r="K46" s="827">
        <v>185.44583333333333</v>
      </c>
      <c r="L46" s="827">
        <v>180.27250000000004</v>
      </c>
      <c r="M46" s="827">
        <v>211.48333333333332</v>
      </c>
      <c r="N46" s="828">
        <v>207.4</v>
      </c>
      <c r="O46" s="829">
        <v>245.4</v>
      </c>
      <c r="P46" s="827">
        <v>229.8</v>
      </c>
      <c r="Q46" s="829">
        <v>225.25</v>
      </c>
      <c r="R46" s="829">
        <v>220.61</v>
      </c>
      <c r="S46" s="829">
        <v>166.9</v>
      </c>
      <c r="T46" s="829">
        <v>121.53</v>
      </c>
      <c r="U46" s="830">
        <v>0.59499999999999997</v>
      </c>
      <c r="V46" s="817"/>
      <c r="W46" s="843" t="s">
        <v>2002</v>
      </c>
      <c r="X46" s="843"/>
      <c r="Y46" s="817"/>
    </row>
    <row r="47" spans="4:25" ht="39.950000000000003" customHeight="1">
      <c r="D47" s="841" t="s">
        <v>2067</v>
      </c>
      <c r="E47" s="1213">
        <v>142.32022202309838</v>
      </c>
      <c r="F47" s="1213">
        <v>165.9</v>
      </c>
      <c r="G47" s="819">
        <v>102.8</v>
      </c>
      <c r="H47" s="819">
        <v>142.19999999999999</v>
      </c>
      <c r="I47" s="819">
        <v>135.45697838601063</v>
      </c>
      <c r="J47" s="819">
        <v>91.418379131820004</v>
      </c>
      <c r="K47" s="819">
        <v>85.898882915173218</v>
      </c>
      <c r="L47" s="819">
        <v>108.78837514934291</v>
      </c>
      <c r="M47" s="819">
        <v>75.099999999999994</v>
      </c>
      <c r="N47" s="820">
        <v>93.5</v>
      </c>
      <c r="O47" s="821">
        <v>84</v>
      </c>
      <c r="P47" s="819">
        <v>79.900000000000006</v>
      </c>
      <c r="Q47" s="821">
        <v>77.599999999999994</v>
      </c>
      <c r="R47" s="821">
        <v>93</v>
      </c>
      <c r="S47" s="821">
        <v>78.2</v>
      </c>
      <c r="T47" s="821">
        <v>79</v>
      </c>
      <c r="U47" s="822">
        <v>0.83899999999999997</v>
      </c>
      <c r="V47" s="825"/>
      <c r="W47" s="833" t="s">
        <v>330</v>
      </c>
      <c r="X47" s="833"/>
      <c r="Y47" s="845"/>
    </row>
    <row r="48" spans="4:25" ht="39.950000000000003" customHeight="1">
      <c r="D48" s="846" t="s">
        <v>2068</v>
      </c>
      <c r="E48" s="1212"/>
      <c r="F48" s="1212"/>
      <c r="G48" s="811"/>
      <c r="H48" s="811"/>
      <c r="I48" s="811"/>
      <c r="J48" s="811"/>
      <c r="K48" s="811"/>
      <c r="L48" s="811"/>
      <c r="M48" s="811"/>
      <c r="N48" s="812"/>
      <c r="O48" s="813"/>
      <c r="P48" s="811"/>
      <c r="Q48" s="813"/>
      <c r="R48" s="813"/>
      <c r="S48" s="813"/>
      <c r="T48" s="813"/>
      <c r="U48" s="814"/>
      <c r="V48" s="815"/>
      <c r="W48" s="815"/>
      <c r="X48" s="816" t="s">
        <v>2069</v>
      </c>
      <c r="Y48" s="817"/>
    </row>
    <row r="49" spans="4:25" ht="39.950000000000003" customHeight="1">
      <c r="D49" s="847" t="s">
        <v>2070</v>
      </c>
      <c r="E49" s="1215">
        <v>210.8986730330513</v>
      </c>
      <c r="F49" s="1215">
        <v>180</v>
      </c>
      <c r="G49" s="835">
        <v>177.3</v>
      </c>
      <c r="H49" s="835">
        <v>185.7</v>
      </c>
      <c r="I49" s="835">
        <v>174.375</v>
      </c>
      <c r="J49" s="835">
        <v>166.91666666666669</v>
      </c>
      <c r="K49" s="835">
        <v>175.70249999999999</v>
      </c>
      <c r="L49" s="835">
        <v>191.1</v>
      </c>
      <c r="M49" s="835">
        <v>188.9666666666667</v>
      </c>
      <c r="N49" s="836">
        <v>160.1</v>
      </c>
      <c r="O49" s="804">
        <v>136.9</v>
      </c>
      <c r="P49" s="835">
        <v>127.3</v>
      </c>
      <c r="Q49" s="804">
        <v>112.5</v>
      </c>
      <c r="R49" s="804">
        <v>113.6</v>
      </c>
      <c r="S49" s="804">
        <v>107.48</v>
      </c>
      <c r="T49" s="804">
        <v>104.49</v>
      </c>
      <c r="U49" s="837">
        <v>6.4480000000000004</v>
      </c>
      <c r="V49" s="807"/>
      <c r="W49" s="807"/>
      <c r="X49" s="848" t="s">
        <v>2071</v>
      </c>
      <c r="Y49" s="825"/>
    </row>
    <row r="50" spans="4:25" ht="39.950000000000003" customHeight="1">
      <c r="D50" s="5219" t="s">
        <v>2008</v>
      </c>
      <c r="E50" s="1216">
        <v>157.51963388258034</v>
      </c>
      <c r="F50" s="1216">
        <v>155.72999999999999</v>
      </c>
      <c r="G50" s="849">
        <v>153.1</v>
      </c>
      <c r="H50" s="849">
        <v>150.69999999999999</v>
      </c>
      <c r="I50" s="849">
        <v>150.4</v>
      </c>
      <c r="J50" s="849">
        <v>150.81714511758261</v>
      </c>
      <c r="K50" s="849">
        <v>155.68902295265832</v>
      </c>
      <c r="L50" s="849">
        <v>158.30000000000001</v>
      </c>
      <c r="M50" s="849">
        <v>156.1801602383114</v>
      </c>
      <c r="N50" s="849">
        <v>151.4</v>
      </c>
      <c r="O50" s="850">
        <v>143.1</v>
      </c>
      <c r="P50" s="5221">
        <v>130</v>
      </c>
      <c r="Q50" s="5223">
        <v>115.9</v>
      </c>
      <c r="R50" s="5223">
        <v>126.7124266</v>
      </c>
      <c r="S50" s="5223">
        <v>119.3106537</v>
      </c>
      <c r="T50" s="5223">
        <v>106.93064150000001</v>
      </c>
      <c r="U50" s="5225">
        <f>U13+U49</f>
        <v>100</v>
      </c>
      <c r="V50" s="5227" t="s">
        <v>2072</v>
      </c>
      <c r="W50" s="5227"/>
      <c r="X50" s="5227"/>
      <c r="Y50" s="5228"/>
    </row>
    <row r="51" spans="4:25" s="205" customFormat="1" ht="6" customHeight="1">
      <c r="D51" s="5220"/>
      <c r="E51" s="1536"/>
      <c r="F51" s="1217"/>
      <c r="G51" s="851"/>
      <c r="H51" s="851"/>
      <c r="I51" s="851"/>
      <c r="J51" s="851"/>
      <c r="K51" s="851"/>
      <c r="L51" s="851"/>
      <c r="M51" s="851"/>
      <c r="N51" s="851"/>
      <c r="O51" s="852"/>
      <c r="P51" s="5222"/>
      <c r="Q51" s="5224"/>
      <c r="R51" s="5224"/>
      <c r="S51" s="5224"/>
      <c r="T51" s="5224"/>
      <c r="U51" s="5226"/>
      <c r="V51" s="5229"/>
      <c r="W51" s="5229"/>
      <c r="X51" s="5229"/>
      <c r="Y51" s="5230"/>
    </row>
    <row r="52" spans="4:25" s="210" customFormat="1" ht="6.95" customHeight="1">
      <c r="D52" s="795"/>
      <c r="E52" s="1537"/>
      <c r="F52" s="1218"/>
      <c r="G52" s="853"/>
      <c r="H52" s="853"/>
      <c r="I52" s="853"/>
      <c r="J52" s="853"/>
      <c r="K52" s="853"/>
      <c r="L52" s="853"/>
      <c r="M52" s="853"/>
      <c r="N52" s="853"/>
      <c r="O52" s="853"/>
      <c r="P52" s="853"/>
      <c r="Q52" s="854"/>
      <c r="R52" s="854"/>
      <c r="S52" s="854"/>
      <c r="T52" s="854"/>
      <c r="U52" s="855"/>
      <c r="V52" s="856"/>
      <c r="W52" s="857"/>
      <c r="X52" s="856"/>
      <c r="Y52" s="856"/>
    </row>
    <row r="53" spans="4:25" s="210" customFormat="1" ht="18">
      <c r="D53" s="795" t="s">
        <v>2073</v>
      </c>
      <c r="E53" s="1537"/>
      <c r="F53" s="1218"/>
      <c r="G53" s="853"/>
      <c r="H53" s="853"/>
      <c r="I53" s="853"/>
      <c r="J53" s="853"/>
      <c r="K53" s="853"/>
      <c r="L53" s="853"/>
      <c r="M53" s="853"/>
      <c r="N53" s="853"/>
      <c r="O53" s="853"/>
      <c r="P53" s="853"/>
      <c r="Q53" s="854"/>
      <c r="R53" s="854"/>
      <c r="S53" s="854"/>
      <c r="T53" s="854"/>
      <c r="U53" s="855"/>
      <c r="V53" s="856"/>
      <c r="W53" s="857"/>
      <c r="X53" s="856"/>
      <c r="Y53" s="856" t="s">
        <v>2074</v>
      </c>
    </row>
    <row r="54" spans="4:25" s="210" customFormat="1" ht="18">
      <c r="D54" s="795" t="s">
        <v>2075</v>
      </c>
      <c r="E54" s="1537"/>
      <c r="F54" s="1218"/>
      <c r="G54" s="853"/>
      <c r="H54" s="853"/>
      <c r="I54" s="853"/>
      <c r="J54" s="853"/>
      <c r="K54" s="853"/>
      <c r="L54" s="853"/>
      <c r="M54" s="853"/>
      <c r="N54" s="853"/>
      <c r="O54" s="853"/>
      <c r="P54" s="853"/>
      <c r="Q54" s="854"/>
      <c r="R54" s="854"/>
      <c r="S54" s="854"/>
      <c r="T54" s="854"/>
      <c r="U54" s="855"/>
      <c r="V54" s="856"/>
      <c r="W54" s="858"/>
      <c r="X54" s="859" t="s">
        <v>2076</v>
      </c>
      <c r="Y54" s="860"/>
    </row>
    <row r="55" spans="4:25">
      <c r="F55" s="1219"/>
      <c r="G55" s="861"/>
      <c r="H55" s="861"/>
      <c r="I55" s="861"/>
      <c r="J55" s="861"/>
      <c r="K55" s="861"/>
      <c r="L55" s="861"/>
      <c r="M55" s="861"/>
      <c r="N55" s="861"/>
      <c r="O55" s="861"/>
      <c r="P55" s="861"/>
      <c r="V55" s="862"/>
      <c r="W55" s="862"/>
      <c r="X55" s="862"/>
      <c r="Y55" s="862"/>
    </row>
    <row r="56" spans="4:25">
      <c r="F56" s="1219"/>
      <c r="G56" s="861"/>
      <c r="H56" s="861"/>
      <c r="I56" s="861"/>
      <c r="J56" s="861"/>
      <c r="K56" s="861"/>
      <c r="L56" s="861"/>
      <c r="M56" s="861"/>
      <c r="N56" s="861"/>
      <c r="O56" s="861"/>
      <c r="P56" s="861"/>
    </row>
    <row r="57" spans="4:25">
      <c r="F57" s="1219"/>
      <c r="G57" s="861"/>
      <c r="H57" s="861"/>
      <c r="I57" s="861"/>
      <c r="J57" s="861"/>
      <c r="K57" s="861"/>
      <c r="L57" s="861"/>
      <c r="M57" s="861"/>
      <c r="N57" s="861"/>
      <c r="O57" s="861"/>
      <c r="P57" s="861"/>
    </row>
    <row r="58" spans="4:25">
      <c r="F58" s="1219"/>
      <c r="G58" s="861"/>
      <c r="H58" s="861"/>
      <c r="I58" s="861"/>
      <c r="J58" s="861"/>
      <c r="K58" s="861"/>
      <c r="L58" s="861"/>
      <c r="M58" s="861"/>
      <c r="N58" s="861"/>
      <c r="O58" s="861"/>
      <c r="P58" s="861"/>
    </row>
    <row r="59" spans="4:25">
      <c r="F59" s="1219"/>
      <c r="G59" s="861"/>
      <c r="H59" s="861"/>
      <c r="I59" s="861"/>
      <c r="J59" s="861"/>
      <c r="K59" s="861"/>
      <c r="L59" s="861"/>
      <c r="M59" s="861"/>
      <c r="N59" s="861"/>
      <c r="O59" s="861"/>
      <c r="P59" s="861"/>
    </row>
    <row r="60" spans="4:25">
      <c r="F60" s="1219"/>
      <c r="G60" s="861"/>
      <c r="H60" s="861"/>
      <c r="I60" s="861"/>
      <c r="J60" s="861"/>
      <c r="K60" s="861"/>
      <c r="L60" s="861"/>
      <c r="M60" s="861"/>
      <c r="N60" s="861"/>
      <c r="O60" s="861"/>
      <c r="P60" s="861"/>
    </row>
    <row r="61" spans="4:25">
      <c r="F61" s="1219"/>
      <c r="G61" s="861"/>
      <c r="H61" s="861"/>
      <c r="I61" s="861"/>
      <c r="J61" s="861"/>
      <c r="K61" s="861"/>
      <c r="L61" s="861"/>
      <c r="M61" s="861"/>
      <c r="N61" s="861"/>
      <c r="O61" s="861"/>
      <c r="P61" s="861"/>
    </row>
    <row r="62" spans="4:25">
      <c r="F62" s="1219"/>
      <c r="G62" s="861"/>
      <c r="H62" s="861"/>
      <c r="I62" s="861"/>
      <c r="J62" s="861"/>
      <c r="K62" s="861"/>
      <c r="L62" s="861"/>
      <c r="M62" s="861"/>
      <c r="N62" s="861"/>
      <c r="O62" s="861"/>
      <c r="P62" s="861"/>
    </row>
    <row r="63" spans="4:25">
      <c r="F63" s="1219"/>
      <c r="G63" s="861"/>
      <c r="H63" s="861"/>
      <c r="I63" s="861"/>
      <c r="J63" s="861"/>
      <c r="K63" s="861"/>
      <c r="L63" s="861"/>
      <c r="M63" s="861"/>
      <c r="N63" s="861"/>
      <c r="O63" s="861"/>
      <c r="P63" s="861"/>
    </row>
    <row r="64" spans="4:25">
      <c r="F64" s="1219"/>
      <c r="G64" s="861"/>
      <c r="H64" s="861"/>
      <c r="I64" s="861"/>
      <c r="J64" s="861"/>
      <c r="K64" s="861"/>
      <c r="L64" s="861"/>
      <c r="M64" s="861"/>
      <c r="N64" s="861"/>
      <c r="O64" s="861"/>
      <c r="P64" s="861"/>
    </row>
    <row r="65" spans="6:16">
      <c r="F65" s="1219"/>
      <c r="G65" s="861"/>
      <c r="H65" s="861"/>
      <c r="I65" s="861"/>
      <c r="J65" s="861"/>
      <c r="K65" s="861"/>
      <c r="L65" s="861"/>
      <c r="M65" s="861"/>
      <c r="N65" s="861"/>
      <c r="O65" s="861"/>
      <c r="P65" s="861"/>
    </row>
    <row r="66" spans="6:16">
      <c r="F66" s="1219"/>
      <c r="G66" s="861"/>
      <c r="H66" s="861"/>
      <c r="I66" s="861"/>
      <c r="J66" s="861"/>
      <c r="K66" s="861"/>
      <c r="L66" s="861"/>
      <c r="M66" s="861"/>
      <c r="N66" s="861"/>
      <c r="O66" s="861"/>
      <c r="P66" s="861"/>
    </row>
    <row r="67" spans="6:16">
      <c r="F67" s="1219"/>
      <c r="G67" s="861"/>
      <c r="H67" s="861"/>
      <c r="I67" s="861"/>
      <c r="J67" s="861"/>
      <c r="K67" s="861"/>
      <c r="L67" s="861"/>
      <c r="M67" s="861"/>
      <c r="N67" s="861"/>
      <c r="O67" s="861"/>
      <c r="P67" s="861"/>
    </row>
    <row r="68" spans="6:16">
      <c r="F68" s="1219"/>
      <c r="G68" s="861"/>
      <c r="H68" s="861"/>
      <c r="I68" s="861"/>
      <c r="J68" s="861"/>
      <c r="K68" s="861"/>
      <c r="L68" s="861"/>
      <c r="M68" s="861"/>
      <c r="N68" s="861"/>
      <c r="O68" s="861"/>
      <c r="P68" s="861"/>
    </row>
    <row r="69" spans="6:16">
      <c r="F69" s="1219"/>
      <c r="G69" s="861"/>
      <c r="H69" s="861"/>
      <c r="I69" s="861"/>
      <c r="J69" s="861"/>
      <c r="K69" s="861"/>
      <c r="L69" s="861"/>
      <c r="M69" s="861"/>
      <c r="N69" s="861"/>
      <c r="O69" s="861"/>
      <c r="P69" s="861"/>
    </row>
    <row r="70" spans="6:16">
      <c r="F70" s="1219"/>
      <c r="G70" s="861"/>
      <c r="H70" s="861"/>
      <c r="I70" s="861"/>
      <c r="J70" s="861"/>
      <c r="K70" s="861"/>
      <c r="L70" s="861"/>
      <c r="M70" s="861"/>
      <c r="N70" s="861"/>
      <c r="O70" s="861"/>
      <c r="P70" s="861"/>
    </row>
    <row r="71" spans="6:16">
      <c r="F71" s="1219"/>
      <c r="G71" s="861"/>
      <c r="H71" s="861"/>
      <c r="I71" s="861"/>
      <c r="J71" s="861"/>
      <c r="K71" s="861"/>
      <c r="L71" s="861"/>
      <c r="M71" s="861"/>
      <c r="N71" s="861"/>
      <c r="O71" s="861"/>
      <c r="P71" s="861"/>
    </row>
    <row r="72" spans="6:16">
      <c r="F72" s="1219"/>
      <c r="G72" s="861"/>
      <c r="H72" s="861"/>
      <c r="I72" s="861"/>
      <c r="J72" s="861"/>
      <c r="K72" s="861"/>
      <c r="L72" s="861"/>
      <c r="M72" s="861"/>
      <c r="N72" s="861"/>
      <c r="O72" s="861"/>
      <c r="P72" s="861"/>
    </row>
    <row r="73" spans="6:16">
      <c r="F73" s="1219"/>
      <c r="G73" s="861"/>
      <c r="H73" s="861"/>
      <c r="I73" s="861"/>
      <c r="J73" s="861"/>
      <c r="K73" s="861"/>
      <c r="L73" s="861"/>
      <c r="M73" s="861"/>
      <c r="N73" s="861"/>
      <c r="O73" s="861"/>
      <c r="P73" s="861"/>
    </row>
    <row r="74" spans="6:16">
      <c r="F74" s="1219"/>
      <c r="G74" s="861"/>
      <c r="H74" s="861"/>
      <c r="I74" s="861"/>
      <c r="J74" s="861"/>
      <c r="K74" s="861"/>
      <c r="L74" s="861"/>
      <c r="M74" s="861"/>
      <c r="N74" s="861"/>
      <c r="O74" s="861"/>
      <c r="P74" s="861"/>
    </row>
    <row r="75" spans="6:16">
      <c r="F75" s="1219"/>
      <c r="G75" s="861"/>
      <c r="H75" s="861"/>
      <c r="I75" s="861"/>
      <c r="J75" s="861"/>
      <c r="K75" s="861"/>
      <c r="L75" s="861"/>
      <c r="M75" s="861"/>
      <c r="N75" s="861"/>
      <c r="O75" s="861"/>
      <c r="P75" s="861"/>
    </row>
    <row r="76" spans="6:16">
      <c r="F76" s="1219"/>
      <c r="G76" s="861"/>
      <c r="H76" s="861"/>
      <c r="I76" s="861"/>
      <c r="J76" s="861"/>
      <c r="K76" s="861"/>
      <c r="L76" s="861"/>
      <c r="M76" s="861"/>
      <c r="N76" s="861"/>
      <c r="O76" s="861"/>
      <c r="P76" s="861"/>
    </row>
    <row r="77" spans="6:16">
      <c r="F77" s="1219"/>
      <c r="G77" s="861"/>
      <c r="H77" s="861"/>
      <c r="I77" s="861"/>
      <c r="J77" s="861"/>
      <c r="K77" s="861"/>
      <c r="L77" s="861"/>
      <c r="M77" s="861"/>
      <c r="N77" s="861"/>
      <c r="O77" s="861"/>
      <c r="P77" s="861"/>
    </row>
    <row r="78" spans="6:16">
      <c r="F78" s="1219"/>
      <c r="G78" s="861"/>
      <c r="H78" s="861"/>
      <c r="I78" s="861"/>
      <c r="J78" s="861"/>
      <c r="K78" s="861"/>
      <c r="L78" s="861"/>
      <c r="M78" s="861"/>
      <c r="N78" s="861"/>
      <c r="O78" s="861"/>
      <c r="P78" s="861"/>
    </row>
    <row r="79" spans="6:16">
      <c r="F79" s="1219"/>
      <c r="G79" s="861"/>
      <c r="H79" s="861"/>
      <c r="I79" s="861"/>
      <c r="J79" s="861"/>
      <c r="K79" s="861"/>
      <c r="L79" s="861"/>
      <c r="M79" s="861"/>
      <c r="N79" s="861"/>
      <c r="O79" s="861"/>
      <c r="P79" s="861"/>
    </row>
  </sheetData>
  <mergeCells count="31">
    <mergeCell ref="P7:P12"/>
    <mergeCell ref="K7:K12"/>
    <mergeCell ref="L7:L12"/>
    <mergeCell ref="M7:M12"/>
    <mergeCell ref="N7:N12"/>
    <mergeCell ref="O7:O12"/>
    <mergeCell ref="T50:T51"/>
    <mergeCell ref="U50:U51"/>
    <mergeCell ref="V50:Y51"/>
    <mergeCell ref="Q7:Q12"/>
    <mergeCell ref="R7:R12"/>
    <mergeCell ref="S7:S12"/>
    <mergeCell ref="T7:T12"/>
    <mergeCell ref="V7:Y12"/>
    <mergeCell ref="D50:D51"/>
    <mergeCell ref="P50:P51"/>
    <mergeCell ref="Q50:Q51"/>
    <mergeCell ref="R50:R51"/>
    <mergeCell ref="S50:S51"/>
    <mergeCell ref="D3:N3"/>
    <mergeCell ref="O3:Y3"/>
    <mergeCell ref="D4:N4"/>
    <mergeCell ref="O4:Y4"/>
    <mergeCell ref="V5:Y5"/>
    <mergeCell ref="D7:D12"/>
    <mergeCell ref="G7:G12"/>
    <mergeCell ref="H7:H12"/>
    <mergeCell ref="I7:I12"/>
    <mergeCell ref="J7:J12"/>
    <mergeCell ref="F7:F12"/>
    <mergeCell ref="E7:E12"/>
  </mergeCells>
  <printOptions horizontalCentered="1"/>
  <pageMargins left="0" right="0" top="0.98425196850393704" bottom="0.98425196850393704" header="0.51181102362204722" footer="0.51181102362204722"/>
  <pageSetup paperSize="9" scale="39" orientation="portrait" r:id="rId1"/>
  <headerFooter alignWithMargins="0">
    <oddFooter>&amp;C&amp;"+,Regular"&amp;22-72-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Z77"/>
  <sheetViews>
    <sheetView topLeftCell="A36" zoomScale="55" zoomScaleNormal="55" workbookViewId="0">
      <selection activeCell="J53" sqref="J53"/>
    </sheetView>
  </sheetViews>
  <sheetFormatPr defaultColWidth="9.140625" defaultRowHeight="23.25"/>
  <cols>
    <col min="1" max="1" width="9.140625" style="1702"/>
    <col min="2" max="2" width="15.7109375" style="1702" customWidth="1"/>
    <col min="3" max="3" width="9.140625" style="1702"/>
    <col min="4" max="4" width="9.140625" style="1702" customWidth="1"/>
    <col min="5" max="5" width="15.7109375" style="1702" bestFit="1" customWidth="1"/>
    <col min="6" max="6" width="2.140625" style="3765" customWidth="1"/>
    <col min="7" max="7" width="2.7109375" style="3765" customWidth="1"/>
    <col min="8" max="8" width="74" style="3765" customWidth="1"/>
    <col min="9" max="11" width="16.7109375" style="3765" customWidth="1"/>
    <col min="12" max="20" width="16.7109375" style="1672" customWidth="1"/>
    <col min="21" max="31" width="16.7109375" style="3766" customWidth="1"/>
    <col min="32" max="32" width="15.7109375" style="1672" customWidth="1"/>
    <col min="33" max="33" width="2.85546875" style="1672" customWidth="1"/>
    <col min="34" max="34" width="61.42578125" style="1672" customWidth="1"/>
    <col min="35" max="35" width="2.42578125" style="1672" customWidth="1"/>
    <col min="36" max="36" width="3.28515625" style="1672" customWidth="1"/>
    <col min="37" max="38" width="9.140625" style="1702"/>
    <col min="39" max="39" width="13.140625" style="1702" customWidth="1"/>
    <col min="40" max="16384" width="9.140625" style="1702"/>
  </cols>
  <sheetData>
    <row r="1" spans="2:78" ht="9.9499999999999993" customHeight="1"/>
    <row r="2" spans="2:78" ht="9.9499999999999993" customHeight="1"/>
    <row r="3" spans="2:78" s="3766" customFormat="1" ht="9.9499999999999993" customHeight="1">
      <c r="D3" s="1672"/>
      <c r="E3" s="1672"/>
      <c r="F3" s="1672"/>
      <c r="G3" s="1672"/>
      <c r="H3" s="1672"/>
      <c r="I3" s="1672"/>
      <c r="J3" s="1672"/>
      <c r="K3" s="1672"/>
      <c r="L3" s="1673"/>
      <c r="M3" s="1673"/>
      <c r="N3" s="1673"/>
      <c r="O3" s="1673"/>
      <c r="P3" s="1673"/>
      <c r="Q3" s="1673"/>
      <c r="R3" s="1673"/>
      <c r="S3" s="1673"/>
      <c r="T3" s="1673"/>
      <c r="U3" s="1673"/>
      <c r="V3" s="1673"/>
      <c r="W3" s="1673"/>
      <c r="X3" s="1673"/>
      <c r="Y3" s="1673"/>
      <c r="Z3" s="1673"/>
      <c r="AA3" s="1673"/>
      <c r="AB3" s="1673"/>
      <c r="AC3" s="1673"/>
      <c r="AD3" s="1673"/>
      <c r="AE3" s="1673"/>
      <c r="AF3" s="3767"/>
      <c r="AG3" s="3767"/>
      <c r="AH3" s="3768"/>
      <c r="AI3" s="1673"/>
      <c r="AJ3" s="1673"/>
    </row>
    <row r="4" spans="2:78" ht="35.1" customHeight="1">
      <c r="F4" s="5249" t="s">
        <v>3017</v>
      </c>
      <c r="G4" s="5249"/>
      <c r="H4" s="5249"/>
      <c r="I4" s="5249"/>
      <c r="J4" s="5249"/>
      <c r="K4" s="5249"/>
      <c r="L4" s="5249"/>
      <c r="M4" s="5249"/>
      <c r="N4" s="5249"/>
      <c r="O4" s="5249"/>
      <c r="P4" s="5249"/>
      <c r="Q4" s="5249"/>
      <c r="R4" s="5249"/>
      <c r="S4" s="5249"/>
      <c r="T4" s="5249"/>
      <c r="U4" s="5249"/>
      <c r="V4" s="5249" t="s">
        <v>2686</v>
      </c>
      <c r="W4" s="5249"/>
      <c r="X4" s="5249"/>
      <c r="Y4" s="5249"/>
      <c r="Z4" s="5249"/>
      <c r="AA4" s="5249"/>
      <c r="AB4" s="5249"/>
      <c r="AC4" s="5249"/>
      <c r="AD4" s="5249"/>
      <c r="AE4" s="5249"/>
      <c r="AF4" s="5249"/>
      <c r="AG4" s="5249"/>
      <c r="AH4" s="5249"/>
      <c r="AI4" s="5249"/>
      <c r="AJ4" s="5249"/>
      <c r="AK4" s="1702" t="s">
        <v>8</v>
      </c>
    </row>
    <row r="5" spans="2:78" ht="9.9499999999999993" customHeight="1">
      <c r="F5" s="4436"/>
      <c r="G5" s="4436"/>
      <c r="H5" s="4436"/>
      <c r="I5" s="4530"/>
      <c r="J5" s="4530"/>
      <c r="K5" s="4436"/>
      <c r="L5" s="4436"/>
      <c r="M5" s="4436"/>
      <c r="N5" s="4436"/>
      <c r="O5" s="4436"/>
      <c r="P5" s="4436"/>
      <c r="Q5" s="4436"/>
      <c r="R5" s="4436"/>
      <c r="S5" s="4436"/>
      <c r="T5" s="4436"/>
      <c r="U5" s="4436"/>
      <c r="V5" s="4436"/>
      <c r="W5" s="4436"/>
      <c r="X5" s="4436"/>
      <c r="Y5" s="4436"/>
      <c r="Z5" s="4436"/>
      <c r="AA5" s="4436"/>
      <c r="AB5" s="4436"/>
      <c r="AC5" s="4436"/>
      <c r="AD5" s="4436"/>
      <c r="AE5" s="4436"/>
      <c r="AF5" s="4436"/>
      <c r="AG5" s="4436"/>
      <c r="AH5" s="4436"/>
      <c r="AI5" s="4436"/>
      <c r="AJ5" s="4436"/>
    </row>
    <row r="6" spans="2:78" s="3769" customFormat="1" ht="9.9499999999999993" customHeight="1">
      <c r="B6" s="3770"/>
      <c r="C6" s="3770"/>
      <c r="F6" s="1674"/>
      <c r="G6" s="1674"/>
      <c r="H6" s="1674"/>
      <c r="I6" s="1674"/>
      <c r="J6" s="1674"/>
      <c r="K6" s="1674"/>
      <c r="L6" s="1674"/>
      <c r="M6" s="1674"/>
      <c r="N6" s="1674"/>
      <c r="O6" s="1674"/>
      <c r="P6" s="1674"/>
      <c r="Q6" s="1674"/>
      <c r="R6" s="1674"/>
      <c r="S6" s="1674"/>
      <c r="T6" s="1674"/>
      <c r="U6" s="1674"/>
      <c r="V6" s="1674"/>
      <c r="W6" s="1674"/>
      <c r="X6" s="1674"/>
      <c r="Y6" s="1674"/>
      <c r="Z6" s="1674"/>
      <c r="AA6" s="1674"/>
      <c r="AB6" s="1674"/>
      <c r="AC6" s="1674"/>
      <c r="AD6" s="1674"/>
      <c r="AE6" s="1674"/>
      <c r="AF6" s="3771"/>
      <c r="AG6" s="3772"/>
      <c r="AH6" s="3773"/>
      <c r="AI6" s="3774"/>
      <c r="AJ6" s="3774"/>
      <c r="AK6" s="3774"/>
      <c r="AL6" s="3774"/>
      <c r="AM6" s="3774"/>
      <c r="AN6" s="3774"/>
      <c r="AO6" s="3774"/>
      <c r="AP6" s="3774"/>
      <c r="AQ6" s="3774"/>
      <c r="AR6" s="3774"/>
      <c r="AS6" s="3774"/>
      <c r="AT6" s="3774"/>
      <c r="AU6" s="3774"/>
    </row>
    <row r="7" spans="2:78" ht="35.1" customHeight="1">
      <c r="F7" s="5250" t="s">
        <v>3018</v>
      </c>
      <c r="G7" s="5250"/>
      <c r="H7" s="5250"/>
      <c r="I7" s="5250"/>
      <c r="J7" s="5250"/>
      <c r="K7" s="5250"/>
      <c r="L7" s="5250"/>
      <c r="M7" s="5250"/>
      <c r="N7" s="5250"/>
      <c r="O7" s="5250"/>
      <c r="P7" s="5250"/>
      <c r="Q7" s="5250"/>
      <c r="R7" s="5250"/>
      <c r="S7" s="5250"/>
      <c r="T7" s="5250"/>
      <c r="U7" s="5250"/>
      <c r="V7" s="5250" t="s">
        <v>2685</v>
      </c>
      <c r="W7" s="5250"/>
      <c r="X7" s="5250"/>
      <c r="Y7" s="5250"/>
      <c r="Z7" s="5250"/>
      <c r="AA7" s="5250"/>
      <c r="AB7" s="5250"/>
      <c r="AC7" s="5250"/>
      <c r="AD7" s="5250"/>
      <c r="AE7" s="5250"/>
      <c r="AF7" s="5250"/>
      <c r="AG7" s="5250"/>
      <c r="AH7" s="5250"/>
      <c r="AI7" s="5250"/>
      <c r="AJ7" s="5250"/>
      <c r="AK7" s="1702" t="s">
        <v>8</v>
      </c>
    </row>
    <row r="8" spans="2:78" s="3766" customFormat="1" ht="9.9499999999999993" customHeight="1">
      <c r="B8" s="3775"/>
      <c r="C8" s="3775"/>
      <c r="F8" s="1673"/>
      <c r="G8" s="1673"/>
      <c r="H8" s="1673"/>
      <c r="I8" s="1673"/>
      <c r="J8" s="1673"/>
      <c r="K8" s="1673"/>
      <c r="L8" s="1673"/>
      <c r="M8" s="1673"/>
      <c r="N8" s="1673"/>
      <c r="O8" s="1673"/>
      <c r="P8" s="1673"/>
      <c r="Q8" s="1673"/>
      <c r="R8" s="1673"/>
      <c r="S8" s="1673"/>
      <c r="T8" s="1673"/>
      <c r="U8" s="1673"/>
      <c r="V8" s="1673"/>
      <c r="W8" s="1673"/>
      <c r="X8" s="1673"/>
      <c r="Y8" s="1673"/>
      <c r="Z8" s="1673"/>
      <c r="AA8" s="1673"/>
      <c r="AB8" s="1673"/>
      <c r="AC8" s="1673"/>
      <c r="AD8" s="1673"/>
      <c r="AE8" s="1673"/>
      <c r="AF8" s="3776"/>
      <c r="AG8" s="3777"/>
      <c r="AH8" s="3778"/>
      <c r="AI8" s="1673"/>
      <c r="AJ8" s="1673"/>
    </row>
    <row r="9" spans="2:78" s="1675" customFormat="1" ht="20.100000000000001" customHeight="1">
      <c r="B9" s="3779"/>
      <c r="C9" s="3779"/>
      <c r="D9" s="3780"/>
      <c r="F9" s="3781" t="s">
        <v>2684</v>
      </c>
      <c r="AF9" s="3782"/>
      <c r="AG9" s="3783"/>
      <c r="AH9" s="3783"/>
      <c r="AI9" s="3784"/>
      <c r="AJ9" s="3785" t="s">
        <v>2684</v>
      </c>
      <c r="AK9" s="3786"/>
      <c r="AL9" s="3784"/>
      <c r="AM9" s="3784"/>
      <c r="AN9" s="3784"/>
      <c r="AO9" s="3784"/>
      <c r="AP9" s="3784"/>
      <c r="AQ9" s="3784"/>
      <c r="AR9" s="3784"/>
      <c r="AS9" s="3784"/>
      <c r="AT9" s="3784"/>
      <c r="AU9" s="3784"/>
      <c r="AV9" s="3784"/>
      <c r="AW9" s="3784"/>
      <c r="AX9" s="3784"/>
      <c r="AY9" s="3784"/>
      <c r="AZ9" s="3784"/>
      <c r="BA9" s="3784"/>
      <c r="BB9" s="3784"/>
      <c r="BC9" s="3784"/>
      <c r="BD9" s="3784"/>
      <c r="BE9" s="3784"/>
      <c r="BF9" s="3784"/>
      <c r="BG9" s="3784"/>
      <c r="BH9" s="3784"/>
      <c r="BI9" s="3784"/>
      <c r="BJ9" s="3784"/>
      <c r="BK9" s="3784"/>
      <c r="BL9" s="3784"/>
      <c r="BM9" s="3784"/>
      <c r="BN9" s="3784"/>
      <c r="BO9" s="3784"/>
      <c r="BP9" s="3784"/>
      <c r="BQ9" s="3784"/>
      <c r="BR9" s="3784"/>
      <c r="BS9" s="3784"/>
      <c r="BT9" s="3784"/>
      <c r="BU9" s="3784"/>
      <c r="BV9" s="3784"/>
      <c r="BW9" s="3784"/>
      <c r="BX9" s="3784"/>
      <c r="BY9" s="3784"/>
      <c r="BZ9" s="3784"/>
    </row>
    <row r="10" spans="2:78" s="1675" customFormat="1" ht="5.0999999999999996" customHeight="1">
      <c r="B10" s="3779"/>
      <c r="C10" s="3779"/>
      <c r="D10" s="3780"/>
      <c r="F10" s="3787"/>
      <c r="AF10" s="3782"/>
      <c r="AG10" s="3783"/>
      <c r="AH10" s="3783"/>
      <c r="AI10" s="3784"/>
      <c r="AJ10" s="3788"/>
      <c r="AK10" s="3786"/>
      <c r="AL10" s="3784"/>
      <c r="AM10" s="3784"/>
      <c r="AN10" s="3784"/>
      <c r="AO10" s="3784"/>
      <c r="AP10" s="3784"/>
      <c r="AQ10" s="3784"/>
      <c r="AR10" s="3784"/>
      <c r="AS10" s="3784"/>
      <c r="AT10" s="3784"/>
      <c r="AU10" s="3784"/>
      <c r="AV10" s="3784"/>
      <c r="AW10" s="3784"/>
      <c r="AX10" s="3784"/>
      <c r="AY10" s="3784"/>
      <c r="AZ10" s="3784"/>
      <c r="BA10" s="3784"/>
      <c r="BB10" s="3784"/>
      <c r="BC10" s="3784"/>
      <c r="BD10" s="3784"/>
      <c r="BE10" s="3784"/>
      <c r="BF10" s="3784"/>
      <c r="BG10" s="3784"/>
      <c r="BH10" s="3784"/>
      <c r="BI10" s="3784"/>
      <c r="BJ10" s="3784"/>
      <c r="BK10" s="3784"/>
      <c r="BL10" s="3784"/>
      <c r="BM10" s="3784"/>
      <c r="BN10" s="3784"/>
      <c r="BO10" s="3784"/>
      <c r="BP10" s="3784"/>
      <c r="BQ10" s="3784"/>
      <c r="BR10" s="3784"/>
      <c r="BS10" s="3784"/>
      <c r="BT10" s="3784"/>
      <c r="BU10" s="3784"/>
      <c r="BV10" s="3784"/>
      <c r="BW10" s="3784"/>
      <c r="BX10" s="3784"/>
      <c r="BY10" s="3784"/>
      <c r="BZ10" s="3784"/>
    </row>
    <row r="11" spans="2:78" ht="38.25" customHeight="1">
      <c r="F11" s="3789"/>
      <c r="G11" s="5243" t="s">
        <v>693</v>
      </c>
      <c r="H11" s="5244"/>
      <c r="I11" s="5237" t="s">
        <v>3126</v>
      </c>
      <c r="J11" s="5237" t="s">
        <v>3125</v>
      </c>
      <c r="K11" s="5237" t="s">
        <v>3124</v>
      </c>
      <c r="L11" s="5237" t="s">
        <v>3024</v>
      </c>
      <c r="M11" s="5237" t="s">
        <v>3019</v>
      </c>
      <c r="N11" s="5237" t="s">
        <v>2753</v>
      </c>
      <c r="O11" s="5237" t="s">
        <v>2683</v>
      </c>
      <c r="P11" s="5237" t="s">
        <v>2682</v>
      </c>
      <c r="Q11" s="5237">
        <v>2014</v>
      </c>
      <c r="R11" s="5237">
        <v>2013</v>
      </c>
      <c r="S11" s="5237">
        <v>2012</v>
      </c>
      <c r="T11" s="5237">
        <v>2011</v>
      </c>
      <c r="U11" s="5260">
        <v>2010</v>
      </c>
      <c r="V11" s="5257">
        <v>2009</v>
      </c>
      <c r="W11" s="5257">
        <v>2008</v>
      </c>
      <c r="X11" s="5240">
        <v>2007</v>
      </c>
      <c r="Y11" s="5240">
        <v>2006</v>
      </c>
      <c r="Z11" s="5240">
        <v>2005</v>
      </c>
      <c r="AA11" s="5240">
        <v>2004</v>
      </c>
      <c r="AB11" s="5240">
        <v>2003</v>
      </c>
      <c r="AC11" s="5240">
        <v>2002</v>
      </c>
      <c r="AD11" s="5240">
        <v>2001</v>
      </c>
      <c r="AE11" s="5240">
        <v>2000</v>
      </c>
      <c r="AF11" s="3790"/>
      <c r="AG11" s="5251" t="s">
        <v>2681</v>
      </c>
      <c r="AH11" s="5251"/>
      <c r="AI11" s="5252"/>
      <c r="AJ11" s="3791"/>
    </row>
    <row r="12" spans="2:78" ht="14.25" customHeight="1">
      <c r="F12" s="3792"/>
      <c r="G12" s="5245"/>
      <c r="H12" s="5246"/>
      <c r="I12" s="5238"/>
      <c r="J12" s="5238"/>
      <c r="K12" s="5238"/>
      <c r="L12" s="5238"/>
      <c r="M12" s="5238"/>
      <c r="N12" s="5238"/>
      <c r="O12" s="5238"/>
      <c r="P12" s="5238"/>
      <c r="Q12" s="5238"/>
      <c r="R12" s="5238"/>
      <c r="S12" s="5238"/>
      <c r="T12" s="5238"/>
      <c r="U12" s="5261"/>
      <c r="V12" s="5258"/>
      <c r="W12" s="5258"/>
      <c r="X12" s="5241"/>
      <c r="Y12" s="5241"/>
      <c r="Z12" s="5241"/>
      <c r="AA12" s="5241"/>
      <c r="AB12" s="5241"/>
      <c r="AC12" s="5241"/>
      <c r="AD12" s="5241"/>
      <c r="AE12" s="5241"/>
      <c r="AF12" s="3793" t="s">
        <v>2015</v>
      </c>
      <c r="AG12" s="5253"/>
      <c r="AH12" s="5253"/>
      <c r="AI12" s="5254"/>
      <c r="AJ12" s="3794"/>
    </row>
    <row r="13" spans="2:78" ht="35.25" customHeight="1">
      <c r="F13" s="3792" t="s">
        <v>8</v>
      </c>
      <c r="G13" s="5245"/>
      <c r="H13" s="5246"/>
      <c r="I13" s="5238"/>
      <c r="J13" s="5238"/>
      <c r="K13" s="5238"/>
      <c r="L13" s="5238"/>
      <c r="M13" s="5238"/>
      <c r="N13" s="5238"/>
      <c r="O13" s="5238"/>
      <c r="P13" s="5238"/>
      <c r="Q13" s="5238"/>
      <c r="R13" s="5238"/>
      <c r="S13" s="5238"/>
      <c r="T13" s="5238"/>
      <c r="U13" s="5261"/>
      <c r="V13" s="5258"/>
      <c r="W13" s="5258"/>
      <c r="X13" s="5241"/>
      <c r="Y13" s="5241"/>
      <c r="Z13" s="5241"/>
      <c r="AA13" s="5241"/>
      <c r="AB13" s="5241"/>
      <c r="AC13" s="5241"/>
      <c r="AD13" s="5241"/>
      <c r="AE13" s="5241"/>
      <c r="AF13" s="3793" t="s">
        <v>1939</v>
      </c>
      <c r="AG13" s="5253"/>
      <c r="AH13" s="5253"/>
      <c r="AI13" s="5254"/>
      <c r="AJ13" s="3795"/>
    </row>
    <row r="14" spans="2:78" ht="26.25" customHeight="1">
      <c r="F14" s="3792"/>
      <c r="G14" s="5245"/>
      <c r="H14" s="5246"/>
      <c r="I14" s="5238"/>
      <c r="J14" s="5238"/>
      <c r="K14" s="5238"/>
      <c r="L14" s="5238"/>
      <c r="M14" s="5238"/>
      <c r="N14" s="5238"/>
      <c r="O14" s="5238"/>
      <c r="P14" s="5238"/>
      <c r="Q14" s="5238"/>
      <c r="R14" s="5238"/>
      <c r="S14" s="5238"/>
      <c r="T14" s="5238"/>
      <c r="U14" s="5261"/>
      <c r="V14" s="5258"/>
      <c r="W14" s="5258"/>
      <c r="X14" s="5241"/>
      <c r="Y14" s="5241"/>
      <c r="Z14" s="5241"/>
      <c r="AA14" s="5241"/>
      <c r="AB14" s="5241"/>
      <c r="AC14" s="5241"/>
      <c r="AD14" s="5241"/>
      <c r="AE14" s="5241"/>
      <c r="AF14" s="3793"/>
      <c r="AG14" s="5253"/>
      <c r="AH14" s="5253"/>
      <c r="AI14" s="5254"/>
      <c r="AJ14" s="3794"/>
    </row>
    <row r="15" spans="2:78" ht="24.75" customHeight="1">
      <c r="F15" s="3796"/>
      <c r="G15" s="5245"/>
      <c r="H15" s="5246"/>
      <c r="I15" s="5238"/>
      <c r="J15" s="5238"/>
      <c r="K15" s="5238"/>
      <c r="L15" s="5238"/>
      <c r="M15" s="5238"/>
      <c r="N15" s="5238"/>
      <c r="O15" s="5238"/>
      <c r="P15" s="5238"/>
      <c r="Q15" s="5238"/>
      <c r="R15" s="5238"/>
      <c r="S15" s="5238"/>
      <c r="T15" s="5238"/>
      <c r="U15" s="5261"/>
      <c r="V15" s="5258"/>
      <c r="W15" s="5258"/>
      <c r="X15" s="5241"/>
      <c r="Y15" s="5241"/>
      <c r="Z15" s="5241"/>
      <c r="AA15" s="5241"/>
      <c r="AB15" s="5241"/>
      <c r="AC15" s="5241"/>
      <c r="AD15" s="5241"/>
      <c r="AE15" s="5241"/>
      <c r="AF15" s="3793" t="s">
        <v>2680</v>
      </c>
      <c r="AG15" s="5253"/>
      <c r="AH15" s="5253"/>
      <c r="AI15" s="5254"/>
      <c r="AJ15" s="3797"/>
    </row>
    <row r="16" spans="2:78" ht="28.5" customHeight="1">
      <c r="F16" s="3798"/>
      <c r="G16" s="5247"/>
      <c r="H16" s="5248"/>
      <c r="I16" s="5239"/>
      <c r="J16" s="5239"/>
      <c r="K16" s="5239"/>
      <c r="L16" s="5239"/>
      <c r="M16" s="5239"/>
      <c r="N16" s="5239"/>
      <c r="O16" s="5239"/>
      <c r="P16" s="5239"/>
      <c r="Q16" s="5239"/>
      <c r="R16" s="5239"/>
      <c r="S16" s="5239"/>
      <c r="T16" s="5239"/>
      <c r="U16" s="5262"/>
      <c r="V16" s="5259"/>
      <c r="W16" s="5259"/>
      <c r="X16" s="5242"/>
      <c r="Y16" s="5242"/>
      <c r="Z16" s="5242"/>
      <c r="AA16" s="5242"/>
      <c r="AB16" s="5242"/>
      <c r="AC16" s="5242"/>
      <c r="AD16" s="5242"/>
      <c r="AE16" s="5242"/>
      <c r="AF16" s="3799"/>
      <c r="AG16" s="5255"/>
      <c r="AH16" s="5255"/>
      <c r="AI16" s="5256"/>
      <c r="AJ16" s="3800"/>
    </row>
    <row r="17" spans="3:37" ht="28.5" customHeight="1">
      <c r="F17" s="3801"/>
      <c r="G17" s="3802"/>
      <c r="H17" s="3802"/>
      <c r="I17" s="3803"/>
      <c r="J17" s="1676"/>
      <c r="K17" s="1676"/>
      <c r="L17" s="4457"/>
      <c r="M17" s="1676"/>
      <c r="N17" s="1676"/>
      <c r="O17" s="1676"/>
      <c r="P17" s="1676"/>
      <c r="Q17" s="1676"/>
      <c r="R17" s="1676"/>
      <c r="S17" s="1676"/>
      <c r="T17" s="1676"/>
      <c r="U17" s="1676"/>
      <c r="V17" s="1676"/>
      <c r="W17" s="1676"/>
      <c r="X17" s="1676"/>
      <c r="Y17" s="1676"/>
      <c r="Z17" s="1676"/>
      <c r="AA17" s="1676"/>
      <c r="AB17" s="1676"/>
      <c r="AC17" s="1676"/>
      <c r="AD17" s="1676"/>
      <c r="AE17" s="3804"/>
      <c r="AF17" s="3805"/>
      <c r="AG17" s="3806"/>
      <c r="AH17" s="3802"/>
      <c r="AI17" s="3802"/>
      <c r="AJ17" s="3807"/>
    </row>
    <row r="18" spans="3:37" ht="39.950000000000003" customHeight="1">
      <c r="D18" s="3808"/>
      <c r="E18" s="3808"/>
      <c r="F18" s="3809"/>
      <c r="G18" s="3810" t="s">
        <v>2017</v>
      </c>
      <c r="H18" s="3810"/>
      <c r="I18" s="3811">
        <v>144.10697006599923</v>
      </c>
      <c r="J18" s="1677">
        <v>138.64545056476078</v>
      </c>
      <c r="K18" s="1677">
        <v>130.11472699162081</v>
      </c>
      <c r="L18" s="1677">
        <v>128.40650832777598</v>
      </c>
      <c r="M18" s="1677">
        <v>121.77039485599914</v>
      </c>
      <c r="N18" s="1677">
        <v>121.13589187714653</v>
      </c>
      <c r="O18" s="1677">
        <v>106.85942603057725</v>
      </c>
      <c r="P18" s="1677">
        <v>117.49544952454096</v>
      </c>
      <c r="Q18" s="1677">
        <v>100.49599647101265</v>
      </c>
      <c r="R18" s="1677">
        <v>98.898662941261463</v>
      </c>
      <c r="S18" s="1677">
        <v>99.830808323812633</v>
      </c>
      <c r="T18" s="1677">
        <v>101.36424222156293</v>
      </c>
      <c r="U18" s="1677">
        <v>100</v>
      </c>
      <c r="V18" s="1677">
        <v>71.577323563440018</v>
      </c>
      <c r="W18" s="1677">
        <v>100.31816428846895</v>
      </c>
      <c r="X18" s="1677">
        <v>90.522560740455077</v>
      </c>
      <c r="Y18" s="1677">
        <v>91.795217894330889</v>
      </c>
      <c r="Z18" s="1677">
        <v>100.11569610489781</v>
      </c>
      <c r="AA18" s="1677">
        <v>101.36907057462399</v>
      </c>
      <c r="AB18" s="1677">
        <v>105.34130350944852</v>
      </c>
      <c r="AC18" s="1677">
        <v>107.5684535287312</v>
      </c>
      <c r="AD18" s="1677">
        <v>100.22175086772079</v>
      </c>
      <c r="AE18" s="3812">
        <v>98.062090242961816</v>
      </c>
      <c r="AF18" s="3813">
        <f>SUM(AF19:AF21)</f>
        <v>8.2239971469372808</v>
      </c>
      <c r="AG18" s="3814"/>
      <c r="AH18" s="3815"/>
      <c r="AI18" s="3816" t="s">
        <v>2679</v>
      </c>
      <c r="AJ18" s="3817"/>
    </row>
    <row r="19" spans="3:37" ht="39.950000000000003" customHeight="1">
      <c r="D19" s="3808"/>
      <c r="F19" s="3818"/>
      <c r="G19" s="3819"/>
      <c r="H19" s="3819" t="s">
        <v>2678</v>
      </c>
      <c r="I19" s="3820">
        <v>76.475244358284741</v>
      </c>
      <c r="J19" s="1678">
        <v>94.445143023676721</v>
      </c>
      <c r="K19" s="1678">
        <v>75.557796059432178</v>
      </c>
      <c r="L19" s="1678">
        <v>48.620829569860057</v>
      </c>
      <c r="M19" s="1678">
        <v>47.269023205272269</v>
      </c>
      <c r="N19" s="1678">
        <v>50.370360891993293</v>
      </c>
      <c r="O19" s="1678">
        <v>58.430065133176726</v>
      </c>
      <c r="P19" s="1678">
        <v>61.682706589590708</v>
      </c>
      <c r="Q19" s="1678">
        <v>99.96553065978712</v>
      </c>
      <c r="R19" s="1678">
        <v>99.97861264693573</v>
      </c>
      <c r="S19" s="1678">
        <v>99.98480992621775</v>
      </c>
      <c r="T19" s="1678">
        <v>99.992691622334135</v>
      </c>
      <c r="U19" s="1678">
        <v>100</v>
      </c>
      <c r="V19" s="1678">
        <v>110.91236649079913</v>
      </c>
      <c r="W19" s="1678">
        <v>102.95972204349506</v>
      </c>
      <c r="X19" s="1678">
        <v>109.96010809419639</v>
      </c>
      <c r="Y19" s="1678">
        <v>125.826791918672</v>
      </c>
      <c r="Z19" s="1678">
        <v>121.40007721014028</v>
      </c>
      <c r="AA19" s="1678">
        <v>147.41989447947498</v>
      </c>
      <c r="AB19" s="1678">
        <v>144.62746107322096</v>
      </c>
      <c r="AC19" s="1678">
        <v>128.3747265474199</v>
      </c>
      <c r="AD19" s="1678">
        <v>129.14682795007079</v>
      </c>
      <c r="AE19" s="3821">
        <v>144.18993694505212</v>
      </c>
      <c r="AF19" s="3822">
        <v>7.708736857840115E-2</v>
      </c>
      <c r="AG19" s="3823"/>
      <c r="AH19" s="3824" t="s">
        <v>2677</v>
      </c>
      <c r="AI19" s="3824"/>
      <c r="AJ19" s="3825"/>
      <c r="AK19" s="3826"/>
    </row>
    <row r="20" spans="3:37" ht="39.950000000000003" customHeight="1">
      <c r="D20" s="3808"/>
      <c r="F20" s="3827"/>
      <c r="G20" s="3828"/>
      <c r="H20" s="3828" t="s">
        <v>2676</v>
      </c>
      <c r="I20" s="3829">
        <v>123.41587244835618</v>
      </c>
      <c r="J20" s="1679">
        <v>133.39252283562845</v>
      </c>
      <c r="K20" s="1679">
        <v>104.37421895389195</v>
      </c>
      <c r="L20" s="1679">
        <v>103.71861930607942</v>
      </c>
      <c r="M20" s="1679">
        <v>82.358466748905911</v>
      </c>
      <c r="N20" s="1679">
        <v>82.665854591191604</v>
      </c>
      <c r="O20" s="1679">
        <v>84.767915884199667</v>
      </c>
      <c r="P20" s="1679">
        <v>44.303108589755197</v>
      </c>
      <c r="Q20" s="1679">
        <v>99.739755149478583</v>
      </c>
      <c r="R20" s="1679">
        <v>99.923427493303876</v>
      </c>
      <c r="S20" s="1679">
        <v>100.14323692108763</v>
      </c>
      <c r="T20" s="1679">
        <v>100.13160563050543</v>
      </c>
      <c r="U20" s="1679">
        <v>100</v>
      </c>
      <c r="V20" s="1679">
        <v>138.08521830615464</v>
      </c>
      <c r="W20" s="1679">
        <v>184.08732246186216</v>
      </c>
      <c r="X20" s="1679">
        <v>171.56759600210415</v>
      </c>
      <c r="Y20" s="1679">
        <v>181.93056286165177</v>
      </c>
      <c r="Z20" s="1679">
        <v>285.00789058390319</v>
      </c>
      <c r="AA20" s="1679">
        <v>247.63282482903736</v>
      </c>
      <c r="AB20" s="1679">
        <v>173.88216728037872</v>
      </c>
      <c r="AC20" s="1679">
        <v>176.01262493424514</v>
      </c>
      <c r="AD20" s="1679">
        <v>361.80957390846919</v>
      </c>
      <c r="AE20" s="3830">
        <v>420.48921620199894</v>
      </c>
      <c r="AF20" s="3831">
        <v>0.37033002350533833</v>
      </c>
      <c r="AG20" s="3832"/>
      <c r="AH20" s="3833" t="s">
        <v>2675</v>
      </c>
      <c r="AI20" s="3833"/>
      <c r="AJ20" s="3834"/>
    </row>
    <row r="21" spans="3:37" ht="39.950000000000003" customHeight="1">
      <c r="D21" s="3808"/>
      <c r="F21" s="3835"/>
      <c r="G21" s="3836"/>
      <c r="H21" s="3836" t="s">
        <v>2674</v>
      </c>
      <c r="I21" s="3820">
        <v>147.99536281623685</v>
      </c>
      <c r="J21" s="1678">
        <v>139.458478652259</v>
      </c>
      <c r="K21" s="1678">
        <v>132.41063498620849</v>
      </c>
      <c r="L21" s="1678">
        <v>131.16616855161647</v>
      </c>
      <c r="M21" s="1678">
        <v>125.24422899623808</v>
      </c>
      <c r="N21" s="1678">
        <v>124.49233811070174</v>
      </c>
      <c r="O21" s="1678">
        <v>108.80997448942578</v>
      </c>
      <c r="P21" s="1678">
        <v>123.89574509951234</v>
      </c>
      <c r="Q21" s="1678">
        <v>100.7929572031484</v>
      </c>
      <c r="R21" s="1678">
        <v>98.995622702082159</v>
      </c>
      <c r="S21" s="1678">
        <v>99.70316325980356</v>
      </c>
      <c r="T21" s="1678">
        <v>101.23841538976536</v>
      </c>
      <c r="U21" s="1678">
        <v>100</v>
      </c>
      <c r="V21" s="1678">
        <v>69.684524920664543</v>
      </c>
      <c r="W21" s="1678">
        <v>99.103976106029492</v>
      </c>
      <c r="X21" s="1678">
        <v>88.930371476572702</v>
      </c>
      <c r="Y21" s="1678">
        <v>89.705058801568043</v>
      </c>
      <c r="Z21" s="1678">
        <v>97.059921597909266</v>
      </c>
      <c r="AA21" s="1678">
        <v>98.217285794287847</v>
      </c>
      <c r="AB21" s="1678">
        <v>103.41609109576255</v>
      </c>
      <c r="AC21" s="1678">
        <v>106.11349635990292</v>
      </c>
      <c r="AD21" s="1678">
        <v>95.939891730446149</v>
      </c>
      <c r="AE21" s="3821">
        <v>92.523800634683582</v>
      </c>
      <c r="AF21" s="3822">
        <v>7.7765797548535414</v>
      </c>
      <c r="AG21" s="3823"/>
      <c r="AH21" s="3837" t="s">
        <v>2673</v>
      </c>
      <c r="AI21" s="3837"/>
      <c r="AJ21" s="3825"/>
    </row>
    <row r="22" spans="3:37" ht="39.950000000000003" customHeight="1">
      <c r="D22" s="3808"/>
      <c r="F22" s="3838"/>
      <c r="G22" s="3839"/>
      <c r="H22" s="3839"/>
      <c r="I22" s="3829"/>
      <c r="J22" s="1679"/>
      <c r="K22" s="1679"/>
      <c r="L22" s="1679"/>
      <c r="M22" s="1679"/>
      <c r="N22" s="1679"/>
      <c r="O22" s="1679"/>
      <c r="P22" s="1679"/>
      <c r="Q22" s="1679"/>
      <c r="R22" s="1679"/>
      <c r="S22" s="1679"/>
      <c r="T22" s="1679"/>
      <c r="U22" s="1679"/>
      <c r="V22" s="1679"/>
      <c r="W22" s="1679"/>
      <c r="X22" s="1679"/>
      <c r="Y22" s="1679"/>
      <c r="Z22" s="1679"/>
      <c r="AA22" s="1679"/>
      <c r="AB22" s="1679"/>
      <c r="AC22" s="1679"/>
      <c r="AD22" s="1679"/>
      <c r="AE22" s="3830"/>
      <c r="AF22" s="3831"/>
      <c r="AG22" s="3840"/>
      <c r="AH22" s="3841"/>
      <c r="AI22" s="3841"/>
      <c r="AJ22" s="3817"/>
    </row>
    <row r="23" spans="3:37" ht="39.950000000000003" customHeight="1">
      <c r="D23" s="3808"/>
      <c r="E23" s="3808"/>
      <c r="F23" s="3818"/>
      <c r="G23" s="3842" t="s">
        <v>2025</v>
      </c>
      <c r="H23" s="3842"/>
      <c r="I23" s="3843">
        <v>86.062939406511973</v>
      </c>
      <c r="J23" s="1680">
        <v>84.0896011407022</v>
      </c>
      <c r="K23" s="1680">
        <v>74.011829364333323</v>
      </c>
      <c r="L23" s="1680">
        <v>85.838181790130974</v>
      </c>
      <c r="M23" s="1680">
        <v>86.923988218394129</v>
      </c>
      <c r="N23" s="1680">
        <v>93.438273315082128</v>
      </c>
      <c r="O23" s="1680">
        <v>95.737194935380842</v>
      </c>
      <c r="P23" s="1680">
        <v>97.171930206213446</v>
      </c>
      <c r="Q23" s="1680">
        <v>106.52556718415627</v>
      </c>
      <c r="R23" s="1680">
        <v>107.83740339320332</v>
      </c>
      <c r="S23" s="1680">
        <v>108.20457465697976</v>
      </c>
      <c r="T23" s="1680">
        <v>102.98084694907472</v>
      </c>
      <c r="U23" s="1680">
        <v>100</v>
      </c>
      <c r="V23" s="1680">
        <v>105.8774055626255</v>
      </c>
      <c r="W23" s="1680">
        <v>104.60716846031083</v>
      </c>
      <c r="X23" s="1680">
        <v>103.90803324741054</v>
      </c>
      <c r="Y23" s="1680">
        <v>101.50424265076956</v>
      </c>
      <c r="Z23" s="1680">
        <v>95.486893226951736</v>
      </c>
      <c r="AA23" s="1680">
        <v>85.587911375491331</v>
      </c>
      <c r="AB23" s="1680">
        <v>75.126383058424906</v>
      </c>
      <c r="AC23" s="1680">
        <v>83.227560911941197</v>
      </c>
      <c r="AD23" s="1680">
        <v>78.611805925955039</v>
      </c>
      <c r="AE23" s="3844">
        <v>69.154877475485833</v>
      </c>
      <c r="AF23" s="3845">
        <f>SUM(AF24:AF45)</f>
        <v>86.013022662040811</v>
      </c>
      <c r="AG23" s="3846"/>
      <c r="AH23" s="3847"/>
      <c r="AI23" s="3847" t="s">
        <v>2672</v>
      </c>
      <c r="AJ23" s="3825"/>
      <c r="AK23" s="3848" t="e">
        <f>(#REF!-#REF!)/#REF!*100</f>
        <v>#REF!</v>
      </c>
    </row>
    <row r="24" spans="3:37" ht="39.950000000000003" customHeight="1">
      <c r="D24" s="3808"/>
      <c r="F24" s="3838"/>
      <c r="G24" s="3839"/>
      <c r="H24" s="3839" t="s">
        <v>2671</v>
      </c>
      <c r="I24" s="3829">
        <v>49.473173342864392</v>
      </c>
      <c r="J24" s="1679">
        <v>47.761657694614762</v>
      </c>
      <c r="K24" s="1679">
        <v>53.182044458718686</v>
      </c>
      <c r="L24" s="1679">
        <v>66.028539246867254</v>
      </c>
      <c r="M24" s="1679">
        <v>70.442729932190261</v>
      </c>
      <c r="N24" s="1679">
        <v>80.700658529428765</v>
      </c>
      <c r="O24" s="1679">
        <v>84.832025798338663</v>
      </c>
      <c r="P24" s="1679">
        <v>101.27901494558148</v>
      </c>
      <c r="Q24" s="1679">
        <v>101.79802522922613</v>
      </c>
      <c r="R24" s="1679">
        <v>102.54075980773449</v>
      </c>
      <c r="S24" s="1679">
        <v>102.05886415018622</v>
      </c>
      <c r="T24" s="1679">
        <v>101.25029500433172</v>
      </c>
      <c r="U24" s="1679">
        <v>100</v>
      </c>
      <c r="V24" s="1679">
        <v>99.272240099160541</v>
      </c>
      <c r="W24" s="1679">
        <v>76.60099430554925</v>
      </c>
      <c r="X24" s="1679">
        <v>73.644417629069807</v>
      </c>
      <c r="Y24" s="1679">
        <v>82.85510404097576</v>
      </c>
      <c r="Z24" s="1679">
        <v>79.737723762450898</v>
      </c>
      <c r="AA24" s="1679">
        <v>67.770422408299567</v>
      </c>
      <c r="AB24" s="1679">
        <v>59.268571430012273</v>
      </c>
      <c r="AC24" s="1679">
        <v>75.628750097564392</v>
      </c>
      <c r="AD24" s="1679">
        <v>74.334824617123786</v>
      </c>
      <c r="AE24" s="3830">
        <v>72.381522853697447</v>
      </c>
      <c r="AF24" s="3831">
        <v>13.100760706144964</v>
      </c>
      <c r="AG24" s="3849"/>
      <c r="AH24" s="3841" t="s">
        <v>2670</v>
      </c>
      <c r="AI24" s="3841"/>
      <c r="AJ24" s="3817"/>
    </row>
    <row r="25" spans="3:37" ht="39.950000000000003" customHeight="1">
      <c r="D25" s="3808"/>
      <c r="F25" s="3835"/>
      <c r="G25" s="3836"/>
      <c r="H25" s="3836" t="s">
        <v>2669</v>
      </c>
      <c r="I25" s="3820">
        <v>80.273025005692489</v>
      </c>
      <c r="J25" s="1678">
        <v>78.759321488402648</v>
      </c>
      <c r="K25" s="1678">
        <v>88.088705560543403</v>
      </c>
      <c r="L25" s="1678">
        <v>104.70524114940467</v>
      </c>
      <c r="M25" s="1678">
        <v>96.539048048860991</v>
      </c>
      <c r="N25" s="1678">
        <v>87.541032152648143</v>
      </c>
      <c r="O25" s="1678">
        <v>90.460321292644366</v>
      </c>
      <c r="P25" s="1678">
        <v>92.864378245145204</v>
      </c>
      <c r="Q25" s="1678">
        <v>100.22700440662651</v>
      </c>
      <c r="R25" s="1678">
        <v>99.973816607177824</v>
      </c>
      <c r="S25" s="1678">
        <v>99.987095420702289</v>
      </c>
      <c r="T25" s="1678">
        <v>99.823587822010893</v>
      </c>
      <c r="U25" s="1678">
        <v>100</v>
      </c>
      <c r="V25" s="1678">
        <v>96.435848109107042</v>
      </c>
      <c r="W25" s="1678">
        <v>102.87857762414083</v>
      </c>
      <c r="X25" s="1678">
        <v>90.372183195378739</v>
      </c>
      <c r="Y25" s="1678">
        <v>75.844738857882689</v>
      </c>
      <c r="Z25" s="1678">
        <v>70.01120129178274</v>
      </c>
      <c r="AA25" s="1678">
        <v>56.458238005218519</v>
      </c>
      <c r="AB25" s="1678">
        <v>45.752531632466066</v>
      </c>
      <c r="AC25" s="1678">
        <v>42.501277347879203</v>
      </c>
      <c r="AD25" s="1678">
        <v>47.910598355133104</v>
      </c>
      <c r="AE25" s="3821">
        <v>44.281567438056825</v>
      </c>
      <c r="AF25" s="3822">
        <v>2.9388734616886678</v>
      </c>
      <c r="AG25" s="3850"/>
      <c r="AH25" s="3837" t="s">
        <v>2668</v>
      </c>
      <c r="AI25" s="3837"/>
      <c r="AJ25" s="3825"/>
    </row>
    <row r="26" spans="3:37" ht="39.950000000000003" customHeight="1">
      <c r="D26" s="3808"/>
      <c r="E26" s="3851"/>
      <c r="F26" s="3838"/>
      <c r="G26" s="3839"/>
      <c r="H26" s="3839" t="s">
        <v>2667</v>
      </c>
      <c r="I26" s="3829">
        <v>142.52139016056134</v>
      </c>
      <c r="J26" s="1679">
        <v>132.05435932842354</v>
      </c>
      <c r="K26" s="1679">
        <v>136.95524686825783</v>
      </c>
      <c r="L26" s="1679">
        <v>133.01662850019122</v>
      </c>
      <c r="M26" s="1679">
        <v>124.20450435659887</v>
      </c>
      <c r="N26" s="1679">
        <v>133.8799500182603</v>
      </c>
      <c r="O26" s="1679">
        <v>138.1759922318416</v>
      </c>
      <c r="P26" s="1679">
        <v>149.02857293794065</v>
      </c>
      <c r="Q26" s="1679">
        <v>102.17274522440272</v>
      </c>
      <c r="R26" s="1679">
        <v>101.96137281012554</v>
      </c>
      <c r="S26" s="1679">
        <v>100.67630787208215</v>
      </c>
      <c r="T26" s="1679">
        <v>100.7262146354113</v>
      </c>
      <c r="U26" s="1679">
        <v>100</v>
      </c>
      <c r="V26" s="1679">
        <v>93.041237113402076</v>
      </c>
      <c r="W26" s="1679">
        <v>96.843578974163179</v>
      </c>
      <c r="X26" s="1679">
        <v>96.598574519536712</v>
      </c>
      <c r="Y26" s="1679">
        <v>86.725213185694287</v>
      </c>
      <c r="Z26" s="1679">
        <v>77.456408298332704</v>
      </c>
      <c r="AA26" s="1679">
        <v>66.192567137584319</v>
      </c>
      <c r="AB26" s="1679">
        <v>59.294259895634468</v>
      </c>
      <c r="AC26" s="1679">
        <v>54.320987654320994</v>
      </c>
      <c r="AD26" s="1679">
        <v>61.601120020364007</v>
      </c>
      <c r="AE26" s="3830">
        <v>34.965635738831615</v>
      </c>
      <c r="AF26" s="3831">
        <v>5.0737868813689042</v>
      </c>
      <c r="AG26" s="3849"/>
      <c r="AH26" s="3841" t="s">
        <v>2666</v>
      </c>
      <c r="AI26" s="3841"/>
      <c r="AJ26" s="3852"/>
    </row>
    <row r="27" spans="3:37" ht="39.950000000000003" customHeight="1">
      <c r="D27" s="3808"/>
      <c r="F27" s="3853"/>
      <c r="G27" s="3836"/>
      <c r="H27" s="3836" t="s">
        <v>2665</v>
      </c>
      <c r="I27" s="3820">
        <v>114.68562653173137</v>
      </c>
      <c r="J27" s="1678">
        <v>106.09820482464086</v>
      </c>
      <c r="K27" s="1678">
        <v>100.87290528694079</v>
      </c>
      <c r="L27" s="1678">
        <v>131.17971417015983</v>
      </c>
      <c r="M27" s="1678">
        <v>111.07985384303028</v>
      </c>
      <c r="N27" s="1678">
        <v>113.54912891078622</v>
      </c>
      <c r="O27" s="1678">
        <v>108.09646752012009</v>
      </c>
      <c r="P27" s="1678">
        <v>91.382947629006637</v>
      </c>
      <c r="Q27" s="1678">
        <v>100.0715536977321</v>
      </c>
      <c r="R27" s="1678">
        <v>100.05339003602509</v>
      </c>
      <c r="S27" s="1678">
        <v>100.06495371696225</v>
      </c>
      <c r="T27" s="1678">
        <v>100.0333268318126</v>
      </c>
      <c r="U27" s="3854">
        <v>100</v>
      </c>
      <c r="V27" s="3854">
        <v>95.69550226073288</v>
      </c>
      <c r="W27" s="3854">
        <v>85.657759591447842</v>
      </c>
      <c r="X27" s="3854">
        <v>99.282434835426841</v>
      </c>
      <c r="Y27" s="3854">
        <v>89.18002621455183</v>
      </c>
      <c r="Z27" s="3854">
        <v>77.041337764974401</v>
      </c>
      <c r="AA27" s="3854">
        <v>97.20996867567743</v>
      </c>
      <c r="AB27" s="3854">
        <v>98.813909869173045</v>
      </c>
      <c r="AC27" s="3854">
        <v>89.730906054220952</v>
      </c>
      <c r="AD27" s="3854">
        <v>76.673058715810342</v>
      </c>
      <c r="AE27" s="3855">
        <v>92.084562826414555</v>
      </c>
      <c r="AF27" s="3822">
        <v>0.77086533486118869</v>
      </c>
      <c r="AG27" s="3850"/>
      <c r="AH27" s="3856" t="s">
        <v>2664</v>
      </c>
      <c r="AI27" s="3856"/>
      <c r="AJ27" s="3825"/>
    </row>
    <row r="28" spans="3:37" ht="39.950000000000003" customHeight="1">
      <c r="D28" s="3808"/>
      <c r="F28" s="3857"/>
      <c r="G28" s="3839"/>
      <c r="H28" s="3839" t="s">
        <v>2663</v>
      </c>
      <c r="I28" s="3858">
        <v>155.13181718141334</v>
      </c>
      <c r="J28" s="1681">
        <v>181.1624627549073</v>
      </c>
      <c r="K28" s="1681">
        <v>193.31603362620933</v>
      </c>
      <c r="L28" s="1681">
        <v>275.21675542686404</v>
      </c>
      <c r="M28" s="1681">
        <v>294.26888487046909</v>
      </c>
      <c r="N28" s="1681">
        <v>307.55464035579826</v>
      </c>
      <c r="O28" s="1681">
        <v>328.18187874181933</v>
      </c>
      <c r="P28" s="1681">
        <v>168.26559881540942</v>
      </c>
      <c r="Q28" s="1681">
        <v>102.71797564601289</v>
      </c>
      <c r="R28" s="1681">
        <v>102.41824933870177</v>
      </c>
      <c r="S28" s="1681">
        <v>102.20937614993167</v>
      </c>
      <c r="T28" s="1681">
        <v>101.29117729401666</v>
      </c>
      <c r="U28" s="3859">
        <v>100</v>
      </c>
      <c r="V28" s="3859">
        <v>103.29307681505408</v>
      </c>
      <c r="W28" s="3859">
        <v>108.99452324111782</v>
      </c>
      <c r="X28" s="3859">
        <v>97.514394045780094</v>
      </c>
      <c r="Y28" s="3859">
        <v>109.12090998455274</v>
      </c>
      <c r="Z28" s="3859">
        <v>103.67223704535881</v>
      </c>
      <c r="AA28" s="3859">
        <v>94.776014604690346</v>
      </c>
      <c r="AB28" s="3859">
        <v>73.493891307400645</v>
      </c>
      <c r="AC28" s="3859">
        <v>85.669147591630392</v>
      </c>
      <c r="AD28" s="3859">
        <v>71.071478724898199</v>
      </c>
      <c r="AE28" s="3860">
        <v>68.754388428591497</v>
      </c>
      <c r="AF28" s="3861">
        <v>4.7597420776900652</v>
      </c>
      <c r="AG28" s="3862"/>
      <c r="AH28" s="3863" t="s">
        <v>2662</v>
      </c>
      <c r="AI28" s="3863"/>
      <c r="AJ28" s="3817"/>
    </row>
    <row r="29" spans="3:37" ht="39.950000000000003" customHeight="1">
      <c r="D29" s="3808"/>
      <c r="F29" s="3853"/>
      <c r="G29" s="3836"/>
      <c r="H29" s="3836" t="s">
        <v>2661</v>
      </c>
      <c r="I29" s="3864">
        <v>194.49980800628228</v>
      </c>
      <c r="J29" s="1682">
        <v>185.1555562555794</v>
      </c>
      <c r="K29" s="1682">
        <v>300.74153515384569</v>
      </c>
      <c r="L29" s="1682">
        <v>227.4597894657162</v>
      </c>
      <c r="M29" s="1682">
        <v>253.51174242220608</v>
      </c>
      <c r="N29" s="1682">
        <v>288.87660107089363</v>
      </c>
      <c r="O29" s="1682">
        <v>282.92329641160615</v>
      </c>
      <c r="P29" s="1682">
        <v>211.94025538186497</v>
      </c>
      <c r="Q29" s="1682">
        <v>100.08620414131606</v>
      </c>
      <c r="R29" s="1682">
        <v>100.00111070351494</v>
      </c>
      <c r="S29" s="1682">
        <v>99.889943955249663</v>
      </c>
      <c r="T29" s="1682">
        <v>99.879530764648834</v>
      </c>
      <c r="U29" s="3854">
        <v>100</v>
      </c>
      <c r="V29" s="3854">
        <v>514.12618648799548</v>
      </c>
      <c r="W29" s="3854">
        <v>306.97934115019541</v>
      </c>
      <c r="X29" s="3854">
        <v>48.967057509771074</v>
      </c>
      <c r="Y29" s="3854">
        <v>402.73590173087661</v>
      </c>
      <c r="Z29" s="3854">
        <v>339.9776661083194</v>
      </c>
      <c r="AA29" s="3854">
        <v>818.25795644891127</v>
      </c>
      <c r="AB29" s="3854">
        <v>715.96873255164712</v>
      </c>
      <c r="AC29" s="3854">
        <v>735.73422668900059</v>
      </c>
      <c r="AD29" s="3854">
        <v>848.57621440536013</v>
      </c>
      <c r="AE29" s="3855">
        <v>772.08263539921836</v>
      </c>
      <c r="AF29" s="3865">
        <v>0.14632486970325481</v>
      </c>
      <c r="AG29" s="3866"/>
      <c r="AH29" s="3867" t="s">
        <v>2660</v>
      </c>
      <c r="AI29" s="3867"/>
      <c r="AJ29" s="3825"/>
    </row>
    <row r="30" spans="3:37" ht="47.25" customHeight="1">
      <c r="C30" s="3868"/>
      <c r="D30" s="3808"/>
      <c r="F30" s="3857"/>
      <c r="G30" s="3869"/>
      <c r="H30" s="3870" t="s">
        <v>2659</v>
      </c>
      <c r="I30" s="3858">
        <v>261.90064816219069</v>
      </c>
      <c r="J30" s="1681">
        <v>265.80092026256722</v>
      </c>
      <c r="K30" s="1681">
        <v>250.31166378730441</v>
      </c>
      <c r="L30" s="1681">
        <v>260.07443674966396</v>
      </c>
      <c r="M30" s="1681">
        <v>248.58838981049476</v>
      </c>
      <c r="N30" s="1681">
        <v>208.5231660984372</v>
      </c>
      <c r="O30" s="1681">
        <v>147.47626515109081</v>
      </c>
      <c r="P30" s="1681">
        <v>107.50032521762422</v>
      </c>
      <c r="Q30" s="1681">
        <v>100.0191014573286</v>
      </c>
      <c r="R30" s="1681">
        <v>100.02184413327866</v>
      </c>
      <c r="S30" s="1681">
        <v>100.01283184066895</v>
      </c>
      <c r="T30" s="1681">
        <v>100.00747198204662</v>
      </c>
      <c r="U30" s="1681">
        <v>100</v>
      </c>
      <c r="V30" s="1681">
        <v>96.900391212759573</v>
      </c>
      <c r="W30" s="1681">
        <v>95.51609990972014</v>
      </c>
      <c r="X30" s="1681">
        <v>94.583207944628356</v>
      </c>
      <c r="Y30" s="1681">
        <v>90.159494432741511</v>
      </c>
      <c r="Z30" s="1681">
        <v>94.523021366235341</v>
      </c>
      <c r="AA30" s="1681">
        <v>209.69003912127599</v>
      </c>
      <c r="AB30" s="1681">
        <v>134.36653626241349</v>
      </c>
      <c r="AC30" s="1681">
        <v>4177.4902196810117</v>
      </c>
      <c r="AD30" s="1681">
        <v>680.37917544387608</v>
      </c>
      <c r="AE30" s="3871">
        <v>210.05115859163408</v>
      </c>
      <c r="AF30" s="3872">
        <v>0.44691633671436409</v>
      </c>
      <c r="AG30" s="3862"/>
      <c r="AH30" s="3873" t="s">
        <v>2658</v>
      </c>
      <c r="AI30" s="3873"/>
      <c r="AJ30" s="3817"/>
    </row>
    <row r="31" spans="3:37" ht="39.950000000000003" customHeight="1">
      <c r="C31" s="3868"/>
      <c r="D31" s="3808"/>
      <c r="F31" s="3853"/>
      <c r="G31" s="3874"/>
      <c r="H31" s="3874" t="s">
        <v>2657</v>
      </c>
      <c r="I31" s="3864">
        <v>101.00307538039414</v>
      </c>
      <c r="J31" s="1682">
        <v>95.131966899821634</v>
      </c>
      <c r="K31" s="1682">
        <v>83.8754914397596</v>
      </c>
      <c r="L31" s="1682">
        <v>71.383520341858016</v>
      </c>
      <c r="M31" s="1682">
        <v>77.412816704060944</v>
      </c>
      <c r="N31" s="1682">
        <v>93.428029952790496</v>
      </c>
      <c r="O31" s="1682">
        <v>97.773298047197031</v>
      </c>
      <c r="P31" s="1682">
        <v>103.44642326529372</v>
      </c>
      <c r="Q31" s="1682">
        <v>100.15965814023133</v>
      </c>
      <c r="R31" s="1682">
        <v>100.17172512662641</v>
      </c>
      <c r="S31" s="1682">
        <v>100.17517469819428</v>
      </c>
      <c r="T31" s="1682">
        <v>100.12271982941938</v>
      </c>
      <c r="U31" s="1678">
        <v>100</v>
      </c>
      <c r="V31" s="1678">
        <v>107.24378465390808</v>
      </c>
      <c r="W31" s="1678">
        <v>130.87104274727241</v>
      </c>
      <c r="X31" s="1678">
        <v>140.502593453765</v>
      </c>
      <c r="Y31" s="1678">
        <v>130.0214630656412</v>
      </c>
      <c r="Z31" s="1678">
        <v>122.93865140404222</v>
      </c>
      <c r="AA31" s="1678">
        <v>109.36326238597748</v>
      </c>
      <c r="AB31" s="1678">
        <v>86.764442854587728</v>
      </c>
      <c r="AC31" s="1678">
        <v>96.324450008942947</v>
      </c>
      <c r="AD31" s="1678">
        <v>98.819531389733513</v>
      </c>
      <c r="AE31" s="3821">
        <v>89.626184940082283</v>
      </c>
      <c r="AF31" s="3822">
        <v>1.8389483639130262</v>
      </c>
      <c r="AG31" s="3850"/>
      <c r="AH31" s="3867" t="s">
        <v>2656</v>
      </c>
      <c r="AI31" s="3867"/>
      <c r="AJ31" s="3825"/>
    </row>
    <row r="32" spans="3:37" ht="39.950000000000003" customHeight="1">
      <c r="C32" s="3868"/>
      <c r="D32" s="3808"/>
      <c r="F32" s="3857"/>
      <c r="G32" s="3869"/>
      <c r="H32" s="3869" t="s">
        <v>2655</v>
      </c>
      <c r="I32" s="3858">
        <v>29.72171806413813</v>
      </c>
      <c r="J32" s="1681">
        <v>29.054681610513526</v>
      </c>
      <c r="K32" s="1681">
        <v>27.558729102461928</v>
      </c>
      <c r="L32" s="1681">
        <v>55.221659919117172</v>
      </c>
      <c r="M32" s="1681">
        <v>59.072157243179355</v>
      </c>
      <c r="N32" s="1681">
        <v>63.583009002095423</v>
      </c>
      <c r="O32" s="1681">
        <v>66.197137192829402</v>
      </c>
      <c r="P32" s="1681">
        <v>68.961001420302168</v>
      </c>
      <c r="Q32" s="1681">
        <v>99.599781010511009</v>
      </c>
      <c r="R32" s="1681">
        <v>99.792006116849819</v>
      </c>
      <c r="S32" s="1681">
        <v>99.922371343100167</v>
      </c>
      <c r="T32" s="1681">
        <v>99.993915081788913</v>
      </c>
      <c r="U32" s="3859">
        <v>100</v>
      </c>
      <c r="V32" s="3859">
        <v>113.30618751664079</v>
      </c>
      <c r="W32" s="3859">
        <v>87.151266203725683</v>
      </c>
      <c r="X32" s="3859">
        <v>106.14338073974518</v>
      </c>
      <c r="Y32" s="3859">
        <v>104.51033666892575</v>
      </c>
      <c r="Z32" s="3859">
        <v>101.39012879806184</v>
      </c>
      <c r="AA32" s="3859">
        <v>87.520804733407559</v>
      </c>
      <c r="AB32" s="3859">
        <v>76.519359775611733</v>
      </c>
      <c r="AC32" s="3859">
        <v>87.316434954060327</v>
      </c>
      <c r="AD32" s="3859">
        <v>127.17768795949441</v>
      </c>
      <c r="AE32" s="3860">
        <v>114.03353835515209</v>
      </c>
      <c r="AF32" s="3861">
        <v>1.6068511658955298</v>
      </c>
      <c r="AG32" s="3849"/>
      <c r="AH32" s="3863" t="s">
        <v>2654</v>
      </c>
      <c r="AI32" s="3863"/>
      <c r="AJ32" s="3817"/>
    </row>
    <row r="33" spans="3:40" ht="45.75" customHeight="1">
      <c r="C33" s="3868"/>
      <c r="D33" s="3808"/>
      <c r="F33" s="3875"/>
      <c r="G33" s="3874"/>
      <c r="H33" s="3876" t="s">
        <v>2653</v>
      </c>
      <c r="I33" s="3820">
        <v>132.25493141443499</v>
      </c>
      <c r="J33" s="1678">
        <v>114.81696525994596</v>
      </c>
      <c r="K33" s="1678">
        <v>55.590426845090825</v>
      </c>
      <c r="L33" s="1678">
        <v>66.753760378585312</v>
      </c>
      <c r="M33" s="1678">
        <v>64.737082167368882</v>
      </c>
      <c r="N33" s="1678">
        <v>77.864845106134396</v>
      </c>
      <c r="O33" s="1678">
        <v>84.029651466710803</v>
      </c>
      <c r="P33" s="1678">
        <v>96.894318043168667</v>
      </c>
      <c r="Q33" s="1678">
        <v>98.610077397485782</v>
      </c>
      <c r="R33" s="1678">
        <v>99.375239214573682</v>
      </c>
      <c r="S33" s="1678">
        <v>101.77830593000532</v>
      </c>
      <c r="T33" s="1678">
        <v>99.903055799806779</v>
      </c>
      <c r="U33" s="3854">
        <v>100</v>
      </c>
      <c r="V33" s="3854">
        <v>105.35350596450392</v>
      </c>
      <c r="W33" s="3854">
        <v>116.93337212685481</v>
      </c>
      <c r="X33" s="3854">
        <v>116.11870817573465</v>
      </c>
      <c r="Y33" s="3854">
        <v>120.09504412763069</v>
      </c>
      <c r="Z33" s="3854">
        <v>125.27397924546599</v>
      </c>
      <c r="AA33" s="3854">
        <v>117.23402191833964</v>
      </c>
      <c r="AB33" s="3854">
        <v>109.67898360973717</v>
      </c>
      <c r="AC33" s="3854">
        <v>107.93327514305112</v>
      </c>
      <c r="AD33" s="3854">
        <v>106.80826302007564</v>
      </c>
      <c r="AE33" s="3855">
        <v>106.12937639414218</v>
      </c>
      <c r="AF33" s="3865">
        <v>20.429672541230079</v>
      </c>
      <c r="AG33" s="3850"/>
      <c r="AH33" s="3856" t="s">
        <v>2652</v>
      </c>
      <c r="AI33" s="3856"/>
      <c r="AJ33" s="3825"/>
    </row>
    <row r="34" spans="3:40" ht="39.950000000000003" customHeight="1">
      <c r="C34" s="3868"/>
      <c r="D34" s="3808"/>
      <c r="F34" s="3877"/>
      <c r="G34" s="3828"/>
      <c r="H34" s="3878" t="s">
        <v>2651</v>
      </c>
      <c r="I34" s="3829">
        <v>146.16733973809272</v>
      </c>
      <c r="J34" s="1679">
        <v>150.5177563877977</v>
      </c>
      <c r="K34" s="1679">
        <v>146.8097517491293</v>
      </c>
      <c r="L34" s="1679">
        <v>129.44380548130854</v>
      </c>
      <c r="M34" s="1679">
        <v>112.35010393714499</v>
      </c>
      <c r="N34" s="1679">
        <v>87.961814862545964</v>
      </c>
      <c r="O34" s="1679">
        <v>87.696721706817812</v>
      </c>
      <c r="P34" s="1679">
        <v>90.259601306754107</v>
      </c>
      <c r="Q34" s="1679">
        <v>101.16520414030316</v>
      </c>
      <c r="R34" s="1679">
        <v>101.80758458526144</v>
      </c>
      <c r="S34" s="1679">
        <v>100.52847529630567</v>
      </c>
      <c r="T34" s="1679">
        <v>100.0501674738493</v>
      </c>
      <c r="U34" s="3859">
        <v>100</v>
      </c>
      <c r="V34" s="3859">
        <v>88.938790287916561</v>
      </c>
      <c r="W34" s="3859">
        <v>91.280940760106873</v>
      </c>
      <c r="X34" s="3859">
        <v>92.116927249748315</v>
      </c>
      <c r="Y34" s="3859">
        <v>100.64087901568182</v>
      </c>
      <c r="Z34" s="3859">
        <v>92.729253652825946</v>
      </c>
      <c r="AA34" s="3859">
        <v>90.939215380542947</v>
      </c>
      <c r="AB34" s="3859">
        <v>77.049492329504787</v>
      </c>
      <c r="AC34" s="3859">
        <v>84.410886053140473</v>
      </c>
      <c r="AD34" s="3859">
        <v>83.396472791143111</v>
      </c>
      <c r="AE34" s="3860">
        <v>71.162930695676337</v>
      </c>
      <c r="AF34" s="3861">
        <v>7.9698305225767374</v>
      </c>
      <c r="AG34" s="3849"/>
      <c r="AH34" s="3863" t="s">
        <v>2650</v>
      </c>
      <c r="AI34" s="3863"/>
      <c r="AJ34" s="3817"/>
    </row>
    <row r="35" spans="3:40" ht="44.25" customHeight="1">
      <c r="C35" s="3868"/>
      <c r="D35" s="3808"/>
      <c r="F35" s="3875"/>
      <c r="G35" s="3874"/>
      <c r="H35" s="3879" t="s">
        <v>2649</v>
      </c>
      <c r="I35" s="3820">
        <v>122.02935655218316</v>
      </c>
      <c r="J35" s="1678">
        <v>116.27039236578911</v>
      </c>
      <c r="K35" s="1678">
        <v>115.48736141176282</v>
      </c>
      <c r="L35" s="1678">
        <v>101.58857941328351</v>
      </c>
      <c r="M35" s="1678">
        <v>87.227990933576748</v>
      </c>
      <c r="N35" s="1678">
        <v>86.603302358960093</v>
      </c>
      <c r="O35" s="1678">
        <v>78.063774130365587</v>
      </c>
      <c r="P35" s="1678">
        <v>70.170863540797995</v>
      </c>
      <c r="Q35" s="1678">
        <v>98.924988739390045</v>
      </c>
      <c r="R35" s="1678">
        <v>99.476349837994292</v>
      </c>
      <c r="S35" s="1678">
        <v>99.788450019345319</v>
      </c>
      <c r="T35" s="1678">
        <v>99.105275467033991</v>
      </c>
      <c r="U35" s="1678">
        <v>100</v>
      </c>
      <c r="V35" s="1678">
        <v>114.47154471544717</v>
      </c>
      <c r="W35" s="1678">
        <v>105.50522648083624</v>
      </c>
      <c r="X35" s="1678">
        <v>93.704994192799063</v>
      </c>
      <c r="Y35" s="1678">
        <v>80.868757259001157</v>
      </c>
      <c r="Z35" s="1678">
        <v>75.80952380952381</v>
      </c>
      <c r="AA35" s="1678">
        <v>62.606271777003485</v>
      </c>
      <c r="AB35" s="1678">
        <v>57.180023228803719</v>
      </c>
      <c r="AC35" s="1678">
        <v>55.042973286875728</v>
      </c>
      <c r="AD35" s="1678">
        <v>61.677119628339135</v>
      </c>
      <c r="AE35" s="3821">
        <v>50.299651567944252</v>
      </c>
      <c r="AF35" s="3822">
        <v>4.8911856029228709</v>
      </c>
      <c r="AG35" s="3850"/>
      <c r="AH35" s="3856" t="s">
        <v>2648</v>
      </c>
      <c r="AI35" s="3856"/>
      <c r="AJ35" s="3825"/>
    </row>
    <row r="36" spans="3:40" ht="39.950000000000003" customHeight="1">
      <c r="D36" s="3808"/>
      <c r="F36" s="3857"/>
      <c r="G36" s="3880"/>
      <c r="H36" s="3880" t="s">
        <v>2647</v>
      </c>
      <c r="I36" s="3858">
        <v>62.791129994155142</v>
      </c>
      <c r="J36" s="1681">
        <v>77.398476229917918</v>
      </c>
      <c r="K36" s="1681">
        <v>127.11660290321306</v>
      </c>
      <c r="L36" s="1681">
        <v>170.11262906297659</v>
      </c>
      <c r="M36" s="1681">
        <v>192.61688855483035</v>
      </c>
      <c r="N36" s="1681">
        <v>200.75577806574037</v>
      </c>
      <c r="O36" s="1681">
        <v>146.28879535078366</v>
      </c>
      <c r="P36" s="1681">
        <v>99.492216655329614</v>
      </c>
      <c r="Q36" s="1681">
        <v>100.24349254972473</v>
      </c>
      <c r="R36" s="1681">
        <v>100.220550354091</v>
      </c>
      <c r="S36" s="1681">
        <v>100.21488304331558</v>
      </c>
      <c r="T36" s="1681">
        <v>99.935656546268106</v>
      </c>
      <c r="U36" s="1681">
        <v>100</v>
      </c>
      <c r="V36" s="1681">
        <v>109.96009085490962</v>
      </c>
      <c r="W36" s="1681">
        <v>92.393107133805145</v>
      </c>
      <c r="X36" s="1681">
        <v>118.43996822496527</v>
      </c>
      <c r="Y36" s="1681">
        <v>104.70243307248695</v>
      </c>
      <c r="Z36" s="1681">
        <v>114.79309668571726</v>
      </c>
      <c r="AA36" s="1681">
        <v>93.827296130268209</v>
      </c>
      <c r="AB36" s="1681">
        <v>91.217869649995663</v>
      </c>
      <c r="AC36" s="1681">
        <v>117.24530353254009</v>
      </c>
      <c r="AD36" s="1681">
        <v>96.578799129275637</v>
      </c>
      <c r="AE36" s="3871">
        <v>69.385909856051612</v>
      </c>
      <c r="AF36" s="3872">
        <v>2.762660639202172</v>
      </c>
      <c r="AG36" s="3862"/>
      <c r="AH36" s="3873" t="s">
        <v>2646</v>
      </c>
      <c r="AI36" s="3873"/>
      <c r="AJ36" s="3817"/>
    </row>
    <row r="37" spans="3:40" ht="39.950000000000003" customHeight="1">
      <c r="D37" s="3808"/>
      <c r="F37" s="3881"/>
      <c r="G37" s="3819"/>
      <c r="H37" s="3882" t="s">
        <v>2645</v>
      </c>
      <c r="I37" s="3864">
        <v>37.428277367592365</v>
      </c>
      <c r="J37" s="1682">
        <v>48.799833703212791</v>
      </c>
      <c r="K37" s="1682">
        <v>57.306049465001259</v>
      </c>
      <c r="L37" s="1682">
        <v>79.9119752869275</v>
      </c>
      <c r="M37" s="1682">
        <v>87.788307359814937</v>
      </c>
      <c r="N37" s="1682">
        <v>93.016235129622302</v>
      </c>
      <c r="O37" s="1682">
        <v>91.310671787107239</v>
      </c>
      <c r="P37" s="1682">
        <v>103.30102486023645</v>
      </c>
      <c r="Q37" s="1682">
        <v>99.926674936173811</v>
      </c>
      <c r="R37" s="1682">
        <v>99.344626335763735</v>
      </c>
      <c r="S37" s="1682">
        <v>99.542387389034559</v>
      </c>
      <c r="T37" s="1682">
        <v>99.960521297076895</v>
      </c>
      <c r="U37" s="1682">
        <v>100</v>
      </c>
      <c r="V37" s="1682">
        <v>121.17308260219058</v>
      </c>
      <c r="W37" s="1682">
        <v>132.86908432534</v>
      </c>
      <c r="X37" s="1682">
        <v>133.11701466003367</v>
      </c>
      <c r="Y37" s="1682">
        <v>127.79370965842503</v>
      </c>
      <c r="Z37" s="1682">
        <v>120.85960500412392</v>
      </c>
      <c r="AA37" s="1682">
        <v>106.34074112527078</v>
      </c>
      <c r="AB37" s="1682">
        <v>94.447979793480911</v>
      </c>
      <c r="AC37" s="1682">
        <v>94.824251093262191</v>
      </c>
      <c r="AD37" s="1682">
        <v>80.499783312102494</v>
      </c>
      <c r="AE37" s="3883">
        <v>70.228942094820809</v>
      </c>
      <c r="AF37" s="3884">
        <v>5.6588525343428815</v>
      </c>
      <c r="AG37" s="3866"/>
      <c r="AH37" s="3867" t="s">
        <v>2644</v>
      </c>
      <c r="AI37" s="3867"/>
      <c r="AJ37" s="3825"/>
    </row>
    <row r="38" spans="3:40" ht="39.950000000000003" customHeight="1">
      <c r="D38" s="3808"/>
      <c r="F38" s="3857"/>
      <c r="G38" s="3869"/>
      <c r="H38" s="3869" t="s">
        <v>2643</v>
      </c>
      <c r="I38" s="3858">
        <v>47.845306509850765</v>
      </c>
      <c r="J38" s="1681">
        <v>43.197898890908597</v>
      </c>
      <c r="K38" s="1681">
        <v>55.424587559634382</v>
      </c>
      <c r="L38" s="1681">
        <v>60.728901952661261</v>
      </c>
      <c r="M38" s="1681">
        <v>70.172152055489761</v>
      </c>
      <c r="N38" s="1681">
        <v>73.539319979359064</v>
      </c>
      <c r="O38" s="1681">
        <v>78.006298407320386</v>
      </c>
      <c r="P38" s="1681">
        <v>102.03072260781137</v>
      </c>
      <c r="Q38" s="1681">
        <v>100.14190333317903</v>
      </c>
      <c r="R38" s="1681">
        <v>100.09332206881342</v>
      </c>
      <c r="S38" s="1681">
        <v>100.22241610072493</v>
      </c>
      <c r="T38" s="1681">
        <v>100.10934685257169</v>
      </c>
      <c r="U38" s="1681">
        <v>100</v>
      </c>
      <c r="V38" s="1681">
        <v>103.888306295687</v>
      </c>
      <c r="W38" s="1681">
        <v>116.12083677637514</v>
      </c>
      <c r="X38" s="1681">
        <v>121.84472759594429</v>
      </c>
      <c r="Y38" s="1681">
        <v>114.58389064815232</v>
      </c>
      <c r="Z38" s="1681">
        <v>137.4911455636564</v>
      </c>
      <c r="AA38" s="1681">
        <v>118.30771491765188</v>
      </c>
      <c r="AB38" s="1681">
        <v>107.64479303684605</v>
      </c>
      <c r="AC38" s="1681">
        <v>98.463207642771323</v>
      </c>
      <c r="AD38" s="1681">
        <v>111.41409066640315</v>
      </c>
      <c r="AE38" s="3871">
        <v>89.735725640279739</v>
      </c>
      <c r="AF38" s="3872">
        <v>3.5887255739228805</v>
      </c>
      <c r="AG38" s="3862"/>
      <c r="AH38" s="3885" t="s">
        <v>2642</v>
      </c>
      <c r="AI38" s="3885"/>
      <c r="AJ38" s="3817"/>
    </row>
    <row r="39" spans="3:40" ht="45.75" customHeight="1">
      <c r="D39" s="3808"/>
      <c r="F39" s="3886"/>
      <c r="G39" s="3819"/>
      <c r="H39" s="3887" t="s">
        <v>2641</v>
      </c>
      <c r="I39" s="3864">
        <v>94.661452893548869</v>
      </c>
      <c r="J39" s="1682">
        <v>87.488540767494399</v>
      </c>
      <c r="K39" s="1682">
        <v>90.800632771577966</v>
      </c>
      <c r="L39" s="1682">
        <v>62.983911941665092</v>
      </c>
      <c r="M39" s="1682">
        <v>69.169448886133623</v>
      </c>
      <c r="N39" s="1682">
        <v>83.024354109257331</v>
      </c>
      <c r="O39" s="1682">
        <v>76.32162504156824</v>
      </c>
      <c r="P39" s="1682">
        <v>60.162150822560243</v>
      </c>
      <c r="Q39" s="1682">
        <v>99.838090205254019</v>
      </c>
      <c r="R39" s="1682">
        <v>99.472219978302491</v>
      </c>
      <c r="S39" s="1682">
        <v>100.01416987295639</v>
      </c>
      <c r="T39" s="1682">
        <v>100.01330021749284</v>
      </c>
      <c r="U39" s="1682">
        <v>100</v>
      </c>
      <c r="V39" s="1682">
        <v>99.142022013545883</v>
      </c>
      <c r="W39" s="1682">
        <v>97.18233669032449</v>
      </c>
      <c r="X39" s="1682">
        <v>93.027769075695176</v>
      </c>
      <c r="Y39" s="1682">
        <v>72.496706824113986</v>
      </c>
      <c r="Z39" s="1682">
        <v>64.46980716737464</v>
      </c>
      <c r="AA39" s="1682">
        <v>57.998693858839658</v>
      </c>
      <c r="AB39" s="1682">
        <v>48.447066987724178</v>
      </c>
      <c r="AC39" s="1682">
        <v>50.070603291510452</v>
      </c>
      <c r="AD39" s="1682">
        <v>55.526599918338547</v>
      </c>
      <c r="AE39" s="3883">
        <v>39.256791630151461</v>
      </c>
      <c r="AF39" s="3884">
        <v>3.8860685319558734</v>
      </c>
      <c r="AG39" s="3866"/>
      <c r="AH39" s="3888" t="s">
        <v>2640</v>
      </c>
      <c r="AI39" s="3888"/>
      <c r="AJ39" s="3825"/>
    </row>
    <row r="40" spans="3:40" ht="39.950000000000003" customHeight="1">
      <c r="D40" s="3808"/>
      <c r="F40" s="3857"/>
      <c r="G40" s="3869"/>
      <c r="H40" s="3889" t="s">
        <v>2639</v>
      </c>
      <c r="I40" s="3858">
        <v>18.425107324527641</v>
      </c>
      <c r="J40" s="1681">
        <v>25.603642125346237</v>
      </c>
      <c r="K40" s="1681">
        <v>27.247055977223908</v>
      </c>
      <c r="L40" s="1681">
        <v>27.686532711132497</v>
      </c>
      <c r="M40" s="1681">
        <v>30.340768640008033</v>
      </c>
      <c r="N40" s="1681">
        <v>41.090249608841503</v>
      </c>
      <c r="O40" s="1681">
        <v>48.428381791261749</v>
      </c>
      <c r="P40" s="1681">
        <v>72.329945235090506</v>
      </c>
      <c r="Q40" s="1681">
        <v>99.97283831809689</v>
      </c>
      <c r="R40" s="1681">
        <v>100.00004378104313</v>
      </c>
      <c r="S40" s="1681">
        <v>100.0260185432212</v>
      </c>
      <c r="T40" s="1681">
        <v>100.0187766678964</v>
      </c>
      <c r="U40" s="1681">
        <v>100</v>
      </c>
      <c r="V40" s="1681">
        <v>174.45853216383429</v>
      </c>
      <c r="W40" s="1681">
        <v>52.337451168755706</v>
      </c>
      <c r="X40" s="1681">
        <v>68.031550920094531</v>
      </c>
      <c r="Y40" s="1681">
        <v>105.37797582815739</v>
      </c>
      <c r="Z40" s="1681">
        <v>146.29870920383826</v>
      </c>
      <c r="AA40" s="1681">
        <v>177.26214769485188</v>
      </c>
      <c r="AB40" s="1681">
        <v>233.15064431327693</v>
      </c>
      <c r="AC40" s="1681">
        <v>289.12411724078913</v>
      </c>
      <c r="AD40" s="1681">
        <v>206.19109665241552</v>
      </c>
      <c r="AE40" s="3871">
        <v>223.09029305375924</v>
      </c>
      <c r="AF40" s="3872">
        <v>0.20626779372619528</v>
      </c>
      <c r="AG40" s="3862"/>
      <c r="AH40" s="3885" t="s">
        <v>2638</v>
      </c>
      <c r="AI40" s="3885"/>
      <c r="AJ40" s="3817"/>
    </row>
    <row r="41" spans="3:40" ht="39.950000000000003" customHeight="1">
      <c r="D41" s="3808"/>
      <c r="F41" s="3886"/>
      <c r="G41" s="3819"/>
      <c r="H41" s="3819" t="s">
        <v>2637</v>
      </c>
      <c r="I41" s="3820">
        <v>32.030488725214518</v>
      </c>
      <c r="J41" s="1678">
        <v>35.788412647884201</v>
      </c>
      <c r="K41" s="1678">
        <v>31.156959779218511</v>
      </c>
      <c r="L41" s="1678">
        <v>36.952254226992046</v>
      </c>
      <c r="M41" s="1678">
        <v>37.743141379079397</v>
      </c>
      <c r="N41" s="1678">
        <v>61.371157720948396</v>
      </c>
      <c r="O41" s="1678">
        <v>100.83420824014452</v>
      </c>
      <c r="P41" s="1678">
        <v>74.434173547549918</v>
      </c>
      <c r="Q41" s="1678">
        <v>99.951643478363152</v>
      </c>
      <c r="R41" s="1678">
        <v>99.924385614217883</v>
      </c>
      <c r="S41" s="1678">
        <v>100.26539735156672</v>
      </c>
      <c r="T41" s="1678">
        <v>100.53662412753985</v>
      </c>
      <c r="U41" s="1678">
        <v>100</v>
      </c>
      <c r="V41" s="1678">
        <v>167.92203033206275</v>
      </c>
      <c r="W41" s="1678">
        <v>187.64024607512684</v>
      </c>
      <c r="X41" s="1678">
        <v>185.31443440664432</v>
      </c>
      <c r="Y41" s="1678">
        <v>168.75948920352522</v>
      </c>
      <c r="Z41" s="1678">
        <v>105.14447762064428</v>
      </c>
      <c r="AA41" s="1678">
        <v>92.900257144715425</v>
      </c>
      <c r="AB41" s="1678">
        <v>69.284975129684696</v>
      </c>
      <c r="AC41" s="1678">
        <v>53.43233617647163</v>
      </c>
      <c r="AD41" s="1678">
        <v>47.179996239633411</v>
      </c>
      <c r="AE41" s="3821">
        <v>38.484097871963378</v>
      </c>
      <c r="AF41" s="3822">
        <v>2.9005093222401599</v>
      </c>
      <c r="AG41" s="3866"/>
      <c r="AH41" s="3888" t="s">
        <v>2636</v>
      </c>
      <c r="AI41" s="3888"/>
      <c r="AJ41" s="3825"/>
    </row>
    <row r="42" spans="3:40" ht="39.950000000000003" customHeight="1">
      <c r="D42" s="3808"/>
      <c r="F42" s="3890"/>
      <c r="G42" s="3828"/>
      <c r="H42" s="3878" t="s">
        <v>2635</v>
      </c>
      <c r="I42" s="3858">
        <v>9.6024243258628985</v>
      </c>
      <c r="J42" s="1681">
        <v>22.589793814025082</v>
      </c>
      <c r="K42" s="1681">
        <v>30.305902230413775</v>
      </c>
      <c r="L42" s="1681">
        <v>22.39063922099696</v>
      </c>
      <c r="M42" s="1681">
        <v>61.320152410988101</v>
      </c>
      <c r="N42" s="1681">
        <v>71.49856269542083</v>
      </c>
      <c r="O42" s="1681">
        <v>64.154141696849905</v>
      </c>
      <c r="P42" s="1681">
        <v>159.08271460705069</v>
      </c>
      <c r="Q42" s="1681">
        <v>99.683146871095914</v>
      </c>
      <c r="R42" s="1681">
        <v>99.835184112014559</v>
      </c>
      <c r="S42" s="1681">
        <v>99.450808125931374</v>
      </c>
      <c r="T42" s="1681">
        <v>100.02954788076704</v>
      </c>
      <c r="U42" s="1681">
        <v>100</v>
      </c>
      <c r="V42" s="1681">
        <v>167.20301581463772</v>
      </c>
      <c r="W42" s="1681">
        <v>184.10261125413754</v>
      </c>
      <c r="X42" s="1681">
        <v>187.0908422214049</v>
      </c>
      <c r="Y42" s="1681">
        <v>145.24641412283927</v>
      </c>
      <c r="Z42" s="1681">
        <v>135.794409709452</v>
      </c>
      <c r="AA42" s="1681">
        <v>77.64803236484002</v>
      </c>
      <c r="AB42" s="1681">
        <v>51.967635159985292</v>
      </c>
      <c r="AC42" s="1681">
        <v>72.784111805810952</v>
      </c>
      <c r="AD42" s="1681">
        <v>23.731151158514159</v>
      </c>
      <c r="AE42" s="3871">
        <v>76.802133137182778</v>
      </c>
      <c r="AF42" s="3872">
        <v>1.0149063400350959</v>
      </c>
      <c r="AG42" s="3849"/>
      <c r="AH42" s="3841" t="s">
        <v>2634</v>
      </c>
      <c r="AI42" s="3841"/>
      <c r="AJ42" s="3817"/>
    </row>
    <row r="43" spans="3:40" ht="39.950000000000003" customHeight="1">
      <c r="D43" s="3808"/>
      <c r="F43" s="3891"/>
      <c r="G43" s="3892"/>
      <c r="H43" s="3893" t="s">
        <v>2633</v>
      </c>
      <c r="I43" s="3864">
        <v>37.606685335576124</v>
      </c>
      <c r="J43" s="1682">
        <v>58.594059589865253</v>
      </c>
      <c r="K43" s="1682">
        <v>56.620478410475613</v>
      </c>
      <c r="L43" s="1682">
        <v>75.758886075918895</v>
      </c>
      <c r="M43" s="1682">
        <v>79.125035465784762</v>
      </c>
      <c r="N43" s="1682">
        <v>61.721934116039506</v>
      </c>
      <c r="O43" s="1682">
        <v>66.140912266325842</v>
      </c>
      <c r="P43" s="1682">
        <v>85.503891142749751</v>
      </c>
      <c r="Q43" s="1682">
        <v>99.994900066263014</v>
      </c>
      <c r="R43" s="1682">
        <v>100.11072325543655</v>
      </c>
      <c r="S43" s="1682">
        <v>100.04077663576231</v>
      </c>
      <c r="T43" s="1682">
        <v>100.01898583967643</v>
      </c>
      <c r="U43" s="1682">
        <v>100</v>
      </c>
      <c r="V43" s="1682">
        <v>171.12651100706557</v>
      </c>
      <c r="W43" s="1682">
        <v>166.33863061474753</v>
      </c>
      <c r="X43" s="1682">
        <v>195.15003906739241</v>
      </c>
      <c r="Y43" s="1682">
        <v>191.38424278228572</v>
      </c>
      <c r="Z43" s="1682">
        <v>226.45081525992322</v>
      </c>
      <c r="AA43" s="1682">
        <v>212.07923210861281</v>
      </c>
      <c r="AB43" s="1682">
        <v>207.86467556879944</v>
      </c>
      <c r="AC43" s="1682">
        <v>203.57918310988211</v>
      </c>
      <c r="AD43" s="1682">
        <v>153.94391789515697</v>
      </c>
      <c r="AE43" s="3883">
        <v>112.14341812358549</v>
      </c>
      <c r="AF43" s="3884">
        <v>0.29365185014526035</v>
      </c>
      <c r="AG43" s="3866"/>
      <c r="AH43" s="3888" t="s">
        <v>2632</v>
      </c>
      <c r="AI43" s="3888"/>
      <c r="AJ43" s="3825"/>
    </row>
    <row r="44" spans="3:40" ht="39.950000000000003" customHeight="1">
      <c r="D44" s="3808"/>
      <c r="F44" s="3877"/>
      <c r="G44" s="3839"/>
      <c r="H44" s="3839" t="s">
        <v>2631</v>
      </c>
      <c r="I44" s="3829">
        <v>265.26055938589957</v>
      </c>
      <c r="J44" s="1679">
        <v>274.08965792293776</v>
      </c>
      <c r="K44" s="1679">
        <v>303.85926200711464</v>
      </c>
      <c r="L44" s="1679">
        <v>369.80990880227699</v>
      </c>
      <c r="M44" s="1679">
        <v>351.51412375129729</v>
      </c>
      <c r="N44" s="1679">
        <v>253.977942052131</v>
      </c>
      <c r="O44" s="1679">
        <v>226.437471372912</v>
      </c>
      <c r="P44" s="1679">
        <v>208.15930349339922</v>
      </c>
      <c r="Q44" s="1679">
        <v>101.10493626144874</v>
      </c>
      <c r="R44" s="1679">
        <v>101.05039917864285</v>
      </c>
      <c r="S44" s="1679">
        <v>101.07502892011873</v>
      </c>
      <c r="T44" s="1679">
        <v>100.13235365965369</v>
      </c>
      <c r="U44" s="1679">
        <v>100</v>
      </c>
      <c r="V44" s="1679">
        <v>74.545297446753366</v>
      </c>
      <c r="W44" s="1679">
        <v>74.49345487536182</v>
      </c>
      <c r="X44" s="1679">
        <v>76.610359873849745</v>
      </c>
      <c r="Y44" s="1679">
        <v>64.003974597140015</v>
      </c>
      <c r="Z44" s="1679">
        <v>60.418196742558429</v>
      </c>
      <c r="AA44" s="1679">
        <v>49.168358750594031</v>
      </c>
      <c r="AB44" s="1679">
        <v>32.729943405192898</v>
      </c>
      <c r="AC44" s="1679">
        <v>35.144943189182179</v>
      </c>
      <c r="AD44" s="1679">
        <v>34.665399403810426</v>
      </c>
      <c r="AE44" s="3830">
        <v>36.091070117077813</v>
      </c>
      <c r="AF44" s="3831">
        <v>1.5842034631997632</v>
      </c>
      <c r="AG44" s="3849"/>
      <c r="AH44" s="3885" t="s">
        <v>2630</v>
      </c>
      <c r="AI44" s="3885"/>
      <c r="AJ44" s="3817"/>
    </row>
    <row r="45" spans="3:40" ht="39.950000000000003" customHeight="1">
      <c r="D45" s="3808"/>
      <c r="F45" s="3853"/>
      <c r="G45" s="3874"/>
      <c r="H45" s="3874" t="s">
        <v>2629</v>
      </c>
      <c r="I45" s="3820">
        <v>103.70603773805772</v>
      </c>
      <c r="J45" s="1678">
        <v>101.26175453240842</v>
      </c>
      <c r="K45" s="1678">
        <v>90.795800298230361</v>
      </c>
      <c r="L45" s="1678">
        <v>108.72308495062673</v>
      </c>
      <c r="M45" s="1678">
        <v>105.603662004954</v>
      </c>
      <c r="N45" s="1678">
        <v>81.884713469170606</v>
      </c>
      <c r="O45" s="1678">
        <v>83.136317875125528</v>
      </c>
      <c r="P45" s="1678">
        <v>72.846071809582426</v>
      </c>
      <c r="Q45" s="1678">
        <v>100.01775338156396</v>
      </c>
      <c r="R45" s="1678">
        <v>100.00944760520073</v>
      </c>
      <c r="S45" s="1678">
        <v>100.01520080788971</v>
      </c>
      <c r="T45" s="1678">
        <v>100.0200899858972</v>
      </c>
      <c r="U45" s="1678">
        <v>100</v>
      </c>
      <c r="V45" s="1678">
        <v>93.766774235331653</v>
      </c>
      <c r="W45" s="1678">
        <v>114.55449998676865</v>
      </c>
      <c r="X45" s="1678">
        <v>144.79081214109928</v>
      </c>
      <c r="Y45" s="1678">
        <v>138.72165528537263</v>
      </c>
      <c r="Z45" s="1678">
        <v>147.12719240213318</v>
      </c>
      <c r="AA45" s="1678">
        <v>140.44437882926107</v>
      </c>
      <c r="AB45" s="1678">
        <v>419.98869066603896</v>
      </c>
      <c r="AC45" s="1678">
        <v>293.69184293396432</v>
      </c>
      <c r="AD45" s="1678">
        <v>402.87113626772481</v>
      </c>
      <c r="AE45" s="3821">
        <v>267.11100835525798</v>
      </c>
      <c r="AF45" s="3822">
        <v>0.14341874856087763</v>
      </c>
      <c r="AG45" s="3850"/>
      <c r="AH45" s="3837" t="s">
        <v>2628</v>
      </c>
      <c r="AI45" s="3837"/>
      <c r="AJ45" s="3825"/>
    </row>
    <row r="46" spans="3:40" ht="39.950000000000003" customHeight="1">
      <c r="D46" s="3808"/>
      <c r="F46" s="3890"/>
      <c r="G46" s="3894"/>
      <c r="H46" s="3895"/>
      <c r="I46" s="3896"/>
      <c r="J46" s="1683"/>
      <c r="K46" s="1683"/>
      <c r="L46" s="1683"/>
      <c r="M46" s="1683"/>
      <c r="N46" s="1683"/>
      <c r="O46" s="1683"/>
      <c r="P46" s="1683"/>
      <c r="Q46" s="1683"/>
      <c r="R46" s="1683"/>
      <c r="S46" s="1683"/>
      <c r="T46" s="1683"/>
      <c r="U46" s="1683"/>
      <c r="V46" s="1683"/>
      <c r="W46" s="1683"/>
      <c r="X46" s="1683"/>
      <c r="Y46" s="1683"/>
      <c r="Z46" s="1683"/>
      <c r="AA46" s="1683"/>
      <c r="AB46" s="1683"/>
      <c r="AC46" s="1683"/>
      <c r="AD46" s="1683"/>
      <c r="AE46" s="3897"/>
      <c r="AF46" s="3898"/>
      <c r="AG46" s="3840"/>
      <c r="AH46" s="3899"/>
      <c r="AI46" s="3899"/>
      <c r="AJ46" s="3817"/>
    </row>
    <row r="47" spans="3:40" s="3900" customFormat="1" ht="39.950000000000003" customHeight="1">
      <c r="D47" s="3808"/>
      <c r="E47" s="3901"/>
      <c r="F47" s="3902"/>
      <c r="G47" s="3903" t="s">
        <v>2627</v>
      </c>
      <c r="H47" s="3904"/>
      <c r="I47" s="3905">
        <v>139.24749626779274</v>
      </c>
      <c r="J47" s="1684">
        <v>130.91862827759999</v>
      </c>
      <c r="K47" s="1684">
        <v>128.32051706054628</v>
      </c>
      <c r="L47" s="1684">
        <v>128.59809854934286</v>
      </c>
      <c r="M47" s="1684">
        <v>126.27984580807738</v>
      </c>
      <c r="N47" s="1684">
        <v>129.13765892528778</v>
      </c>
      <c r="O47" s="1684">
        <v>125.62731478580677</v>
      </c>
      <c r="P47" s="1684">
        <v>123.88679970033378</v>
      </c>
      <c r="Q47" s="1684">
        <v>100.93657406911528</v>
      </c>
      <c r="R47" s="1684">
        <v>100.93657406911528</v>
      </c>
      <c r="S47" s="1684">
        <v>100.70794682641599</v>
      </c>
      <c r="T47" s="1684">
        <v>99.964573167677059</v>
      </c>
      <c r="U47" s="1684">
        <v>100</v>
      </c>
      <c r="V47" s="1684">
        <v>105.28491820959914</v>
      </c>
      <c r="W47" s="1684">
        <v>114.5125531787405</v>
      </c>
      <c r="X47" s="1684">
        <v>113.21828749475702</v>
      </c>
      <c r="Y47" s="1684">
        <v>95.943435796033327</v>
      </c>
      <c r="Z47" s="1684">
        <v>82.042063634729459</v>
      </c>
      <c r="AA47" s="1684">
        <v>76.283779735154894</v>
      </c>
      <c r="AB47" s="1684">
        <v>67.433638923842054</v>
      </c>
      <c r="AC47" s="1684">
        <v>68.068787824315422</v>
      </c>
      <c r="AD47" s="1684">
        <v>64.401701719695609</v>
      </c>
      <c r="AE47" s="3906">
        <v>62.610102462699984</v>
      </c>
      <c r="AF47" s="3907">
        <v>5.7629999999999999</v>
      </c>
      <c r="AG47" s="3908"/>
      <c r="AH47" s="3909"/>
      <c r="AI47" s="3910" t="s">
        <v>2626</v>
      </c>
      <c r="AJ47" s="3911"/>
      <c r="AM47" s="1702"/>
      <c r="AN47" s="1702"/>
    </row>
    <row r="48" spans="3:40" ht="39.950000000000003" customHeight="1">
      <c r="E48" s="3808"/>
      <c r="F48" s="3912" t="s">
        <v>2008</v>
      </c>
      <c r="G48" s="3913"/>
      <c r="H48" s="3914"/>
      <c r="I48" s="3915">
        <v>92.266022157800919</v>
      </c>
      <c r="J48" s="1685">
        <v>89.846111029062072</v>
      </c>
      <c r="K48" s="1685">
        <v>79.500804417801888</v>
      </c>
      <c r="L48" s="1685">
        <v>90.780515543226102</v>
      </c>
      <c r="M48" s="1685">
        <v>91.294014283931105</v>
      </c>
      <c r="N48" s="1685">
        <v>97.213487554220663</v>
      </c>
      <c r="O48" s="1685">
        <v>97.937709182761083</v>
      </c>
      <c r="P48" s="1685">
        <v>100.00795252045408</v>
      </c>
      <c r="Q48" s="1685">
        <v>108.05656958869486</v>
      </c>
      <c r="R48" s="1685">
        <v>107.64860401072588</v>
      </c>
      <c r="S48" s="1685">
        <v>108.78623631528805</v>
      </c>
      <c r="T48" s="1685">
        <v>104.34877457683346</v>
      </c>
      <c r="U48" s="1685">
        <v>100</v>
      </c>
      <c r="V48" s="1685">
        <v>103.2338251738332</v>
      </c>
      <c r="W48" s="1685">
        <v>104.98870210488107</v>
      </c>
      <c r="X48" s="1685">
        <v>103.55722862513107</v>
      </c>
      <c r="Y48" s="1685">
        <v>100.37111699490488</v>
      </c>
      <c r="Z48" s="1685">
        <v>94.878568720528662</v>
      </c>
      <c r="AA48" s="1685">
        <v>86.120840684472725</v>
      </c>
      <c r="AB48" s="1685">
        <v>76.868944684510552</v>
      </c>
      <c r="AC48" s="1685">
        <v>83.991892072741265</v>
      </c>
      <c r="AD48" s="1685">
        <v>79.236716571156308</v>
      </c>
      <c r="AE48" s="3916">
        <v>70.880177758097815</v>
      </c>
      <c r="AF48" s="1685">
        <f>AF18+AF23+AF47</f>
        <v>100.0000198089781</v>
      </c>
      <c r="AG48" s="3917"/>
      <c r="AH48" s="3918"/>
      <c r="AI48" s="3919"/>
      <c r="AJ48" s="3920" t="s">
        <v>2007</v>
      </c>
    </row>
    <row r="49" spans="6:36" ht="39.950000000000003" customHeight="1">
      <c r="F49" s="3921" t="s">
        <v>2625</v>
      </c>
      <c r="G49" s="3922"/>
      <c r="H49" s="3923"/>
      <c r="I49" s="1686">
        <f>I48/J48*100-100</f>
        <v>2.6933955193186847</v>
      </c>
      <c r="J49" s="1686">
        <f>J48/K48*100-100</f>
        <v>13.012832621028991</v>
      </c>
      <c r="K49" s="1686">
        <f>K48/L48*100-100</f>
        <v>-12.425255637651958</v>
      </c>
      <c r="L49" s="1686">
        <f>L48/M48*100-100</f>
        <v>-0.56246704094749589</v>
      </c>
      <c r="M49" s="1686">
        <v>-6.0891481410827737</v>
      </c>
      <c r="N49" s="1686">
        <v>-0.73947168520038531</v>
      </c>
      <c r="O49" s="1686">
        <v>-2.0700787142598358</v>
      </c>
      <c r="P49" s="1686">
        <v>-7.4485217316049557</v>
      </c>
      <c r="Q49" s="1686">
        <v>0.37897897675323122</v>
      </c>
      <c r="R49" s="1686">
        <v>-1.1000000000000001</v>
      </c>
      <c r="S49" s="1686">
        <v>4.3</v>
      </c>
      <c r="T49" s="1686">
        <v>4.3487745768334634</v>
      </c>
      <c r="U49" s="1686">
        <v>-3.1325247983282907</v>
      </c>
      <c r="V49" s="1686">
        <v>-1.6714912136877302</v>
      </c>
      <c r="W49" s="1686">
        <v>1.3823018429083476</v>
      </c>
      <c r="X49" s="1686">
        <v>3.1743311478619205</v>
      </c>
      <c r="Y49" s="1686">
        <v>5.789029438834504</v>
      </c>
      <c r="Z49" s="1686">
        <v>10.169115821967267</v>
      </c>
      <c r="AA49" s="1686">
        <v>12.035934717114017</v>
      </c>
      <c r="AB49" s="1686">
        <v>-8.480517836247671</v>
      </c>
      <c r="AC49" s="1686">
        <v>6</v>
      </c>
      <c r="AD49" s="1686">
        <v>11.8</v>
      </c>
      <c r="AE49" s="3924" t="s">
        <v>77</v>
      </c>
      <c r="AF49" s="3924">
        <f>AF47+AF23+AF18</f>
        <v>100.0000198089781</v>
      </c>
      <c r="AG49" s="3925"/>
      <c r="AH49" s="3926"/>
      <c r="AI49" s="3927"/>
      <c r="AJ49" s="3928" t="s">
        <v>2624</v>
      </c>
    </row>
    <row r="50" spans="6:36" ht="6" customHeight="1">
      <c r="F50" s="3929"/>
      <c r="G50" s="3930"/>
      <c r="H50" s="3930"/>
      <c r="I50" s="3930"/>
      <c r="J50" s="4579"/>
      <c r="K50" s="3930"/>
      <c r="L50" s="1687"/>
      <c r="M50" s="1687"/>
      <c r="N50" s="1687"/>
      <c r="O50" s="1687"/>
      <c r="P50" s="1687"/>
      <c r="Q50" s="1687"/>
      <c r="R50" s="1687"/>
      <c r="S50" s="1687"/>
      <c r="T50" s="1687"/>
      <c r="U50" s="3931"/>
      <c r="V50" s="3931"/>
      <c r="W50" s="3931"/>
      <c r="X50" s="3931"/>
      <c r="Y50" s="3931"/>
      <c r="Z50" s="3931"/>
      <c r="AA50" s="3931"/>
      <c r="AB50" s="3931"/>
      <c r="AC50" s="3931"/>
      <c r="AD50" s="3931"/>
      <c r="AE50" s="3931"/>
      <c r="AF50" s="3931"/>
      <c r="AG50" s="3932"/>
      <c r="AH50" s="3929"/>
      <c r="AI50" s="3933"/>
      <c r="AJ50" s="3933"/>
    </row>
    <row r="51" spans="6:36" s="1701" customFormat="1" ht="18" customHeight="1">
      <c r="F51" s="1688"/>
      <c r="G51" s="3930" t="s">
        <v>1361</v>
      </c>
      <c r="H51" s="3930"/>
      <c r="I51" s="3930"/>
      <c r="J51" s="4579"/>
      <c r="K51" s="3930"/>
      <c r="L51" s="1687"/>
      <c r="M51" s="1687"/>
      <c r="N51" s="1687"/>
      <c r="O51" s="1687"/>
      <c r="P51" s="1687"/>
      <c r="Q51" s="1687"/>
      <c r="R51" s="1687"/>
      <c r="S51" s="1687"/>
      <c r="T51" s="1687"/>
      <c r="U51" s="3934"/>
      <c r="V51" s="3934"/>
      <c r="W51" s="3934"/>
      <c r="X51" s="3934"/>
      <c r="Y51" s="3934"/>
      <c r="Z51" s="3934"/>
      <c r="AA51" s="3934"/>
      <c r="AB51" s="3934"/>
      <c r="AC51" s="3934"/>
      <c r="AD51" s="3934"/>
      <c r="AE51" s="3934"/>
      <c r="AF51" s="3934"/>
      <c r="AG51" s="3933"/>
      <c r="AH51" s="1688"/>
      <c r="AI51" s="3933"/>
      <c r="AJ51" s="3933" t="s">
        <v>2623</v>
      </c>
    </row>
    <row r="52" spans="6:36" s="1701" customFormat="1" ht="18" customHeight="1">
      <c r="F52" s="1688"/>
      <c r="G52" s="2720" t="s">
        <v>2622</v>
      </c>
      <c r="H52" s="3930"/>
      <c r="I52" s="3930"/>
      <c r="J52" s="4579"/>
      <c r="K52" s="3930"/>
      <c r="L52" s="1688"/>
      <c r="M52" s="1688"/>
      <c r="N52" s="1688"/>
      <c r="O52" s="1688"/>
      <c r="P52" s="1688"/>
      <c r="Q52" s="1688"/>
      <c r="R52" s="1688"/>
      <c r="S52" s="1688"/>
      <c r="T52" s="1688"/>
      <c r="U52" s="3934"/>
      <c r="V52" s="3934"/>
      <c r="W52" s="3934"/>
      <c r="X52" s="3934"/>
      <c r="Y52" s="3934"/>
      <c r="Z52" s="3934"/>
      <c r="AA52" s="3934"/>
      <c r="AB52" s="3934"/>
      <c r="AC52" s="3934"/>
      <c r="AD52" s="3934"/>
      <c r="AE52" s="3934"/>
      <c r="AF52" s="3934"/>
      <c r="AG52" s="2722"/>
      <c r="AH52" s="1688"/>
      <c r="AI52" s="2722" t="s">
        <v>2621</v>
      </c>
      <c r="AJ52" s="1688"/>
    </row>
    <row r="53" spans="6:36">
      <c r="F53" s="3935"/>
      <c r="G53" s="3935"/>
      <c r="H53" s="3935"/>
      <c r="I53" s="3935"/>
      <c r="J53" s="4580"/>
      <c r="K53" s="3935"/>
    </row>
    <row r="54" spans="6:36">
      <c r="F54" s="3935"/>
      <c r="G54" s="3935"/>
      <c r="H54" s="3935"/>
      <c r="I54" s="3935"/>
      <c r="J54" s="3935"/>
      <c r="K54" s="3935"/>
    </row>
    <row r="55" spans="6:36">
      <c r="F55" s="3935"/>
      <c r="G55" s="3935"/>
      <c r="H55" s="3935"/>
      <c r="I55" s="3935"/>
      <c r="J55" s="3935"/>
      <c r="K55" s="3935"/>
    </row>
    <row r="56" spans="6:36">
      <c r="F56" s="3935"/>
      <c r="G56" s="3935"/>
      <c r="H56" s="3935"/>
      <c r="I56" s="3935"/>
      <c r="J56" s="3935"/>
      <c r="K56" s="3935"/>
    </row>
    <row r="57" spans="6:36">
      <c r="F57" s="3935"/>
      <c r="G57" s="3935"/>
      <c r="H57" s="3935"/>
      <c r="I57" s="3935"/>
      <c r="J57" s="3935"/>
      <c r="K57" s="3935"/>
    </row>
    <row r="58" spans="6:36">
      <c r="F58" s="3935"/>
      <c r="G58" s="3935"/>
      <c r="H58" s="3935"/>
      <c r="I58" s="3935"/>
      <c r="J58" s="3935"/>
      <c r="K58" s="3935"/>
    </row>
    <row r="59" spans="6:36">
      <c r="F59" s="3935"/>
      <c r="G59" s="3935"/>
      <c r="H59" s="3935"/>
      <c r="I59" s="3935"/>
      <c r="J59" s="3935"/>
      <c r="K59" s="3935"/>
    </row>
    <row r="60" spans="6:36">
      <c r="F60" s="3935"/>
      <c r="G60" s="3935"/>
      <c r="H60" s="3935"/>
      <c r="I60" s="3935"/>
      <c r="J60" s="3935"/>
      <c r="K60" s="3935"/>
    </row>
    <row r="61" spans="6:36">
      <c r="F61" s="3935"/>
      <c r="G61" s="3935"/>
      <c r="H61" s="3935"/>
      <c r="I61" s="3935"/>
      <c r="J61" s="3935"/>
      <c r="K61" s="3935"/>
    </row>
    <row r="62" spans="6:36">
      <c r="F62" s="3935"/>
      <c r="G62" s="3935"/>
      <c r="H62" s="3935"/>
      <c r="I62" s="3935"/>
      <c r="J62" s="3935"/>
      <c r="K62" s="3935"/>
    </row>
    <row r="63" spans="6:36">
      <c r="F63" s="3935"/>
      <c r="G63" s="3935"/>
      <c r="H63" s="3935"/>
      <c r="I63" s="3935"/>
      <c r="J63" s="3935"/>
      <c r="K63" s="3935"/>
    </row>
    <row r="64" spans="6:36">
      <c r="F64" s="3935"/>
      <c r="G64" s="3935"/>
      <c r="H64" s="3935"/>
      <c r="I64" s="3935"/>
      <c r="J64" s="3935"/>
      <c r="K64" s="3935"/>
    </row>
    <row r="65" spans="6:11">
      <c r="F65" s="3935"/>
      <c r="G65" s="3935"/>
      <c r="H65" s="3935"/>
      <c r="I65" s="3935"/>
      <c r="J65" s="3935"/>
      <c r="K65" s="3935"/>
    </row>
    <row r="66" spans="6:11">
      <c r="F66" s="3935"/>
      <c r="G66" s="3935"/>
      <c r="H66" s="3935"/>
      <c r="I66" s="3935"/>
      <c r="J66" s="3935"/>
      <c r="K66" s="3935"/>
    </row>
    <row r="67" spans="6:11">
      <c r="F67" s="3935"/>
      <c r="G67" s="3935"/>
      <c r="H67" s="3935"/>
      <c r="I67" s="3935"/>
      <c r="J67" s="3935"/>
      <c r="K67" s="3935"/>
    </row>
    <row r="68" spans="6:11">
      <c r="F68" s="3935"/>
      <c r="G68" s="3935"/>
      <c r="H68" s="3935"/>
      <c r="I68" s="3935"/>
      <c r="J68" s="3935"/>
      <c r="K68" s="3935"/>
    </row>
    <row r="69" spans="6:11">
      <c r="F69" s="3935"/>
      <c r="G69" s="3935"/>
      <c r="H69" s="3935"/>
      <c r="I69" s="3935"/>
      <c r="J69" s="3935"/>
      <c r="K69" s="3935"/>
    </row>
    <row r="70" spans="6:11">
      <c r="F70" s="3935"/>
      <c r="G70" s="3935"/>
      <c r="H70" s="3935"/>
      <c r="I70" s="3935"/>
      <c r="J70" s="3935"/>
      <c r="K70" s="3935"/>
    </row>
    <row r="71" spans="6:11">
      <c r="F71" s="3935"/>
      <c r="G71" s="3935"/>
      <c r="H71" s="3935"/>
      <c r="I71" s="3935"/>
      <c r="J71" s="3935"/>
      <c r="K71" s="3935"/>
    </row>
    <row r="72" spans="6:11">
      <c r="F72" s="3935"/>
      <c r="G72" s="3935"/>
      <c r="H72" s="3935"/>
      <c r="I72" s="3935"/>
      <c r="J72" s="3935"/>
      <c r="K72" s="3935"/>
    </row>
    <row r="73" spans="6:11">
      <c r="F73" s="3935"/>
      <c r="G73" s="3935"/>
      <c r="H73" s="3935"/>
      <c r="I73" s="3935"/>
      <c r="J73" s="3935"/>
      <c r="K73" s="3935"/>
    </row>
    <row r="74" spans="6:11">
      <c r="F74" s="3935"/>
      <c r="G74" s="3935"/>
      <c r="H74" s="3935"/>
      <c r="I74" s="3935"/>
      <c r="J74" s="3935"/>
      <c r="K74" s="3935"/>
    </row>
    <row r="75" spans="6:11">
      <c r="F75" s="3935"/>
      <c r="G75" s="3935"/>
      <c r="H75" s="3935"/>
      <c r="I75" s="3935"/>
      <c r="J75" s="3935"/>
      <c r="K75" s="3935"/>
    </row>
    <row r="76" spans="6:11">
      <c r="F76" s="3935"/>
      <c r="G76" s="3935"/>
      <c r="H76" s="3935"/>
      <c r="I76" s="3935"/>
      <c r="J76" s="3935"/>
      <c r="K76" s="3935"/>
    </row>
    <row r="77" spans="6:11">
      <c r="F77" s="3935"/>
      <c r="G77" s="3935"/>
      <c r="H77" s="3935"/>
      <c r="I77" s="3935"/>
      <c r="J77" s="3935"/>
      <c r="K77" s="3935"/>
    </row>
  </sheetData>
  <mergeCells count="29">
    <mergeCell ref="V4:AJ4"/>
    <mergeCell ref="V7:AJ7"/>
    <mergeCell ref="AE11:AE16"/>
    <mergeCell ref="AG11:AI16"/>
    <mergeCell ref="F4:U4"/>
    <mergeCell ref="F7:U7"/>
    <mergeCell ref="AD11:AD16"/>
    <mergeCell ref="W11:W16"/>
    <mergeCell ref="AA11:AA16"/>
    <mergeCell ref="AB11:AB16"/>
    <mergeCell ref="O11:O16"/>
    <mergeCell ref="M11:M16"/>
    <mergeCell ref="V11:V16"/>
    <mergeCell ref="U11:U16"/>
    <mergeCell ref="Y11:Y16"/>
    <mergeCell ref="X11:X16"/>
    <mergeCell ref="R11:R16"/>
    <mergeCell ref="Z11:Z16"/>
    <mergeCell ref="G11:H16"/>
    <mergeCell ref="AC11:AC16"/>
    <mergeCell ref="L11:L16"/>
    <mergeCell ref="S11:S16"/>
    <mergeCell ref="Q11:Q16"/>
    <mergeCell ref="T11:T16"/>
    <mergeCell ref="P11:P16"/>
    <mergeCell ref="N11:N16"/>
    <mergeCell ref="K11:K16"/>
    <mergeCell ref="I11:I16"/>
    <mergeCell ref="J11:J16"/>
  </mergeCells>
  <printOptions horizontalCentered="1"/>
  <pageMargins left="0" right="0" top="0.78740157480314998" bottom="0.98425196850393704" header="0.511811023622047" footer="0.511811023622047"/>
  <pageSetup paperSize="9" scale="43" orientation="portrait" r:id="rId1"/>
  <headerFooter alignWithMargins="0">
    <oddFooter>&amp;C95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02"/>
  <sheetViews>
    <sheetView topLeftCell="A85" zoomScale="75" zoomScaleNormal="75" workbookViewId="0">
      <selection activeCell="P107" sqref="P107"/>
    </sheetView>
  </sheetViews>
  <sheetFormatPr defaultColWidth="10.7109375" defaultRowHeight="17.100000000000001" customHeight="1"/>
  <cols>
    <col min="1" max="1" width="9.140625" style="1986" customWidth="1"/>
    <col min="2" max="2" width="10.7109375" style="1986" customWidth="1"/>
    <col min="3" max="8" width="12.7109375" style="1262" customWidth="1"/>
    <col min="9" max="9" width="12.7109375" style="1263" customWidth="1"/>
    <col min="10" max="12" width="12.7109375" style="1262" customWidth="1"/>
    <col min="13" max="13" width="18" style="1262" customWidth="1"/>
    <col min="14" max="14" width="1.5703125" style="1262" customWidth="1"/>
    <col min="15" max="15" width="11.140625" style="1264" customWidth="1"/>
    <col min="16" max="16" width="4.5703125" style="1262" customWidth="1"/>
    <col min="17" max="18" width="10.7109375" style="1986" customWidth="1"/>
    <col min="19" max="19" width="14.85546875" style="1986" customWidth="1"/>
    <col min="20" max="29" width="10.7109375" style="1986" customWidth="1"/>
    <col min="30" max="30" width="10.140625" style="1986" customWidth="1"/>
    <col min="31" max="16384" width="10.7109375" style="1986"/>
  </cols>
  <sheetData>
    <row r="1" spans="3:20" ht="22.5" customHeight="1"/>
    <row r="2" spans="3:20" ht="22.5" customHeight="1">
      <c r="E2" s="1264"/>
    </row>
    <row r="3" spans="3:20" s="2848" customFormat="1" ht="29.25" customHeight="1">
      <c r="C3" s="4602" t="s">
        <v>2077</v>
      </c>
      <c r="D3" s="4602"/>
      <c r="E3" s="4602"/>
      <c r="F3" s="4602"/>
      <c r="G3" s="4602"/>
      <c r="H3" s="4602"/>
      <c r="I3" s="4602"/>
      <c r="J3" s="4602"/>
      <c r="K3" s="4602"/>
      <c r="L3" s="4602"/>
      <c r="M3" s="4602"/>
      <c r="N3" s="4602"/>
      <c r="O3" s="4602"/>
      <c r="P3" s="4602"/>
    </row>
    <row r="4" spans="3:20" s="2366" customFormat="1" ht="29.25" customHeight="1">
      <c r="C4" s="4713" t="s">
        <v>2078</v>
      </c>
      <c r="D4" s="4713"/>
      <c r="E4" s="4713"/>
      <c r="F4" s="4713"/>
      <c r="G4" s="4713"/>
      <c r="H4" s="4713"/>
      <c r="I4" s="4713"/>
      <c r="J4" s="4713"/>
      <c r="K4" s="4713"/>
      <c r="L4" s="4713"/>
      <c r="M4" s="4713"/>
      <c r="N4" s="4713"/>
      <c r="O4" s="4713"/>
      <c r="P4" s="4713"/>
    </row>
    <row r="5" spans="3:20" ht="12.75" customHeight="1">
      <c r="C5" s="1220"/>
      <c r="D5" s="1220"/>
      <c r="E5" s="1220"/>
      <c r="F5" s="1220"/>
      <c r="G5" s="1220"/>
      <c r="H5" s="1220"/>
      <c r="I5" s="1221"/>
      <c r="J5" s="1220"/>
      <c r="K5" s="1222"/>
      <c r="L5" s="1222"/>
      <c r="M5" s="1222"/>
      <c r="N5" s="1222"/>
      <c r="O5" s="1223"/>
      <c r="P5" s="1224"/>
      <c r="Q5" s="1999"/>
      <c r="R5" s="1999"/>
      <c r="S5" s="1999"/>
      <c r="T5" s="1999"/>
    </row>
    <row r="6" spans="3:20" ht="6" customHeight="1">
      <c r="C6" s="1220"/>
      <c r="D6" s="1220"/>
      <c r="E6" s="1220"/>
      <c r="F6" s="1220"/>
      <c r="G6" s="1220"/>
      <c r="H6" s="1220"/>
      <c r="I6" s="1221"/>
      <c r="J6" s="1220"/>
      <c r="K6" s="1222"/>
      <c r="L6" s="1222"/>
      <c r="M6" s="1222"/>
      <c r="N6" s="1222"/>
      <c r="O6" s="1223"/>
      <c r="P6" s="1224"/>
      <c r="Q6" s="1999"/>
      <c r="R6" s="1999"/>
      <c r="S6" s="1999"/>
      <c r="T6" s="1999"/>
    </row>
    <row r="7" spans="3:20" ht="21" customHeight="1">
      <c r="C7" s="1225"/>
      <c r="D7" s="1226"/>
      <c r="E7" s="1226"/>
      <c r="F7" s="1226"/>
      <c r="G7" s="1227"/>
      <c r="H7" s="1226"/>
      <c r="I7" s="4409"/>
      <c r="J7" s="1226"/>
      <c r="K7" s="1226"/>
      <c r="L7" s="1226"/>
      <c r="M7" s="1228"/>
      <c r="N7" s="1229"/>
      <c r="O7" s="4376"/>
      <c r="P7" s="1230"/>
      <c r="Q7" s="1999"/>
      <c r="R7" s="1999"/>
      <c r="S7" s="1999"/>
      <c r="T7" s="1999"/>
    </row>
    <row r="8" spans="3:20" s="2390" customFormat="1" ht="21.2" customHeight="1">
      <c r="C8" s="1231" t="s">
        <v>2079</v>
      </c>
      <c r="D8" s="1232"/>
      <c r="E8" s="1232"/>
      <c r="F8" s="1232"/>
      <c r="G8" s="1233"/>
      <c r="H8" s="1234" t="s">
        <v>2080</v>
      </c>
      <c r="I8" s="1234"/>
      <c r="J8" s="1234"/>
      <c r="K8" s="1234"/>
      <c r="L8" s="1232"/>
      <c r="M8" s="1235"/>
      <c r="N8" s="1236"/>
      <c r="O8" s="4388"/>
      <c r="P8" s="1237"/>
    </row>
    <row r="9" spans="3:20" s="2390" customFormat="1" ht="21.2" customHeight="1">
      <c r="C9" s="1231" t="s">
        <v>2081</v>
      </c>
      <c r="D9" s="1232"/>
      <c r="E9" s="1238"/>
      <c r="F9" s="1232"/>
      <c r="G9" s="1239"/>
      <c r="H9" s="1240" t="s">
        <v>2082</v>
      </c>
      <c r="I9" s="1234"/>
      <c r="J9" s="1234"/>
      <c r="K9" s="1238"/>
      <c r="L9" s="1241"/>
      <c r="M9" s="1242" t="s">
        <v>2083</v>
      </c>
      <c r="N9" s="1243"/>
      <c r="O9" s="4388"/>
      <c r="P9" s="1237"/>
    </row>
    <row r="10" spans="3:20" s="2390" customFormat="1" ht="21.2" customHeight="1">
      <c r="C10" s="1231"/>
      <c r="D10" s="1232"/>
      <c r="E10" s="1238"/>
      <c r="F10" s="1232"/>
      <c r="G10" s="1239"/>
      <c r="H10" s="1244"/>
      <c r="I10" s="1232"/>
      <c r="J10" s="1232"/>
      <c r="K10" s="1238"/>
      <c r="L10" s="1241"/>
      <c r="M10" s="1242" t="s">
        <v>2084</v>
      </c>
      <c r="N10" s="1243"/>
      <c r="O10" s="4388"/>
      <c r="P10" s="1237"/>
    </row>
    <row r="11" spans="3:20" s="2390" customFormat="1" ht="24.75" customHeight="1">
      <c r="C11" s="1245"/>
      <c r="D11" s="1246"/>
      <c r="E11" s="1246"/>
      <c r="F11" s="1246"/>
      <c r="G11" s="1246"/>
      <c r="H11" s="1247"/>
      <c r="I11" s="1246"/>
      <c r="J11" s="1246"/>
      <c r="K11" s="1246"/>
      <c r="L11" s="1248"/>
      <c r="M11" s="1242" t="s">
        <v>2085</v>
      </c>
      <c r="N11" s="4388"/>
      <c r="O11" s="4388"/>
      <c r="P11" s="1237"/>
    </row>
    <row r="12" spans="3:20" s="2390" customFormat="1" ht="24.75" customHeight="1">
      <c r="C12" s="4414" t="s">
        <v>170</v>
      </c>
      <c r="D12" s="4382" t="s">
        <v>330</v>
      </c>
      <c r="E12" s="4382" t="s">
        <v>2086</v>
      </c>
      <c r="F12" s="4382" t="s">
        <v>2087</v>
      </c>
      <c r="G12" s="4382" t="s">
        <v>40</v>
      </c>
      <c r="H12" s="1242" t="s">
        <v>170</v>
      </c>
      <c r="I12" s="4382" t="s">
        <v>330</v>
      </c>
      <c r="J12" s="4382" t="s">
        <v>2086</v>
      </c>
      <c r="K12" s="4382" t="s">
        <v>2087</v>
      </c>
      <c r="L12" s="4388" t="s">
        <v>40</v>
      </c>
      <c r="M12" s="1249" t="s">
        <v>2088</v>
      </c>
      <c r="N12" s="4388"/>
      <c r="O12" s="1250"/>
      <c r="P12" s="1237"/>
    </row>
    <row r="13" spans="3:20" s="2399" customFormat="1" ht="17.100000000000001" customHeight="1">
      <c r="C13" s="4414"/>
      <c r="D13" s="1242"/>
      <c r="E13" s="1242"/>
      <c r="F13" s="1242"/>
      <c r="G13" s="1242"/>
      <c r="H13" s="1242"/>
      <c r="I13" s="1242"/>
      <c r="J13" s="1242"/>
      <c r="K13" s="1242"/>
      <c r="L13" s="4416"/>
      <c r="M13" s="1249" t="s">
        <v>2089</v>
      </c>
      <c r="N13" s="4388"/>
      <c r="O13" s="4388"/>
      <c r="P13" s="1237"/>
      <c r="Q13" s="2390"/>
      <c r="R13" s="2390"/>
      <c r="S13" s="2390"/>
      <c r="T13" s="2390"/>
    </row>
    <row r="14" spans="3:20" s="2390" customFormat="1" ht="15.75" customHeight="1">
      <c r="C14" s="4414"/>
      <c r="D14" s="4382"/>
      <c r="E14" s="4382"/>
      <c r="F14" s="4382"/>
      <c r="G14" s="4382"/>
      <c r="H14" s="1242"/>
      <c r="I14" s="4382"/>
      <c r="J14" s="4382"/>
      <c r="K14" s="4382"/>
      <c r="L14" s="4388"/>
      <c r="M14" s="1242" t="s">
        <v>2090</v>
      </c>
      <c r="N14" s="4388"/>
      <c r="O14" s="1250"/>
      <c r="P14" s="1237"/>
    </row>
    <row r="15" spans="3:20" s="2390" customFormat="1" ht="16.5" customHeight="1">
      <c r="C15" s="4417" t="s">
        <v>187</v>
      </c>
      <c r="D15" s="4404" t="s">
        <v>119</v>
      </c>
      <c r="E15" s="4404" t="s">
        <v>2091</v>
      </c>
      <c r="F15" s="4404" t="s">
        <v>2092</v>
      </c>
      <c r="G15" s="4404" t="s">
        <v>63</v>
      </c>
      <c r="H15" s="4412" t="s">
        <v>187</v>
      </c>
      <c r="I15" s="4404" t="s">
        <v>119</v>
      </c>
      <c r="J15" s="4404" t="s">
        <v>2091</v>
      </c>
      <c r="K15" s="4404" t="s">
        <v>2092</v>
      </c>
      <c r="L15" s="4381" t="s">
        <v>63</v>
      </c>
      <c r="M15" s="4412" t="s">
        <v>2093</v>
      </c>
      <c r="N15" s="4378"/>
      <c r="O15" s="4396"/>
      <c r="P15" s="1252"/>
    </row>
    <row r="16" spans="3:20" s="1999" customFormat="1" ht="21" customHeight="1">
      <c r="C16" s="1253">
        <f t="shared" ref="C16:C57" si="0">G16+F16+E16+D16</f>
        <v>550</v>
      </c>
      <c r="D16" s="1254">
        <v>164</v>
      </c>
      <c r="E16" s="1254">
        <v>100</v>
      </c>
      <c r="F16" s="1254">
        <v>29</v>
      </c>
      <c r="G16" s="1254">
        <v>257</v>
      </c>
      <c r="H16" s="1255">
        <f t="shared" ref="H16:H57" si="1">L16+K16+J16+I16</f>
        <v>3135</v>
      </c>
      <c r="I16" s="1254">
        <v>1490</v>
      </c>
      <c r="J16" s="1254">
        <v>582</v>
      </c>
      <c r="K16" s="1254">
        <v>312</v>
      </c>
      <c r="L16" s="1254">
        <v>751</v>
      </c>
      <c r="M16" s="1256">
        <f t="shared" ref="M16:M57" si="2">H16+C16</f>
        <v>3685</v>
      </c>
      <c r="N16" s="1193"/>
      <c r="O16" s="1257">
        <v>1968</v>
      </c>
      <c r="P16" s="1258"/>
    </row>
    <row r="17" spans="3:16" s="1999" customFormat="1" ht="21" customHeight="1">
      <c r="C17" s="1259">
        <f t="shared" si="0"/>
        <v>342</v>
      </c>
      <c r="D17" s="1260">
        <v>121</v>
      </c>
      <c r="E17" s="1260">
        <v>10</v>
      </c>
      <c r="F17" s="1260">
        <v>85</v>
      </c>
      <c r="G17" s="1260">
        <v>126</v>
      </c>
      <c r="H17" s="1158">
        <f t="shared" si="1"/>
        <v>2792</v>
      </c>
      <c r="I17" s="1260">
        <v>1248</v>
      </c>
      <c r="J17" s="1260">
        <v>372</v>
      </c>
      <c r="K17" s="1260">
        <v>166</v>
      </c>
      <c r="L17" s="1260">
        <v>1006</v>
      </c>
      <c r="M17" s="1159">
        <f t="shared" si="2"/>
        <v>3134</v>
      </c>
      <c r="N17" s="1196"/>
      <c r="O17" s="1173">
        <v>1969</v>
      </c>
      <c r="P17" s="1261"/>
    </row>
    <row r="18" spans="3:16" s="1999" customFormat="1" ht="21" customHeight="1">
      <c r="C18" s="1253">
        <f t="shared" si="0"/>
        <v>366</v>
      </c>
      <c r="D18" s="1254">
        <v>112</v>
      </c>
      <c r="E18" s="1254">
        <v>72</v>
      </c>
      <c r="F18" s="1254">
        <v>58</v>
      </c>
      <c r="G18" s="1254">
        <v>124</v>
      </c>
      <c r="H18" s="1255">
        <f t="shared" si="1"/>
        <v>2441</v>
      </c>
      <c r="I18" s="1254">
        <v>1366</v>
      </c>
      <c r="J18" s="1254">
        <v>205</v>
      </c>
      <c r="K18" s="1254">
        <v>143</v>
      </c>
      <c r="L18" s="1254">
        <v>727</v>
      </c>
      <c r="M18" s="1256">
        <f t="shared" si="2"/>
        <v>2807</v>
      </c>
      <c r="N18" s="1193"/>
      <c r="O18" s="1257">
        <v>1970</v>
      </c>
      <c r="P18" s="1258"/>
    </row>
    <row r="19" spans="3:16" s="1999" customFormat="1" ht="21" customHeight="1">
      <c r="C19" s="1259">
        <f t="shared" si="0"/>
        <v>453</v>
      </c>
      <c r="D19" s="1260">
        <v>215</v>
      </c>
      <c r="E19" s="1260">
        <v>113</v>
      </c>
      <c r="F19" s="1260">
        <v>20</v>
      </c>
      <c r="G19" s="1260">
        <v>105</v>
      </c>
      <c r="H19" s="1158">
        <f t="shared" si="1"/>
        <v>2438</v>
      </c>
      <c r="I19" s="1260">
        <v>1704</v>
      </c>
      <c r="J19" s="1260">
        <v>185</v>
      </c>
      <c r="K19" s="1260">
        <v>95</v>
      </c>
      <c r="L19" s="1260">
        <v>454</v>
      </c>
      <c r="M19" s="1159">
        <f t="shared" si="2"/>
        <v>2891</v>
      </c>
      <c r="N19" s="1196"/>
      <c r="O19" s="1173">
        <v>1971</v>
      </c>
      <c r="P19" s="1261"/>
    </row>
    <row r="20" spans="3:16" s="1999" customFormat="1" ht="21" customHeight="1">
      <c r="C20" s="1253">
        <f t="shared" si="0"/>
        <v>629</v>
      </c>
      <c r="D20" s="1254">
        <v>299</v>
      </c>
      <c r="E20" s="1254">
        <v>140</v>
      </c>
      <c r="F20" s="1254">
        <v>61</v>
      </c>
      <c r="G20" s="1254">
        <v>129</v>
      </c>
      <c r="H20" s="1255">
        <f t="shared" si="1"/>
        <v>4076</v>
      </c>
      <c r="I20" s="1254">
        <v>2251</v>
      </c>
      <c r="J20" s="1254">
        <v>415</v>
      </c>
      <c r="K20" s="1254">
        <v>501</v>
      </c>
      <c r="L20" s="1254">
        <v>909</v>
      </c>
      <c r="M20" s="1256">
        <f t="shared" si="2"/>
        <v>4705</v>
      </c>
      <c r="N20" s="1193"/>
      <c r="O20" s="1257">
        <v>1972</v>
      </c>
      <c r="P20" s="1258"/>
    </row>
    <row r="21" spans="3:16" s="1999" customFormat="1" ht="21" customHeight="1">
      <c r="C21" s="1259">
        <f t="shared" si="0"/>
        <v>603</v>
      </c>
      <c r="D21" s="1260">
        <v>153</v>
      </c>
      <c r="E21" s="1260">
        <v>204</v>
      </c>
      <c r="F21" s="1260">
        <v>42</v>
      </c>
      <c r="G21" s="1260">
        <v>204</v>
      </c>
      <c r="H21" s="1158">
        <f t="shared" si="1"/>
        <v>4147</v>
      </c>
      <c r="I21" s="1260">
        <v>1874</v>
      </c>
      <c r="J21" s="1260">
        <v>573</v>
      </c>
      <c r="K21" s="1260">
        <v>587</v>
      </c>
      <c r="L21" s="1260">
        <v>1113</v>
      </c>
      <c r="M21" s="1159">
        <f t="shared" si="2"/>
        <v>4750</v>
      </c>
      <c r="N21" s="1196"/>
      <c r="O21" s="1173">
        <v>1973</v>
      </c>
      <c r="P21" s="1261"/>
    </row>
    <row r="22" spans="3:16" s="1999" customFormat="1" ht="21" customHeight="1">
      <c r="C22" s="1253">
        <f t="shared" si="0"/>
        <v>554</v>
      </c>
      <c r="D22" s="1254">
        <v>229</v>
      </c>
      <c r="E22" s="1254">
        <v>104</v>
      </c>
      <c r="F22" s="1254">
        <v>55</v>
      </c>
      <c r="G22" s="1254">
        <v>166</v>
      </c>
      <c r="H22" s="1255">
        <f t="shared" si="1"/>
        <v>2951</v>
      </c>
      <c r="I22" s="1254">
        <v>1487</v>
      </c>
      <c r="J22" s="1254">
        <v>299</v>
      </c>
      <c r="K22" s="1254">
        <v>386</v>
      </c>
      <c r="L22" s="1254">
        <v>779</v>
      </c>
      <c r="M22" s="1256">
        <f t="shared" si="2"/>
        <v>3505</v>
      </c>
      <c r="N22" s="1193"/>
      <c r="O22" s="1257">
        <v>1974</v>
      </c>
      <c r="P22" s="1258"/>
    </row>
    <row r="23" spans="3:16" s="1999" customFormat="1" ht="21" customHeight="1">
      <c r="C23" s="1259">
        <f t="shared" si="0"/>
        <v>628</v>
      </c>
      <c r="D23" s="1260">
        <v>258</v>
      </c>
      <c r="E23" s="1260">
        <v>131</v>
      </c>
      <c r="F23" s="1260">
        <v>46</v>
      </c>
      <c r="G23" s="1260">
        <v>193</v>
      </c>
      <c r="H23" s="1158">
        <f t="shared" si="1"/>
        <v>4747</v>
      </c>
      <c r="I23" s="1260">
        <v>1968</v>
      </c>
      <c r="J23" s="1260">
        <v>516</v>
      </c>
      <c r="K23" s="1260">
        <v>695</v>
      </c>
      <c r="L23" s="1260">
        <v>1568</v>
      </c>
      <c r="M23" s="1159">
        <f t="shared" si="2"/>
        <v>5375</v>
      </c>
      <c r="N23" s="1196"/>
      <c r="O23" s="1173">
        <v>1975</v>
      </c>
      <c r="P23" s="1261"/>
    </row>
    <row r="24" spans="3:16" s="1999" customFormat="1" ht="21" customHeight="1">
      <c r="C24" s="1253">
        <f t="shared" si="0"/>
        <v>566</v>
      </c>
      <c r="D24" s="1254">
        <v>196</v>
      </c>
      <c r="E24" s="1254">
        <v>115</v>
      </c>
      <c r="F24" s="1254">
        <v>20</v>
      </c>
      <c r="G24" s="1254">
        <v>235</v>
      </c>
      <c r="H24" s="1255">
        <f t="shared" si="1"/>
        <v>6515</v>
      </c>
      <c r="I24" s="1254">
        <v>2978</v>
      </c>
      <c r="J24" s="1254">
        <v>844</v>
      </c>
      <c r="K24" s="1254">
        <v>224</v>
      </c>
      <c r="L24" s="1254">
        <v>2469</v>
      </c>
      <c r="M24" s="1256">
        <f t="shared" si="2"/>
        <v>7081</v>
      </c>
      <c r="N24" s="1193"/>
      <c r="O24" s="1257">
        <v>1976</v>
      </c>
      <c r="P24" s="1258"/>
    </row>
    <row r="25" spans="3:16" s="1999" customFormat="1" ht="21" customHeight="1">
      <c r="C25" s="1259">
        <f t="shared" si="0"/>
        <v>701</v>
      </c>
      <c r="D25" s="1260">
        <v>341</v>
      </c>
      <c r="E25" s="1260">
        <v>127</v>
      </c>
      <c r="F25" s="1260">
        <v>57</v>
      </c>
      <c r="G25" s="1260">
        <v>176</v>
      </c>
      <c r="H25" s="1158">
        <f t="shared" si="1"/>
        <v>7074</v>
      </c>
      <c r="I25" s="1260">
        <v>3185</v>
      </c>
      <c r="J25" s="1260">
        <v>818</v>
      </c>
      <c r="K25" s="1260">
        <v>1063</v>
      </c>
      <c r="L25" s="1260">
        <v>2008</v>
      </c>
      <c r="M25" s="1159">
        <f t="shared" si="2"/>
        <v>7775</v>
      </c>
      <c r="N25" s="1196"/>
      <c r="O25" s="1173">
        <v>1977</v>
      </c>
      <c r="P25" s="1261"/>
    </row>
    <row r="26" spans="3:16" s="1999" customFormat="1" ht="21" customHeight="1">
      <c r="C26" s="1253">
        <f t="shared" si="0"/>
        <v>784</v>
      </c>
      <c r="D26" s="1254">
        <v>347</v>
      </c>
      <c r="E26" s="1254">
        <v>164</v>
      </c>
      <c r="F26" s="1254">
        <v>101</v>
      </c>
      <c r="G26" s="1254">
        <v>172</v>
      </c>
      <c r="H26" s="1255">
        <f t="shared" si="1"/>
        <v>6627</v>
      </c>
      <c r="I26" s="1254">
        <v>2962</v>
      </c>
      <c r="J26" s="1254">
        <v>1118</v>
      </c>
      <c r="K26" s="1254">
        <v>858</v>
      </c>
      <c r="L26" s="1254">
        <v>1689</v>
      </c>
      <c r="M26" s="1256">
        <f t="shared" si="2"/>
        <v>7411</v>
      </c>
      <c r="N26" s="1193"/>
      <c r="O26" s="1257">
        <v>1978</v>
      </c>
      <c r="P26" s="1258"/>
    </row>
    <row r="27" spans="3:16" s="1999" customFormat="1" ht="21" customHeight="1">
      <c r="C27" s="1259">
        <f t="shared" si="0"/>
        <v>987</v>
      </c>
      <c r="D27" s="1260">
        <v>162</v>
      </c>
      <c r="E27" s="1260">
        <v>220</v>
      </c>
      <c r="F27" s="1260">
        <v>387</v>
      </c>
      <c r="G27" s="1260">
        <v>218</v>
      </c>
      <c r="H27" s="1158">
        <f t="shared" si="1"/>
        <v>7410</v>
      </c>
      <c r="I27" s="1260">
        <v>3177</v>
      </c>
      <c r="J27" s="1260">
        <v>1199</v>
      </c>
      <c r="K27" s="1260">
        <v>780</v>
      </c>
      <c r="L27" s="1260">
        <v>2254</v>
      </c>
      <c r="M27" s="1159">
        <f t="shared" si="2"/>
        <v>8397</v>
      </c>
      <c r="N27" s="1196"/>
      <c r="O27" s="1173">
        <v>1979</v>
      </c>
      <c r="P27" s="1261"/>
    </row>
    <row r="28" spans="3:16" s="1999" customFormat="1" ht="21" customHeight="1">
      <c r="C28" s="1253">
        <f t="shared" si="0"/>
        <v>986</v>
      </c>
      <c r="D28" s="1254">
        <v>141</v>
      </c>
      <c r="E28" s="1254">
        <v>164</v>
      </c>
      <c r="F28" s="1254">
        <v>500</v>
      </c>
      <c r="G28" s="1254">
        <v>181</v>
      </c>
      <c r="H28" s="1255">
        <f t="shared" si="1"/>
        <v>6594</v>
      </c>
      <c r="I28" s="1254">
        <v>2517</v>
      </c>
      <c r="J28" s="1254">
        <v>1095</v>
      </c>
      <c r="K28" s="1254">
        <v>840</v>
      </c>
      <c r="L28" s="1254">
        <v>2142</v>
      </c>
      <c r="M28" s="1256">
        <f t="shared" si="2"/>
        <v>7580</v>
      </c>
      <c r="N28" s="1193"/>
      <c r="O28" s="1257">
        <v>1980</v>
      </c>
      <c r="P28" s="1258"/>
    </row>
    <row r="29" spans="3:16" s="1999" customFormat="1" ht="21" customHeight="1">
      <c r="C29" s="1259">
        <f t="shared" si="0"/>
        <v>1144</v>
      </c>
      <c r="D29" s="1260">
        <v>542</v>
      </c>
      <c r="E29" s="1260">
        <v>134</v>
      </c>
      <c r="F29" s="1260">
        <v>318</v>
      </c>
      <c r="G29" s="1260">
        <v>150</v>
      </c>
      <c r="H29" s="1158">
        <f t="shared" si="1"/>
        <v>6432</v>
      </c>
      <c r="I29" s="1260">
        <v>3046</v>
      </c>
      <c r="J29" s="1260">
        <v>883</v>
      </c>
      <c r="K29" s="1260">
        <v>799</v>
      </c>
      <c r="L29" s="1260">
        <v>1704</v>
      </c>
      <c r="M29" s="1159">
        <f t="shared" si="2"/>
        <v>7576</v>
      </c>
      <c r="N29" s="1196"/>
      <c r="O29" s="1173">
        <v>1981</v>
      </c>
      <c r="P29" s="1261"/>
    </row>
    <row r="30" spans="3:16" s="1999" customFormat="1" ht="21" customHeight="1">
      <c r="C30" s="1253">
        <f t="shared" si="0"/>
        <v>782</v>
      </c>
      <c r="D30" s="1254">
        <v>366</v>
      </c>
      <c r="E30" s="1254">
        <v>110</v>
      </c>
      <c r="F30" s="1254">
        <v>114</v>
      </c>
      <c r="G30" s="1254">
        <v>192</v>
      </c>
      <c r="H30" s="1255">
        <f t="shared" si="1"/>
        <v>6135</v>
      </c>
      <c r="I30" s="1254">
        <v>2863</v>
      </c>
      <c r="J30" s="1254">
        <v>735</v>
      </c>
      <c r="K30" s="1254">
        <v>744</v>
      </c>
      <c r="L30" s="1254">
        <v>1793</v>
      </c>
      <c r="M30" s="1256">
        <f t="shared" si="2"/>
        <v>6917</v>
      </c>
      <c r="N30" s="1193"/>
      <c r="O30" s="1257">
        <v>1982</v>
      </c>
      <c r="P30" s="1258"/>
    </row>
    <row r="31" spans="3:16" s="1999" customFormat="1" ht="21" customHeight="1">
      <c r="C31" s="1259">
        <f t="shared" si="0"/>
        <v>645</v>
      </c>
      <c r="D31" s="1260">
        <v>268</v>
      </c>
      <c r="E31" s="1260">
        <v>89</v>
      </c>
      <c r="F31" s="1260">
        <v>159</v>
      </c>
      <c r="G31" s="1260">
        <v>129</v>
      </c>
      <c r="H31" s="1158">
        <f t="shared" si="1"/>
        <v>6115</v>
      </c>
      <c r="I31" s="1260">
        <v>3464</v>
      </c>
      <c r="J31" s="1260">
        <v>630</v>
      </c>
      <c r="K31" s="1260">
        <v>829</v>
      </c>
      <c r="L31" s="1260">
        <v>1192</v>
      </c>
      <c r="M31" s="1159">
        <f t="shared" si="2"/>
        <v>6760</v>
      </c>
      <c r="N31" s="1196"/>
      <c r="O31" s="1173">
        <v>1983</v>
      </c>
      <c r="P31" s="1261"/>
    </row>
    <row r="32" spans="3:16" s="1999" customFormat="1" ht="21" customHeight="1">
      <c r="C32" s="1253">
        <f t="shared" si="0"/>
        <v>563</v>
      </c>
      <c r="D32" s="1254">
        <v>153</v>
      </c>
      <c r="E32" s="1254">
        <v>106</v>
      </c>
      <c r="F32" s="1254">
        <v>75</v>
      </c>
      <c r="G32" s="1254">
        <v>229</v>
      </c>
      <c r="H32" s="1255">
        <f t="shared" si="1"/>
        <v>6638</v>
      </c>
      <c r="I32" s="1254">
        <v>3316</v>
      </c>
      <c r="J32" s="1254">
        <v>431</v>
      </c>
      <c r="K32" s="1254">
        <v>726</v>
      </c>
      <c r="L32" s="1254">
        <v>2165</v>
      </c>
      <c r="M32" s="1256">
        <f t="shared" si="2"/>
        <v>7201</v>
      </c>
      <c r="N32" s="1193"/>
      <c r="O32" s="1257">
        <v>1984</v>
      </c>
      <c r="P32" s="1258"/>
    </row>
    <row r="33" spans="3:20" s="1999" customFormat="1" ht="21" customHeight="1">
      <c r="C33" s="1259">
        <f t="shared" si="0"/>
        <v>712</v>
      </c>
      <c r="D33" s="1260">
        <v>300</v>
      </c>
      <c r="E33" s="1260">
        <v>83</v>
      </c>
      <c r="F33" s="1260">
        <v>94</v>
      </c>
      <c r="G33" s="1260">
        <v>235</v>
      </c>
      <c r="H33" s="1158">
        <f t="shared" si="1"/>
        <v>6066</v>
      </c>
      <c r="I33" s="1260">
        <v>2321</v>
      </c>
      <c r="J33" s="1260">
        <v>419</v>
      </c>
      <c r="K33" s="1260">
        <v>720</v>
      </c>
      <c r="L33" s="1260">
        <v>2606</v>
      </c>
      <c r="M33" s="1159">
        <f t="shared" si="2"/>
        <v>6778</v>
      </c>
      <c r="N33" s="1196"/>
      <c r="O33" s="1173">
        <v>1985</v>
      </c>
      <c r="P33" s="1261"/>
    </row>
    <row r="34" spans="3:20" s="1999" customFormat="1" ht="21" customHeight="1">
      <c r="C34" s="1253">
        <f t="shared" si="0"/>
        <v>820</v>
      </c>
      <c r="D34" s="1254">
        <v>468</v>
      </c>
      <c r="E34" s="1254">
        <v>77</v>
      </c>
      <c r="F34" s="1254">
        <v>51</v>
      </c>
      <c r="G34" s="1254">
        <v>224</v>
      </c>
      <c r="H34" s="1255">
        <f t="shared" si="1"/>
        <v>6292</v>
      </c>
      <c r="I34" s="1254">
        <v>2115</v>
      </c>
      <c r="J34" s="1254">
        <v>444</v>
      </c>
      <c r="K34" s="1254">
        <v>748</v>
      </c>
      <c r="L34" s="1254">
        <v>2985</v>
      </c>
      <c r="M34" s="1256">
        <f t="shared" si="2"/>
        <v>7112</v>
      </c>
      <c r="N34" s="1193"/>
      <c r="O34" s="1257">
        <v>1986</v>
      </c>
      <c r="P34" s="1258"/>
    </row>
    <row r="35" spans="3:20" s="1999" customFormat="1" ht="21" customHeight="1">
      <c r="C35" s="1259">
        <f t="shared" si="0"/>
        <v>823</v>
      </c>
      <c r="D35" s="1260">
        <v>517</v>
      </c>
      <c r="E35" s="1260">
        <v>59</v>
      </c>
      <c r="F35" s="1260">
        <v>75</v>
      </c>
      <c r="G35" s="1260">
        <v>172</v>
      </c>
      <c r="H35" s="1158">
        <f t="shared" si="1"/>
        <v>6772</v>
      </c>
      <c r="I35" s="1260">
        <v>2827</v>
      </c>
      <c r="J35" s="1260">
        <v>401</v>
      </c>
      <c r="K35" s="1260">
        <v>712</v>
      </c>
      <c r="L35" s="1260">
        <v>2832</v>
      </c>
      <c r="M35" s="1159">
        <f t="shared" si="2"/>
        <v>7595</v>
      </c>
      <c r="N35" s="1196"/>
      <c r="O35" s="1173">
        <v>1987</v>
      </c>
      <c r="P35" s="1261"/>
    </row>
    <row r="36" spans="3:20" ht="21" customHeight="1">
      <c r="C36" s="1253">
        <f t="shared" si="0"/>
        <v>180</v>
      </c>
      <c r="D36" s="1254">
        <v>5</v>
      </c>
      <c r="E36" s="1254">
        <v>11</v>
      </c>
      <c r="F36" s="1254">
        <v>24</v>
      </c>
      <c r="G36" s="1254">
        <v>140</v>
      </c>
      <c r="H36" s="1255">
        <f t="shared" si="1"/>
        <v>9989</v>
      </c>
      <c r="I36" s="1254">
        <v>1174</v>
      </c>
      <c r="J36" s="1254">
        <v>334</v>
      </c>
      <c r="K36" s="1254">
        <v>3640</v>
      </c>
      <c r="L36" s="1254">
        <v>4841</v>
      </c>
      <c r="M36" s="1256">
        <f t="shared" si="2"/>
        <v>10169</v>
      </c>
      <c r="N36" s="1193"/>
      <c r="O36" s="1257">
        <v>1988</v>
      </c>
      <c r="P36" s="1258"/>
    </row>
    <row r="37" spans="3:20" ht="21" customHeight="1">
      <c r="C37" s="1259">
        <f t="shared" si="0"/>
        <v>154</v>
      </c>
      <c r="D37" s="1260">
        <v>5</v>
      </c>
      <c r="E37" s="1260">
        <v>4</v>
      </c>
      <c r="F37" s="1260">
        <v>16</v>
      </c>
      <c r="G37" s="1260">
        <v>129</v>
      </c>
      <c r="H37" s="1158">
        <f t="shared" si="1"/>
        <v>9427</v>
      </c>
      <c r="I37" s="1260">
        <v>705</v>
      </c>
      <c r="J37" s="1260">
        <v>226</v>
      </c>
      <c r="K37" s="1260">
        <v>3235</v>
      </c>
      <c r="L37" s="1260">
        <v>5261</v>
      </c>
      <c r="M37" s="1159">
        <f t="shared" si="2"/>
        <v>9581</v>
      </c>
      <c r="N37" s="1196"/>
      <c r="O37" s="1173">
        <v>1989</v>
      </c>
      <c r="P37" s="1261"/>
    </row>
    <row r="38" spans="3:20" ht="21" customHeight="1">
      <c r="C38" s="1253">
        <f t="shared" si="0"/>
        <v>130</v>
      </c>
      <c r="D38" s="1254">
        <v>11</v>
      </c>
      <c r="E38" s="1254">
        <v>7</v>
      </c>
      <c r="F38" s="1254">
        <v>20</v>
      </c>
      <c r="G38" s="1254">
        <v>92</v>
      </c>
      <c r="H38" s="1255">
        <f t="shared" si="1"/>
        <v>11691</v>
      </c>
      <c r="I38" s="1254">
        <v>1438</v>
      </c>
      <c r="J38" s="1254">
        <v>415</v>
      </c>
      <c r="K38" s="1254">
        <v>3782</v>
      </c>
      <c r="L38" s="1254">
        <v>6056</v>
      </c>
      <c r="M38" s="1256">
        <f t="shared" si="2"/>
        <v>11821</v>
      </c>
      <c r="N38" s="1193"/>
      <c r="O38" s="1257">
        <v>1990</v>
      </c>
      <c r="P38" s="1258"/>
    </row>
    <row r="39" spans="3:20" ht="21" customHeight="1">
      <c r="C39" s="1259">
        <f t="shared" si="0"/>
        <v>89</v>
      </c>
      <c r="D39" s="1260">
        <v>4</v>
      </c>
      <c r="E39" s="1260">
        <v>2</v>
      </c>
      <c r="F39" s="1260">
        <v>22</v>
      </c>
      <c r="G39" s="1260">
        <v>61</v>
      </c>
      <c r="H39" s="1158">
        <f t="shared" si="1"/>
        <v>17160</v>
      </c>
      <c r="I39" s="1260">
        <v>2215</v>
      </c>
      <c r="J39" s="1260">
        <v>951</v>
      </c>
      <c r="K39" s="1260">
        <v>5191</v>
      </c>
      <c r="L39" s="1260">
        <v>8803</v>
      </c>
      <c r="M39" s="1159">
        <f t="shared" si="2"/>
        <v>17249</v>
      </c>
      <c r="N39" s="1196"/>
      <c r="O39" s="1173">
        <v>1991</v>
      </c>
      <c r="P39" s="1261"/>
    </row>
    <row r="40" spans="3:20" ht="21" customHeight="1">
      <c r="C40" s="1253">
        <f t="shared" si="0"/>
        <v>11</v>
      </c>
      <c r="D40" s="1254">
        <v>1</v>
      </c>
      <c r="E40" s="1254">
        <v>0</v>
      </c>
      <c r="F40" s="1254">
        <v>3</v>
      </c>
      <c r="G40" s="1254">
        <v>7</v>
      </c>
      <c r="H40" s="1255">
        <f t="shared" si="1"/>
        <v>21180</v>
      </c>
      <c r="I40" s="1254">
        <v>2366</v>
      </c>
      <c r="J40" s="1254">
        <v>1356</v>
      </c>
      <c r="K40" s="1254">
        <v>5278</v>
      </c>
      <c r="L40" s="1254">
        <v>12180</v>
      </c>
      <c r="M40" s="1256">
        <f t="shared" si="2"/>
        <v>21191</v>
      </c>
      <c r="N40" s="1193"/>
      <c r="O40" s="1257">
        <v>1992</v>
      </c>
      <c r="P40" s="1258"/>
    </row>
    <row r="41" spans="3:20" ht="21" customHeight="1">
      <c r="C41" s="1259">
        <f t="shared" si="0"/>
        <v>2184</v>
      </c>
      <c r="D41" s="1260">
        <v>198</v>
      </c>
      <c r="E41" s="1260">
        <v>261</v>
      </c>
      <c r="F41" s="1260">
        <v>443</v>
      </c>
      <c r="G41" s="1260">
        <v>1282</v>
      </c>
      <c r="H41" s="1158">
        <f t="shared" si="1"/>
        <v>14285</v>
      </c>
      <c r="I41" s="1260">
        <v>2285</v>
      </c>
      <c r="J41" s="1260">
        <v>865</v>
      </c>
      <c r="K41" s="1260">
        <v>4245</v>
      </c>
      <c r="L41" s="1260">
        <v>6890</v>
      </c>
      <c r="M41" s="1159">
        <f t="shared" si="2"/>
        <v>16469</v>
      </c>
      <c r="N41" s="1196"/>
      <c r="O41" s="1173">
        <v>1993</v>
      </c>
      <c r="P41" s="1261"/>
      <c r="Q41" s="1174"/>
      <c r="R41" s="1174"/>
      <c r="S41" s="1174"/>
    </row>
    <row r="42" spans="3:20" ht="21" customHeight="1">
      <c r="C42" s="1253">
        <f t="shared" si="0"/>
        <v>2351</v>
      </c>
      <c r="D42" s="1254">
        <v>434</v>
      </c>
      <c r="E42" s="1254">
        <v>272</v>
      </c>
      <c r="F42" s="1254">
        <v>464</v>
      </c>
      <c r="G42" s="1254">
        <v>1181</v>
      </c>
      <c r="H42" s="1255">
        <f t="shared" si="1"/>
        <v>16000</v>
      </c>
      <c r="I42" s="1254">
        <v>4304</v>
      </c>
      <c r="J42" s="1254">
        <v>814</v>
      </c>
      <c r="K42" s="1254">
        <v>4683</v>
      </c>
      <c r="L42" s="1254">
        <v>6199</v>
      </c>
      <c r="M42" s="1256">
        <f t="shared" si="2"/>
        <v>18351</v>
      </c>
      <c r="N42" s="1193"/>
      <c r="O42" s="1257">
        <v>1994</v>
      </c>
      <c r="P42" s="1258"/>
    </row>
    <row r="43" spans="3:20" ht="21" customHeight="1">
      <c r="C43" s="1259">
        <f t="shared" si="0"/>
        <v>2128</v>
      </c>
      <c r="D43" s="1260">
        <v>416</v>
      </c>
      <c r="E43" s="1260">
        <v>265</v>
      </c>
      <c r="F43" s="1260">
        <v>383</v>
      </c>
      <c r="G43" s="1260">
        <v>1064</v>
      </c>
      <c r="H43" s="1158">
        <f t="shared" si="1"/>
        <v>16430</v>
      </c>
      <c r="I43" s="1260">
        <v>4521</v>
      </c>
      <c r="J43" s="1260">
        <v>1027</v>
      </c>
      <c r="K43" s="1260">
        <v>4815</v>
      </c>
      <c r="L43" s="1260">
        <v>6067</v>
      </c>
      <c r="M43" s="1159">
        <f t="shared" si="2"/>
        <v>18558</v>
      </c>
      <c r="N43" s="1196"/>
      <c r="O43" s="1173">
        <v>1995</v>
      </c>
      <c r="P43" s="1261"/>
      <c r="Q43" s="1174"/>
      <c r="R43" s="1174"/>
      <c r="S43" s="1174"/>
    </row>
    <row r="44" spans="3:20" ht="21" customHeight="1">
      <c r="C44" s="1253">
        <f t="shared" si="0"/>
        <v>1837</v>
      </c>
      <c r="D44" s="1254">
        <v>423</v>
      </c>
      <c r="E44" s="1254">
        <v>444</v>
      </c>
      <c r="F44" s="1254">
        <v>76</v>
      </c>
      <c r="G44" s="1254">
        <v>894</v>
      </c>
      <c r="H44" s="1255">
        <f t="shared" si="1"/>
        <v>14966</v>
      </c>
      <c r="I44" s="1254">
        <v>4568</v>
      </c>
      <c r="J44" s="1254">
        <v>1440</v>
      </c>
      <c r="K44" s="1254">
        <v>2946</v>
      </c>
      <c r="L44" s="1254">
        <v>6012</v>
      </c>
      <c r="M44" s="1256">
        <f t="shared" si="2"/>
        <v>16803</v>
      </c>
      <c r="N44" s="1193"/>
      <c r="O44" s="1257">
        <v>1996</v>
      </c>
      <c r="P44" s="1258"/>
      <c r="Q44" s="1174"/>
      <c r="R44" s="1174"/>
      <c r="S44" s="1174"/>
    </row>
    <row r="45" spans="3:20" ht="21" customHeight="1">
      <c r="C45" s="1259">
        <f t="shared" si="0"/>
        <v>1643</v>
      </c>
      <c r="D45" s="1260">
        <v>400</v>
      </c>
      <c r="E45" s="1260">
        <v>434</v>
      </c>
      <c r="F45" s="1260">
        <v>28</v>
      </c>
      <c r="G45" s="1260">
        <v>781</v>
      </c>
      <c r="H45" s="1158">
        <f t="shared" si="1"/>
        <v>13195</v>
      </c>
      <c r="I45" s="1260">
        <v>4596</v>
      </c>
      <c r="J45" s="1260">
        <v>1418</v>
      </c>
      <c r="K45" s="1260">
        <v>2164</v>
      </c>
      <c r="L45" s="1260">
        <v>5017</v>
      </c>
      <c r="M45" s="1159">
        <f t="shared" si="2"/>
        <v>14838</v>
      </c>
      <c r="N45" s="1196"/>
      <c r="O45" s="1173">
        <v>1997</v>
      </c>
      <c r="P45" s="1261"/>
      <c r="Q45" s="1174"/>
      <c r="R45" s="1174"/>
      <c r="S45" s="1174"/>
    </row>
    <row r="46" spans="3:20" ht="21" customHeight="1">
      <c r="C46" s="1253">
        <f t="shared" si="0"/>
        <v>1547</v>
      </c>
      <c r="D46" s="1254">
        <v>429</v>
      </c>
      <c r="E46" s="1254">
        <v>378</v>
      </c>
      <c r="F46" s="1254">
        <v>34</v>
      </c>
      <c r="G46" s="1254">
        <v>706</v>
      </c>
      <c r="H46" s="1255">
        <f t="shared" si="1"/>
        <v>14424</v>
      </c>
      <c r="I46" s="1254">
        <v>5496</v>
      </c>
      <c r="J46" s="1254">
        <v>1411</v>
      </c>
      <c r="K46" s="1254">
        <v>2377</v>
      </c>
      <c r="L46" s="1254">
        <v>5140</v>
      </c>
      <c r="M46" s="1256">
        <f t="shared" si="2"/>
        <v>15971</v>
      </c>
      <c r="N46" s="1193"/>
      <c r="O46" s="1257">
        <v>1998</v>
      </c>
      <c r="P46" s="1258"/>
      <c r="Q46" s="1174"/>
      <c r="R46" s="1174"/>
      <c r="S46" s="3936"/>
      <c r="T46" s="3936"/>
    </row>
    <row r="47" spans="3:20" ht="21" customHeight="1">
      <c r="C47" s="1259">
        <f t="shared" si="0"/>
        <v>1113</v>
      </c>
      <c r="D47" s="1260">
        <v>266</v>
      </c>
      <c r="E47" s="1260">
        <v>310</v>
      </c>
      <c r="F47" s="1260">
        <v>8</v>
      </c>
      <c r="G47" s="1260">
        <v>529</v>
      </c>
      <c r="H47" s="1158">
        <f t="shared" si="1"/>
        <v>14258</v>
      </c>
      <c r="I47" s="1260">
        <v>5137</v>
      </c>
      <c r="J47" s="1260">
        <v>1416</v>
      </c>
      <c r="K47" s="1260">
        <v>2635</v>
      </c>
      <c r="L47" s="1260">
        <v>5070</v>
      </c>
      <c r="M47" s="1159">
        <f t="shared" si="2"/>
        <v>15371</v>
      </c>
      <c r="N47" s="1196"/>
      <c r="O47" s="1173">
        <v>1999</v>
      </c>
      <c r="P47" s="1261"/>
      <c r="Q47" s="1174"/>
      <c r="R47" s="1174"/>
      <c r="S47" s="3937"/>
      <c r="T47" s="3937"/>
    </row>
    <row r="48" spans="3:20" ht="21" customHeight="1">
      <c r="C48" s="1253">
        <f t="shared" si="0"/>
        <v>1544</v>
      </c>
      <c r="D48" s="1254">
        <v>423</v>
      </c>
      <c r="E48" s="1254">
        <v>320</v>
      </c>
      <c r="F48" s="1254">
        <v>16</v>
      </c>
      <c r="G48" s="1254">
        <v>785</v>
      </c>
      <c r="H48" s="1255">
        <f t="shared" si="1"/>
        <v>16381</v>
      </c>
      <c r="I48" s="1254">
        <v>6297</v>
      </c>
      <c r="J48" s="1254">
        <v>1614</v>
      </c>
      <c r="K48" s="1254">
        <v>3491</v>
      </c>
      <c r="L48" s="1254">
        <v>4979</v>
      </c>
      <c r="M48" s="1256">
        <f t="shared" si="2"/>
        <v>17925</v>
      </c>
      <c r="N48" s="1193"/>
      <c r="O48" s="1257">
        <v>2000</v>
      </c>
      <c r="P48" s="1258"/>
      <c r="Q48" s="1174"/>
      <c r="R48" s="1174"/>
      <c r="S48" s="3937"/>
      <c r="T48" s="3937"/>
    </row>
    <row r="49" spans="3:20" ht="21" customHeight="1">
      <c r="C49" s="1259">
        <f t="shared" si="0"/>
        <v>1687</v>
      </c>
      <c r="D49" s="1260">
        <v>465</v>
      </c>
      <c r="E49" s="1260">
        <v>326</v>
      </c>
      <c r="F49" s="1260">
        <v>13</v>
      </c>
      <c r="G49" s="1260">
        <v>883</v>
      </c>
      <c r="H49" s="1158">
        <f t="shared" si="1"/>
        <v>19561</v>
      </c>
      <c r="I49" s="1260">
        <v>7551</v>
      </c>
      <c r="J49" s="1260">
        <v>1722</v>
      </c>
      <c r="K49" s="1260">
        <v>4657</v>
      </c>
      <c r="L49" s="1260">
        <v>5631</v>
      </c>
      <c r="M49" s="1159">
        <f t="shared" si="2"/>
        <v>21248</v>
      </c>
      <c r="N49" s="1196"/>
      <c r="O49" s="1173">
        <v>2001</v>
      </c>
      <c r="P49" s="1261"/>
      <c r="Q49" s="1174"/>
      <c r="R49" s="1174"/>
      <c r="S49" s="3937"/>
      <c r="T49" s="3937"/>
    </row>
    <row r="50" spans="3:20" ht="21" customHeight="1">
      <c r="C50" s="1253">
        <f t="shared" si="0"/>
        <v>1846</v>
      </c>
      <c r="D50" s="1254">
        <v>465</v>
      </c>
      <c r="E50" s="1254">
        <v>312</v>
      </c>
      <c r="F50" s="1254">
        <v>11</v>
      </c>
      <c r="G50" s="1254">
        <v>1058</v>
      </c>
      <c r="H50" s="1255">
        <f t="shared" si="1"/>
        <v>19587</v>
      </c>
      <c r="I50" s="1254">
        <v>6741</v>
      </c>
      <c r="J50" s="1254">
        <v>1766</v>
      </c>
      <c r="K50" s="1254">
        <v>4762</v>
      </c>
      <c r="L50" s="1254">
        <v>6318</v>
      </c>
      <c r="M50" s="1256">
        <f t="shared" si="2"/>
        <v>21433</v>
      </c>
      <c r="N50" s="1193"/>
      <c r="O50" s="1257">
        <v>2002</v>
      </c>
      <c r="P50" s="1258"/>
      <c r="Q50" s="1174"/>
      <c r="R50" s="1174"/>
      <c r="S50" s="3937"/>
      <c r="T50" s="3937"/>
    </row>
    <row r="51" spans="3:20" ht="21" customHeight="1">
      <c r="C51" s="1259">
        <f t="shared" si="0"/>
        <v>2103</v>
      </c>
      <c r="D51" s="1157">
        <v>510</v>
      </c>
      <c r="E51" s="1157">
        <v>388</v>
      </c>
      <c r="F51" s="1157">
        <v>72</v>
      </c>
      <c r="G51" s="1157">
        <v>1133</v>
      </c>
      <c r="H51" s="1158">
        <f t="shared" si="1"/>
        <v>20452</v>
      </c>
      <c r="I51" s="1157">
        <v>7295</v>
      </c>
      <c r="J51" s="1157">
        <v>2007</v>
      </c>
      <c r="K51" s="1157">
        <v>4561</v>
      </c>
      <c r="L51" s="1157">
        <v>6589</v>
      </c>
      <c r="M51" s="1159">
        <f t="shared" si="2"/>
        <v>22555</v>
      </c>
      <c r="N51" s="1196"/>
      <c r="O51" s="1173">
        <v>2003</v>
      </c>
      <c r="P51" s="1261"/>
      <c r="Q51" s="1174"/>
      <c r="R51" s="1174"/>
      <c r="S51" s="1174"/>
    </row>
    <row r="52" spans="3:20" ht="21" customHeight="1">
      <c r="C52" s="1253">
        <f t="shared" si="0"/>
        <v>2437</v>
      </c>
      <c r="D52" s="1254">
        <v>565</v>
      </c>
      <c r="E52" s="1254">
        <v>440</v>
      </c>
      <c r="F52" s="1254">
        <v>24</v>
      </c>
      <c r="G52" s="1254">
        <v>1408</v>
      </c>
      <c r="H52" s="1255">
        <f t="shared" si="1"/>
        <v>24627</v>
      </c>
      <c r="I52" s="1254">
        <v>9008</v>
      </c>
      <c r="J52" s="1254">
        <v>2519</v>
      </c>
      <c r="K52" s="1254">
        <v>5243</v>
      </c>
      <c r="L52" s="1254">
        <v>7857</v>
      </c>
      <c r="M52" s="1256">
        <f t="shared" si="2"/>
        <v>27064</v>
      </c>
      <c r="N52" s="1193"/>
      <c r="O52" s="1257">
        <v>2004</v>
      </c>
      <c r="P52" s="1258"/>
      <c r="Q52" s="1174"/>
      <c r="R52" s="1174"/>
      <c r="S52" s="1174"/>
    </row>
    <row r="53" spans="3:20" ht="21" customHeight="1">
      <c r="C53" s="1259">
        <f t="shared" si="0"/>
        <v>2518</v>
      </c>
      <c r="D53" s="1157">
        <v>562</v>
      </c>
      <c r="E53" s="1157">
        <v>417</v>
      </c>
      <c r="F53" s="1157">
        <v>18</v>
      </c>
      <c r="G53" s="1157">
        <v>1521</v>
      </c>
      <c r="H53" s="1158">
        <f t="shared" si="1"/>
        <v>23165</v>
      </c>
      <c r="I53" s="1157">
        <v>7724</v>
      </c>
      <c r="J53" s="1157">
        <v>2382</v>
      </c>
      <c r="K53" s="1157">
        <v>4673</v>
      </c>
      <c r="L53" s="1157">
        <v>8386</v>
      </c>
      <c r="M53" s="1159">
        <f t="shared" si="2"/>
        <v>25683</v>
      </c>
      <c r="N53" s="1196"/>
      <c r="O53" s="1173">
        <v>2005</v>
      </c>
      <c r="P53" s="1261"/>
      <c r="Q53" s="1174"/>
      <c r="R53" s="1174"/>
      <c r="S53" s="1174"/>
    </row>
    <row r="54" spans="3:20" ht="21" customHeight="1">
      <c r="C54" s="1253">
        <f t="shared" si="0"/>
        <v>2797</v>
      </c>
      <c r="D54" s="1254">
        <v>383</v>
      </c>
      <c r="E54" s="1254">
        <v>358</v>
      </c>
      <c r="F54" s="1254">
        <v>370</v>
      </c>
      <c r="G54" s="1254">
        <v>1686</v>
      </c>
      <c r="H54" s="1255">
        <f t="shared" si="1"/>
        <v>20894</v>
      </c>
      <c r="I54" s="1254">
        <v>5913</v>
      </c>
      <c r="J54" s="1254">
        <v>2163</v>
      </c>
      <c r="K54" s="1254">
        <v>3853</v>
      </c>
      <c r="L54" s="1254">
        <v>8965</v>
      </c>
      <c r="M54" s="1256">
        <f t="shared" si="2"/>
        <v>23691</v>
      </c>
      <c r="N54" s="1193"/>
      <c r="O54" s="1257">
        <v>2006</v>
      </c>
      <c r="P54" s="1258"/>
      <c r="Q54" s="1174"/>
      <c r="R54" s="1174"/>
      <c r="S54" s="1174"/>
    </row>
    <row r="55" spans="3:20" ht="21" customHeight="1">
      <c r="C55" s="1259">
        <f t="shared" si="0"/>
        <v>2921</v>
      </c>
      <c r="D55" s="1157">
        <v>524</v>
      </c>
      <c r="E55" s="1157">
        <v>564</v>
      </c>
      <c r="F55" s="1157">
        <v>404</v>
      </c>
      <c r="G55" s="1157">
        <v>1429</v>
      </c>
      <c r="H55" s="1158">
        <f t="shared" si="1"/>
        <v>21997</v>
      </c>
      <c r="I55" s="1157">
        <v>7071</v>
      </c>
      <c r="J55" s="1157">
        <v>2774</v>
      </c>
      <c r="K55" s="1157">
        <v>3722</v>
      </c>
      <c r="L55" s="1157">
        <v>8430</v>
      </c>
      <c r="M55" s="1159">
        <f t="shared" si="2"/>
        <v>24918</v>
      </c>
      <c r="N55" s="1196"/>
      <c r="O55" s="1173">
        <v>2007</v>
      </c>
      <c r="P55" s="1261"/>
      <c r="Q55" s="1174"/>
      <c r="R55" s="1174"/>
      <c r="S55" s="1174"/>
    </row>
    <row r="56" spans="3:20" ht="21" customHeight="1">
      <c r="C56" s="1253">
        <f t="shared" si="0"/>
        <v>2571</v>
      </c>
      <c r="D56" s="1254">
        <v>514</v>
      </c>
      <c r="E56" s="1254">
        <v>509</v>
      </c>
      <c r="F56" s="1254">
        <v>329</v>
      </c>
      <c r="G56" s="1254">
        <v>1219</v>
      </c>
      <c r="H56" s="1255">
        <f t="shared" si="1"/>
        <v>19132</v>
      </c>
      <c r="I56" s="1254">
        <v>6722</v>
      </c>
      <c r="J56" s="1254">
        <v>1838</v>
      </c>
      <c r="K56" s="1254">
        <v>3406</v>
      </c>
      <c r="L56" s="1254">
        <v>7166</v>
      </c>
      <c r="M56" s="1256">
        <f t="shared" si="2"/>
        <v>21703</v>
      </c>
      <c r="N56" s="1193"/>
      <c r="O56" s="1257">
        <v>2008</v>
      </c>
      <c r="P56" s="1258"/>
      <c r="Q56" s="1174"/>
      <c r="R56" s="1174"/>
      <c r="S56" s="1174"/>
    </row>
    <row r="57" spans="3:20" ht="21" customHeight="1">
      <c r="C57" s="1259">
        <f t="shared" si="0"/>
        <v>2824</v>
      </c>
      <c r="D57" s="1157">
        <v>655</v>
      </c>
      <c r="E57" s="1157">
        <v>414</v>
      </c>
      <c r="F57" s="1157">
        <v>389</v>
      </c>
      <c r="G57" s="1157">
        <v>1366</v>
      </c>
      <c r="H57" s="1158">
        <f t="shared" si="1"/>
        <v>22414</v>
      </c>
      <c r="I57" s="1157">
        <v>8086</v>
      </c>
      <c r="J57" s="1157">
        <v>2137</v>
      </c>
      <c r="K57" s="1157">
        <v>4037</v>
      </c>
      <c r="L57" s="1157">
        <v>8154</v>
      </c>
      <c r="M57" s="1159">
        <f t="shared" si="2"/>
        <v>25238</v>
      </c>
      <c r="N57" s="1196"/>
      <c r="O57" s="1173">
        <v>2009</v>
      </c>
      <c r="P57" s="1261"/>
      <c r="Q57" s="1174"/>
      <c r="R57" s="1174"/>
      <c r="S57" s="1174"/>
    </row>
    <row r="58" spans="3:20" ht="21" customHeight="1">
      <c r="C58" s="1253">
        <f>G58+F58+E58+D58</f>
        <v>2826</v>
      </c>
      <c r="D58" s="1254">
        <v>524</v>
      </c>
      <c r="E58" s="1254">
        <v>125</v>
      </c>
      <c r="F58" s="1254">
        <v>348</v>
      </c>
      <c r="G58" s="1254">
        <v>1829</v>
      </c>
      <c r="H58" s="1255">
        <f>L58+K58+J58+I58</f>
        <v>23834</v>
      </c>
      <c r="I58" s="1254">
        <v>8088</v>
      </c>
      <c r="J58" s="1254">
        <v>2188</v>
      </c>
      <c r="K58" s="1254">
        <v>3262</v>
      </c>
      <c r="L58" s="1254">
        <v>10296</v>
      </c>
      <c r="M58" s="1256">
        <f>H58+C58</f>
        <v>26660</v>
      </c>
      <c r="N58" s="1193"/>
      <c r="O58" s="1257">
        <v>2010</v>
      </c>
      <c r="P58" s="1258"/>
      <c r="Q58" s="1174"/>
      <c r="R58" s="1174"/>
      <c r="S58" s="1174"/>
    </row>
    <row r="59" spans="3:20" s="2066" customFormat="1" ht="21" customHeight="1">
      <c r="C59" s="1259">
        <f>G59+F59+E59+D59</f>
        <v>3259</v>
      </c>
      <c r="D59" s="1157">
        <v>549</v>
      </c>
      <c r="E59" s="1157">
        <v>578</v>
      </c>
      <c r="F59" s="1157">
        <v>246</v>
      </c>
      <c r="G59" s="1157">
        <v>1886</v>
      </c>
      <c r="H59" s="1158">
        <f>L59+K59+J59+I59</f>
        <v>27704</v>
      </c>
      <c r="I59" s="1157">
        <v>8373</v>
      </c>
      <c r="J59" s="1157">
        <v>2756</v>
      </c>
      <c r="K59" s="1157">
        <v>4285</v>
      </c>
      <c r="L59" s="1157">
        <v>12290</v>
      </c>
      <c r="M59" s="1159">
        <f>H59+C59</f>
        <v>30963</v>
      </c>
      <c r="N59" s="1196"/>
      <c r="O59" s="1554">
        <v>2011</v>
      </c>
      <c r="P59" s="1261"/>
      <c r="Q59" s="2127"/>
      <c r="R59" s="2127"/>
      <c r="S59" s="2127"/>
    </row>
    <row r="60" spans="3:20" s="2066" customFormat="1" ht="21" customHeight="1">
      <c r="C60" s="1253">
        <f>G60+F60+E60+D60</f>
        <v>3237</v>
      </c>
      <c r="D60" s="1254">
        <v>505</v>
      </c>
      <c r="E60" s="1254">
        <v>636</v>
      </c>
      <c r="F60" s="1254">
        <v>223</v>
      </c>
      <c r="G60" s="1254">
        <v>1873</v>
      </c>
      <c r="H60" s="1255">
        <f>L60+K60+J60+I60</f>
        <v>32134</v>
      </c>
      <c r="I60" s="1254">
        <v>10010</v>
      </c>
      <c r="J60" s="1254">
        <v>3422</v>
      </c>
      <c r="K60" s="1254">
        <v>5939</v>
      </c>
      <c r="L60" s="1254">
        <v>12763</v>
      </c>
      <c r="M60" s="1256">
        <f>H60+C60</f>
        <v>35371</v>
      </c>
      <c r="N60" s="1193"/>
      <c r="O60" s="3137" t="s">
        <v>1133</v>
      </c>
      <c r="P60" s="1258"/>
      <c r="Q60" s="2127"/>
      <c r="R60" s="2127"/>
      <c r="S60" s="2127"/>
    </row>
    <row r="61" spans="3:20" s="2066" customFormat="1" ht="21" customHeight="1">
      <c r="C61" s="1689">
        <f>G61+F61+E61+D61</f>
        <v>2868</v>
      </c>
      <c r="D61" s="1502">
        <v>467</v>
      </c>
      <c r="E61" s="1502">
        <v>592</v>
      </c>
      <c r="F61" s="1502">
        <v>173</v>
      </c>
      <c r="G61" s="1502">
        <v>1636</v>
      </c>
      <c r="H61" s="1503">
        <f>L61+K61+J61+I61</f>
        <v>31443</v>
      </c>
      <c r="I61" s="1502">
        <v>9254</v>
      </c>
      <c r="J61" s="1502">
        <v>3189</v>
      </c>
      <c r="K61" s="1502">
        <v>5392</v>
      </c>
      <c r="L61" s="1502">
        <v>13608</v>
      </c>
      <c r="M61" s="1513">
        <f>H61+C61</f>
        <v>34311</v>
      </c>
      <c r="N61" s="1659"/>
      <c r="O61" s="2329" t="s">
        <v>1132</v>
      </c>
      <c r="P61" s="1644"/>
      <c r="Q61" s="2127"/>
      <c r="R61" s="2127"/>
      <c r="S61" s="2127"/>
    </row>
    <row r="62" spans="3:20" s="2254" customFormat="1" ht="6.95" customHeight="1">
      <c r="C62" s="1647"/>
      <c r="D62" s="1649"/>
      <c r="E62" s="2938"/>
      <c r="F62" s="2938"/>
      <c r="G62" s="2938"/>
      <c r="H62" s="1308"/>
      <c r="I62" s="1308"/>
      <c r="J62" s="1308"/>
      <c r="K62" s="1308"/>
      <c r="L62" s="2250"/>
      <c r="M62" s="2250"/>
      <c r="N62" s="2078"/>
      <c r="O62" s="2250"/>
      <c r="P62" s="1308"/>
      <c r="Q62" s="1191"/>
      <c r="R62" s="3938"/>
    </row>
    <row r="63" spans="3:20" s="2254" customFormat="1" ht="18">
      <c r="C63" s="4384" t="s">
        <v>2094</v>
      </c>
      <c r="D63" s="1265"/>
      <c r="E63" s="1266"/>
      <c r="F63" s="1266"/>
      <c r="G63" s="1266"/>
      <c r="H63" s="1267"/>
      <c r="I63" s="1267"/>
      <c r="J63" s="1267"/>
      <c r="K63" s="1267"/>
      <c r="L63" s="4379"/>
      <c r="M63" s="4379"/>
      <c r="N63" s="1268"/>
      <c r="O63" s="4379"/>
      <c r="P63" s="4379" t="s">
        <v>2095</v>
      </c>
      <c r="Q63" s="1191"/>
      <c r="R63" s="3938"/>
    </row>
    <row r="64" spans="3:20" s="2254" customFormat="1" ht="18">
      <c r="C64" s="4384" t="s">
        <v>2096</v>
      </c>
      <c r="D64" s="1265"/>
      <c r="E64" s="1266"/>
      <c r="F64" s="1266"/>
      <c r="G64" s="1266"/>
      <c r="H64" s="1267"/>
      <c r="I64" s="1267"/>
      <c r="J64" s="1267"/>
      <c r="K64" s="1267"/>
      <c r="L64" s="4379"/>
      <c r="M64" s="4379"/>
      <c r="N64" s="3304"/>
      <c r="O64" s="4379"/>
      <c r="P64" s="4379" t="s">
        <v>2097</v>
      </c>
      <c r="Q64" s="1191"/>
      <c r="R64" s="3938"/>
      <c r="S64" s="3939"/>
    </row>
    <row r="65" spans="3:24" s="2254" customFormat="1" ht="18">
      <c r="C65" s="4384" t="s">
        <v>2098</v>
      </c>
      <c r="D65" s="1265"/>
      <c r="E65" s="1266"/>
      <c r="F65" s="1266"/>
      <c r="G65" s="1266"/>
      <c r="H65" s="1267"/>
      <c r="I65" s="1267"/>
      <c r="J65" s="1267"/>
      <c r="K65" s="1267"/>
      <c r="L65" s="4379"/>
      <c r="M65" s="4379"/>
      <c r="N65" s="3304"/>
      <c r="O65" s="4379"/>
      <c r="P65" s="4379" t="s">
        <v>2099</v>
      </c>
      <c r="Q65" s="1191"/>
    </row>
    <row r="66" spans="3:24" s="2254" customFormat="1" ht="18">
      <c r="C66" s="4380" t="s">
        <v>2100</v>
      </c>
      <c r="D66" s="1274"/>
      <c r="E66" s="1274"/>
      <c r="F66" s="1274"/>
      <c r="G66" s="1274"/>
      <c r="H66" s="1274"/>
      <c r="I66" s="1275"/>
      <c r="J66" s="1274"/>
      <c r="K66" s="1274"/>
      <c r="L66" s="1274"/>
      <c r="M66" s="3940"/>
      <c r="N66" s="3940"/>
      <c r="O66" s="2685"/>
      <c r="P66" s="2685" t="s">
        <v>2101</v>
      </c>
      <c r="U66" s="3941"/>
      <c r="V66" s="3942"/>
      <c r="X66" s="3942"/>
    </row>
    <row r="67" spans="3:24" s="2254" customFormat="1" ht="18">
      <c r="C67" s="4380"/>
      <c r="D67" s="1274"/>
      <c r="E67" s="1274"/>
      <c r="F67" s="1274"/>
      <c r="G67" s="1274"/>
      <c r="H67" s="1274"/>
      <c r="I67" s="1275"/>
      <c r="J67" s="1274"/>
      <c r="K67" s="1274"/>
      <c r="L67" s="1274"/>
      <c r="M67" s="3940"/>
      <c r="N67" s="3940"/>
      <c r="O67" s="2685"/>
      <c r="P67" s="2685"/>
      <c r="U67" s="3941"/>
      <c r="V67" s="3942"/>
      <c r="X67" s="3942"/>
    </row>
    <row r="68" spans="3:24" ht="22.5" customHeight="1"/>
    <row r="69" spans="3:24" ht="22.5" customHeight="1">
      <c r="E69" s="1264"/>
    </row>
    <row r="70" spans="3:24" s="2848" customFormat="1" ht="29.25" customHeight="1">
      <c r="C70" s="4602" t="s">
        <v>2077</v>
      </c>
      <c r="D70" s="4602"/>
      <c r="E70" s="4602"/>
      <c r="F70" s="4602"/>
      <c r="G70" s="4602"/>
      <c r="H70" s="4602"/>
      <c r="I70" s="4602"/>
      <c r="J70" s="4602"/>
      <c r="K70" s="4602"/>
      <c r="L70" s="4602"/>
      <c r="M70" s="4602"/>
      <c r="N70" s="4602"/>
      <c r="O70" s="4602"/>
      <c r="P70" s="4602"/>
    </row>
    <row r="71" spans="3:24" s="2366" customFormat="1" ht="29.25" customHeight="1">
      <c r="C71" s="4713" t="s">
        <v>2078</v>
      </c>
      <c r="D71" s="4713"/>
      <c r="E71" s="4713"/>
      <c r="F71" s="4713"/>
      <c r="G71" s="4713"/>
      <c r="H71" s="4713"/>
      <c r="I71" s="4713"/>
      <c r="J71" s="4713"/>
      <c r="K71" s="4713"/>
      <c r="L71" s="4713"/>
      <c r="M71" s="4713"/>
      <c r="N71" s="4713"/>
      <c r="O71" s="4713"/>
      <c r="P71" s="4713"/>
    </row>
    <row r="72" spans="3:24" ht="12.75" customHeight="1">
      <c r="C72" s="1220"/>
      <c r="D72" s="1220"/>
      <c r="E72" s="1220"/>
      <c r="F72" s="1220"/>
      <c r="G72" s="1220"/>
      <c r="H72" s="1220"/>
      <c r="I72" s="1221"/>
      <c r="J72" s="1220"/>
      <c r="K72" s="1222"/>
      <c r="L72" s="1222"/>
      <c r="M72" s="1222"/>
      <c r="N72" s="1222"/>
      <c r="O72" s="1223"/>
      <c r="P72" s="1224"/>
      <c r="Q72" s="1999"/>
      <c r="R72" s="1999"/>
      <c r="S72" s="1999"/>
      <c r="T72" s="1999"/>
    </row>
    <row r="73" spans="3:24" ht="6" customHeight="1">
      <c r="C73" s="1220"/>
      <c r="D73" s="1220"/>
      <c r="E73" s="1220"/>
      <c r="F73" s="1220"/>
      <c r="G73" s="1220"/>
      <c r="H73" s="1220"/>
      <c r="I73" s="1221"/>
      <c r="J73" s="1220"/>
      <c r="K73" s="1222"/>
      <c r="L73" s="1222"/>
      <c r="M73" s="1222"/>
      <c r="N73" s="1222"/>
      <c r="O73" s="1223"/>
      <c r="P73" s="1224"/>
      <c r="Q73" s="1999"/>
      <c r="R73" s="1999"/>
      <c r="S73" s="1999"/>
      <c r="T73" s="1999"/>
    </row>
    <row r="74" spans="3:24" s="2254" customFormat="1" ht="20.25">
      <c r="C74" s="1225"/>
      <c r="D74" s="1226"/>
      <c r="E74" s="1226"/>
      <c r="F74" s="1226"/>
      <c r="G74" s="1227"/>
      <c r="H74" s="1226"/>
      <c r="I74" s="4409"/>
      <c r="J74" s="1226"/>
      <c r="K74" s="1226"/>
      <c r="L74" s="1226"/>
      <c r="M74" s="1228"/>
      <c r="N74" s="1229"/>
      <c r="O74" s="4376"/>
      <c r="P74" s="1230"/>
      <c r="U74" s="3941"/>
      <c r="V74" s="3942"/>
      <c r="X74" s="3942"/>
    </row>
    <row r="75" spans="3:24" ht="17.100000000000001" customHeight="1">
      <c r="C75" s="1231" t="s">
        <v>2079</v>
      </c>
      <c r="D75" s="1232"/>
      <c r="E75" s="1232"/>
      <c r="F75" s="1232"/>
      <c r="G75" s="1233"/>
      <c r="H75" s="1234" t="s">
        <v>2080</v>
      </c>
      <c r="I75" s="1234"/>
      <c r="J75" s="1234"/>
      <c r="K75" s="1234"/>
      <c r="L75" s="1232"/>
      <c r="M75" s="1235"/>
      <c r="N75" s="1236"/>
      <c r="O75" s="4388"/>
      <c r="P75" s="1237"/>
      <c r="T75" s="3943"/>
      <c r="U75" s="2866"/>
    </row>
    <row r="76" spans="3:24" ht="17.100000000000001" customHeight="1">
      <c r="C76" s="1231" t="s">
        <v>2081</v>
      </c>
      <c r="D76" s="1232"/>
      <c r="E76" s="1238"/>
      <c r="F76" s="1232"/>
      <c r="G76" s="1239"/>
      <c r="H76" s="1240" t="s">
        <v>2082</v>
      </c>
      <c r="I76" s="1234"/>
      <c r="J76" s="1234"/>
      <c r="K76" s="1238"/>
      <c r="L76" s="1241"/>
      <c r="M76" s="1242" t="s">
        <v>2083</v>
      </c>
      <c r="N76" s="1243"/>
      <c r="O76" s="4388"/>
      <c r="P76" s="1237"/>
    </row>
    <row r="77" spans="3:24" ht="17.100000000000001" customHeight="1">
      <c r="C77" s="1231"/>
      <c r="D77" s="1232"/>
      <c r="E77" s="1238"/>
      <c r="F77" s="1232"/>
      <c r="G77" s="1239"/>
      <c r="H77" s="1244"/>
      <c r="I77" s="1232"/>
      <c r="J77" s="1232"/>
      <c r="K77" s="1238"/>
      <c r="L77" s="1241"/>
      <c r="M77" s="1242" t="s">
        <v>2084</v>
      </c>
      <c r="N77" s="1243"/>
      <c r="O77" s="4388"/>
      <c r="P77" s="1237"/>
    </row>
    <row r="78" spans="3:24" ht="17.100000000000001" customHeight="1">
      <c r="C78" s="1245"/>
      <c r="D78" s="1246"/>
      <c r="E78" s="1246"/>
      <c r="F78" s="1246"/>
      <c r="G78" s="1246"/>
      <c r="H78" s="1247"/>
      <c r="I78" s="1246"/>
      <c r="J78" s="1246"/>
      <c r="K78" s="1246"/>
      <c r="L78" s="1248"/>
      <c r="M78" s="1242" t="s">
        <v>2085</v>
      </c>
      <c r="N78" s="4388"/>
      <c r="O78" s="4388"/>
      <c r="P78" s="1237"/>
    </row>
    <row r="79" spans="3:24" ht="17.100000000000001" customHeight="1">
      <c r="C79" s="4414" t="s">
        <v>170</v>
      </c>
      <c r="D79" s="4382" t="s">
        <v>330</v>
      </c>
      <c r="E79" s="4382" t="s">
        <v>2086</v>
      </c>
      <c r="F79" s="4382" t="s">
        <v>2087</v>
      </c>
      <c r="G79" s="4382" t="s">
        <v>40</v>
      </c>
      <c r="H79" s="1242" t="s">
        <v>170</v>
      </c>
      <c r="I79" s="4382" t="s">
        <v>330</v>
      </c>
      <c r="J79" s="4382" t="s">
        <v>2086</v>
      </c>
      <c r="K79" s="4382" t="s">
        <v>2087</v>
      </c>
      <c r="L79" s="4388" t="s">
        <v>40</v>
      </c>
      <c r="M79" s="1249" t="s">
        <v>2088</v>
      </c>
      <c r="N79" s="4388"/>
      <c r="O79" s="1250"/>
      <c r="P79" s="1237"/>
    </row>
    <row r="80" spans="3:24" ht="17.100000000000001" customHeight="1">
      <c r="C80" s="4414"/>
      <c r="D80" s="1242"/>
      <c r="E80" s="1242"/>
      <c r="F80" s="1242"/>
      <c r="G80" s="1242"/>
      <c r="H80" s="1242"/>
      <c r="I80" s="1242"/>
      <c r="J80" s="1242"/>
      <c r="K80" s="1242"/>
      <c r="L80" s="4416"/>
      <c r="M80" s="1249" t="s">
        <v>2089</v>
      </c>
      <c r="N80" s="4388"/>
      <c r="O80" s="4388"/>
      <c r="P80" s="1237"/>
    </row>
    <row r="81" spans="3:16" ht="17.100000000000001" customHeight="1">
      <c r="C81" s="4414"/>
      <c r="D81" s="4382"/>
      <c r="E81" s="4382"/>
      <c r="F81" s="4382"/>
      <c r="G81" s="4382"/>
      <c r="H81" s="1242"/>
      <c r="I81" s="4382"/>
      <c r="J81" s="4382"/>
      <c r="K81" s="4382"/>
      <c r="L81" s="4388"/>
      <c r="M81" s="1242" t="s">
        <v>2090</v>
      </c>
      <c r="N81" s="4388"/>
      <c r="O81" s="1250"/>
      <c r="P81" s="1237"/>
    </row>
    <row r="82" spans="3:16" ht="17.100000000000001" customHeight="1">
      <c r="C82" s="4417" t="s">
        <v>187</v>
      </c>
      <c r="D82" s="4404" t="s">
        <v>119</v>
      </c>
      <c r="E82" s="4404" t="s">
        <v>2091</v>
      </c>
      <c r="F82" s="4404" t="s">
        <v>2092</v>
      </c>
      <c r="G82" s="4404" t="s">
        <v>63</v>
      </c>
      <c r="H82" s="4412" t="s">
        <v>187</v>
      </c>
      <c r="I82" s="4404" t="s">
        <v>119</v>
      </c>
      <c r="J82" s="4404" t="s">
        <v>2091</v>
      </c>
      <c r="K82" s="4404" t="s">
        <v>2092</v>
      </c>
      <c r="L82" s="4381" t="s">
        <v>63</v>
      </c>
      <c r="M82" s="4412" t="s">
        <v>2093</v>
      </c>
      <c r="N82" s="4378"/>
      <c r="O82" s="4396"/>
      <c r="P82" s="1252"/>
    </row>
    <row r="83" spans="3:16" s="1999" customFormat="1" ht="21" customHeight="1">
      <c r="C83" s="1253">
        <f t="shared" ref="C83:C91" si="3">G83+F83+E83+D83</f>
        <v>2869</v>
      </c>
      <c r="D83" s="1254">
        <v>486</v>
      </c>
      <c r="E83" s="1254">
        <v>323</v>
      </c>
      <c r="F83" s="1254">
        <v>501</v>
      </c>
      <c r="G83" s="1254">
        <v>1559</v>
      </c>
      <c r="H83" s="1255">
        <f t="shared" ref="H83:H91" si="4">L83+K83+J83+I83</f>
        <v>30519</v>
      </c>
      <c r="I83" s="1254">
        <v>10110</v>
      </c>
      <c r="J83" s="1254">
        <v>2418</v>
      </c>
      <c r="K83" s="1254">
        <v>6997</v>
      </c>
      <c r="L83" s="1254">
        <v>10994</v>
      </c>
      <c r="M83" s="1256">
        <f t="shared" ref="M83:M91" si="5">H83+C83</f>
        <v>33388</v>
      </c>
      <c r="N83" s="1193"/>
      <c r="O83" s="1257">
        <v>2006</v>
      </c>
      <c r="P83" s="1258"/>
    </row>
    <row r="84" spans="3:16" s="1999" customFormat="1" ht="21" customHeight="1">
      <c r="C84" s="1259">
        <f t="shared" si="3"/>
        <v>2655</v>
      </c>
      <c r="D84" s="1260">
        <v>524</v>
      </c>
      <c r="E84" s="1260">
        <v>452</v>
      </c>
      <c r="F84" s="1260">
        <v>421</v>
      </c>
      <c r="G84" s="1260">
        <v>1258</v>
      </c>
      <c r="H84" s="1158">
        <f t="shared" si="4"/>
        <v>31789</v>
      </c>
      <c r="I84" s="1260">
        <v>11223</v>
      </c>
      <c r="J84" s="1260">
        <v>3097</v>
      </c>
      <c r="K84" s="1260">
        <v>7242</v>
      </c>
      <c r="L84" s="1260">
        <v>10227</v>
      </c>
      <c r="M84" s="1159">
        <f t="shared" si="5"/>
        <v>34444</v>
      </c>
      <c r="N84" s="1196"/>
      <c r="O84" s="1173">
        <v>2007</v>
      </c>
      <c r="P84" s="1261"/>
    </row>
    <row r="85" spans="3:16" s="1999" customFormat="1" ht="21" customHeight="1">
      <c r="C85" s="1253">
        <f t="shared" si="3"/>
        <v>2861</v>
      </c>
      <c r="D85" s="1254">
        <v>496</v>
      </c>
      <c r="E85" s="1254">
        <v>139</v>
      </c>
      <c r="F85" s="1254">
        <v>511</v>
      </c>
      <c r="G85" s="1254">
        <v>1715</v>
      </c>
      <c r="H85" s="1255">
        <f t="shared" si="4"/>
        <v>36424</v>
      </c>
      <c r="I85" s="1254">
        <v>12647</v>
      </c>
      <c r="J85" s="1254">
        <v>2586</v>
      </c>
      <c r="K85" s="1254">
        <v>8046</v>
      </c>
      <c r="L85" s="1254">
        <v>13145</v>
      </c>
      <c r="M85" s="1256">
        <f t="shared" si="5"/>
        <v>39285</v>
      </c>
      <c r="N85" s="1193"/>
      <c r="O85" s="1257">
        <v>2008</v>
      </c>
      <c r="P85" s="1258"/>
    </row>
    <row r="86" spans="3:16" s="1999" customFormat="1" ht="21" customHeight="1">
      <c r="C86" s="1259">
        <f t="shared" si="3"/>
        <v>3061</v>
      </c>
      <c r="D86" s="1260">
        <v>666</v>
      </c>
      <c r="E86" s="1260">
        <v>255</v>
      </c>
      <c r="F86" s="1260">
        <v>490</v>
      </c>
      <c r="G86" s="1260">
        <v>1650</v>
      </c>
      <c r="H86" s="1158">
        <f t="shared" si="4"/>
        <v>31520</v>
      </c>
      <c r="I86" s="1260">
        <v>11647</v>
      </c>
      <c r="J86" s="1260">
        <v>2168</v>
      </c>
      <c r="K86" s="1260">
        <v>7041</v>
      </c>
      <c r="L86" s="1260">
        <v>10664</v>
      </c>
      <c r="M86" s="1159">
        <f t="shared" si="5"/>
        <v>34581</v>
      </c>
      <c r="N86" s="1196"/>
      <c r="O86" s="1173">
        <v>2009</v>
      </c>
      <c r="P86" s="1261"/>
    </row>
    <row r="87" spans="3:16" s="1999" customFormat="1" ht="21" customHeight="1">
      <c r="C87" s="1253">
        <f t="shared" si="3"/>
        <v>3153</v>
      </c>
      <c r="D87" s="1254">
        <v>679</v>
      </c>
      <c r="E87" s="1254">
        <v>261</v>
      </c>
      <c r="F87" s="1254">
        <v>526</v>
      </c>
      <c r="G87" s="1254">
        <v>1687</v>
      </c>
      <c r="H87" s="1255">
        <f t="shared" si="4"/>
        <v>28579</v>
      </c>
      <c r="I87" s="1254">
        <v>11069</v>
      </c>
      <c r="J87" s="1254">
        <v>1895</v>
      </c>
      <c r="K87" s="1254">
        <v>7496</v>
      </c>
      <c r="L87" s="1254">
        <v>8119</v>
      </c>
      <c r="M87" s="1256">
        <f t="shared" si="5"/>
        <v>31732</v>
      </c>
      <c r="N87" s="1193"/>
      <c r="O87" s="1257">
        <v>2010</v>
      </c>
      <c r="P87" s="1258"/>
    </row>
    <row r="88" spans="3:16" s="1999" customFormat="1" ht="21" customHeight="1">
      <c r="C88" s="1259">
        <f t="shared" si="3"/>
        <v>2973</v>
      </c>
      <c r="D88" s="1260">
        <v>674</v>
      </c>
      <c r="E88" s="1260">
        <v>397</v>
      </c>
      <c r="F88" s="1260">
        <v>377</v>
      </c>
      <c r="G88" s="1260">
        <v>1525</v>
      </c>
      <c r="H88" s="1158">
        <f t="shared" si="4"/>
        <v>26603</v>
      </c>
      <c r="I88" s="1260">
        <v>9270</v>
      </c>
      <c r="J88" s="1260">
        <v>2634</v>
      </c>
      <c r="K88" s="1260">
        <v>6529</v>
      </c>
      <c r="L88" s="1260">
        <v>8170</v>
      </c>
      <c r="M88" s="1159">
        <f t="shared" si="5"/>
        <v>29576</v>
      </c>
      <c r="N88" s="1196"/>
      <c r="O88" s="1173">
        <v>2011</v>
      </c>
      <c r="P88" s="1261"/>
    </row>
    <row r="89" spans="3:16" s="1999" customFormat="1" ht="21" customHeight="1">
      <c r="C89" s="1253">
        <f t="shared" si="3"/>
        <v>2526</v>
      </c>
      <c r="D89" s="1254">
        <v>569</v>
      </c>
      <c r="E89" s="1254">
        <v>338</v>
      </c>
      <c r="F89" s="1254">
        <v>431</v>
      </c>
      <c r="G89" s="1254">
        <v>1188</v>
      </c>
      <c r="H89" s="1255">
        <f t="shared" si="4"/>
        <v>29940</v>
      </c>
      <c r="I89" s="1254">
        <v>10751</v>
      </c>
      <c r="J89" s="1254">
        <v>2804</v>
      </c>
      <c r="K89" s="1254">
        <v>8429</v>
      </c>
      <c r="L89" s="1254">
        <v>7956</v>
      </c>
      <c r="M89" s="1256">
        <f t="shared" si="5"/>
        <v>32466</v>
      </c>
      <c r="N89" s="1193"/>
      <c r="O89" s="1257">
        <v>2012</v>
      </c>
      <c r="P89" s="1258"/>
    </row>
    <row r="90" spans="3:16" s="1999" customFormat="1" ht="21" customHeight="1">
      <c r="C90" s="1259">
        <f t="shared" si="3"/>
        <v>2695</v>
      </c>
      <c r="D90" s="1260">
        <v>528</v>
      </c>
      <c r="E90" s="1260">
        <v>423</v>
      </c>
      <c r="F90" s="1260">
        <v>568</v>
      </c>
      <c r="G90" s="1260">
        <v>1176</v>
      </c>
      <c r="H90" s="1158">
        <f t="shared" si="4"/>
        <v>33906</v>
      </c>
      <c r="I90" s="1260">
        <v>12524</v>
      </c>
      <c r="J90" s="1260">
        <v>3223</v>
      </c>
      <c r="K90" s="1260">
        <v>10063</v>
      </c>
      <c r="L90" s="1260">
        <v>8096</v>
      </c>
      <c r="M90" s="1159">
        <f t="shared" si="5"/>
        <v>36601</v>
      </c>
      <c r="N90" s="1196"/>
      <c r="O90" s="1173">
        <v>2013</v>
      </c>
      <c r="P90" s="1261"/>
    </row>
    <row r="91" spans="3:16" s="1999" customFormat="1" ht="21" customHeight="1">
      <c r="C91" s="1253">
        <f t="shared" si="3"/>
        <v>2936</v>
      </c>
      <c r="D91" s="1254">
        <v>459</v>
      </c>
      <c r="E91" s="1254">
        <v>471</v>
      </c>
      <c r="F91" s="1254">
        <v>672</v>
      </c>
      <c r="G91" s="1254">
        <v>1334</v>
      </c>
      <c r="H91" s="1255">
        <f t="shared" si="4"/>
        <v>36642</v>
      </c>
      <c r="I91" s="1254">
        <v>13517</v>
      </c>
      <c r="J91" s="1254">
        <v>3103</v>
      </c>
      <c r="K91" s="1254">
        <v>11118</v>
      </c>
      <c r="L91" s="1254">
        <v>8904</v>
      </c>
      <c r="M91" s="1256">
        <f t="shared" si="5"/>
        <v>39578</v>
      </c>
      <c r="N91" s="1193"/>
      <c r="O91" s="1257">
        <v>2014</v>
      </c>
      <c r="P91" s="1258"/>
    </row>
    <row r="92" spans="3:16" s="1999" customFormat="1" ht="21" customHeight="1">
      <c r="C92" s="1259">
        <v>2893</v>
      </c>
      <c r="D92" s="1157">
        <v>437</v>
      </c>
      <c r="E92" s="1157">
        <v>477</v>
      </c>
      <c r="F92" s="1157">
        <v>657</v>
      </c>
      <c r="G92" s="1157">
        <v>1322</v>
      </c>
      <c r="H92" s="1158">
        <v>32882</v>
      </c>
      <c r="I92" s="1157">
        <v>12025</v>
      </c>
      <c r="J92" s="1157">
        <v>2765</v>
      </c>
      <c r="K92" s="1157">
        <v>10496</v>
      </c>
      <c r="L92" s="1157">
        <v>7596</v>
      </c>
      <c r="M92" s="1159">
        <v>35775</v>
      </c>
      <c r="N92" s="1196"/>
      <c r="O92" s="1173">
        <v>2015</v>
      </c>
      <c r="P92" s="1261"/>
    </row>
    <row r="93" spans="3:16" s="1999" customFormat="1" ht="21" customHeight="1">
      <c r="C93" s="1253">
        <v>3043</v>
      </c>
      <c r="D93" s="1254">
        <v>523</v>
      </c>
      <c r="E93" s="1254">
        <v>600</v>
      </c>
      <c r="F93" s="1254">
        <v>547</v>
      </c>
      <c r="G93" s="1254">
        <v>1373</v>
      </c>
      <c r="H93" s="1255">
        <v>36367</v>
      </c>
      <c r="I93" s="1254">
        <v>14610</v>
      </c>
      <c r="J93" s="1254">
        <v>3292</v>
      </c>
      <c r="K93" s="1254">
        <v>11293</v>
      </c>
      <c r="L93" s="1254">
        <v>7172</v>
      </c>
      <c r="M93" s="1256">
        <v>39410</v>
      </c>
      <c r="N93" s="1193"/>
      <c r="O93" s="1257">
        <v>2016</v>
      </c>
      <c r="P93" s="1258"/>
    </row>
    <row r="94" spans="3:16" s="1999" customFormat="1" ht="21" customHeight="1">
      <c r="C94" s="1259">
        <v>3485</v>
      </c>
      <c r="D94" s="1157">
        <v>504</v>
      </c>
      <c r="E94" s="1157">
        <v>942</v>
      </c>
      <c r="F94" s="1157">
        <v>520</v>
      </c>
      <c r="G94" s="1157">
        <v>1519</v>
      </c>
      <c r="H94" s="1158">
        <v>39792</v>
      </c>
      <c r="I94" s="1157">
        <v>16226</v>
      </c>
      <c r="J94" s="1157">
        <v>5010</v>
      </c>
      <c r="K94" s="1157">
        <v>11392</v>
      </c>
      <c r="L94" s="1157">
        <v>7164</v>
      </c>
      <c r="M94" s="1159">
        <v>43277</v>
      </c>
      <c r="N94" s="1196"/>
      <c r="O94" s="1173">
        <v>2017</v>
      </c>
      <c r="P94" s="1261"/>
    </row>
    <row r="95" spans="3:16" s="1999" customFormat="1" ht="21" customHeight="1">
      <c r="C95" s="1253">
        <v>3033</v>
      </c>
      <c r="D95" s="1254">
        <v>392</v>
      </c>
      <c r="E95" s="1254">
        <v>695</v>
      </c>
      <c r="F95" s="1254">
        <v>430</v>
      </c>
      <c r="G95" s="1254">
        <v>1516</v>
      </c>
      <c r="H95" s="1255">
        <v>29451</v>
      </c>
      <c r="I95" s="1254">
        <v>10793</v>
      </c>
      <c r="J95" s="1254">
        <v>4067</v>
      </c>
      <c r="K95" s="1254">
        <v>8071</v>
      </c>
      <c r="L95" s="1254">
        <v>6520</v>
      </c>
      <c r="M95" s="1256">
        <v>32484</v>
      </c>
      <c r="N95" s="1193"/>
      <c r="O95" s="1257">
        <v>2018</v>
      </c>
      <c r="P95" s="1258"/>
    </row>
    <row r="96" spans="3:16" s="1999" customFormat="1" ht="21" customHeight="1">
      <c r="C96" s="1259">
        <v>1933</v>
      </c>
      <c r="D96" s="1157">
        <v>350</v>
      </c>
      <c r="E96" s="1157">
        <v>416</v>
      </c>
      <c r="F96" s="1157">
        <v>106</v>
      </c>
      <c r="G96" s="1157">
        <v>1061</v>
      </c>
      <c r="H96" s="1158">
        <v>20147</v>
      </c>
      <c r="I96" s="1157">
        <v>7578</v>
      </c>
      <c r="J96" s="1157">
        <v>2313</v>
      </c>
      <c r="K96" s="1157">
        <v>5420</v>
      </c>
      <c r="L96" s="1157">
        <v>4836</v>
      </c>
      <c r="M96" s="1159">
        <v>22080</v>
      </c>
      <c r="N96" s="1196"/>
      <c r="O96" s="1173">
        <v>2019</v>
      </c>
      <c r="P96" s="1261"/>
    </row>
    <row r="97" spans="1:144" s="1999" customFormat="1" ht="21" customHeight="1">
      <c r="C97" s="1253">
        <v>1271</v>
      </c>
      <c r="D97" s="1254">
        <v>294</v>
      </c>
      <c r="E97" s="1254">
        <v>278</v>
      </c>
      <c r="F97" s="1254">
        <v>101</v>
      </c>
      <c r="G97" s="1254">
        <v>598</v>
      </c>
      <c r="H97" s="1255">
        <v>17929</v>
      </c>
      <c r="I97" s="1254">
        <v>6845</v>
      </c>
      <c r="J97" s="1254">
        <v>2137</v>
      </c>
      <c r="K97" s="1254">
        <v>5102</v>
      </c>
      <c r="L97" s="1254">
        <v>3845</v>
      </c>
      <c r="M97" s="1256">
        <v>19200</v>
      </c>
      <c r="N97" s="1193"/>
      <c r="O97" s="1257">
        <v>2020</v>
      </c>
      <c r="P97" s="1258"/>
    </row>
    <row r="98" spans="1:144" s="1999" customFormat="1" ht="21" customHeight="1">
      <c r="C98" s="1259">
        <v>1738</v>
      </c>
      <c r="D98" s="1157">
        <v>308</v>
      </c>
      <c r="E98" s="1157">
        <v>322</v>
      </c>
      <c r="F98" s="1157">
        <v>154</v>
      </c>
      <c r="G98" s="1157">
        <v>954</v>
      </c>
      <c r="H98" s="1158">
        <v>24982</v>
      </c>
      <c r="I98" s="1157">
        <v>10157</v>
      </c>
      <c r="J98" s="1157">
        <v>2761</v>
      </c>
      <c r="K98" s="1157">
        <v>6029</v>
      </c>
      <c r="L98" s="1157">
        <v>6035</v>
      </c>
      <c r="M98" s="1159">
        <v>26720</v>
      </c>
      <c r="N98" s="1196"/>
      <c r="O98" s="1173">
        <v>2021</v>
      </c>
      <c r="P98" s="1261"/>
    </row>
    <row r="99" spans="1:144" s="1999" customFormat="1" ht="21" customHeight="1">
      <c r="C99" s="4581">
        <v>1892</v>
      </c>
      <c r="D99" s="4534">
        <v>403</v>
      </c>
      <c r="E99" s="4534">
        <v>282</v>
      </c>
      <c r="F99" s="4534">
        <v>175</v>
      </c>
      <c r="G99" s="4534">
        <v>1032</v>
      </c>
      <c r="H99" s="4535">
        <v>23898</v>
      </c>
      <c r="I99" s="4534">
        <v>9665</v>
      </c>
      <c r="J99" s="4534">
        <v>2549</v>
      </c>
      <c r="K99" s="4534">
        <v>5480</v>
      </c>
      <c r="L99" s="4534">
        <v>6204</v>
      </c>
      <c r="M99" s="4543">
        <v>25790</v>
      </c>
      <c r="N99" s="4453"/>
      <c r="O99" s="4323">
        <v>2022</v>
      </c>
      <c r="P99" s="4330"/>
    </row>
    <row r="100" spans="1:144" s="1274" customFormat="1" ht="30" customHeight="1">
      <c r="A100" s="1836"/>
      <c r="C100" s="4505" t="s">
        <v>2571</v>
      </c>
      <c r="D100" s="1265"/>
      <c r="E100" s="1266"/>
      <c r="F100" s="1266"/>
      <c r="G100" s="1266"/>
      <c r="H100" s="1267"/>
      <c r="I100" s="1267"/>
      <c r="J100" s="1267"/>
      <c r="K100" s="1267"/>
      <c r="L100" s="4504"/>
      <c r="M100" s="4504"/>
      <c r="N100" s="1268"/>
      <c r="O100" s="4504" t="s">
        <v>2572</v>
      </c>
      <c r="P100" s="1308"/>
      <c r="Q100" s="3944"/>
      <c r="S100" s="3945"/>
      <c r="T100" s="3945"/>
      <c r="U100" s="3945"/>
      <c r="V100" s="3945"/>
      <c r="W100" s="3945"/>
      <c r="X100" s="3945"/>
      <c r="Z100" s="1224"/>
      <c r="AA100" s="1224"/>
      <c r="AB100" s="1224"/>
      <c r="AC100" s="1224"/>
      <c r="AD100" s="1224"/>
      <c r="AE100" s="1224"/>
      <c r="AF100" s="1224"/>
      <c r="AG100" s="1224"/>
      <c r="AH100" s="1224"/>
      <c r="AI100" s="1224"/>
      <c r="AJ100" s="1224"/>
      <c r="AK100" s="1224"/>
      <c r="AL100" s="1224"/>
      <c r="AM100" s="1224"/>
      <c r="AN100" s="1224"/>
      <c r="AO100" s="1224"/>
      <c r="AP100" s="1224"/>
      <c r="AQ100" s="1224"/>
      <c r="AR100" s="1224"/>
      <c r="AS100" s="1224"/>
      <c r="AT100" s="1224"/>
      <c r="AU100" s="1224"/>
      <c r="AV100" s="1224"/>
      <c r="AW100" s="1224"/>
      <c r="AX100" s="1224"/>
      <c r="AY100" s="1224"/>
      <c r="AZ100" s="1224"/>
      <c r="BA100" s="1224"/>
      <c r="BB100" s="1224"/>
      <c r="BC100" s="1224"/>
      <c r="BD100" s="1224"/>
      <c r="BE100" s="1224"/>
      <c r="BF100" s="1224"/>
      <c r="BG100" s="1224"/>
      <c r="BH100" s="1224"/>
      <c r="BI100" s="1224"/>
      <c r="BJ100" s="1224"/>
      <c r="BK100" s="1224"/>
      <c r="BL100" s="1224"/>
      <c r="BM100" s="1224"/>
      <c r="BN100" s="1224"/>
      <c r="BO100" s="1224"/>
      <c r="BP100" s="1224"/>
      <c r="BQ100" s="1224"/>
      <c r="BR100" s="1224"/>
      <c r="BS100" s="1224"/>
      <c r="BT100" s="1224"/>
      <c r="BU100" s="1224"/>
      <c r="BV100" s="1224"/>
      <c r="BW100" s="1224"/>
      <c r="BX100" s="1224"/>
      <c r="BY100" s="1224"/>
      <c r="BZ100" s="1224"/>
      <c r="CA100" s="1224"/>
      <c r="CB100" s="1224"/>
      <c r="CC100" s="1224"/>
      <c r="CD100" s="1224"/>
      <c r="CE100" s="1224"/>
      <c r="CF100" s="1224"/>
      <c r="CG100" s="1224"/>
      <c r="CH100" s="1224"/>
      <c r="CI100" s="1224"/>
      <c r="CJ100" s="1224"/>
      <c r="CK100" s="1224"/>
      <c r="CL100" s="1224"/>
      <c r="CM100" s="1224"/>
      <c r="CN100" s="1224"/>
      <c r="CO100" s="1224"/>
      <c r="CP100" s="1224"/>
      <c r="CQ100" s="1224"/>
      <c r="CR100" s="1224"/>
      <c r="CS100" s="1224"/>
      <c r="CT100" s="1224"/>
      <c r="CU100" s="1224"/>
      <c r="CV100" s="1224"/>
      <c r="CW100" s="1224"/>
      <c r="CX100" s="1224"/>
      <c r="CY100" s="1224"/>
      <c r="CZ100" s="1224"/>
      <c r="DA100" s="1224"/>
      <c r="DB100" s="1224"/>
      <c r="DC100" s="1224"/>
      <c r="DD100" s="1224"/>
      <c r="DE100" s="1224"/>
      <c r="DF100" s="1224"/>
      <c r="DG100" s="1224"/>
      <c r="DH100" s="1224"/>
      <c r="DI100" s="1224"/>
      <c r="DJ100" s="1224"/>
      <c r="DK100" s="1224"/>
      <c r="DL100" s="1224"/>
      <c r="DM100" s="1224"/>
      <c r="DN100" s="1224"/>
      <c r="DO100" s="1224"/>
      <c r="DP100" s="1224"/>
      <c r="DQ100" s="1224"/>
      <c r="DR100" s="1224"/>
      <c r="DS100" s="1224"/>
      <c r="DT100" s="1224"/>
      <c r="DU100" s="1224"/>
      <c r="DV100" s="1224"/>
      <c r="DW100" s="1224"/>
      <c r="DX100" s="1224"/>
      <c r="DY100" s="1224"/>
      <c r="DZ100" s="1224"/>
      <c r="EA100" s="1224"/>
      <c r="EB100" s="1224"/>
      <c r="EC100" s="1224"/>
      <c r="ED100" s="1224"/>
      <c r="EE100" s="1224"/>
      <c r="EF100" s="1224"/>
      <c r="EG100" s="1224"/>
      <c r="EH100" s="1224"/>
      <c r="EL100" s="3946"/>
      <c r="EM100" s="3947"/>
      <c r="EN100" s="3946"/>
    </row>
    <row r="101" spans="1:144" ht="17.100000000000001" customHeight="1">
      <c r="C101" s="1269" t="s">
        <v>2566</v>
      </c>
      <c r="D101" s="1270" t="s">
        <v>2567</v>
      </c>
      <c r="E101" s="1274"/>
      <c r="F101" s="1271"/>
      <c r="G101" s="1271"/>
      <c r="H101" s="1272"/>
      <c r="I101" s="1272"/>
      <c r="J101" s="1272"/>
      <c r="K101" s="1272"/>
      <c r="L101" s="1272"/>
      <c r="M101" s="1272"/>
      <c r="N101" s="1270" t="s">
        <v>2568</v>
      </c>
      <c r="O101" s="1273" t="s">
        <v>2569</v>
      </c>
      <c r="P101" s="1274"/>
    </row>
    <row r="102" spans="1:144" ht="17.100000000000001" customHeight="1">
      <c r="C102" s="5264" t="s">
        <v>2570</v>
      </c>
      <c r="D102" s="5264"/>
      <c r="E102" s="5264"/>
      <c r="F102" s="5264"/>
      <c r="G102" s="5264"/>
      <c r="H102" s="5264"/>
      <c r="I102" s="1309"/>
      <c r="J102" s="5263" t="s">
        <v>2573</v>
      </c>
      <c r="K102" s="5263"/>
      <c r="L102" s="5263"/>
      <c r="M102" s="5263"/>
      <c r="N102" s="5263"/>
      <c r="O102" s="5263"/>
      <c r="P102" s="5263"/>
    </row>
  </sheetData>
  <mergeCells count="6">
    <mergeCell ref="J102:P102"/>
    <mergeCell ref="C102:H102"/>
    <mergeCell ref="C3:P3"/>
    <mergeCell ref="C4:P4"/>
    <mergeCell ref="C70:P70"/>
    <mergeCell ref="C71:P71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4" orientation="portrait" horizontalDpi="300" verticalDpi="300" r:id="rId1"/>
  <headerFooter alignWithMargins="0">
    <oddFooter>&amp;C&amp;"+,Regular"&amp;22-73-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120"/>
  <sheetViews>
    <sheetView topLeftCell="A49" zoomScale="75" zoomScaleNormal="75" workbookViewId="0">
      <selection activeCell="Q51" sqref="Q51"/>
    </sheetView>
  </sheetViews>
  <sheetFormatPr defaultColWidth="0" defaultRowHeight="20.25"/>
  <cols>
    <col min="1" max="1" width="9.140625" style="1174" customWidth="1"/>
    <col min="2" max="2" width="10.7109375" style="1174" customWidth="1"/>
    <col min="3" max="8" width="18" style="1192" customWidth="1"/>
    <col min="9" max="9" width="18" style="1760" customWidth="1"/>
    <col min="10" max="10" width="18" style="1843" customWidth="1"/>
    <col min="11" max="11" width="22.85546875" style="1192" customWidth="1"/>
    <col min="12" max="12" width="18" style="1192" customWidth="1"/>
    <col min="13" max="13" width="12.7109375" style="1192" customWidth="1"/>
    <col min="14" max="14" width="13.7109375" style="1844" customWidth="1"/>
    <col min="15" max="15" width="10.28515625" style="1793" customWidth="1"/>
    <col min="16" max="16" width="1.5703125" style="1793" customWidth="1"/>
    <col min="17" max="17" width="10.7109375" style="1174" customWidth="1"/>
    <col min="18" max="18" width="12.85546875" style="1174" customWidth="1"/>
    <col min="19" max="19" width="18.42578125" style="1174" customWidth="1"/>
    <col min="20" max="20" width="17.85546875" style="1174" customWidth="1"/>
    <col min="21" max="21" width="11.28515625" style="1174" customWidth="1"/>
    <col min="22" max="16384" width="0" style="1174" hidden="1"/>
  </cols>
  <sheetData>
    <row r="1" spans="3:23" ht="17.25" customHeight="1"/>
    <row r="2" spans="3:23" ht="17.25" customHeight="1"/>
    <row r="3" spans="3:23" s="1845" customFormat="1" ht="28.35" customHeight="1">
      <c r="C3" s="4639" t="s">
        <v>88</v>
      </c>
      <c r="D3" s="4639"/>
      <c r="E3" s="4639"/>
      <c r="F3" s="4639"/>
      <c r="G3" s="4639"/>
      <c r="H3" s="4639"/>
      <c r="I3" s="4639"/>
      <c r="J3" s="4639"/>
      <c r="K3" s="4639"/>
      <c r="L3" s="4639"/>
      <c r="M3" s="4639"/>
      <c r="N3" s="4639"/>
      <c r="O3" s="4639"/>
      <c r="P3" s="4639"/>
      <c r="R3" s="1846"/>
      <c r="S3" s="1846"/>
      <c r="T3" s="1846"/>
      <c r="U3" s="1846"/>
      <c r="V3" s="1846"/>
      <c r="W3" s="1846"/>
    </row>
    <row r="4" spans="3:23" s="1847" customFormat="1" ht="28.35" customHeight="1">
      <c r="C4" s="4640" t="s">
        <v>89</v>
      </c>
      <c r="D4" s="4640"/>
      <c r="E4" s="4640"/>
      <c r="F4" s="4640"/>
      <c r="G4" s="4640"/>
      <c r="H4" s="4640"/>
      <c r="I4" s="4640"/>
      <c r="J4" s="4640"/>
      <c r="K4" s="4640"/>
      <c r="L4" s="4640"/>
      <c r="M4" s="4640"/>
      <c r="N4" s="4640"/>
      <c r="O4" s="4640"/>
      <c r="P4" s="4640"/>
      <c r="R4" s="1848"/>
      <c r="S4" s="1848"/>
      <c r="T4" s="1848"/>
      <c r="U4" s="1848"/>
      <c r="V4" s="1848"/>
      <c r="W4" s="1848"/>
    </row>
    <row r="5" spans="3:23" s="1849" customFormat="1" ht="17.100000000000001" customHeight="1">
      <c r="C5" s="1315" t="s">
        <v>90</v>
      </c>
      <c r="D5" s="1850"/>
      <c r="E5" s="1850"/>
      <c r="F5" s="1851"/>
      <c r="G5" s="1852"/>
      <c r="H5" s="1318"/>
      <c r="I5" s="1850"/>
      <c r="J5" s="1853"/>
      <c r="K5" s="1854"/>
      <c r="L5" s="1855"/>
      <c r="M5" s="1855"/>
      <c r="N5" s="1856"/>
      <c r="O5" s="4653" t="s">
        <v>91</v>
      </c>
      <c r="P5" s="4653"/>
      <c r="R5" s="1857"/>
      <c r="S5" s="1857"/>
      <c r="T5" s="1857"/>
      <c r="U5" s="1857"/>
      <c r="V5" s="1857"/>
      <c r="W5" s="1857"/>
    </row>
    <row r="6" spans="3:23" ht="4.3499999999999996" customHeight="1">
      <c r="C6" s="1324"/>
      <c r="D6" s="1858"/>
      <c r="E6" s="1858"/>
      <c r="F6" s="1858"/>
      <c r="G6" s="1858"/>
      <c r="H6" s="1859"/>
      <c r="I6" s="1858"/>
      <c r="J6" s="1860"/>
      <c r="K6" s="1858"/>
      <c r="L6" s="1858"/>
      <c r="M6" s="1858"/>
      <c r="N6" s="1861"/>
      <c r="O6" s="1861"/>
      <c r="P6" s="1862"/>
      <c r="R6" s="1801"/>
      <c r="S6" s="1801"/>
      <c r="T6" s="1801"/>
      <c r="U6" s="1801"/>
      <c r="V6" s="1801"/>
      <c r="W6" s="1801"/>
    </row>
    <row r="7" spans="3:23" ht="28.35" customHeight="1">
      <c r="C7" s="1863"/>
      <c r="D7" s="1864"/>
      <c r="E7" s="1864"/>
      <c r="F7" s="1864"/>
      <c r="G7" s="1864"/>
      <c r="H7" s="1865"/>
      <c r="I7" s="1864"/>
      <c r="J7" s="1866"/>
      <c r="K7" s="1867"/>
      <c r="L7" s="1864"/>
      <c r="M7" s="1864"/>
      <c r="N7" s="1868"/>
      <c r="O7" s="1868"/>
      <c r="P7" s="4265"/>
      <c r="R7" s="1801"/>
      <c r="S7" s="1801"/>
      <c r="T7" s="1801"/>
      <c r="U7" s="1801"/>
      <c r="V7" s="1801"/>
      <c r="W7" s="1801"/>
    </row>
    <row r="8" spans="3:23" s="1190" customFormat="1" ht="28.35" customHeight="1">
      <c r="C8" s="1869" t="s">
        <v>8</v>
      </c>
      <c r="D8" s="1870" t="s">
        <v>8</v>
      </c>
      <c r="E8" s="1870"/>
      <c r="F8" s="1870" t="s">
        <v>8</v>
      </c>
      <c r="G8" s="1870" t="s">
        <v>8</v>
      </c>
      <c r="H8" s="1870" t="s">
        <v>8</v>
      </c>
      <c r="I8" s="1871" t="s">
        <v>8</v>
      </c>
      <c r="J8" s="1872"/>
      <c r="K8" s="1873" t="s">
        <v>92</v>
      </c>
      <c r="L8" s="1870" t="s">
        <v>92</v>
      </c>
      <c r="M8" s="1874"/>
      <c r="N8" s="1875"/>
      <c r="O8" s="1876"/>
      <c r="P8" s="1877"/>
      <c r="R8" s="1808"/>
      <c r="S8" s="1808"/>
      <c r="T8" s="1808"/>
      <c r="U8" s="1808"/>
      <c r="V8" s="1808"/>
      <c r="W8" s="1808"/>
    </row>
    <row r="9" spans="3:23" s="1190" customFormat="1" ht="28.35" customHeight="1">
      <c r="C9" s="1869"/>
      <c r="D9" s="1870" t="s">
        <v>93</v>
      </c>
      <c r="E9" s="1870"/>
      <c r="F9" s="1870"/>
      <c r="G9" s="1870" t="s">
        <v>8</v>
      </c>
      <c r="H9" s="1870" t="s">
        <v>94</v>
      </c>
      <c r="I9" s="1871" t="s">
        <v>95</v>
      </c>
      <c r="J9" s="1870"/>
      <c r="K9" s="1873" t="s">
        <v>96</v>
      </c>
      <c r="L9" s="1870" t="s">
        <v>97</v>
      </c>
      <c r="M9" s="1878"/>
      <c r="N9" s="1879"/>
      <c r="O9" s="1879"/>
      <c r="P9" s="1877"/>
      <c r="R9" s="1808"/>
      <c r="S9" s="1808"/>
      <c r="T9" s="1808"/>
      <c r="U9" s="1808"/>
      <c r="V9" s="1808"/>
      <c r="W9" s="1808"/>
    </row>
    <row r="10" spans="3:23" s="1190" customFormat="1" ht="28.35" customHeight="1">
      <c r="C10" s="1869" t="s">
        <v>98</v>
      </c>
      <c r="D10" s="1870" t="s">
        <v>99</v>
      </c>
      <c r="E10" s="1870" t="s">
        <v>100</v>
      </c>
      <c r="F10" s="1870" t="s">
        <v>101</v>
      </c>
      <c r="G10" s="1870" t="s">
        <v>102</v>
      </c>
      <c r="H10" s="1870" t="s">
        <v>103</v>
      </c>
      <c r="I10" s="1871" t="s">
        <v>104</v>
      </c>
      <c r="J10" s="1870" t="s">
        <v>92</v>
      </c>
      <c r="K10" s="1873" t="s">
        <v>105</v>
      </c>
      <c r="L10" s="1870" t="s">
        <v>106</v>
      </c>
      <c r="M10" s="1870" t="s">
        <v>95</v>
      </c>
      <c r="N10" s="1880" t="s">
        <v>107</v>
      </c>
      <c r="O10" s="1880"/>
      <c r="P10" s="1877"/>
      <c r="R10" s="1808"/>
      <c r="S10" s="1808"/>
      <c r="T10" s="1808"/>
      <c r="U10" s="1808"/>
      <c r="V10" s="1808"/>
      <c r="W10" s="1808"/>
    </row>
    <row r="11" spans="3:23" s="1190" customFormat="1" ht="28.35" customHeight="1">
      <c r="C11" s="1881" t="s">
        <v>108</v>
      </c>
      <c r="D11" s="4266" t="s">
        <v>109</v>
      </c>
      <c r="E11" s="4266" t="s">
        <v>110</v>
      </c>
      <c r="F11" s="4266" t="s">
        <v>111</v>
      </c>
      <c r="G11" s="4266" t="s">
        <v>103</v>
      </c>
      <c r="H11" s="4266" t="s">
        <v>112</v>
      </c>
      <c r="I11" s="4267" t="s">
        <v>100</v>
      </c>
      <c r="J11" s="1882" t="s">
        <v>113</v>
      </c>
      <c r="K11" s="1883" t="s">
        <v>114</v>
      </c>
      <c r="L11" s="1884" t="s">
        <v>115</v>
      </c>
      <c r="M11" s="4266" t="s">
        <v>110</v>
      </c>
      <c r="N11" s="1880" t="s">
        <v>116</v>
      </c>
      <c r="O11" s="1880"/>
      <c r="P11" s="1877"/>
      <c r="R11" s="1808"/>
      <c r="S11" s="1808"/>
      <c r="T11" s="1808"/>
      <c r="U11" s="1808"/>
      <c r="V11" s="1808"/>
      <c r="W11" s="1808"/>
    </row>
    <row r="12" spans="3:23" s="1885" customFormat="1" ht="28.35" customHeight="1">
      <c r="C12" s="1881"/>
      <c r="D12" s="4266" t="s">
        <v>117</v>
      </c>
      <c r="E12" s="4266"/>
      <c r="F12" s="4266"/>
      <c r="G12" s="4266"/>
      <c r="H12" s="4266"/>
      <c r="I12" s="4267"/>
      <c r="J12" s="1882"/>
      <c r="K12" s="1883" t="s">
        <v>118</v>
      </c>
      <c r="L12" s="4266" t="s">
        <v>118</v>
      </c>
      <c r="M12" s="1886"/>
      <c r="N12" s="1887"/>
      <c r="O12" s="1880"/>
      <c r="P12" s="1888"/>
      <c r="R12" s="1889"/>
      <c r="S12" s="1889"/>
      <c r="T12" s="1889"/>
      <c r="U12" s="1889"/>
      <c r="V12" s="1889"/>
      <c r="W12" s="1889"/>
    </row>
    <row r="13" spans="3:23" s="1885" customFormat="1" ht="28.35" customHeight="1">
      <c r="C13" s="1881" t="s">
        <v>119</v>
      </c>
      <c r="D13" s="4266" t="s">
        <v>120</v>
      </c>
      <c r="E13" s="4266"/>
      <c r="F13" s="4266" t="s">
        <v>121</v>
      </c>
      <c r="G13" s="4266"/>
      <c r="H13" s="4266" t="s">
        <v>122</v>
      </c>
      <c r="I13" s="4267" t="s">
        <v>123</v>
      </c>
      <c r="J13" s="4266" t="s">
        <v>118</v>
      </c>
      <c r="K13" s="1883" t="s">
        <v>124</v>
      </c>
      <c r="L13" s="4266" t="s">
        <v>125</v>
      </c>
      <c r="M13" s="1886"/>
      <c r="N13" s="1887"/>
      <c r="O13" s="1880"/>
      <c r="P13" s="1877"/>
      <c r="R13" s="1889"/>
      <c r="S13" s="1889"/>
      <c r="T13" s="1889"/>
      <c r="U13" s="1889"/>
      <c r="V13" s="1889"/>
      <c r="W13" s="1889"/>
    </row>
    <row r="14" spans="3:23" s="1885" customFormat="1" ht="28.35" customHeight="1">
      <c r="C14" s="1881" t="s">
        <v>126</v>
      </c>
      <c r="D14" s="4266" t="s">
        <v>127</v>
      </c>
      <c r="E14" s="4266" t="s">
        <v>128</v>
      </c>
      <c r="F14" s="4266" t="s">
        <v>129</v>
      </c>
      <c r="G14" s="4266" t="s">
        <v>130</v>
      </c>
      <c r="H14" s="4266" t="s">
        <v>131</v>
      </c>
      <c r="I14" s="1871" t="s">
        <v>132</v>
      </c>
      <c r="J14" s="1882" t="s">
        <v>121</v>
      </c>
      <c r="K14" s="1883" t="s">
        <v>133</v>
      </c>
      <c r="L14" s="4266" t="s">
        <v>134</v>
      </c>
      <c r="M14" s="4266" t="s">
        <v>135</v>
      </c>
      <c r="N14" s="1887" t="s">
        <v>136</v>
      </c>
      <c r="O14" s="1880"/>
      <c r="P14" s="1877"/>
      <c r="R14" s="1889"/>
      <c r="S14" s="1889"/>
      <c r="T14" s="1889"/>
      <c r="U14" s="1889"/>
      <c r="V14" s="1889"/>
      <c r="W14" s="1889"/>
    </row>
    <row r="15" spans="3:23" s="1885" customFormat="1" ht="28.35" customHeight="1">
      <c r="C15" s="1890" t="s">
        <v>137</v>
      </c>
      <c r="D15" s="4281" t="s">
        <v>138</v>
      </c>
      <c r="E15" s="4281" t="s">
        <v>139</v>
      </c>
      <c r="F15" s="4281" t="s">
        <v>140</v>
      </c>
      <c r="G15" s="4281" t="s">
        <v>122</v>
      </c>
      <c r="H15" s="4281" t="s">
        <v>141</v>
      </c>
      <c r="I15" s="1891" t="s">
        <v>139</v>
      </c>
      <c r="J15" s="1892" t="s">
        <v>129</v>
      </c>
      <c r="K15" s="1893" t="s">
        <v>142</v>
      </c>
      <c r="L15" s="4281" t="s">
        <v>143</v>
      </c>
      <c r="M15" s="4281" t="s">
        <v>123</v>
      </c>
      <c r="N15" s="1893" t="s">
        <v>144</v>
      </c>
      <c r="O15" s="1894"/>
      <c r="P15" s="1895"/>
      <c r="R15" s="1889"/>
      <c r="S15" s="1889"/>
      <c r="T15" s="1889"/>
      <c r="U15" s="1889"/>
      <c r="V15" s="1889"/>
      <c r="W15" s="1889"/>
    </row>
    <row r="16" spans="3:23" ht="48.75" customHeight="1">
      <c r="C16" s="1896">
        <f t="shared" ref="C16:C44" si="0">SUM(I16-D16-E16-F16-G16-H16)</f>
        <v>1.4000000000000057</v>
      </c>
      <c r="D16" s="1897">
        <f>(3.7+1.1+1)</f>
        <v>5.8000000000000007</v>
      </c>
      <c r="E16" s="1897">
        <v>2.7</v>
      </c>
      <c r="F16" s="1897">
        <v>16.5</v>
      </c>
      <c r="G16" s="1897">
        <v>13.8</v>
      </c>
      <c r="H16" s="1898">
        <v>39.799999999999997</v>
      </c>
      <c r="I16" s="1899">
        <f t="shared" ref="I16:I44" si="1">SUM(J16+K16+L16+M16)</f>
        <v>80</v>
      </c>
      <c r="J16" s="1898">
        <v>0</v>
      </c>
      <c r="K16" s="1900">
        <v>1.6</v>
      </c>
      <c r="L16" s="1898">
        <v>27.9</v>
      </c>
      <c r="M16" s="1901">
        <v>50.5</v>
      </c>
      <c r="N16" s="4654">
        <v>1964</v>
      </c>
      <c r="O16" s="4651"/>
      <c r="P16" s="4655"/>
    </row>
    <row r="17" spans="3:16" ht="48.75" customHeight="1">
      <c r="C17" s="1902">
        <f t="shared" si="0"/>
        <v>3.7000000000000028</v>
      </c>
      <c r="D17" s="1903">
        <f>(3.7+1.4+1+0.8)</f>
        <v>6.8999999999999995</v>
      </c>
      <c r="E17" s="1903">
        <v>3.3</v>
      </c>
      <c r="F17" s="1903">
        <v>14.7</v>
      </c>
      <c r="G17" s="1903">
        <v>17</v>
      </c>
      <c r="H17" s="1904">
        <v>47.2</v>
      </c>
      <c r="I17" s="1905">
        <f t="shared" si="1"/>
        <v>92.800000000000011</v>
      </c>
      <c r="J17" s="1904">
        <v>0</v>
      </c>
      <c r="K17" s="1906">
        <v>2.1</v>
      </c>
      <c r="L17" s="1904">
        <v>31.6</v>
      </c>
      <c r="M17" s="1907">
        <v>59.1</v>
      </c>
      <c r="N17" s="4635">
        <f>N16+1</f>
        <v>1965</v>
      </c>
      <c r="O17" s="4635"/>
      <c r="P17" s="4636"/>
    </row>
    <row r="18" spans="3:16" ht="48.75" customHeight="1">
      <c r="C18" s="1908">
        <f t="shared" si="0"/>
        <v>3.4000000000000057</v>
      </c>
      <c r="D18" s="1897">
        <v>8.8000000000000007</v>
      </c>
      <c r="E18" s="1897">
        <v>2.9</v>
      </c>
      <c r="F18" s="1897">
        <v>15</v>
      </c>
      <c r="G18" s="1897">
        <v>19.8</v>
      </c>
      <c r="H18" s="1898">
        <v>56</v>
      </c>
      <c r="I18" s="1899">
        <f t="shared" si="1"/>
        <v>105.9</v>
      </c>
      <c r="J18" s="1898">
        <v>0</v>
      </c>
      <c r="K18" s="1900">
        <v>2.6</v>
      </c>
      <c r="L18" s="1898">
        <v>37.200000000000003</v>
      </c>
      <c r="M18" s="1901">
        <v>66.099999999999994</v>
      </c>
      <c r="N18" s="4651">
        <v>1966</v>
      </c>
      <c r="O18" s="4651">
        <f>N17+1</f>
        <v>1966</v>
      </c>
      <c r="P18" s="4652"/>
    </row>
    <row r="19" spans="3:16" ht="48.75" customHeight="1">
      <c r="C19" s="1902">
        <f t="shared" si="0"/>
        <v>-1.3999999999999773</v>
      </c>
      <c r="D19" s="1903">
        <f>(4.3+2.1+2+1.1)</f>
        <v>9.5</v>
      </c>
      <c r="E19" s="1903">
        <v>2.6</v>
      </c>
      <c r="F19" s="1903">
        <v>27.6</v>
      </c>
      <c r="G19" s="1903">
        <v>18.8</v>
      </c>
      <c r="H19" s="1904">
        <v>75.2</v>
      </c>
      <c r="I19" s="1905">
        <f t="shared" si="1"/>
        <v>132.30000000000001</v>
      </c>
      <c r="J19" s="1904">
        <v>0</v>
      </c>
      <c r="K19" s="1906">
        <v>2.9</v>
      </c>
      <c r="L19" s="1904">
        <v>36.9</v>
      </c>
      <c r="M19" s="1907">
        <v>92.5</v>
      </c>
      <c r="N19" s="4635">
        <v>1967</v>
      </c>
      <c r="O19" s="4635">
        <f t="shared" ref="O19:O44" si="2">O18+1</f>
        <v>1967</v>
      </c>
      <c r="P19" s="4636"/>
    </row>
    <row r="20" spans="3:16" ht="48.75" customHeight="1">
      <c r="C20" s="1908">
        <f t="shared" si="0"/>
        <v>-1.2000000000000171</v>
      </c>
      <c r="D20" s="1897">
        <f>(4.4+2.7+2+1.7)</f>
        <v>10.8</v>
      </c>
      <c r="E20" s="1897">
        <v>2.9</v>
      </c>
      <c r="F20" s="1897">
        <v>28.6</v>
      </c>
      <c r="G20" s="1897">
        <v>20.9</v>
      </c>
      <c r="H20" s="1898">
        <v>88</v>
      </c>
      <c r="I20" s="1899">
        <f t="shared" si="1"/>
        <v>150</v>
      </c>
      <c r="J20" s="1898">
        <v>0</v>
      </c>
      <c r="K20" s="1900">
        <v>3.7</v>
      </c>
      <c r="L20" s="1898">
        <v>38.4</v>
      </c>
      <c r="M20" s="1901">
        <v>107.9</v>
      </c>
      <c r="N20" s="4651">
        <v>1968</v>
      </c>
      <c r="O20" s="4651">
        <f t="shared" si="2"/>
        <v>1968</v>
      </c>
      <c r="P20" s="4652"/>
    </row>
    <row r="21" spans="3:16" ht="48.75" customHeight="1">
      <c r="C21" s="1902">
        <f t="shared" si="0"/>
        <v>-0.20000000000001705</v>
      </c>
      <c r="D21" s="1903">
        <f>(4.7+3.2+2+2.6)</f>
        <v>12.5</v>
      </c>
      <c r="E21" s="1903">
        <v>3.4</v>
      </c>
      <c r="F21" s="1903">
        <v>18</v>
      </c>
      <c r="G21" s="1903">
        <v>22.7</v>
      </c>
      <c r="H21" s="1904">
        <v>96.3</v>
      </c>
      <c r="I21" s="1905">
        <f t="shared" si="1"/>
        <v>152.69999999999999</v>
      </c>
      <c r="J21" s="1904">
        <v>7.7</v>
      </c>
      <c r="K21" s="1906">
        <v>2.9</v>
      </c>
      <c r="L21" s="1904">
        <v>43.6</v>
      </c>
      <c r="M21" s="1907">
        <v>98.5</v>
      </c>
      <c r="N21" s="4635">
        <v>1969</v>
      </c>
      <c r="O21" s="4635">
        <f t="shared" si="2"/>
        <v>1969</v>
      </c>
      <c r="P21" s="4636"/>
    </row>
    <row r="22" spans="3:16" ht="48.75" customHeight="1">
      <c r="C22" s="1908">
        <f t="shared" si="0"/>
        <v>-1.3999999999999631</v>
      </c>
      <c r="D22" s="1897">
        <f>(4.7+3.3+2+3.7+1)</f>
        <v>14.7</v>
      </c>
      <c r="E22" s="1897">
        <v>3.7</v>
      </c>
      <c r="F22" s="1897">
        <v>11</v>
      </c>
      <c r="G22" s="1897">
        <v>23.7</v>
      </c>
      <c r="H22" s="1898">
        <v>105.4</v>
      </c>
      <c r="I22" s="1899">
        <f t="shared" si="1"/>
        <v>157.10000000000002</v>
      </c>
      <c r="J22" s="1898">
        <v>13.2</v>
      </c>
      <c r="K22" s="1900">
        <v>2.8</v>
      </c>
      <c r="L22" s="1898">
        <v>43.7</v>
      </c>
      <c r="M22" s="1901">
        <v>97.4</v>
      </c>
      <c r="N22" s="4651">
        <v>1970</v>
      </c>
      <c r="O22" s="4651">
        <f t="shared" si="2"/>
        <v>1970</v>
      </c>
      <c r="P22" s="4652"/>
    </row>
    <row r="23" spans="3:16" ht="48.75" customHeight="1">
      <c r="C23" s="1902">
        <f t="shared" si="0"/>
        <v>0.90000000000000568</v>
      </c>
      <c r="D23" s="1903">
        <f>(4.7+3.3+2+3.1+5.4)</f>
        <v>18.5</v>
      </c>
      <c r="E23" s="1903">
        <v>2.7</v>
      </c>
      <c r="F23" s="1903">
        <v>7.8</v>
      </c>
      <c r="G23" s="1903">
        <v>27.1</v>
      </c>
      <c r="H23" s="1904">
        <v>108</v>
      </c>
      <c r="I23" s="1905">
        <f t="shared" si="1"/>
        <v>165</v>
      </c>
      <c r="J23" s="1904">
        <f>24.3+0.4</f>
        <v>24.7</v>
      </c>
      <c r="K23" s="1906">
        <v>3.3</v>
      </c>
      <c r="L23" s="1904">
        <v>45.1</v>
      </c>
      <c r="M23" s="1907">
        <f>91.9</f>
        <v>91.9</v>
      </c>
      <c r="N23" s="4635">
        <v>1971</v>
      </c>
      <c r="O23" s="4635">
        <f t="shared" si="2"/>
        <v>1971</v>
      </c>
      <c r="P23" s="4636"/>
    </row>
    <row r="24" spans="3:16" ht="48.75" customHeight="1">
      <c r="C24" s="1908">
        <f t="shared" si="0"/>
        <v>3.9000000000000341</v>
      </c>
      <c r="D24" s="1897">
        <v>14</v>
      </c>
      <c r="E24" s="1897">
        <v>2.7</v>
      </c>
      <c r="F24" s="1897">
        <v>8.6</v>
      </c>
      <c r="G24" s="1897">
        <v>31.5</v>
      </c>
      <c r="H24" s="1898">
        <v>115.1</v>
      </c>
      <c r="I24" s="1899">
        <f t="shared" si="1"/>
        <v>175.8</v>
      </c>
      <c r="J24" s="1898">
        <f>23+0.5</f>
        <v>23.5</v>
      </c>
      <c r="K24" s="1900">
        <v>4.4000000000000004</v>
      </c>
      <c r="L24" s="1898">
        <v>48.1</v>
      </c>
      <c r="M24" s="1901">
        <v>99.8</v>
      </c>
      <c r="N24" s="4651">
        <v>1972</v>
      </c>
      <c r="O24" s="4651">
        <f t="shared" si="2"/>
        <v>1972</v>
      </c>
      <c r="P24" s="4652"/>
    </row>
    <row r="25" spans="3:16" ht="48.75" customHeight="1">
      <c r="C25" s="1902">
        <f t="shared" si="0"/>
        <v>8.3000000000000114</v>
      </c>
      <c r="D25" s="1903">
        <f>(4.7+3.3+2+4+0.1)</f>
        <v>14.1</v>
      </c>
      <c r="E25" s="1903">
        <v>3</v>
      </c>
      <c r="F25" s="1903">
        <v>12.8</v>
      </c>
      <c r="G25" s="1903">
        <v>36.799999999999997</v>
      </c>
      <c r="H25" s="1904">
        <v>139.30000000000001</v>
      </c>
      <c r="I25" s="1905">
        <f t="shared" si="1"/>
        <v>214.3</v>
      </c>
      <c r="J25" s="1904">
        <f>42.1+0.7</f>
        <v>42.800000000000004</v>
      </c>
      <c r="K25" s="1906">
        <v>5.8</v>
      </c>
      <c r="L25" s="1904">
        <v>59.5</v>
      </c>
      <c r="M25" s="1907">
        <v>106.2</v>
      </c>
      <c r="N25" s="4635">
        <v>1973</v>
      </c>
      <c r="O25" s="4635">
        <f t="shared" si="2"/>
        <v>1973</v>
      </c>
      <c r="P25" s="4636"/>
    </row>
    <row r="26" spans="3:16" ht="48.75" customHeight="1">
      <c r="C26" s="1908">
        <f t="shared" si="0"/>
        <v>-4.9999999999999716</v>
      </c>
      <c r="D26" s="1897">
        <f>(7.6+4+2+4+1.2)</f>
        <v>18.8</v>
      </c>
      <c r="E26" s="1897">
        <v>4.9000000000000004</v>
      </c>
      <c r="F26" s="1897">
        <v>12.6</v>
      </c>
      <c r="G26" s="1897">
        <v>47.8</v>
      </c>
      <c r="H26" s="1898">
        <v>172.1</v>
      </c>
      <c r="I26" s="1899">
        <f t="shared" si="1"/>
        <v>251.20000000000002</v>
      </c>
      <c r="J26" s="1898">
        <f>42.4+0.9</f>
        <v>43.3</v>
      </c>
      <c r="K26" s="1900">
        <v>9</v>
      </c>
      <c r="L26" s="1898">
        <v>81.5</v>
      </c>
      <c r="M26" s="1901">
        <v>117.4</v>
      </c>
      <c r="N26" s="4651">
        <v>1974</v>
      </c>
      <c r="O26" s="4651">
        <f t="shared" si="2"/>
        <v>1974</v>
      </c>
      <c r="P26" s="4652"/>
    </row>
    <row r="27" spans="3:16" ht="48.75" customHeight="1">
      <c r="C27" s="1902">
        <f t="shared" si="0"/>
        <v>6.0000000000000284</v>
      </c>
      <c r="D27" s="1903">
        <f>(11+5.9+2+4+1.3)</f>
        <v>24.2</v>
      </c>
      <c r="E27" s="1903">
        <v>10.9</v>
      </c>
      <c r="F27" s="1903">
        <v>26.1</v>
      </c>
      <c r="G27" s="1903">
        <v>63.8</v>
      </c>
      <c r="H27" s="1904">
        <v>224.6</v>
      </c>
      <c r="I27" s="1905">
        <f t="shared" si="1"/>
        <v>355.6</v>
      </c>
      <c r="J27" s="1904">
        <f>48.7+1.8</f>
        <v>50.5</v>
      </c>
      <c r="K27" s="1906">
        <v>11.6</v>
      </c>
      <c r="L27" s="1904">
        <f>121.1-0.6</f>
        <v>120.5</v>
      </c>
      <c r="M27" s="1907">
        <v>173</v>
      </c>
      <c r="N27" s="4635">
        <v>1975</v>
      </c>
      <c r="O27" s="4635">
        <f t="shared" si="2"/>
        <v>1975</v>
      </c>
      <c r="P27" s="4636"/>
    </row>
    <row r="28" spans="3:16" ht="48.75" customHeight="1">
      <c r="C28" s="1908">
        <f t="shared" si="0"/>
        <v>18.099999999999966</v>
      </c>
      <c r="D28" s="1897">
        <f>(16.2+8.2+2+4+5.2)</f>
        <v>35.6</v>
      </c>
      <c r="E28" s="1897">
        <v>23.3</v>
      </c>
      <c r="F28" s="1897">
        <v>26.6</v>
      </c>
      <c r="G28" s="1897">
        <v>101.5</v>
      </c>
      <c r="H28" s="1898">
        <v>276.89999999999998</v>
      </c>
      <c r="I28" s="1899">
        <f t="shared" si="1"/>
        <v>482</v>
      </c>
      <c r="J28" s="1898">
        <f>61.6+3.4</f>
        <v>65</v>
      </c>
      <c r="K28" s="1900">
        <f>19.1</f>
        <v>19.100000000000001</v>
      </c>
      <c r="L28" s="1898">
        <f>196.9-0.5</f>
        <v>196.4</v>
      </c>
      <c r="M28" s="1901">
        <v>201.5</v>
      </c>
      <c r="N28" s="4651">
        <v>1976</v>
      </c>
      <c r="O28" s="4651">
        <f t="shared" si="2"/>
        <v>1976</v>
      </c>
      <c r="P28" s="4652"/>
    </row>
    <row r="29" spans="3:16" ht="48.75" customHeight="1">
      <c r="C29" s="1902">
        <f t="shared" si="0"/>
        <v>23.799999999999955</v>
      </c>
      <c r="D29" s="1903">
        <f>(25.5+12.9+2+4+9.6)</f>
        <v>54</v>
      </c>
      <c r="E29" s="1903">
        <v>21.6</v>
      </c>
      <c r="F29" s="1903">
        <v>44.9</v>
      </c>
      <c r="G29" s="1903">
        <v>136.6</v>
      </c>
      <c r="H29" s="1904">
        <v>331</v>
      </c>
      <c r="I29" s="1905">
        <f t="shared" si="1"/>
        <v>611.9</v>
      </c>
      <c r="J29" s="1904">
        <f>82.9+6-1.4</f>
        <v>87.5</v>
      </c>
      <c r="K29" s="1906">
        <f>26.1+1.4</f>
        <v>27.5</v>
      </c>
      <c r="L29" s="1904">
        <f>231-0.5</f>
        <v>230.5</v>
      </c>
      <c r="M29" s="1907">
        <v>266.39999999999998</v>
      </c>
      <c r="N29" s="4635">
        <v>1977</v>
      </c>
      <c r="O29" s="4635">
        <f t="shared" si="2"/>
        <v>1977</v>
      </c>
      <c r="P29" s="4636"/>
    </row>
    <row r="30" spans="3:16" ht="48.75" customHeight="1">
      <c r="C30" s="1908">
        <f t="shared" si="0"/>
        <v>20.999999999999943</v>
      </c>
      <c r="D30" s="1897">
        <f>(43.1+20.3+2+4+18.3)</f>
        <v>87.7</v>
      </c>
      <c r="E30" s="1897">
        <v>60.3</v>
      </c>
      <c r="F30" s="1897">
        <v>55.7</v>
      </c>
      <c r="G30" s="1897">
        <v>231.3</v>
      </c>
      <c r="H30" s="1898">
        <v>375.4</v>
      </c>
      <c r="I30" s="1899">
        <f t="shared" si="1"/>
        <v>831.4</v>
      </c>
      <c r="J30" s="1898">
        <v>112.7</v>
      </c>
      <c r="K30" s="1900">
        <v>43.1</v>
      </c>
      <c r="L30" s="1898">
        <f>314.7-1.5</f>
        <v>313.2</v>
      </c>
      <c r="M30" s="1901">
        <f>286.3+76.1</f>
        <v>362.4</v>
      </c>
      <c r="N30" s="4651">
        <v>1978</v>
      </c>
      <c r="O30" s="4651">
        <f t="shared" si="2"/>
        <v>1978</v>
      </c>
      <c r="P30" s="4652"/>
    </row>
    <row r="31" spans="3:16" ht="48.75" customHeight="1">
      <c r="C31" s="1902">
        <f t="shared" si="0"/>
        <v>16.400000000000148</v>
      </c>
      <c r="D31" s="1903">
        <f>(51.5+29+2+4+24)</f>
        <v>110.5</v>
      </c>
      <c r="E31" s="1903">
        <v>87.1</v>
      </c>
      <c r="F31" s="1903">
        <v>77.3</v>
      </c>
      <c r="G31" s="1903">
        <v>300.39999999999998</v>
      </c>
      <c r="H31" s="1904">
        <v>472.7</v>
      </c>
      <c r="I31" s="1905">
        <f t="shared" si="1"/>
        <v>1064.4000000000001</v>
      </c>
      <c r="J31" s="1904">
        <v>118.4</v>
      </c>
      <c r="K31" s="1906">
        <v>46.6</v>
      </c>
      <c r="L31" s="1904">
        <f>448.5-2.7</f>
        <v>445.8</v>
      </c>
      <c r="M31" s="1907">
        <f>370.8+82.8</f>
        <v>453.6</v>
      </c>
      <c r="N31" s="4635">
        <v>1979</v>
      </c>
      <c r="O31" s="4635">
        <f t="shared" si="2"/>
        <v>1979</v>
      </c>
      <c r="P31" s="4636"/>
    </row>
    <row r="32" spans="3:16" ht="48.75" customHeight="1">
      <c r="C32" s="1908">
        <f t="shared" si="0"/>
        <v>24.999999999999886</v>
      </c>
      <c r="D32" s="1897">
        <f>(55.3+37.7+2+4+35.4)</f>
        <v>134.4</v>
      </c>
      <c r="E32" s="1897">
        <v>148.69999999999999</v>
      </c>
      <c r="F32" s="1897">
        <v>98.6</v>
      </c>
      <c r="G32" s="1897">
        <v>390</v>
      </c>
      <c r="H32" s="1898">
        <v>594.79999999999995</v>
      </c>
      <c r="I32" s="1899">
        <f t="shared" si="1"/>
        <v>1391.5</v>
      </c>
      <c r="J32" s="1898">
        <f>165+11.4-9.2-10.8</f>
        <v>156.4</v>
      </c>
      <c r="K32" s="1900">
        <f>43.3+9.2+10.8</f>
        <v>63.3</v>
      </c>
      <c r="L32" s="1898">
        <v>548.5</v>
      </c>
      <c r="M32" s="1901">
        <f>418.1+205.2</f>
        <v>623.29999999999995</v>
      </c>
      <c r="N32" s="4651">
        <v>1980</v>
      </c>
      <c r="O32" s="4651">
        <f t="shared" si="2"/>
        <v>1980</v>
      </c>
      <c r="P32" s="4652"/>
    </row>
    <row r="33" spans="2:29" ht="48.75" customHeight="1">
      <c r="C33" s="1902">
        <f t="shared" si="0"/>
        <v>20.800000000000182</v>
      </c>
      <c r="D33" s="1903">
        <f>(62.8+49.8+2+4+35)</f>
        <v>153.6</v>
      </c>
      <c r="E33" s="1903">
        <v>178.6</v>
      </c>
      <c r="F33" s="1903">
        <v>116.5</v>
      </c>
      <c r="G33" s="1903">
        <v>478.2</v>
      </c>
      <c r="H33" s="1904">
        <v>701.7</v>
      </c>
      <c r="I33" s="1905">
        <f t="shared" si="1"/>
        <v>1649.4</v>
      </c>
      <c r="J33" s="1904">
        <f>200.8+15.4-21.4</f>
        <v>194.8</v>
      </c>
      <c r="K33" s="1906">
        <f>64+21.4</f>
        <v>85.4</v>
      </c>
      <c r="L33" s="1904">
        <f>702.3-11.1</f>
        <v>691.19999999999993</v>
      </c>
      <c r="M33" s="1907">
        <f>433.6+244.4</f>
        <v>678</v>
      </c>
      <c r="N33" s="4635">
        <v>1981</v>
      </c>
      <c r="O33" s="4635">
        <f t="shared" si="2"/>
        <v>1981</v>
      </c>
      <c r="P33" s="4636"/>
    </row>
    <row r="34" spans="2:29" ht="48.75" customHeight="1">
      <c r="C34" s="1908">
        <f t="shared" si="0"/>
        <v>-46.300000000000182</v>
      </c>
      <c r="D34" s="1897">
        <v>198.3</v>
      </c>
      <c r="E34" s="1897">
        <v>202</v>
      </c>
      <c r="F34" s="1897">
        <v>101.9</v>
      </c>
      <c r="G34" s="1897">
        <v>615.79999999999995</v>
      </c>
      <c r="H34" s="1898">
        <v>787.5</v>
      </c>
      <c r="I34" s="1899">
        <f t="shared" si="1"/>
        <v>1859.1999999999998</v>
      </c>
      <c r="J34" s="1898">
        <f>245.5+17.3-19.9-4.6</f>
        <v>238.3</v>
      </c>
      <c r="K34" s="1900">
        <f>93.1+19.9+4.6</f>
        <v>117.6</v>
      </c>
      <c r="L34" s="1898">
        <f>875-22.1</f>
        <v>852.9</v>
      </c>
      <c r="M34" s="1901">
        <f>372.9+277.5</f>
        <v>650.4</v>
      </c>
      <c r="N34" s="4651">
        <v>1982</v>
      </c>
      <c r="O34" s="4651">
        <f t="shared" si="2"/>
        <v>1982</v>
      </c>
      <c r="P34" s="4652"/>
    </row>
    <row r="35" spans="2:29" ht="48.75" customHeight="1">
      <c r="C35" s="1902">
        <f t="shared" si="0"/>
        <v>-42.999999999999886</v>
      </c>
      <c r="D35" s="1903">
        <f>(82+90.6+6+6+23.5)</f>
        <v>208.1</v>
      </c>
      <c r="E35" s="1903">
        <v>248.2</v>
      </c>
      <c r="F35" s="1903">
        <v>137.6</v>
      </c>
      <c r="G35" s="1903">
        <v>745.8</v>
      </c>
      <c r="H35" s="1904">
        <v>869.4</v>
      </c>
      <c r="I35" s="1905">
        <f t="shared" si="1"/>
        <v>2166.1</v>
      </c>
      <c r="J35" s="1904">
        <f>280.4+21.6-18.3-5.9</f>
        <v>277.8</v>
      </c>
      <c r="K35" s="1906">
        <f>108.9+18.3+5.9</f>
        <v>133.1</v>
      </c>
      <c r="L35" s="1904">
        <f>1042.3-27.5</f>
        <v>1014.8</v>
      </c>
      <c r="M35" s="1907">
        <f>408.5+331.9</f>
        <v>740.4</v>
      </c>
      <c r="N35" s="4635">
        <v>1983</v>
      </c>
      <c r="O35" s="4635">
        <f t="shared" si="2"/>
        <v>1983</v>
      </c>
      <c r="P35" s="4636"/>
    </row>
    <row r="36" spans="2:29" ht="48.75" customHeight="1">
      <c r="C36" s="1908">
        <f t="shared" si="0"/>
        <v>-60.500000000000341</v>
      </c>
      <c r="D36" s="1897">
        <f>(83.2+104.6+12+6+23)</f>
        <v>228.8</v>
      </c>
      <c r="E36" s="1897">
        <v>316.7</v>
      </c>
      <c r="F36" s="1897">
        <v>129.4</v>
      </c>
      <c r="G36" s="1897">
        <v>879.3</v>
      </c>
      <c r="H36" s="1898">
        <v>878.4</v>
      </c>
      <c r="I36" s="1899">
        <f t="shared" si="1"/>
        <v>2372.1</v>
      </c>
      <c r="J36" s="1898">
        <f>311.4+24.6-28.5-8</f>
        <v>299.5</v>
      </c>
      <c r="K36" s="1900">
        <f>113.4+28.5+8</f>
        <v>149.9</v>
      </c>
      <c r="L36" s="1898">
        <f>1204.7-28.6</f>
        <v>1176.1000000000001</v>
      </c>
      <c r="M36" s="1901">
        <f>387.5+359.1</f>
        <v>746.6</v>
      </c>
      <c r="N36" s="4651">
        <v>1984</v>
      </c>
      <c r="O36" s="4651">
        <f t="shared" si="2"/>
        <v>1984</v>
      </c>
      <c r="P36" s="4652"/>
    </row>
    <row r="37" spans="2:29" ht="48.75" customHeight="1">
      <c r="C37" s="1902">
        <f t="shared" si="0"/>
        <v>-46.300000000000182</v>
      </c>
      <c r="D37" s="1903">
        <f>(100.7+100.5+6+12+20.6)</f>
        <v>239.79999999999998</v>
      </c>
      <c r="E37" s="1903">
        <v>338.3</v>
      </c>
      <c r="F37" s="1903">
        <v>128</v>
      </c>
      <c r="G37" s="1903">
        <v>1026.5999999999999</v>
      </c>
      <c r="H37" s="1904">
        <v>848.2</v>
      </c>
      <c r="I37" s="1905">
        <f t="shared" si="1"/>
        <v>2534.6</v>
      </c>
      <c r="J37" s="1904">
        <f>324.6+29.1-26.8-6.1</f>
        <v>320.8</v>
      </c>
      <c r="K37" s="1906">
        <f>147.9+26.8+6.1</f>
        <v>180.8</v>
      </c>
      <c r="L37" s="1904">
        <f>1269.1-27.5</f>
        <v>1241.5999999999999</v>
      </c>
      <c r="M37" s="1907">
        <f>379+412.4</f>
        <v>791.4</v>
      </c>
      <c r="N37" s="4635">
        <v>1985</v>
      </c>
      <c r="O37" s="4635">
        <f t="shared" si="2"/>
        <v>1985</v>
      </c>
      <c r="P37" s="4636"/>
    </row>
    <row r="38" spans="2:29" ht="48.75" customHeight="1">
      <c r="C38" s="1908">
        <f t="shared" si="0"/>
        <v>-70.699999999999704</v>
      </c>
      <c r="D38" s="1897">
        <f>(103.3+111+6+12+25.6)</f>
        <v>257.90000000000003</v>
      </c>
      <c r="E38" s="1897">
        <v>348.7</v>
      </c>
      <c r="F38" s="1897">
        <v>166.6</v>
      </c>
      <c r="G38" s="1897">
        <v>1175.3</v>
      </c>
      <c r="H38" s="1898">
        <v>897.1</v>
      </c>
      <c r="I38" s="1899">
        <f t="shared" si="1"/>
        <v>2774.9</v>
      </c>
      <c r="J38" s="1898">
        <f>387.4+31.9-35-0.3</f>
        <v>383.99999999999994</v>
      </c>
      <c r="K38" s="1900">
        <f>175.5+35+0.3</f>
        <v>210.8</v>
      </c>
      <c r="L38" s="1898">
        <f>1375.4-28.5</f>
        <v>1346.9</v>
      </c>
      <c r="M38" s="1901">
        <f>401.4+431.8</f>
        <v>833.2</v>
      </c>
      <c r="N38" s="4651">
        <v>1986</v>
      </c>
      <c r="O38" s="4651">
        <f t="shared" si="2"/>
        <v>1986</v>
      </c>
      <c r="P38" s="4652"/>
    </row>
    <row r="39" spans="2:29" ht="48.75" customHeight="1">
      <c r="C39" s="1902">
        <f t="shared" si="0"/>
        <v>-27.999999999999773</v>
      </c>
      <c r="D39" s="1903">
        <v>278</v>
      </c>
      <c r="E39" s="1903">
        <v>382.2</v>
      </c>
      <c r="F39" s="1903">
        <v>129</v>
      </c>
      <c r="G39" s="1903">
        <v>1392.4</v>
      </c>
      <c r="H39" s="1904">
        <v>979.8</v>
      </c>
      <c r="I39" s="1905">
        <f t="shared" si="1"/>
        <v>3133.4</v>
      </c>
      <c r="J39" s="1904">
        <f>588.1+30.3-31.1-0.3</f>
        <v>587</v>
      </c>
      <c r="K39" s="1906">
        <f>235.1+34.2</f>
        <v>269.3</v>
      </c>
      <c r="L39" s="1904">
        <f>1434.1-28.4</f>
        <v>1405.6999999999998</v>
      </c>
      <c r="M39" s="1907">
        <v>871.4</v>
      </c>
      <c r="N39" s="4635">
        <v>1987</v>
      </c>
      <c r="O39" s="4635">
        <f t="shared" si="2"/>
        <v>1987</v>
      </c>
      <c r="P39" s="4636"/>
    </row>
    <row r="40" spans="2:29" ht="48.75" customHeight="1">
      <c r="C40" s="1908">
        <f t="shared" si="0"/>
        <v>-35.900000000000091</v>
      </c>
      <c r="D40" s="1897">
        <v>314.89999999999998</v>
      </c>
      <c r="E40" s="1897">
        <v>552.79999999999995</v>
      </c>
      <c r="F40" s="1897">
        <v>126.1</v>
      </c>
      <c r="G40" s="1897">
        <v>1465.4</v>
      </c>
      <c r="H40" s="1898">
        <v>1181.4000000000001</v>
      </c>
      <c r="I40" s="1899">
        <f t="shared" si="1"/>
        <v>3604.7000000000003</v>
      </c>
      <c r="J40" s="1898">
        <f>908.3+30.3-37.9-5.5</f>
        <v>895.19999999999993</v>
      </c>
      <c r="K40" s="1900">
        <f>259.1+37.3</f>
        <v>296.40000000000003</v>
      </c>
      <c r="L40" s="1898">
        <f>1464.4-30.6+58.2</f>
        <v>1492.0000000000002</v>
      </c>
      <c r="M40" s="1901">
        <f>218.5+702.6</f>
        <v>921.1</v>
      </c>
      <c r="N40" s="4651">
        <v>1988</v>
      </c>
      <c r="O40" s="4651">
        <f t="shared" si="2"/>
        <v>1988</v>
      </c>
      <c r="P40" s="4652"/>
    </row>
    <row r="41" spans="2:29" ht="48.75" customHeight="1">
      <c r="C41" s="1902">
        <f t="shared" si="0"/>
        <v>-20.099999999999454</v>
      </c>
      <c r="D41" s="1903">
        <v>402.8</v>
      </c>
      <c r="E41" s="1903">
        <v>505.7</v>
      </c>
      <c r="F41" s="1903">
        <v>188.4</v>
      </c>
      <c r="G41" s="1903">
        <v>1644.6</v>
      </c>
      <c r="H41" s="1904">
        <v>1326.5</v>
      </c>
      <c r="I41" s="1905">
        <f t="shared" si="1"/>
        <v>4047.9000000000005</v>
      </c>
      <c r="J41" s="1904">
        <v>975.5</v>
      </c>
      <c r="K41" s="1906">
        <f>251.2+33.7</f>
        <v>284.89999999999998</v>
      </c>
      <c r="L41" s="1904">
        <f>1534.7+64.5</f>
        <v>1599.2</v>
      </c>
      <c r="M41" s="1907">
        <f>330.1+858.2</f>
        <v>1188.3000000000002</v>
      </c>
      <c r="N41" s="4635">
        <v>1989</v>
      </c>
      <c r="O41" s="4635">
        <f t="shared" si="2"/>
        <v>1989</v>
      </c>
      <c r="P41" s="4636"/>
    </row>
    <row r="42" spans="2:29" ht="48.75" customHeight="1">
      <c r="C42" s="1908">
        <f t="shared" si="0"/>
        <v>210.90000000000055</v>
      </c>
      <c r="D42" s="1897">
        <v>428.1</v>
      </c>
      <c r="E42" s="1897">
        <v>460.6</v>
      </c>
      <c r="F42" s="1897">
        <v>186.4</v>
      </c>
      <c r="G42" s="1897">
        <v>1689.8</v>
      </c>
      <c r="H42" s="1898">
        <v>1432.8</v>
      </c>
      <c r="I42" s="1899">
        <f t="shared" si="1"/>
        <v>4408.6000000000004</v>
      </c>
      <c r="J42" s="1898">
        <v>1004.5</v>
      </c>
      <c r="K42" s="1900">
        <f>252.9+31.7</f>
        <v>284.60000000000002</v>
      </c>
      <c r="L42" s="1898">
        <f>1653.7+49.3</f>
        <v>1703</v>
      </c>
      <c r="M42" s="1901">
        <v>1416.5</v>
      </c>
      <c r="N42" s="4651">
        <v>1990</v>
      </c>
      <c r="O42" s="4651">
        <f t="shared" si="2"/>
        <v>1990</v>
      </c>
      <c r="P42" s="4652"/>
    </row>
    <row r="43" spans="2:29" ht="48.75" customHeight="1">
      <c r="C43" s="1902">
        <f t="shared" si="0"/>
        <v>224.20000000000027</v>
      </c>
      <c r="D43" s="1903">
        <v>412.1</v>
      </c>
      <c r="E43" s="1903">
        <v>1261.2</v>
      </c>
      <c r="F43" s="1903">
        <v>423.1</v>
      </c>
      <c r="G43" s="1903">
        <v>2117.1</v>
      </c>
      <c r="H43" s="1904">
        <v>1600.4</v>
      </c>
      <c r="I43" s="1905">
        <f t="shared" si="1"/>
        <v>6038.1</v>
      </c>
      <c r="J43" s="1904">
        <v>968.9</v>
      </c>
      <c r="K43" s="1906">
        <f>247.4+23.9</f>
        <v>271.3</v>
      </c>
      <c r="L43" s="1904">
        <f>1804.2+37.6</f>
        <v>1841.8</v>
      </c>
      <c r="M43" s="1907">
        <v>2956.1</v>
      </c>
      <c r="N43" s="4635">
        <v>1991</v>
      </c>
      <c r="O43" s="4635">
        <f t="shared" si="2"/>
        <v>1991</v>
      </c>
      <c r="P43" s="4636"/>
      <c r="Q43" s="1801"/>
      <c r="R43" s="1801"/>
      <c r="S43" s="1801"/>
      <c r="T43" s="1801"/>
      <c r="U43" s="1801"/>
      <c r="V43" s="1801"/>
      <c r="W43" s="1801"/>
      <c r="X43" s="1801"/>
      <c r="Y43" s="1801"/>
      <c r="Z43" s="1801"/>
    </row>
    <row r="44" spans="2:29" ht="48.75" customHeight="1">
      <c r="C44" s="1909">
        <f t="shared" si="0"/>
        <v>200.70000000000073</v>
      </c>
      <c r="D44" s="1910">
        <v>395.3</v>
      </c>
      <c r="E44" s="1910">
        <v>1597.7</v>
      </c>
      <c r="F44" s="1910">
        <v>229</v>
      </c>
      <c r="G44" s="1910">
        <v>2476.9</v>
      </c>
      <c r="H44" s="1910">
        <v>1716.1</v>
      </c>
      <c r="I44" s="1911">
        <f t="shared" si="1"/>
        <v>6615.7000000000007</v>
      </c>
      <c r="J44" s="1910">
        <v>938.7</v>
      </c>
      <c r="K44" s="1912">
        <f>253.3+21.4</f>
        <v>274.7</v>
      </c>
      <c r="L44" s="1910">
        <f>2026.4+50</f>
        <v>2076.4</v>
      </c>
      <c r="M44" s="1913">
        <v>3325.9</v>
      </c>
      <c r="N44" s="4637">
        <v>1992</v>
      </c>
      <c r="O44" s="4637">
        <f t="shared" si="2"/>
        <v>1992</v>
      </c>
      <c r="P44" s="4638"/>
      <c r="Q44" s="1801"/>
      <c r="R44" s="1801"/>
      <c r="S44" s="1801"/>
      <c r="T44" s="1801"/>
      <c r="U44" s="1801"/>
      <c r="V44" s="1801"/>
      <c r="W44" s="1801"/>
      <c r="X44" s="1801"/>
      <c r="Y44" s="1801"/>
      <c r="Z44" s="1801"/>
    </row>
    <row r="45" spans="2:29" ht="6.95" customHeight="1">
      <c r="C45" s="1897"/>
      <c r="D45" s="1897"/>
      <c r="E45" s="1897"/>
      <c r="F45" s="1897"/>
      <c r="G45" s="1897"/>
      <c r="H45" s="1897"/>
      <c r="I45" s="4272"/>
      <c r="J45" s="1897"/>
      <c r="K45" s="1914"/>
      <c r="L45" s="1897"/>
      <c r="M45" s="1897"/>
      <c r="N45" s="4150"/>
      <c r="O45" s="4150"/>
      <c r="P45" s="4150"/>
      <c r="Q45" s="1801"/>
      <c r="R45" s="1801"/>
      <c r="S45" s="1801"/>
      <c r="T45" s="1801"/>
      <c r="U45" s="1801"/>
      <c r="V45" s="1801"/>
      <c r="W45" s="1801"/>
      <c r="X45" s="1801"/>
      <c r="Y45" s="1801"/>
      <c r="Z45" s="1801"/>
    </row>
    <row r="46" spans="2:29" ht="17.100000000000001" customHeight="1">
      <c r="B46" s="1801"/>
      <c r="C46" s="4159" t="s">
        <v>145</v>
      </c>
      <c r="D46" s="1915"/>
      <c r="E46" s="1852"/>
      <c r="F46" s="1915"/>
      <c r="G46" s="1852"/>
      <c r="H46" s="1852"/>
      <c r="I46" s="1852"/>
      <c r="J46" s="1916"/>
      <c r="K46" s="1852"/>
      <c r="L46" s="1852"/>
      <c r="M46" s="1852"/>
      <c r="N46" s="1838"/>
      <c r="O46" s="4160" t="s">
        <v>146</v>
      </c>
      <c r="P46" s="1838"/>
      <c r="Q46" s="1801"/>
      <c r="R46" s="1807"/>
      <c r="S46" s="1807"/>
      <c r="T46" s="1807"/>
      <c r="U46" s="1807"/>
      <c r="V46" s="1807"/>
      <c r="W46" s="1807"/>
      <c r="X46" s="1807"/>
      <c r="Y46" s="1801"/>
      <c r="Z46" s="1807"/>
      <c r="AA46" s="1807"/>
      <c r="AB46" s="1807"/>
      <c r="AC46" s="1801"/>
    </row>
    <row r="47" spans="2:29" ht="19.5" customHeight="1">
      <c r="B47" s="1801"/>
      <c r="C47" s="4159" t="s">
        <v>147</v>
      </c>
      <c r="D47" s="1915"/>
      <c r="E47" s="1852"/>
      <c r="F47" s="1915"/>
      <c r="G47" s="1852"/>
      <c r="H47" s="1852"/>
      <c r="I47" s="1852"/>
      <c r="J47" s="1916"/>
      <c r="K47" s="1852"/>
      <c r="L47" s="1852"/>
      <c r="M47" s="1852"/>
      <c r="N47" s="1838"/>
      <c r="O47" s="4160" t="s">
        <v>148</v>
      </c>
      <c r="P47" s="1838"/>
      <c r="Q47" s="1801"/>
      <c r="R47" s="1807"/>
      <c r="S47" s="1807"/>
      <c r="T47" s="1807"/>
      <c r="U47" s="1807"/>
      <c r="V47" s="1807"/>
      <c r="W47" s="1807"/>
      <c r="X47" s="1807"/>
      <c r="Y47" s="1801"/>
      <c r="Z47" s="1807"/>
      <c r="AA47" s="1807"/>
      <c r="AB47" s="1807"/>
      <c r="AC47" s="1801"/>
    </row>
    <row r="48" spans="2:29" ht="17.100000000000001" customHeight="1">
      <c r="B48" s="1801"/>
      <c r="C48" s="4159" t="s">
        <v>149</v>
      </c>
      <c r="D48" s="1915"/>
      <c r="E48" s="1852"/>
      <c r="F48" s="1915"/>
      <c r="G48" s="1852"/>
      <c r="H48" s="1852"/>
      <c r="I48" s="1852"/>
      <c r="J48" s="1916"/>
      <c r="K48" s="1852"/>
      <c r="L48" s="1852"/>
      <c r="M48" s="1852"/>
      <c r="N48" s="1838"/>
      <c r="O48" s="4160" t="s">
        <v>150</v>
      </c>
      <c r="P48" s="1838"/>
      <c r="Q48" s="1801"/>
      <c r="R48" s="1807"/>
      <c r="S48" s="1807"/>
      <c r="T48" s="1807"/>
      <c r="U48" s="1807"/>
      <c r="V48" s="1807"/>
      <c r="W48" s="1807"/>
      <c r="X48" s="1807"/>
      <c r="Y48" s="1801"/>
      <c r="Z48" s="1807"/>
      <c r="AA48" s="1807"/>
      <c r="AB48" s="1807"/>
      <c r="AC48" s="1801"/>
    </row>
    <row r="49" spans="2:29" ht="20.25" customHeight="1">
      <c r="B49" s="1801"/>
      <c r="C49" s="1463"/>
      <c r="D49" s="1917"/>
      <c r="E49" s="1844"/>
      <c r="F49" s="1917"/>
      <c r="G49" s="1844"/>
      <c r="H49" s="1844"/>
      <c r="I49" s="1844"/>
      <c r="J49" s="1918"/>
      <c r="K49" s="1844"/>
      <c r="L49" s="1844"/>
      <c r="M49" s="1844"/>
      <c r="N49" s="1793"/>
      <c r="O49" s="4240"/>
      <c r="Q49" s="1801"/>
      <c r="R49" s="1807"/>
      <c r="S49" s="1807"/>
      <c r="T49" s="1807"/>
      <c r="U49" s="1807"/>
      <c r="V49" s="1807"/>
      <c r="W49" s="1807"/>
      <c r="X49" s="1807"/>
      <c r="Y49" s="1801"/>
      <c r="Z49" s="1807"/>
      <c r="AA49" s="1807"/>
      <c r="AB49" s="1807"/>
      <c r="AC49" s="1801"/>
    </row>
    <row r="50" spans="2:29" ht="25.5">
      <c r="B50" s="1801"/>
      <c r="C50" s="4639" t="s">
        <v>151</v>
      </c>
      <c r="D50" s="4639"/>
      <c r="E50" s="4639"/>
      <c r="F50" s="4639"/>
      <c r="G50" s="4639"/>
      <c r="H50" s="4639"/>
      <c r="I50" s="4639"/>
      <c r="J50" s="4639"/>
      <c r="K50" s="4639"/>
      <c r="L50" s="4639"/>
      <c r="M50" s="4639"/>
      <c r="N50" s="4639"/>
      <c r="O50" s="4639"/>
      <c r="P50" s="4639"/>
      <c r="Q50" s="1801"/>
      <c r="R50" s="1807"/>
      <c r="S50" s="1807"/>
      <c r="T50" s="1807"/>
      <c r="U50" s="1807"/>
      <c r="V50" s="1807"/>
      <c r="W50" s="1807"/>
      <c r="X50" s="1807"/>
      <c r="Y50" s="1801"/>
      <c r="Z50" s="1807"/>
      <c r="AA50" s="1807"/>
      <c r="AB50" s="1807"/>
      <c r="AC50" s="1801"/>
    </row>
    <row r="51" spans="2:29" ht="28.35" customHeight="1">
      <c r="B51" s="1801"/>
      <c r="C51" s="4640" t="s">
        <v>152</v>
      </c>
      <c r="D51" s="4640"/>
      <c r="E51" s="4640"/>
      <c r="F51" s="4640"/>
      <c r="G51" s="4640"/>
      <c r="H51" s="4640"/>
      <c r="I51" s="4640"/>
      <c r="J51" s="4640"/>
      <c r="K51" s="4640"/>
      <c r="L51" s="4640"/>
      <c r="M51" s="4640"/>
      <c r="N51" s="4640"/>
      <c r="O51" s="4640"/>
      <c r="P51" s="4640"/>
      <c r="Q51" s="1801"/>
      <c r="R51" s="1807"/>
      <c r="S51" s="1807"/>
      <c r="T51" s="1807"/>
      <c r="U51" s="1807"/>
      <c r="V51" s="1807"/>
      <c r="W51" s="1807"/>
      <c r="X51" s="1807"/>
      <c r="Y51" s="1801"/>
      <c r="Z51" s="1807"/>
      <c r="AA51" s="1807"/>
      <c r="AB51" s="1807"/>
      <c r="AC51" s="1801"/>
    </row>
    <row r="52" spans="2:29" ht="28.35" customHeight="1">
      <c r="B52" s="1801"/>
      <c r="C52" s="4159" t="s">
        <v>90</v>
      </c>
      <c r="D52" s="1919"/>
      <c r="E52" s="1919"/>
      <c r="F52" s="1920"/>
      <c r="G52" s="1921"/>
      <c r="H52" s="1919"/>
      <c r="I52" s="1919"/>
      <c r="J52" s="1922"/>
      <c r="K52" s="1923"/>
      <c r="L52" s="1923"/>
      <c r="M52" s="1924"/>
      <c r="N52" s="1924"/>
      <c r="O52" s="1925"/>
      <c r="P52" s="1926" t="s">
        <v>91</v>
      </c>
      <c r="Q52" s="1801"/>
      <c r="R52" s="1807"/>
      <c r="S52" s="1807"/>
      <c r="T52" s="1807"/>
      <c r="U52" s="1807"/>
      <c r="V52" s="1807"/>
      <c r="W52" s="1807"/>
      <c r="X52" s="1807"/>
      <c r="Y52" s="1801"/>
      <c r="Z52" s="1807"/>
      <c r="AA52" s="1807"/>
      <c r="AB52" s="1807"/>
      <c r="AC52" s="1801"/>
    </row>
    <row r="53" spans="2:29" ht="17.100000000000001" customHeight="1">
      <c r="C53" s="1393"/>
      <c r="D53" s="1850"/>
      <c r="E53" s="1850"/>
      <c r="F53" s="1851"/>
      <c r="G53" s="1852"/>
      <c r="H53" s="1318"/>
      <c r="I53" s="1850"/>
      <c r="J53" s="1853"/>
      <c r="K53" s="1854"/>
      <c r="L53" s="1854"/>
      <c r="M53" s="1855"/>
      <c r="N53" s="1855"/>
      <c r="O53" s="1856"/>
      <c r="P53" s="1927"/>
      <c r="Q53" s="1801"/>
      <c r="R53" s="1801"/>
      <c r="S53" s="1801"/>
      <c r="T53" s="1801"/>
      <c r="U53" s="1801"/>
      <c r="V53" s="1801"/>
      <c r="W53" s="1801"/>
      <c r="X53" s="1801"/>
      <c r="Y53" s="1801"/>
      <c r="Z53" s="1801"/>
    </row>
    <row r="54" spans="2:29" ht="27" customHeight="1">
      <c r="C54" s="1928"/>
      <c r="D54" s="1929" t="s">
        <v>153</v>
      </c>
      <c r="E54" s="1930"/>
      <c r="F54" s="1930"/>
      <c r="G54" s="1930"/>
      <c r="H54" s="1930"/>
      <c r="I54" s="1931" t="s">
        <v>8</v>
      </c>
      <c r="J54" s="1930"/>
      <c r="K54" s="1932" t="s">
        <v>154</v>
      </c>
      <c r="L54" s="4641" t="s">
        <v>155</v>
      </c>
      <c r="M54" s="4641"/>
      <c r="N54" s="4641"/>
      <c r="O54" s="1933"/>
      <c r="P54" s="1934"/>
      <c r="Q54" s="1801"/>
      <c r="R54" s="1801"/>
      <c r="S54" s="1801"/>
      <c r="T54" s="1801"/>
      <c r="U54" s="1801"/>
      <c r="V54" s="1801"/>
      <c r="W54" s="1801"/>
      <c r="X54" s="1801"/>
      <c r="Y54" s="1801"/>
      <c r="Z54" s="1801"/>
    </row>
    <row r="55" spans="2:29" s="1190" customFormat="1" ht="21.2" customHeight="1">
      <c r="C55" s="1935"/>
      <c r="D55" s="1936"/>
      <c r="E55" s="1936"/>
      <c r="F55" s="1936"/>
      <c r="G55" s="1936"/>
      <c r="H55" s="4642" t="s">
        <v>156</v>
      </c>
      <c r="I55" s="4642"/>
      <c r="J55" s="4642"/>
      <c r="K55" s="4643"/>
      <c r="L55" s="4644" t="s">
        <v>157</v>
      </c>
      <c r="M55" s="4644"/>
      <c r="N55" s="4644"/>
      <c r="O55" s="4151"/>
      <c r="P55" s="4152"/>
      <c r="Q55" s="1808"/>
      <c r="R55" s="1937"/>
      <c r="S55" s="1807"/>
      <c r="T55" s="1801"/>
      <c r="U55" s="1807"/>
      <c r="V55" s="1809"/>
      <c r="W55" s="1808"/>
      <c r="X55" s="1808"/>
      <c r="Y55" s="1808"/>
      <c r="Z55" s="1808"/>
    </row>
    <row r="56" spans="2:29" s="1190" customFormat="1" ht="21.2" customHeight="1">
      <c r="C56" s="1935"/>
      <c r="D56" s="1938"/>
      <c r="E56" s="1938"/>
      <c r="F56" s="1938"/>
      <c r="G56" s="1939" t="s">
        <v>158</v>
      </c>
      <c r="H56" s="4645" t="s">
        <v>159</v>
      </c>
      <c r="I56" s="4645"/>
      <c r="J56" s="4645"/>
      <c r="K56" s="4646"/>
      <c r="L56" s="1940"/>
      <c r="M56" s="1941"/>
      <c r="N56" s="1942"/>
      <c r="O56" s="4157"/>
      <c r="P56" s="4152"/>
      <c r="Q56" s="1808"/>
      <c r="R56" s="1807"/>
      <c r="S56" s="1807"/>
      <c r="T56" s="1807"/>
      <c r="U56" s="1807"/>
      <c r="V56" s="1801"/>
      <c r="W56" s="1808"/>
      <c r="X56" s="1808"/>
      <c r="Y56" s="1808"/>
      <c r="Z56" s="1808"/>
    </row>
    <row r="57" spans="2:29" s="1190" customFormat="1" ht="21.2" customHeight="1">
      <c r="C57" s="1943"/>
      <c r="D57" s="1944"/>
      <c r="E57" s="1938"/>
      <c r="F57" s="1945"/>
      <c r="G57" s="1944" t="s">
        <v>160</v>
      </c>
      <c r="H57" s="1946"/>
      <c r="I57" s="1947"/>
      <c r="J57" s="1948" t="s">
        <v>161</v>
      </c>
      <c r="K57" s="1948" t="s">
        <v>161</v>
      </c>
      <c r="L57" s="1936"/>
      <c r="M57" s="1949"/>
      <c r="N57" s="1936"/>
      <c r="O57" s="4647"/>
      <c r="P57" s="4648"/>
      <c r="Q57" s="1808"/>
      <c r="R57" s="1807"/>
      <c r="S57" s="1807"/>
      <c r="T57" s="1807"/>
      <c r="U57" s="1807"/>
      <c r="V57" s="1807"/>
      <c r="W57" s="1808"/>
      <c r="X57" s="1808"/>
      <c r="Y57" s="1808"/>
      <c r="Z57" s="1808"/>
    </row>
    <row r="58" spans="2:29" s="1190" customFormat="1" ht="21.2" customHeight="1">
      <c r="C58" s="1950"/>
      <c r="D58" s="1951"/>
      <c r="E58" s="1939" t="s">
        <v>162</v>
      </c>
      <c r="F58" s="1939" t="s">
        <v>92</v>
      </c>
      <c r="G58" s="1944" t="s">
        <v>97</v>
      </c>
      <c r="H58" s="1951"/>
      <c r="I58" s="1939" t="s">
        <v>92</v>
      </c>
      <c r="J58" s="1944" t="s">
        <v>163</v>
      </c>
      <c r="K58" s="1944" t="s">
        <v>163</v>
      </c>
      <c r="L58" s="1938"/>
      <c r="M58" s="1952"/>
      <c r="N58" s="1953"/>
      <c r="O58" s="4647"/>
      <c r="P58" s="4648"/>
      <c r="Q58" s="1808"/>
      <c r="R58" s="4259"/>
      <c r="S58" s="4257"/>
      <c r="T58" s="1807"/>
      <c r="U58" s="4257"/>
      <c r="V58" s="4257"/>
      <c r="W58" s="1808"/>
      <c r="X58" s="1808"/>
      <c r="Y58" s="1808"/>
      <c r="Z58" s="1808"/>
    </row>
    <row r="59" spans="2:29" s="1190" customFormat="1" ht="21.2" customHeight="1">
      <c r="C59" s="1954" t="s">
        <v>94</v>
      </c>
      <c r="D59" s="1951"/>
      <c r="E59" s="1939" t="s">
        <v>164</v>
      </c>
      <c r="F59" s="1944" t="s">
        <v>165</v>
      </c>
      <c r="G59" s="1944" t="s">
        <v>106</v>
      </c>
      <c r="H59" s="1951"/>
      <c r="I59" s="1944" t="s">
        <v>165</v>
      </c>
      <c r="J59" s="1944" t="s">
        <v>166</v>
      </c>
      <c r="K59" s="1944" t="s">
        <v>167</v>
      </c>
      <c r="L59" s="1955"/>
      <c r="M59" s="4153" t="s">
        <v>168</v>
      </c>
      <c r="N59" s="1939" t="s">
        <v>19</v>
      </c>
      <c r="O59" s="4647" t="s">
        <v>107</v>
      </c>
      <c r="P59" s="4648"/>
      <c r="Q59" s="1808"/>
      <c r="R59" s="4259"/>
      <c r="S59" s="4257"/>
      <c r="T59" s="1801"/>
      <c r="U59" s="4257"/>
      <c r="V59" s="1956"/>
      <c r="W59" s="1808"/>
      <c r="X59" s="1808"/>
      <c r="Y59" s="1808"/>
      <c r="Z59" s="1808"/>
    </row>
    <row r="60" spans="2:29" s="1190" customFormat="1" ht="21.2" customHeight="1">
      <c r="C60" s="1943" t="s">
        <v>169</v>
      </c>
      <c r="D60" s="1951" t="s">
        <v>170</v>
      </c>
      <c r="E60" s="1944" t="s">
        <v>98</v>
      </c>
      <c r="F60" s="1944" t="s">
        <v>171</v>
      </c>
      <c r="G60" s="1944" t="s">
        <v>172</v>
      </c>
      <c r="H60" s="1951" t="s">
        <v>170</v>
      </c>
      <c r="I60" s="1944" t="s">
        <v>173</v>
      </c>
      <c r="J60" s="1944" t="s">
        <v>174</v>
      </c>
      <c r="K60" s="1944" t="s">
        <v>175</v>
      </c>
      <c r="L60" s="1955" t="s">
        <v>170</v>
      </c>
      <c r="M60" s="1952" t="s">
        <v>176</v>
      </c>
      <c r="N60" s="1944" t="s">
        <v>177</v>
      </c>
      <c r="O60" s="4647" t="s">
        <v>116</v>
      </c>
      <c r="P60" s="4648"/>
      <c r="Q60" s="1801"/>
      <c r="R60" s="4257"/>
      <c r="S60" s="4257"/>
      <c r="T60" s="4257"/>
      <c r="U60" s="4257"/>
      <c r="V60" s="1956"/>
      <c r="W60" s="1808"/>
      <c r="X60" s="1808"/>
      <c r="Y60" s="1808"/>
      <c r="Z60" s="1808"/>
    </row>
    <row r="61" spans="2:29" s="1190" customFormat="1" ht="21.2" customHeight="1">
      <c r="C61" s="1943"/>
      <c r="D61" s="1951"/>
      <c r="E61" s="1944"/>
      <c r="F61" s="1957"/>
      <c r="G61" s="1944"/>
      <c r="H61" s="1951"/>
      <c r="I61" s="1957"/>
      <c r="J61" s="1944"/>
      <c r="K61" s="1944"/>
      <c r="L61" s="1951"/>
      <c r="M61" s="1952"/>
      <c r="N61" s="1944"/>
      <c r="O61" s="4649"/>
      <c r="P61" s="4650"/>
      <c r="Q61" s="1808"/>
      <c r="R61" s="4259"/>
      <c r="S61" s="4257"/>
      <c r="T61" s="4257"/>
      <c r="U61" s="4257"/>
      <c r="V61" s="4257"/>
      <c r="W61" s="1808"/>
      <c r="X61" s="1808"/>
      <c r="Y61" s="1808"/>
      <c r="Z61" s="1808"/>
    </row>
    <row r="62" spans="2:29" s="1885" customFormat="1" ht="21.2" customHeight="1">
      <c r="C62" s="1943"/>
      <c r="D62" s="1951"/>
      <c r="E62" s="1944"/>
      <c r="F62" s="1957"/>
      <c r="G62" s="1944" t="s">
        <v>118</v>
      </c>
      <c r="H62" s="1951"/>
      <c r="I62" s="1957"/>
      <c r="J62" s="1944" t="s">
        <v>178</v>
      </c>
      <c r="K62" s="1944" t="s">
        <v>178</v>
      </c>
      <c r="L62" s="1951"/>
      <c r="M62" s="1952"/>
      <c r="N62" s="1944"/>
      <c r="O62" s="4649"/>
      <c r="P62" s="4650"/>
      <c r="Q62" s="1889"/>
      <c r="R62" s="1958"/>
      <c r="S62" s="1959"/>
      <c r="T62" s="1959"/>
      <c r="U62" s="1959"/>
      <c r="V62" s="1959"/>
      <c r="W62" s="1889"/>
      <c r="X62" s="1889"/>
      <c r="Y62" s="1889"/>
      <c r="Z62" s="1889"/>
    </row>
    <row r="63" spans="2:29" s="1885" customFormat="1" ht="21.2" customHeight="1">
      <c r="C63" s="1943" t="s">
        <v>122</v>
      </c>
      <c r="D63" s="1951"/>
      <c r="E63" s="1944" t="s">
        <v>119</v>
      </c>
      <c r="F63" s="1944" t="s">
        <v>118</v>
      </c>
      <c r="G63" s="1944" t="s">
        <v>125</v>
      </c>
      <c r="H63" s="1951"/>
      <c r="I63" s="1944" t="s">
        <v>118</v>
      </c>
      <c r="J63" s="1944" t="s">
        <v>179</v>
      </c>
      <c r="K63" s="1944" t="s">
        <v>179</v>
      </c>
      <c r="L63" s="1951"/>
      <c r="M63" s="1952"/>
      <c r="N63" s="1944"/>
      <c r="O63" s="4649"/>
      <c r="P63" s="4650"/>
      <c r="Q63" s="1889"/>
      <c r="R63" s="1958"/>
      <c r="S63" s="1959"/>
      <c r="T63" s="1959"/>
      <c r="U63" s="1959"/>
      <c r="V63" s="1959"/>
      <c r="W63" s="1889"/>
      <c r="X63" s="1889"/>
      <c r="Y63" s="1889"/>
      <c r="Z63" s="1889"/>
    </row>
    <row r="64" spans="2:29" s="1885" customFormat="1" ht="21.2" customHeight="1">
      <c r="C64" s="1943" t="s">
        <v>131</v>
      </c>
      <c r="D64" s="1951"/>
      <c r="E64" s="1944" t="s">
        <v>126</v>
      </c>
      <c r="F64" s="1944" t="s">
        <v>180</v>
      </c>
      <c r="G64" s="1944" t="s">
        <v>134</v>
      </c>
      <c r="H64" s="1951"/>
      <c r="I64" s="1944" t="s">
        <v>181</v>
      </c>
      <c r="J64" s="1944" t="s">
        <v>182</v>
      </c>
      <c r="K64" s="1944" t="s">
        <v>183</v>
      </c>
      <c r="L64" s="1951"/>
      <c r="M64" s="1952" t="s">
        <v>184</v>
      </c>
      <c r="N64" s="1944" t="s">
        <v>185</v>
      </c>
      <c r="O64" s="4649" t="s">
        <v>136</v>
      </c>
      <c r="P64" s="4650"/>
      <c r="Q64" s="1889"/>
      <c r="R64" s="1958"/>
      <c r="S64" s="1959"/>
      <c r="T64" s="1959"/>
      <c r="U64" s="1959"/>
      <c r="V64" s="1959"/>
      <c r="W64" s="1889"/>
      <c r="X64" s="1889"/>
      <c r="Y64" s="1889"/>
      <c r="Z64" s="1889"/>
    </row>
    <row r="65" spans="2:26" s="1885" customFormat="1" ht="21.2" customHeight="1">
      <c r="C65" s="1960" t="s">
        <v>186</v>
      </c>
      <c r="D65" s="1961" t="s">
        <v>187</v>
      </c>
      <c r="E65" s="1962" t="s">
        <v>137</v>
      </c>
      <c r="F65" s="1962" t="s">
        <v>188</v>
      </c>
      <c r="G65" s="1962" t="s">
        <v>189</v>
      </c>
      <c r="H65" s="1961" t="s">
        <v>187</v>
      </c>
      <c r="I65" s="1962" t="s">
        <v>190</v>
      </c>
      <c r="J65" s="1962" t="s">
        <v>191</v>
      </c>
      <c r="K65" s="1962" t="s">
        <v>191</v>
      </c>
      <c r="L65" s="1961" t="s">
        <v>187</v>
      </c>
      <c r="M65" s="4154" t="s">
        <v>192</v>
      </c>
      <c r="N65" s="1962" t="s">
        <v>65</v>
      </c>
      <c r="O65" s="4649" t="s">
        <v>144</v>
      </c>
      <c r="P65" s="4650"/>
      <c r="Q65" s="1889"/>
      <c r="R65" s="1958"/>
      <c r="S65" s="1959"/>
      <c r="T65" s="1959"/>
      <c r="U65" s="1959"/>
      <c r="V65" s="1959"/>
      <c r="W65" s="1889"/>
      <c r="X65" s="1889"/>
      <c r="Y65" s="1889"/>
      <c r="Z65" s="1889"/>
    </row>
    <row r="66" spans="2:26" s="1190" customFormat="1" ht="48.75" customHeight="1">
      <c r="C66" s="1413">
        <f t="shared" ref="C66:C94" si="3">D66+L66</f>
        <v>4481.7999999999993</v>
      </c>
      <c r="D66" s="4274">
        <f t="shared" ref="D66:D94" si="4">E66+F66+G66+H66</f>
        <v>2838.8999999999996</v>
      </c>
      <c r="E66" s="4183">
        <v>-651.1</v>
      </c>
      <c r="F66" s="4183">
        <v>106.9</v>
      </c>
      <c r="G66" s="4183">
        <v>2316.1999999999998</v>
      </c>
      <c r="H66" s="4274">
        <f t="shared" ref="H66:H94" si="5">K66+J66+I66</f>
        <v>1066.8999999999999</v>
      </c>
      <c r="I66" s="4183">
        <v>296.8</v>
      </c>
      <c r="J66" s="4183">
        <v>-102.2</v>
      </c>
      <c r="K66" s="4183">
        <v>872.3</v>
      </c>
      <c r="L66" s="4274">
        <f t="shared" ref="L66:L94" si="6">M66+N66</f>
        <v>1642.9</v>
      </c>
      <c r="M66" s="4183">
        <v>35</v>
      </c>
      <c r="N66" s="1195">
        <v>1607.9</v>
      </c>
      <c r="O66" s="4631" t="s">
        <v>193</v>
      </c>
      <c r="P66" s="4632"/>
      <c r="Q66" s="1808"/>
      <c r="R66" s="1808"/>
      <c r="S66" s="1808"/>
      <c r="T66" s="1808"/>
      <c r="U66" s="1808"/>
      <c r="V66" s="1808"/>
      <c r="W66" s="1808"/>
      <c r="X66" s="1808"/>
      <c r="Y66" s="1808"/>
      <c r="Z66" s="1808"/>
    </row>
    <row r="67" spans="2:26" ht="48.75" customHeight="1">
      <c r="B67" s="1963"/>
      <c r="C67" s="1167">
        <f t="shared" si="3"/>
        <v>4841.5</v>
      </c>
      <c r="D67" s="4276">
        <f t="shared" si="4"/>
        <v>3135.8</v>
      </c>
      <c r="E67" s="4184">
        <v>-812.7</v>
      </c>
      <c r="F67" s="4184">
        <v>123.9</v>
      </c>
      <c r="G67" s="4184">
        <v>2769.9</v>
      </c>
      <c r="H67" s="4276">
        <f t="shared" si="5"/>
        <v>1054.7</v>
      </c>
      <c r="I67" s="4184">
        <v>341.9</v>
      </c>
      <c r="J67" s="4184">
        <v>-107.8</v>
      </c>
      <c r="K67" s="1168">
        <v>820.6</v>
      </c>
      <c r="L67" s="1568">
        <f t="shared" si="6"/>
        <v>1705.7</v>
      </c>
      <c r="M67" s="4184">
        <v>-83.5</v>
      </c>
      <c r="N67" s="1172">
        <v>1789.2</v>
      </c>
      <c r="O67" s="4629">
        <v>1994</v>
      </c>
      <c r="P67" s="4630"/>
      <c r="Q67" s="1801"/>
      <c r="R67" s="1801"/>
      <c r="S67" s="1801"/>
      <c r="T67" s="1801"/>
      <c r="U67" s="1801"/>
      <c r="V67" s="1801"/>
      <c r="W67" s="1801"/>
      <c r="X67" s="1801"/>
      <c r="Y67" s="1801"/>
      <c r="Z67" s="1801"/>
    </row>
    <row r="68" spans="2:26" ht="48.75" customHeight="1">
      <c r="B68" s="1963"/>
      <c r="C68" s="1413">
        <f t="shared" si="3"/>
        <v>5159.7999999999993</v>
      </c>
      <c r="D68" s="4274">
        <f t="shared" si="4"/>
        <v>3333.7999999999993</v>
      </c>
      <c r="E68" s="4183">
        <v>-1037.7</v>
      </c>
      <c r="F68" s="4183">
        <v>134</v>
      </c>
      <c r="G68" s="4183">
        <v>3200.1</v>
      </c>
      <c r="H68" s="4274">
        <f t="shared" si="5"/>
        <v>1037.3999999999999</v>
      </c>
      <c r="I68" s="4183">
        <v>362.2</v>
      </c>
      <c r="J68" s="4183">
        <v>-91.7</v>
      </c>
      <c r="K68" s="4183">
        <v>766.9</v>
      </c>
      <c r="L68" s="1567">
        <f t="shared" si="6"/>
        <v>1826</v>
      </c>
      <c r="M68" s="4183">
        <v>-192.3</v>
      </c>
      <c r="N68" s="1195">
        <v>2018.3</v>
      </c>
      <c r="O68" s="4631">
        <v>1995</v>
      </c>
      <c r="P68" s="4632"/>
      <c r="Q68" s="1801"/>
      <c r="R68" s="1801"/>
      <c r="S68" s="1801"/>
      <c r="T68" s="1801"/>
      <c r="U68" s="1801"/>
      <c r="V68" s="1801"/>
      <c r="W68" s="1801"/>
      <c r="X68" s="1801"/>
      <c r="Y68" s="1801"/>
      <c r="Z68" s="1801"/>
    </row>
    <row r="69" spans="2:26" s="1801" customFormat="1" ht="48.75" customHeight="1">
      <c r="B69" s="1964"/>
      <c r="C69" s="1167">
        <f t="shared" si="3"/>
        <v>5175.3</v>
      </c>
      <c r="D69" s="4276">
        <f t="shared" si="4"/>
        <v>3332.9</v>
      </c>
      <c r="E69" s="4184">
        <v>-1132.0999999999999</v>
      </c>
      <c r="F69" s="4184">
        <v>131.5</v>
      </c>
      <c r="G69" s="4184">
        <v>3362.9</v>
      </c>
      <c r="H69" s="4276">
        <f t="shared" si="5"/>
        <v>970.6</v>
      </c>
      <c r="I69" s="4184">
        <v>408.9</v>
      </c>
      <c r="J69" s="4184">
        <v>-92.8</v>
      </c>
      <c r="K69" s="1168">
        <v>654.5</v>
      </c>
      <c r="L69" s="1568">
        <f t="shared" si="6"/>
        <v>1842.4</v>
      </c>
      <c r="M69" s="4184">
        <v>-181.3</v>
      </c>
      <c r="N69" s="1172">
        <v>2023.7</v>
      </c>
      <c r="O69" s="4629">
        <v>1996</v>
      </c>
      <c r="P69" s="4630"/>
    </row>
    <row r="70" spans="2:26" s="1801" customFormat="1" ht="48.75" customHeight="1">
      <c r="B70" s="1964"/>
      <c r="C70" s="1413">
        <f t="shared" si="3"/>
        <v>5576.6</v>
      </c>
      <c r="D70" s="4274">
        <f t="shared" si="4"/>
        <v>3313.1000000000004</v>
      </c>
      <c r="E70" s="4183">
        <v>-1277.3</v>
      </c>
      <c r="F70" s="4183">
        <v>128.69999999999999</v>
      </c>
      <c r="G70" s="4183">
        <v>3535.3</v>
      </c>
      <c r="H70" s="4274">
        <f t="shared" si="5"/>
        <v>926.4</v>
      </c>
      <c r="I70" s="4183">
        <v>425.3</v>
      </c>
      <c r="J70" s="4183">
        <v>-100.2</v>
      </c>
      <c r="K70" s="4183">
        <v>601.29999999999995</v>
      </c>
      <c r="L70" s="1567">
        <f t="shared" si="6"/>
        <v>2263.5</v>
      </c>
      <c r="M70" s="4183">
        <v>-5.2</v>
      </c>
      <c r="N70" s="1195">
        <v>2268.6999999999998</v>
      </c>
      <c r="O70" s="4631">
        <v>1997</v>
      </c>
      <c r="P70" s="4632"/>
    </row>
    <row r="71" spans="2:26" s="1801" customFormat="1" ht="48.75" customHeight="1">
      <c r="B71" s="1964"/>
      <c r="C71" s="1167">
        <f t="shared" si="3"/>
        <v>6003.2999999999993</v>
      </c>
      <c r="D71" s="4276">
        <f>E71+F71+G71+H71</f>
        <v>3628.3999999999996</v>
      </c>
      <c r="E71" s="4184">
        <v>-1647</v>
      </c>
      <c r="F71" s="4184">
        <v>126</v>
      </c>
      <c r="G71" s="4184">
        <v>3812.7</v>
      </c>
      <c r="H71" s="4276">
        <f>K71+J71+I71</f>
        <v>1336.7</v>
      </c>
      <c r="I71" s="4184">
        <v>381.3</v>
      </c>
      <c r="J71" s="4184">
        <v>-119.1</v>
      </c>
      <c r="K71" s="1168">
        <v>1074.5</v>
      </c>
      <c r="L71" s="1568">
        <f>M71+N71</f>
        <v>2374.9</v>
      </c>
      <c r="M71" s="4184">
        <v>374</v>
      </c>
      <c r="N71" s="1172">
        <v>2000.9</v>
      </c>
      <c r="O71" s="4629">
        <v>1998</v>
      </c>
      <c r="P71" s="4630"/>
    </row>
    <row r="72" spans="2:26" s="1801" customFormat="1" ht="48.75" customHeight="1">
      <c r="B72" s="1964"/>
      <c r="C72" s="1413">
        <f t="shared" si="3"/>
        <v>6026.3</v>
      </c>
      <c r="D72" s="4274">
        <f t="shared" si="4"/>
        <v>3651.5</v>
      </c>
      <c r="E72" s="4183">
        <v>-1647.1</v>
      </c>
      <c r="F72" s="4183">
        <v>70.599999999999994</v>
      </c>
      <c r="G72" s="4183">
        <v>3839.6</v>
      </c>
      <c r="H72" s="4274">
        <f t="shared" si="5"/>
        <v>1388.4</v>
      </c>
      <c r="I72" s="4183">
        <v>303.10000000000002</v>
      </c>
      <c r="J72" s="4183">
        <v>-53.4</v>
      </c>
      <c r="K72" s="4183">
        <v>1138.7</v>
      </c>
      <c r="L72" s="1567">
        <f t="shared" si="6"/>
        <v>2374.8000000000002</v>
      </c>
      <c r="M72" s="4183">
        <v>373.9</v>
      </c>
      <c r="N72" s="1195">
        <v>2000.9</v>
      </c>
      <c r="O72" s="4631" t="s">
        <v>194</v>
      </c>
      <c r="P72" s="4632"/>
    </row>
    <row r="73" spans="2:26" s="1801" customFormat="1" ht="48.75" customHeight="1">
      <c r="B73" s="1964"/>
      <c r="C73" s="1167">
        <f t="shared" si="3"/>
        <v>6747.6</v>
      </c>
      <c r="D73" s="4276">
        <f>E73+F73+G73+H73</f>
        <v>3744.2000000000003</v>
      </c>
      <c r="E73" s="4184">
        <v>-1861.5</v>
      </c>
      <c r="F73" s="4184">
        <v>78.400000000000006</v>
      </c>
      <c r="G73" s="4184">
        <v>4032.1</v>
      </c>
      <c r="H73" s="4276">
        <f t="shared" si="5"/>
        <v>1495.2000000000003</v>
      </c>
      <c r="I73" s="4184">
        <v>307.89999999999998</v>
      </c>
      <c r="J73" s="4184">
        <v>-47.6</v>
      </c>
      <c r="K73" s="1168">
        <v>1234.9000000000001</v>
      </c>
      <c r="L73" s="1568">
        <f t="shared" si="6"/>
        <v>3003.3999999999996</v>
      </c>
      <c r="M73" s="4184">
        <v>578.70000000000005</v>
      </c>
      <c r="N73" s="1172">
        <v>2424.6999999999998</v>
      </c>
      <c r="O73" s="4629">
        <v>1999</v>
      </c>
      <c r="P73" s="4630"/>
      <c r="Z73" s="1964"/>
    </row>
    <row r="74" spans="2:26" s="1801" customFormat="1" ht="48.75" customHeight="1">
      <c r="B74" s="1964"/>
      <c r="C74" s="1413">
        <f t="shared" si="3"/>
        <v>7434.6999999999989</v>
      </c>
      <c r="D74" s="4274">
        <f t="shared" si="4"/>
        <v>3582.5999999999995</v>
      </c>
      <c r="E74" s="4183">
        <v>-2130</v>
      </c>
      <c r="F74" s="4183">
        <v>79.900000000000006</v>
      </c>
      <c r="G74" s="4183">
        <v>4211.8999999999996</v>
      </c>
      <c r="H74" s="4274">
        <f t="shared" si="5"/>
        <v>1420.7999999999997</v>
      </c>
      <c r="I74" s="4183">
        <v>317.89999999999998</v>
      </c>
      <c r="J74" s="4183">
        <v>-103.2</v>
      </c>
      <c r="K74" s="4183">
        <v>1206.0999999999999</v>
      </c>
      <c r="L74" s="1567">
        <f t="shared" si="6"/>
        <v>3852.1</v>
      </c>
      <c r="M74" s="4183">
        <v>1004</v>
      </c>
      <c r="N74" s="1195">
        <v>2848.1</v>
      </c>
      <c r="O74" s="4631">
        <v>2000</v>
      </c>
      <c r="P74" s="4632"/>
      <c r="Q74" s="1965"/>
      <c r="S74" s="1966"/>
      <c r="U74" s="1964"/>
      <c r="Z74" s="1964"/>
    </row>
    <row r="75" spans="2:26" s="1801" customFormat="1" ht="48.75" customHeight="1">
      <c r="B75" s="1964"/>
      <c r="C75" s="1167">
        <f t="shared" si="3"/>
        <v>7866.1</v>
      </c>
      <c r="D75" s="4276">
        <f t="shared" si="4"/>
        <v>3875.1000000000004</v>
      </c>
      <c r="E75" s="4184">
        <v>-2487.5</v>
      </c>
      <c r="F75" s="4184">
        <v>78.7</v>
      </c>
      <c r="G75" s="4184">
        <v>4695.6000000000004</v>
      </c>
      <c r="H75" s="4276">
        <f t="shared" si="5"/>
        <v>1588.3</v>
      </c>
      <c r="I75" s="4184">
        <v>284.3</v>
      </c>
      <c r="J75" s="4184">
        <v>-60.7</v>
      </c>
      <c r="K75" s="1168">
        <v>1364.7</v>
      </c>
      <c r="L75" s="1568">
        <f t="shared" si="6"/>
        <v>3991</v>
      </c>
      <c r="M75" s="4184">
        <v>1340.6</v>
      </c>
      <c r="N75" s="1172">
        <v>2650.4</v>
      </c>
      <c r="O75" s="4629">
        <v>2001</v>
      </c>
      <c r="P75" s="4630">
        <f>P74+1</f>
        <v>1</v>
      </c>
      <c r="Q75"/>
      <c r="S75" s="1966"/>
      <c r="U75" s="1964"/>
      <c r="Z75" s="1964"/>
    </row>
    <row r="76" spans="2:26" s="1801" customFormat="1" ht="48.75" customHeight="1">
      <c r="B76" s="1964"/>
      <c r="C76" s="1413">
        <f t="shared" si="3"/>
        <v>8419.1</v>
      </c>
      <c r="D76" s="4274">
        <f t="shared" si="4"/>
        <v>4000.4</v>
      </c>
      <c r="E76" s="4183">
        <v>-2587.9</v>
      </c>
      <c r="F76" s="4183">
        <v>74.5</v>
      </c>
      <c r="G76" s="4183">
        <v>4847.8</v>
      </c>
      <c r="H76" s="4274">
        <f t="shared" si="5"/>
        <v>1666</v>
      </c>
      <c r="I76" s="4183">
        <v>261.3</v>
      </c>
      <c r="J76" s="4183">
        <v>-50</v>
      </c>
      <c r="K76" s="4183">
        <v>1454.7</v>
      </c>
      <c r="L76" s="1567">
        <f t="shared" si="6"/>
        <v>4418.7</v>
      </c>
      <c r="M76" s="4183">
        <v>1147.5999999999999</v>
      </c>
      <c r="N76" s="1195">
        <v>3271.1</v>
      </c>
      <c r="O76" s="4631">
        <v>2002</v>
      </c>
      <c r="P76" s="4632">
        <f>P75+1</f>
        <v>2</v>
      </c>
      <c r="Q76"/>
      <c r="S76" s="1966"/>
      <c r="U76" s="1964"/>
      <c r="Z76" s="1964"/>
    </row>
    <row r="77" spans="2:26" s="1801" customFormat="1" ht="48.75" customHeight="1">
      <c r="B77" s="1964"/>
      <c r="C77" s="1167">
        <f t="shared" si="3"/>
        <v>9465.7000000000007</v>
      </c>
      <c r="D77" s="4276">
        <f t="shared" si="4"/>
        <v>3973.2</v>
      </c>
      <c r="E77" s="4184">
        <v>-2739.3</v>
      </c>
      <c r="F77" s="4184">
        <v>73.400000000000006</v>
      </c>
      <c r="G77" s="4184">
        <v>5015.5</v>
      </c>
      <c r="H77" s="4276">
        <f t="shared" si="5"/>
        <v>1623.6</v>
      </c>
      <c r="I77" s="4184">
        <v>278</v>
      </c>
      <c r="J77" s="4184">
        <v>-44.2</v>
      </c>
      <c r="K77" s="1168">
        <v>1389.8</v>
      </c>
      <c r="L77" s="1568">
        <f t="shared" si="6"/>
        <v>5492.5</v>
      </c>
      <c r="M77" s="4184">
        <v>1277.0999999999999</v>
      </c>
      <c r="N77" s="1172">
        <v>4215.3999999999996</v>
      </c>
      <c r="O77" s="4629">
        <v>2003</v>
      </c>
      <c r="P77" s="4630">
        <f>P76+1</f>
        <v>3</v>
      </c>
      <c r="Q77"/>
      <c r="S77" s="1966"/>
      <c r="U77" s="1964"/>
      <c r="Z77" s="1964"/>
    </row>
    <row r="78" spans="2:26" s="1801" customFormat="1" ht="48.75" customHeight="1">
      <c r="B78" s="1964"/>
      <c r="C78" s="1413">
        <f>D78+L78</f>
        <v>10571.400000000001</v>
      </c>
      <c r="D78" s="4274">
        <f>E78+F78+G78+H78</f>
        <v>4761.6000000000004</v>
      </c>
      <c r="E78" s="4183">
        <v>-3110.1</v>
      </c>
      <c r="F78" s="4183">
        <v>94.5</v>
      </c>
      <c r="G78" s="4183">
        <v>5885</v>
      </c>
      <c r="H78" s="4274">
        <f>K78+J78+I78</f>
        <v>1892.2</v>
      </c>
      <c r="I78" s="4183">
        <v>483.2</v>
      </c>
      <c r="J78" s="4183">
        <v>-191.9</v>
      </c>
      <c r="K78" s="4183">
        <v>1600.9</v>
      </c>
      <c r="L78" s="1567">
        <f t="shared" si="6"/>
        <v>5809.8</v>
      </c>
      <c r="M78" s="4183">
        <v>1533.3</v>
      </c>
      <c r="N78" s="1195">
        <v>4276.5</v>
      </c>
      <c r="O78" s="4631">
        <v>2004</v>
      </c>
      <c r="P78" s="4632">
        <v>2004</v>
      </c>
      <c r="Q78"/>
      <c r="S78" s="1966"/>
      <c r="U78" s="1964"/>
      <c r="Z78" s="1964"/>
    </row>
    <row r="79" spans="2:26" s="1801" customFormat="1" ht="48.75" customHeight="1">
      <c r="B79" s="1964"/>
      <c r="C79" s="1167">
        <f t="shared" si="3"/>
        <v>12364.1</v>
      </c>
      <c r="D79" s="4276">
        <f t="shared" si="4"/>
        <v>6363.4</v>
      </c>
      <c r="E79" s="4184">
        <v>-3794.3</v>
      </c>
      <c r="F79" s="4184">
        <v>152.6</v>
      </c>
      <c r="G79" s="4184">
        <v>7668.7</v>
      </c>
      <c r="H79" s="4276">
        <f t="shared" si="5"/>
        <v>2336.4</v>
      </c>
      <c r="I79" s="4184">
        <v>528.1</v>
      </c>
      <c r="J79" s="4184">
        <v>-108.6</v>
      </c>
      <c r="K79" s="1168">
        <v>1916.9</v>
      </c>
      <c r="L79" s="1568">
        <f t="shared" si="6"/>
        <v>6000.7000000000007</v>
      </c>
      <c r="M79" s="4184">
        <v>1651.1</v>
      </c>
      <c r="N79" s="1172">
        <v>4349.6000000000004</v>
      </c>
      <c r="O79" s="4629">
        <v>2005</v>
      </c>
      <c r="P79" s="4630">
        <v>2005</v>
      </c>
      <c r="Q79"/>
      <c r="S79" s="1966"/>
      <c r="U79" s="1964"/>
      <c r="Z79" s="1964"/>
    </row>
    <row r="80" spans="2:26" s="1801" customFormat="1" ht="48.75" customHeight="1">
      <c r="B80" s="1964"/>
      <c r="C80" s="1413">
        <f t="shared" si="3"/>
        <v>14109.7</v>
      </c>
      <c r="D80" s="4274">
        <f t="shared" si="4"/>
        <v>6701.5999999999995</v>
      </c>
      <c r="E80" s="4183">
        <v>-5047.7</v>
      </c>
      <c r="F80" s="4183">
        <v>214.4</v>
      </c>
      <c r="G80" s="4183">
        <v>9546.4</v>
      </c>
      <c r="H80" s="4274">
        <f t="shared" si="5"/>
        <v>1988.5</v>
      </c>
      <c r="I80" s="4183">
        <v>520.70000000000005</v>
      </c>
      <c r="J80" s="4183">
        <v>-365.8</v>
      </c>
      <c r="K80" s="4183">
        <v>1833.6</v>
      </c>
      <c r="L80" s="1567">
        <f t="shared" si="6"/>
        <v>7408.1</v>
      </c>
      <c r="M80" s="4183">
        <v>1987.5</v>
      </c>
      <c r="N80" s="1195">
        <v>5420.6</v>
      </c>
      <c r="O80" s="4631">
        <v>2006</v>
      </c>
      <c r="P80" s="4632">
        <v>2006</v>
      </c>
      <c r="Q80"/>
      <c r="S80" s="1966"/>
      <c r="Z80" s="1964"/>
    </row>
    <row r="81" spans="2:29" s="1801" customFormat="1" ht="48.75" customHeight="1">
      <c r="B81" s="1964"/>
      <c r="C81" s="1167">
        <f t="shared" si="3"/>
        <v>15606.9</v>
      </c>
      <c r="D81" s="4276">
        <f t="shared" si="4"/>
        <v>7740.0999999999995</v>
      </c>
      <c r="E81" s="4184">
        <v>-6265.8</v>
      </c>
      <c r="F81" s="4184">
        <v>277</v>
      </c>
      <c r="G81" s="4184">
        <v>11003.3</v>
      </c>
      <c r="H81" s="4276">
        <f t="shared" si="5"/>
        <v>2725.6000000000004</v>
      </c>
      <c r="I81" s="4184">
        <v>625.70000000000005</v>
      </c>
      <c r="J81" s="4184">
        <v>-120.7</v>
      </c>
      <c r="K81" s="1168">
        <v>2220.6</v>
      </c>
      <c r="L81" s="1568">
        <f t="shared" si="6"/>
        <v>7866.8</v>
      </c>
      <c r="M81" s="4184">
        <v>1723.3</v>
      </c>
      <c r="N81" s="1172">
        <v>6143.5</v>
      </c>
      <c r="O81" s="4629">
        <v>2007</v>
      </c>
      <c r="P81" s="4630">
        <v>2007</v>
      </c>
      <c r="Q81"/>
      <c r="S81" s="1966"/>
      <c r="Z81" s="1964"/>
    </row>
    <row r="82" spans="2:29" s="1801" customFormat="1" ht="48.75" customHeight="1">
      <c r="B82" s="1964"/>
      <c r="C82" s="1413">
        <f t="shared" si="3"/>
        <v>18304.2</v>
      </c>
      <c r="D82" s="4274">
        <f t="shared" si="4"/>
        <v>11202.900000000001</v>
      </c>
      <c r="E82" s="4183">
        <v>-6438.8</v>
      </c>
      <c r="F82" s="4183">
        <v>335.1</v>
      </c>
      <c r="G82" s="4183">
        <v>12533.5</v>
      </c>
      <c r="H82" s="4274">
        <f t="shared" si="5"/>
        <v>4773.1000000000004</v>
      </c>
      <c r="I82" s="4183">
        <v>652.6</v>
      </c>
      <c r="J82" s="4183">
        <v>-86.4</v>
      </c>
      <c r="K82" s="1412">
        <v>4206.8999999999996</v>
      </c>
      <c r="L82" s="1567">
        <f t="shared" si="6"/>
        <v>7101.3</v>
      </c>
      <c r="M82" s="4183">
        <v>288</v>
      </c>
      <c r="N82" s="1195">
        <v>6813.3</v>
      </c>
      <c r="O82" s="4631">
        <v>2008</v>
      </c>
      <c r="P82" s="4632">
        <v>2008</v>
      </c>
      <c r="Q82"/>
      <c r="S82" s="1966"/>
      <c r="Z82" s="1964"/>
    </row>
    <row r="83" spans="2:29" s="1801" customFormat="1" ht="48.75" customHeight="1">
      <c r="B83" s="1964"/>
      <c r="C83" s="1167">
        <f t="shared" si="3"/>
        <v>20013.3</v>
      </c>
      <c r="D83" s="4276">
        <f t="shared" si="4"/>
        <v>11131.9</v>
      </c>
      <c r="E83" s="4184">
        <v>-6900</v>
      </c>
      <c r="F83" s="4184">
        <v>237.7</v>
      </c>
      <c r="G83" s="4184">
        <v>12693.4</v>
      </c>
      <c r="H83" s="4276">
        <f t="shared" si="5"/>
        <v>5100.8</v>
      </c>
      <c r="I83" s="4184">
        <v>482</v>
      </c>
      <c r="J83" s="4184">
        <v>-189.9</v>
      </c>
      <c r="K83" s="1168">
        <v>4808.7</v>
      </c>
      <c r="L83" s="1568">
        <f>M83+N83</f>
        <v>8881.4</v>
      </c>
      <c r="M83" s="4184">
        <v>-365.1</v>
      </c>
      <c r="N83" s="1172">
        <v>9246.5</v>
      </c>
      <c r="O83" s="4629">
        <v>2009</v>
      </c>
      <c r="P83" s="4630">
        <v>2009</v>
      </c>
      <c r="Q83"/>
      <c r="S83" s="1966"/>
      <c r="T83" s="1964"/>
      <c r="Z83" s="1964"/>
    </row>
    <row r="84" spans="2:29" s="1801" customFormat="1" ht="48.75" customHeight="1">
      <c r="B84" s="1964"/>
      <c r="C84" s="1413">
        <f t="shared" si="3"/>
        <v>22306.7</v>
      </c>
      <c r="D84" s="4274">
        <f t="shared" si="4"/>
        <v>12228.2</v>
      </c>
      <c r="E84" s="4183">
        <v>-7030.9</v>
      </c>
      <c r="F84" s="4183">
        <v>222.8</v>
      </c>
      <c r="G84" s="4183">
        <v>13612.7</v>
      </c>
      <c r="H84" s="4274">
        <f t="shared" si="5"/>
        <v>5423.5999999999995</v>
      </c>
      <c r="I84" s="4183">
        <v>516.5</v>
      </c>
      <c r="J84" s="4183">
        <v>-126.6</v>
      </c>
      <c r="K84" s="1412">
        <v>5033.7</v>
      </c>
      <c r="L84" s="1567">
        <f>M84+N84</f>
        <v>10078.5</v>
      </c>
      <c r="M84" s="4183">
        <v>113.7</v>
      </c>
      <c r="N84" s="1195">
        <v>9964.7999999999993</v>
      </c>
      <c r="O84" s="4631">
        <v>2010</v>
      </c>
      <c r="P84" s="4632">
        <v>2010</v>
      </c>
      <c r="Q84"/>
      <c r="S84" s="1966"/>
      <c r="T84" s="1964"/>
      <c r="Z84" s="1964"/>
    </row>
    <row r="85" spans="2:29" s="1801" customFormat="1" ht="48.75" customHeight="1">
      <c r="B85" s="1964"/>
      <c r="C85" s="1167">
        <f t="shared" si="3"/>
        <v>24118.9</v>
      </c>
      <c r="D85" s="4276">
        <f t="shared" si="4"/>
        <v>14748.8</v>
      </c>
      <c r="E85" s="4184">
        <v>-7595.8</v>
      </c>
      <c r="F85" s="4184">
        <v>204.5</v>
      </c>
      <c r="G85" s="4184">
        <v>14924.8</v>
      </c>
      <c r="H85" s="4276">
        <f t="shared" si="5"/>
        <v>7215.3</v>
      </c>
      <c r="I85" s="4184">
        <v>513.79999999999995</v>
      </c>
      <c r="J85" s="4184">
        <v>410.1</v>
      </c>
      <c r="K85" s="1168">
        <v>6291.4</v>
      </c>
      <c r="L85" s="1568">
        <f t="shared" si="6"/>
        <v>9370.1</v>
      </c>
      <c r="M85" s="4184">
        <v>122</v>
      </c>
      <c r="N85" s="1172">
        <v>9248.1</v>
      </c>
      <c r="O85" s="4629">
        <v>2011</v>
      </c>
      <c r="P85" s="4630">
        <v>2011</v>
      </c>
      <c r="Q85"/>
      <c r="S85" s="1966"/>
      <c r="T85" s="1964"/>
      <c r="Z85" s="1964"/>
    </row>
    <row r="86" spans="2:29" s="1801" customFormat="1" ht="48.75" customHeight="1">
      <c r="B86" s="1964"/>
      <c r="C86" s="1413">
        <f t="shared" si="3"/>
        <v>24945.1</v>
      </c>
      <c r="D86" s="4274">
        <f t="shared" si="4"/>
        <v>18279.599999999999</v>
      </c>
      <c r="E86" s="4183">
        <v>-7822.8</v>
      </c>
      <c r="F86" s="4183">
        <v>204.1</v>
      </c>
      <c r="G86" s="4183">
        <v>15953.5</v>
      </c>
      <c r="H86" s="4274">
        <v>9944.7999999999993</v>
      </c>
      <c r="I86" s="4183">
        <v>483.5</v>
      </c>
      <c r="J86" s="4183">
        <v>1656</v>
      </c>
      <c r="K86" s="1412">
        <v>7805.3</v>
      </c>
      <c r="L86" s="1567">
        <f t="shared" si="6"/>
        <v>6665.5</v>
      </c>
      <c r="M86" s="4183">
        <v>525.79999999999995</v>
      </c>
      <c r="N86" s="1195">
        <v>6139.7</v>
      </c>
      <c r="O86" s="4631">
        <v>2012</v>
      </c>
      <c r="P86" s="4632">
        <v>2012</v>
      </c>
      <c r="Q86"/>
      <c r="S86" s="1966"/>
      <c r="T86" s="1964"/>
      <c r="Z86" s="1964"/>
    </row>
    <row r="87" spans="2:29" s="1801" customFormat="1" ht="48.75" customHeight="1">
      <c r="B87" s="1964"/>
      <c r="C87" s="1167">
        <f t="shared" si="3"/>
        <v>27363.4</v>
      </c>
      <c r="D87" s="4276">
        <f t="shared" si="4"/>
        <v>20440</v>
      </c>
      <c r="E87" s="4184">
        <v>-7908.2</v>
      </c>
      <c r="F87" s="4184">
        <v>166.6</v>
      </c>
      <c r="G87" s="4184">
        <v>17222.5</v>
      </c>
      <c r="H87" s="4276">
        <f t="shared" si="5"/>
        <v>10959.099999999999</v>
      </c>
      <c r="I87" s="4184">
        <v>464.3</v>
      </c>
      <c r="J87" s="4184">
        <v>1490.3</v>
      </c>
      <c r="K87" s="1168">
        <v>9004.5</v>
      </c>
      <c r="L87" s="1568">
        <f t="shared" si="6"/>
        <v>6923.4</v>
      </c>
      <c r="M87" s="4184">
        <v>-1564</v>
      </c>
      <c r="N87" s="1172">
        <v>8487.4</v>
      </c>
      <c r="O87" s="4629">
        <v>2013</v>
      </c>
      <c r="P87" s="4630">
        <v>2013</v>
      </c>
      <c r="Q87"/>
      <c r="S87" s="1966"/>
      <c r="T87" s="1964"/>
      <c r="Z87" s="1964"/>
    </row>
    <row r="88" spans="2:29" s="1801" customFormat="1" ht="48.75" customHeight="1">
      <c r="B88" s="1964"/>
      <c r="C88" s="1413">
        <f t="shared" si="3"/>
        <v>29240.399999999998</v>
      </c>
      <c r="D88" s="4274">
        <f t="shared" si="4"/>
        <v>21308.1</v>
      </c>
      <c r="E88" s="4183">
        <v>-7566.4</v>
      </c>
      <c r="F88" s="4183">
        <v>167.4</v>
      </c>
      <c r="G88" s="4183">
        <v>17852.8</v>
      </c>
      <c r="H88" s="4274">
        <f t="shared" si="5"/>
        <v>10854.3</v>
      </c>
      <c r="I88" s="4183">
        <v>380.4</v>
      </c>
      <c r="J88" s="4183">
        <v>1208.4000000000001</v>
      </c>
      <c r="K88" s="1412">
        <v>9265.5</v>
      </c>
      <c r="L88" s="1567">
        <f t="shared" si="6"/>
        <v>7932.3</v>
      </c>
      <c r="M88" s="4183">
        <v>-2007.2</v>
      </c>
      <c r="N88" s="1195">
        <v>9939.5</v>
      </c>
      <c r="O88" s="4631">
        <v>2014</v>
      </c>
      <c r="P88" s="4632">
        <v>2013</v>
      </c>
      <c r="Q88"/>
      <c r="S88" s="1966"/>
      <c r="T88" s="1964"/>
      <c r="Z88" s="1964"/>
    </row>
    <row r="89" spans="2:29" s="1801" customFormat="1" ht="48.75" customHeight="1">
      <c r="B89" s="1964"/>
      <c r="C89" s="1167">
        <f t="shared" si="3"/>
        <v>31605.5</v>
      </c>
      <c r="D89" s="4276">
        <f t="shared" si="4"/>
        <v>23468.199999999997</v>
      </c>
      <c r="E89" s="4184">
        <v>-7141.8</v>
      </c>
      <c r="F89" s="4184">
        <v>165.7</v>
      </c>
      <c r="G89" s="4184">
        <v>18704.5</v>
      </c>
      <c r="H89" s="4276">
        <f t="shared" si="5"/>
        <v>11739.8</v>
      </c>
      <c r="I89" s="4184">
        <v>353.4</v>
      </c>
      <c r="J89" s="4184">
        <v>2212.9</v>
      </c>
      <c r="K89" s="1168">
        <v>9173.5</v>
      </c>
      <c r="L89" s="1568">
        <f t="shared" si="6"/>
        <v>8137.3000000000011</v>
      </c>
      <c r="M89" s="4184">
        <v>-1986.9</v>
      </c>
      <c r="N89" s="1172">
        <v>10124.200000000001</v>
      </c>
      <c r="O89" s="4629">
        <v>2015</v>
      </c>
      <c r="P89" s="4630"/>
      <c r="Q89"/>
      <c r="S89" s="1966"/>
      <c r="T89" s="1964"/>
      <c r="Z89" s="1964"/>
    </row>
    <row r="90" spans="2:29" s="1801" customFormat="1" ht="48.75" customHeight="1">
      <c r="B90" s="1964"/>
      <c r="C90" s="1413">
        <f t="shared" si="3"/>
        <v>32876.199999999997</v>
      </c>
      <c r="D90" s="4274">
        <f t="shared" si="4"/>
        <v>24030.799999999999</v>
      </c>
      <c r="E90" s="4183">
        <v>-7838.4</v>
      </c>
      <c r="F90" s="4183">
        <v>279.8</v>
      </c>
      <c r="G90" s="4183">
        <v>20590.3</v>
      </c>
      <c r="H90" s="4274">
        <f t="shared" si="5"/>
        <v>10999.099999999999</v>
      </c>
      <c r="I90" s="4183">
        <v>545.29999999999995</v>
      </c>
      <c r="J90" s="4183">
        <v>2208.9</v>
      </c>
      <c r="K90" s="1412">
        <v>8244.9</v>
      </c>
      <c r="L90" s="1567">
        <f t="shared" si="6"/>
        <v>8845.4</v>
      </c>
      <c r="M90" s="4183">
        <v>-986.1</v>
      </c>
      <c r="N90" s="1195">
        <v>9831.5</v>
      </c>
      <c r="O90" s="4631">
        <v>2016</v>
      </c>
      <c r="P90" s="4632"/>
      <c r="Q90"/>
      <c r="S90" s="1966"/>
      <c r="T90" s="1964"/>
      <c r="Z90" s="1964"/>
    </row>
    <row r="91" spans="2:29" s="1801" customFormat="1" ht="48.75" customHeight="1">
      <c r="B91" s="1964"/>
      <c r="C91" s="1167">
        <f t="shared" si="3"/>
        <v>32957.599999999999</v>
      </c>
      <c r="D91" s="4276">
        <f t="shared" si="4"/>
        <v>23835</v>
      </c>
      <c r="E91" s="4184">
        <v>-9177.7000000000007</v>
      </c>
      <c r="F91" s="4184">
        <v>497.2</v>
      </c>
      <c r="G91" s="4184">
        <v>22525.8</v>
      </c>
      <c r="H91" s="4276">
        <f t="shared" si="5"/>
        <v>9989.7000000000007</v>
      </c>
      <c r="I91" s="4184">
        <v>640</v>
      </c>
      <c r="J91" s="4184">
        <v>2007.5</v>
      </c>
      <c r="K91" s="1168">
        <v>7342.2</v>
      </c>
      <c r="L91" s="1568">
        <f>M91+N91</f>
        <v>9122.6</v>
      </c>
      <c r="M91" s="4184">
        <v>-1137.4000000000001</v>
      </c>
      <c r="N91" s="1172">
        <v>10260</v>
      </c>
      <c r="O91" s="4629">
        <v>2017</v>
      </c>
      <c r="P91" s="4630"/>
      <c r="Q91"/>
      <c r="S91" s="1966"/>
      <c r="T91" s="1964"/>
      <c r="Z91" s="1964"/>
    </row>
    <row r="92" spans="2:29" s="1801" customFormat="1" ht="48.75" customHeight="1">
      <c r="B92" s="1964"/>
      <c r="C92" s="1413">
        <f t="shared" si="3"/>
        <v>33359.300000000003</v>
      </c>
      <c r="D92" s="4274">
        <f t="shared" si="4"/>
        <v>25991</v>
      </c>
      <c r="E92" s="4183">
        <v>-9253.7000000000007</v>
      </c>
      <c r="F92" s="4183">
        <v>625.70000000000005</v>
      </c>
      <c r="G92" s="4183">
        <v>23709.599999999999</v>
      </c>
      <c r="H92" s="4274">
        <f t="shared" si="5"/>
        <v>10909.4</v>
      </c>
      <c r="I92" s="4183">
        <v>796.9</v>
      </c>
      <c r="J92" s="4183">
        <v>1993.9</v>
      </c>
      <c r="K92" s="1412">
        <v>8118.6</v>
      </c>
      <c r="L92" s="1567">
        <f t="shared" ref="L92:L93" si="7">M92+N92</f>
        <v>7368.2999999999993</v>
      </c>
      <c r="M92" s="4183">
        <v>-1783</v>
      </c>
      <c r="N92" s="1195">
        <v>9151.2999999999993</v>
      </c>
      <c r="O92" s="4631">
        <v>2018</v>
      </c>
      <c r="P92" s="4632"/>
      <c r="Q92"/>
      <c r="S92" s="1966"/>
      <c r="T92" s="1964"/>
      <c r="Z92" s="1964"/>
    </row>
    <row r="93" spans="2:29" s="1801" customFormat="1" ht="48.75" customHeight="1">
      <c r="B93" s="1964"/>
      <c r="C93" s="1167">
        <f t="shared" si="3"/>
        <v>34969.699999999997</v>
      </c>
      <c r="D93" s="4276">
        <f t="shared" si="4"/>
        <v>27462.3</v>
      </c>
      <c r="E93" s="4184">
        <v>-10062.9</v>
      </c>
      <c r="F93" s="4184">
        <v>853.8</v>
      </c>
      <c r="G93" s="4184">
        <v>24765.7</v>
      </c>
      <c r="H93" s="4276">
        <f t="shared" si="5"/>
        <v>11905.699999999999</v>
      </c>
      <c r="I93" s="4184">
        <v>801</v>
      </c>
      <c r="J93" s="4184">
        <v>1874.4</v>
      </c>
      <c r="K93" s="1168">
        <v>9230.2999999999993</v>
      </c>
      <c r="L93" s="1568">
        <f t="shared" si="7"/>
        <v>7507.4</v>
      </c>
      <c r="M93" s="4184">
        <v>-2467.4</v>
      </c>
      <c r="N93" s="1172">
        <v>9974.7999999999993</v>
      </c>
      <c r="O93" s="4629">
        <v>2019</v>
      </c>
      <c r="P93" s="4630"/>
      <c r="Q93"/>
      <c r="S93" s="1966"/>
      <c r="T93" s="1964"/>
      <c r="Z93" s="1964"/>
    </row>
    <row r="94" spans="2:29" s="1801" customFormat="1" ht="48.75" customHeight="1">
      <c r="B94" s="1964"/>
      <c r="C94" s="4313">
        <f t="shared" si="3"/>
        <v>37011.899999999994</v>
      </c>
      <c r="D94" s="4302">
        <f t="shared" si="4"/>
        <v>29449.899999999998</v>
      </c>
      <c r="E94" s="4237">
        <v>-11132</v>
      </c>
      <c r="F94" s="4237">
        <v>1363.6</v>
      </c>
      <c r="G94" s="4237">
        <v>26261.5</v>
      </c>
      <c r="H94" s="4302">
        <f t="shared" si="5"/>
        <v>12956.8</v>
      </c>
      <c r="I94" s="4237">
        <v>865.9</v>
      </c>
      <c r="J94" s="4237">
        <v>1847.4</v>
      </c>
      <c r="K94" s="4314">
        <v>10243.5</v>
      </c>
      <c r="L94" s="4315">
        <f t="shared" si="6"/>
        <v>7562</v>
      </c>
      <c r="M94" s="4237">
        <v>-3236.6</v>
      </c>
      <c r="N94" s="1166">
        <v>10798.6</v>
      </c>
      <c r="O94" s="4656">
        <v>2020</v>
      </c>
      <c r="P94" s="4657"/>
      <c r="Q94"/>
      <c r="S94" s="1966"/>
      <c r="T94" s="1964"/>
      <c r="Z94" s="1964"/>
    </row>
    <row r="95" spans="2:29" s="1801" customFormat="1" ht="6" customHeight="1">
      <c r="B95" s="1964"/>
      <c r="C95" s="1462"/>
      <c r="D95" s="1647"/>
      <c r="E95" s="1462"/>
      <c r="F95" s="1462"/>
      <c r="G95" s="1462"/>
      <c r="H95" s="1462"/>
      <c r="I95" s="1967"/>
      <c r="J95" s="1968"/>
      <c r="K95" s="1462"/>
      <c r="L95" s="4634"/>
      <c r="M95" s="4634"/>
      <c r="N95" s="4634"/>
      <c r="O95" s="4634"/>
      <c r="P95" s="4634"/>
      <c r="Q95"/>
      <c r="S95" s="1966"/>
      <c r="T95" s="1964"/>
      <c r="Z95" s="1964"/>
    </row>
    <row r="96" spans="2:29" s="1970" customFormat="1" ht="17.100000000000001" customHeight="1">
      <c r="C96" s="4159" t="s">
        <v>195</v>
      </c>
      <c r="D96" s="4169"/>
      <c r="E96" s="4159"/>
      <c r="F96" s="4159"/>
      <c r="G96" s="4159"/>
      <c r="H96" s="4159"/>
      <c r="I96" s="1393"/>
      <c r="J96" s="1971"/>
      <c r="K96" s="4159"/>
      <c r="L96" s="4628" t="s">
        <v>196</v>
      </c>
      <c r="M96" s="4628"/>
      <c r="N96" s="4628"/>
      <c r="O96" s="4628"/>
      <c r="P96" s="4628"/>
      <c r="Q96" s="1973"/>
      <c r="R96" s="1973"/>
      <c r="S96" s="1974"/>
      <c r="T96" s="1974"/>
      <c r="X96" s="1974"/>
      <c r="Y96" s="1974"/>
      <c r="Z96" s="1974"/>
      <c r="AA96" s="1974"/>
      <c r="AB96" s="1974"/>
      <c r="AC96" s="1974"/>
    </row>
    <row r="97" spans="3:26" s="1970" customFormat="1" ht="17.100000000000001" customHeight="1">
      <c r="C97" s="4159" t="s">
        <v>197</v>
      </c>
      <c r="D97" s="4169"/>
      <c r="E97" s="4159"/>
      <c r="F97" s="4159"/>
      <c r="G97" s="4159"/>
      <c r="H97" s="4159"/>
      <c r="I97" s="1393"/>
      <c r="J97" s="1971"/>
      <c r="K97" s="4159"/>
      <c r="L97" s="4633" t="s">
        <v>198</v>
      </c>
      <c r="M97" s="4633"/>
      <c r="N97" s="4633"/>
      <c r="O97" s="4633"/>
      <c r="P97" s="4633"/>
      <c r="Q97" s="1976"/>
      <c r="R97" s="1976"/>
      <c r="S97" s="1976"/>
      <c r="T97" s="1976"/>
      <c r="X97" s="1974"/>
      <c r="Y97" s="1974"/>
      <c r="Z97" s="1974"/>
    </row>
    <row r="98" spans="3:26" s="1970" customFormat="1" ht="17.100000000000001" customHeight="1">
      <c r="C98" s="4159" t="s">
        <v>199</v>
      </c>
      <c r="D98" s="4159"/>
      <c r="E98" s="4159"/>
      <c r="F98" s="4159"/>
      <c r="G98" s="4159"/>
      <c r="H98" s="4159"/>
      <c r="I98" s="1977"/>
      <c r="J98" s="1971"/>
      <c r="K98" s="4159"/>
      <c r="L98" s="4628" t="s">
        <v>200</v>
      </c>
      <c r="M98" s="4628"/>
      <c r="N98" s="4628"/>
      <c r="O98" s="4628"/>
      <c r="P98" s="4628"/>
      <c r="Q98" s="1976"/>
      <c r="R98" s="1976"/>
      <c r="S98" s="1978"/>
      <c r="T98" s="1978"/>
    </row>
    <row r="99" spans="3:26" s="1970" customFormat="1" ht="17.100000000000001" customHeight="1">
      <c r="C99" s="4159" t="s">
        <v>201</v>
      </c>
      <c r="D99" s="4159"/>
      <c r="E99" s="4159"/>
      <c r="F99" s="4159"/>
      <c r="G99" s="4159"/>
      <c r="H99" s="4159"/>
      <c r="I99" s="1977"/>
      <c r="J99" s="1971"/>
      <c r="K99" s="4159"/>
      <c r="L99" s="4633" t="s">
        <v>202</v>
      </c>
      <c r="M99" s="4633"/>
      <c r="N99" s="4633"/>
      <c r="O99" s="4633"/>
      <c r="P99" s="4633"/>
      <c r="Q99" s="1976"/>
      <c r="R99" s="1976"/>
      <c r="S99" s="1978"/>
      <c r="T99" s="1978"/>
    </row>
    <row r="100" spans="3:26" s="1970" customFormat="1" ht="17.100000000000001" customHeight="1">
      <c r="C100" s="4627" t="s">
        <v>203</v>
      </c>
      <c r="D100" s="4627"/>
      <c r="E100" s="4627"/>
      <c r="F100" s="4627"/>
      <c r="G100" s="4627"/>
      <c r="H100" s="4627"/>
      <c r="I100" s="1977"/>
      <c r="J100" s="1971"/>
      <c r="K100" s="4628" t="s">
        <v>204</v>
      </c>
      <c r="L100" s="4628"/>
      <c r="M100" s="4628"/>
      <c r="N100" s="4628"/>
      <c r="O100" s="4628"/>
      <c r="P100" s="4628"/>
      <c r="Q100" s="1973"/>
      <c r="R100" s="1973"/>
      <c r="S100" s="1978"/>
      <c r="T100" s="1978"/>
    </row>
    <row r="101" spans="3:26" s="1970" customFormat="1" ht="17.100000000000001" customHeight="1">
      <c r="C101" s="4159" t="s">
        <v>205</v>
      </c>
      <c r="D101" s="4169"/>
      <c r="E101" s="4159"/>
      <c r="F101" s="4159"/>
      <c r="G101" s="4159"/>
      <c r="H101" s="4159"/>
      <c r="I101" s="1393"/>
      <c r="J101" s="1971"/>
      <c r="K101" s="4159"/>
      <c r="L101" s="4628" t="s">
        <v>206</v>
      </c>
      <c r="M101" s="4628"/>
      <c r="N101" s="4628"/>
      <c r="O101" s="4628"/>
      <c r="P101" s="4628"/>
      <c r="Q101" s="1973"/>
      <c r="R101" s="1973"/>
      <c r="S101" s="1978"/>
      <c r="T101" s="1978"/>
    </row>
    <row r="102" spans="3:26" s="1191" customFormat="1" ht="15" customHeight="1">
      <c r="C102" s="1192"/>
      <c r="D102" s="1192"/>
      <c r="E102" s="1192"/>
      <c r="F102" s="1192"/>
      <c r="G102" s="1192"/>
      <c r="H102" s="1192"/>
      <c r="I102" s="1760"/>
      <c r="J102" s="1843"/>
      <c r="K102" s="1192"/>
      <c r="L102" s="1192"/>
      <c r="M102" s="1192"/>
      <c r="N102" s="1844"/>
      <c r="O102" s="1793"/>
      <c r="P102" s="1793"/>
      <c r="S102" s="1980"/>
      <c r="T102" s="1980"/>
    </row>
    <row r="103" spans="3:26" s="1191" customFormat="1">
      <c r="C103" s="1192"/>
      <c r="D103" s="1192"/>
      <c r="E103" s="1192"/>
      <c r="F103" s="1192"/>
      <c r="G103" s="1192"/>
      <c r="H103" s="1192"/>
      <c r="I103" s="1760"/>
      <c r="J103" s="1843"/>
      <c r="K103" s="1192"/>
      <c r="L103" s="1192"/>
      <c r="M103" s="1192"/>
      <c r="N103" s="1844"/>
      <c r="O103" s="1793"/>
      <c r="P103" s="1793"/>
      <c r="Q103" s="1981"/>
      <c r="R103" s="1981"/>
      <c r="S103" s="1980"/>
      <c r="T103" s="1980"/>
    </row>
    <row r="104" spans="3:26">
      <c r="S104" s="1963"/>
      <c r="T104" s="1963"/>
    </row>
    <row r="105" spans="3:26">
      <c r="Q105" s="1982"/>
      <c r="R105" s="1982"/>
    </row>
    <row r="106" spans="3:26">
      <c r="Q106" s="1982"/>
      <c r="R106" s="1982"/>
    </row>
    <row r="107" spans="3:26">
      <c r="Q107" s="1983"/>
      <c r="R107" s="1983"/>
      <c r="T107" s="1963"/>
    </row>
    <row r="108" spans="3:26">
      <c r="Q108" s="1983"/>
      <c r="R108" s="1983"/>
      <c r="T108" s="1963"/>
    </row>
    <row r="109" spans="3:26">
      <c r="Q109" s="1983"/>
      <c r="R109" s="1983"/>
      <c r="T109" s="1963"/>
    </row>
    <row r="110" spans="3:26">
      <c r="Q110" s="1983"/>
      <c r="R110" s="1983"/>
      <c r="T110" s="1963"/>
      <c r="U110" s="1963"/>
    </row>
    <row r="111" spans="3:26">
      <c r="Q111" s="1984"/>
      <c r="R111" s="1984"/>
      <c r="T111" s="1963"/>
      <c r="U111" s="1963"/>
    </row>
    <row r="112" spans="3:26">
      <c r="Q112" s="1983"/>
      <c r="R112" s="1983"/>
      <c r="T112" s="1963"/>
      <c r="U112" s="1963"/>
    </row>
    <row r="113" spans="17:18">
      <c r="Q113" s="1983"/>
      <c r="R113" s="1983"/>
    </row>
    <row r="114" spans="17:18">
      <c r="Q114" s="1982"/>
      <c r="R114" s="1982"/>
    </row>
    <row r="115" spans="17:18">
      <c r="Q115" s="1982"/>
      <c r="R115" s="1982"/>
    </row>
    <row r="116" spans="17:18">
      <c r="Q116" s="1983"/>
      <c r="R116" s="1983"/>
    </row>
    <row r="117" spans="17:18">
      <c r="Q117" s="1983"/>
      <c r="R117" s="1983"/>
    </row>
    <row r="118" spans="17:18">
      <c r="Q118" s="1982"/>
      <c r="R118" s="1982"/>
    </row>
    <row r="119" spans="17:18">
      <c r="Q119" s="1982"/>
      <c r="R119" s="1982"/>
    </row>
    <row r="120" spans="17:18">
      <c r="Q120" s="1982"/>
      <c r="R120" s="1982"/>
    </row>
  </sheetData>
  <mergeCells count="84">
    <mergeCell ref="L101:P101"/>
    <mergeCell ref="O90:P90"/>
    <mergeCell ref="O91:P91"/>
    <mergeCell ref="O92:P92"/>
    <mergeCell ref="O93:P93"/>
    <mergeCell ref="O94:P94"/>
    <mergeCell ref="L96:P96"/>
    <mergeCell ref="O85:P85"/>
    <mergeCell ref="O86:P86"/>
    <mergeCell ref="O87:P87"/>
    <mergeCell ref="O88:P88"/>
    <mergeCell ref="O89:P89"/>
    <mergeCell ref="O71:P71"/>
    <mergeCell ref="O72:P72"/>
    <mergeCell ref="O73:P73"/>
    <mergeCell ref="O74:P74"/>
    <mergeCell ref="O75:P75"/>
    <mergeCell ref="O64:P64"/>
    <mergeCell ref="O65:P65"/>
    <mergeCell ref="O66:P66"/>
    <mergeCell ref="O67:P67"/>
    <mergeCell ref="O68:P68"/>
    <mergeCell ref="N23:P23"/>
    <mergeCell ref="N24:P24"/>
    <mergeCell ref="N25:P25"/>
    <mergeCell ref="N26:P26"/>
    <mergeCell ref="N27:P27"/>
    <mergeCell ref="N18:P18"/>
    <mergeCell ref="N19:P19"/>
    <mergeCell ref="N20:P20"/>
    <mergeCell ref="N21:P21"/>
    <mergeCell ref="N22:P22"/>
    <mergeCell ref="C3:P3"/>
    <mergeCell ref="C4:P4"/>
    <mergeCell ref="O5:P5"/>
    <mergeCell ref="N16:P16"/>
    <mergeCell ref="N17:P17"/>
    <mergeCell ref="N28:P28"/>
    <mergeCell ref="N29:P29"/>
    <mergeCell ref="N30:P30"/>
    <mergeCell ref="N31:P31"/>
    <mergeCell ref="N32:P32"/>
    <mergeCell ref="N33:P33"/>
    <mergeCell ref="N34:P34"/>
    <mergeCell ref="N35:P35"/>
    <mergeCell ref="N36:P36"/>
    <mergeCell ref="N37:P37"/>
    <mergeCell ref="N38:P38"/>
    <mergeCell ref="N39:P39"/>
    <mergeCell ref="N40:P40"/>
    <mergeCell ref="N41:P41"/>
    <mergeCell ref="N42:P42"/>
    <mergeCell ref="O80:P80"/>
    <mergeCell ref="N43:P43"/>
    <mergeCell ref="N44:P44"/>
    <mergeCell ref="C50:P50"/>
    <mergeCell ref="C51:P51"/>
    <mergeCell ref="L54:N54"/>
    <mergeCell ref="H55:K55"/>
    <mergeCell ref="L55:N55"/>
    <mergeCell ref="H56:K56"/>
    <mergeCell ref="O57:P57"/>
    <mergeCell ref="O58:P58"/>
    <mergeCell ref="O59:P59"/>
    <mergeCell ref="O60:P60"/>
    <mergeCell ref="O61:P61"/>
    <mergeCell ref="O62:P62"/>
    <mergeCell ref="O63:P63"/>
    <mergeCell ref="C100:H100"/>
    <mergeCell ref="K100:P100"/>
    <mergeCell ref="O69:P69"/>
    <mergeCell ref="O70:P70"/>
    <mergeCell ref="L97:P97"/>
    <mergeCell ref="L98:P98"/>
    <mergeCell ref="L99:P99"/>
    <mergeCell ref="O81:P81"/>
    <mergeCell ref="O82:P82"/>
    <mergeCell ref="O83:P83"/>
    <mergeCell ref="O84:P84"/>
    <mergeCell ref="L95:P95"/>
    <mergeCell ref="O76:P76"/>
    <mergeCell ref="O77:P77"/>
    <mergeCell ref="O78:P78"/>
    <mergeCell ref="O79:P79"/>
  </mergeCells>
  <printOptions horizontalCentered="1" verticalCentered="1"/>
  <pageMargins left="0.62992125984251968" right="0.55118110236220474" top="0" bottom="1.9685039370078741" header="0.51181102362204722" footer="0.51181102362204722"/>
  <pageSetup paperSize="9" scale="38" orientation="portrait" r:id="rId1"/>
  <headerFooter alignWithMargins="0">
    <oddFooter>&amp;C&amp;"+,Regular"&amp;22-6-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263"/>
  <sheetViews>
    <sheetView showWhiteSpace="0" topLeftCell="A88" zoomScale="75" zoomScaleNormal="75" workbookViewId="0">
      <selection activeCell="I102" sqref="I102"/>
    </sheetView>
  </sheetViews>
  <sheetFormatPr defaultColWidth="10.7109375" defaultRowHeight="17.100000000000001" customHeight="1"/>
  <cols>
    <col min="1" max="1" width="10.7109375" style="1262" customWidth="1"/>
    <col min="2" max="3" width="14.7109375" style="1307" customWidth="1"/>
    <col min="4" max="4" width="14.7109375" style="1262" customWidth="1"/>
    <col min="5" max="5" width="14.7109375" style="1307" customWidth="1"/>
    <col min="6" max="11" width="14.7109375" style="1262" customWidth="1"/>
    <col min="12" max="12" width="22" style="1262" customWidth="1"/>
    <col min="13" max="13" width="1.7109375" style="1307" customWidth="1"/>
    <col min="14" max="14" width="16.7109375" style="1264" customWidth="1"/>
    <col min="15" max="15" width="1.5703125" style="1264" customWidth="1"/>
    <col min="16" max="16" width="10.7109375" style="1262" customWidth="1"/>
    <col min="17" max="17" width="14.85546875" style="1262" customWidth="1"/>
    <col min="18" max="27" width="10.7109375" style="1262" customWidth="1"/>
    <col min="28" max="28" width="10.140625" style="1262" customWidth="1"/>
    <col min="29" max="16384" width="10.7109375" style="1262"/>
  </cols>
  <sheetData>
    <row r="1" spans="2:18" ht="35.1" customHeight="1"/>
    <row r="2" spans="2:18" ht="35.1" customHeight="1">
      <c r="G2" s="1192"/>
    </row>
    <row r="3" spans="2:18" s="3948" customFormat="1" ht="35.1" customHeight="1">
      <c r="B3" s="4602" t="s">
        <v>2102</v>
      </c>
      <c r="C3" s="4602"/>
      <c r="D3" s="4602"/>
      <c r="E3" s="4602"/>
      <c r="F3" s="4602"/>
      <c r="G3" s="4602"/>
      <c r="H3" s="4602"/>
      <c r="I3" s="4602"/>
      <c r="J3" s="4602"/>
      <c r="K3" s="4602"/>
      <c r="L3" s="4602"/>
      <c r="M3" s="4602"/>
      <c r="N3" s="4602"/>
      <c r="O3" s="4602"/>
    </row>
    <row r="4" spans="2:18" s="3949" customFormat="1" ht="35.1" customHeight="1">
      <c r="B4" s="4713" t="s">
        <v>2103</v>
      </c>
      <c r="C4" s="4713"/>
      <c r="D4" s="4713"/>
      <c r="E4" s="4713"/>
      <c r="F4" s="4713"/>
      <c r="G4" s="4713"/>
      <c r="H4" s="4713"/>
      <c r="I4" s="4713"/>
      <c r="J4" s="4713"/>
      <c r="K4" s="4713"/>
      <c r="L4" s="4713"/>
      <c r="M4" s="4713"/>
      <c r="N4" s="4713"/>
      <c r="O4" s="4713"/>
    </row>
    <row r="5" spans="2:18" s="3335" customFormat="1" ht="18" customHeight="1">
      <c r="B5" s="1224" t="s">
        <v>2104</v>
      </c>
      <c r="C5" s="1265"/>
      <c r="D5" s="1274"/>
      <c r="E5" s="1275"/>
      <c r="F5" s="1274"/>
      <c r="G5" s="1274"/>
      <c r="H5" s="1274"/>
      <c r="I5" s="1274"/>
      <c r="J5" s="1274"/>
      <c r="K5" s="1274"/>
      <c r="L5" s="1274"/>
      <c r="M5" s="1265"/>
      <c r="N5" s="4379"/>
      <c r="O5" s="1276" t="s">
        <v>2105</v>
      </c>
      <c r="P5" s="3950"/>
      <c r="Q5" s="3950"/>
      <c r="R5" s="3950"/>
    </row>
    <row r="6" spans="2:18" ht="5.25" customHeight="1">
      <c r="B6" s="1220"/>
      <c r="C6" s="1220"/>
      <c r="D6" s="1220"/>
      <c r="E6" s="1220"/>
      <c r="F6" s="1220"/>
      <c r="G6" s="1277"/>
      <c r="H6" s="1221"/>
      <c r="I6" s="1220"/>
      <c r="J6" s="1222"/>
      <c r="K6" s="1222"/>
      <c r="L6" s="1222"/>
      <c r="M6" s="1222"/>
      <c r="N6" s="1223"/>
      <c r="O6" s="1223"/>
      <c r="P6" s="1307"/>
      <c r="Q6" s="1307"/>
      <c r="R6" s="1307"/>
    </row>
    <row r="7" spans="2:18" ht="21" customHeight="1">
      <c r="B7" s="1225"/>
      <c r="C7" s="1226"/>
      <c r="D7" s="1226"/>
      <c r="E7" s="1226"/>
      <c r="F7" s="1226"/>
      <c r="G7" s="1278"/>
      <c r="H7" s="1279"/>
      <c r="I7" s="1279"/>
      <c r="J7" s="1279"/>
      <c r="K7" s="1280"/>
      <c r="L7" s="1227"/>
      <c r="M7" s="1226"/>
      <c r="N7" s="4376"/>
      <c r="O7" s="1281"/>
      <c r="P7" s="1307"/>
      <c r="Q7" s="1307"/>
      <c r="R7" s="1307"/>
    </row>
    <row r="8" spans="2:18" s="1264" customFormat="1" ht="24.75" customHeight="1">
      <c r="B8" s="1231" t="s">
        <v>2079</v>
      </c>
      <c r="C8" s="1232"/>
      <c r="D8" s="1232"/>
      <c r="E8" s="1232"/>
      <c r="F8" s="1232"/>
      <c r="G8" s="1282" t="s">
        <v>2080</v>
      </c>
      <c r="H8" s="1232"/>
      <c r="I8" s="1232"/>
      <c r="J8" s="1232"/>
      <c r="K8" s="1233"/>
      <c r="L8" s="4415" t="s">
        <v>2083</v>
      </c>
      <c r="M8" s="1283"/>
      <c r="N8" s="4388"/>
      <c r="O8" s="4420"/>
    </row>
    <row r="9" spans="2:18" s="1264" customFormat="1" ht="25.5" customHeight="1">
      <c r="B9" s="1231" t="s">
        <v>2081</v>
      </c>
      <c r="C9" s="1238"/>
      <c r="D9" s="1232"/>
      <c r="E9" s="1241"/>
      <c r="F9" s="1232"/>
      <c r="G9" s="1284" t="s">
        <v>2082</v>
      </c>
      <c r="H9" s="1232"/>
      <c r="I9" s="1234"/>
      <c r="J9" s="1240"/>
      <c r="K9" s="1239"/>
      <c r="L9" s="4415" t="s">
        <v>2106</v>
      </c>
      <c r="M9" s="4416"/>
      <c r="N9" s="4388"/>
      <c r="O9" s="4420"/>
    </row>
    <row r="10" spans="2:18" s="1264" customFormat="1" ht="25.5" customHeight="1">
      <c r="B10" s="1231"/>
      <c r="C10" s="1238"/>
      <c r="D10" s="1232"/>
      <c r="E10" s="1241"/>
      <c r="F10" s="1232"/>
      <c r="G10" s="1285"/>
      <c r="H10" s="1286"/>
      <c r="I10" s="1287"/>
      <c r="J10" s="1288"/>
      <c r="K10" s="1289"/>
      <c r="L10" s="1290" t="s">
        <v>2107</v>
      </c>
      <c r="M10" s="4416"/>
      <c r="N10" s="4388"/>
      <c r="O10" s="4420"/>
    </row>
    <row r="11" spans="2:18" s="1264" customFormat="1" ht="24.75" customHeight="1">
      <c r="B11" s="1291"/>
      <c r="C11" s="1246"/>
      <c r="D11" s="1246"/>
      <c r="E11" s="1246"/>
      <c r="F11" s="1246"/>
      <c r="G11" s="1247"/>
      <c r="H11" s="1246"/>
      <c r="I11" s="1246"/>
      <c r="J11" s="1246"/>
      <c r="K11" s="1246"/>
      <c r="L11" s="4415"/>
      <c r="M11" s="4416"/>
      <c r="N11" s="4388"/>
      <c r="O11" s="4420"/>
    </row>
    <row r="12" spans="2:18" s="1264" customFormat="1" ht="27" customHeight="1">
      <c r="B12" s="4377" t="s">
        <v>170</v>
      </c>
      <c r="C12" s="4382" t="s">
        <v>330</v>
      </c>
      <c r="D12" s="4382" t="s">
        <v>2086</v>
      </c>
      <c r="E12" s="4382" t="s">
        <v>2087</v>
      </c>
      <c r="F12" s="4382" t="s">
        <v>40</v>
      </c>
      <c r="G12" s="1242" t="s">
        <v>170</v>
      </c>
      <c r="H12" s="4382" t="s">
        <v>330</v>
      </c>
      <c r="I12" s="4382" t="s">
        <v>2086</v>
      </c>
      <c r="J12" s="4382" t="s">
        <v>2087</v>
      </c>
      <c r="K12" s="4382" t="s">
        <v>40</v>
      </c>
      <c r="L12" s="4398" t="s">
        <v>2108</v>
      </c>
      <c r="M12" s="4397"/>
      <c r="N12" s="1292"/>
      <c r="O12" s="1293"/>
    </row>
    <row r="13" spans="2:18" s="1350" customFormat="1" ht="20.25">
      <c r="B13" s="4377"/>
      <c r="C13" s="1242"/>
      <c r="D13" s="1242"/>
      <c r="E13" s="1242"/>
      <c r="F13" s="1242"/>
      <c r="G13" s="1242"/>
      <c r="H13" s="1242"/>
      <c r="I13" s="1242"/>
      <c r="J13" s="1242"/>
      <c r="K13" s="1242"/>
      <c r="L13" s="4415" t="s">
        <v>2109</v>
      </c>
      <c r="M13" s="4397"/>
      <c r="N13" s="4388"/>
      <c r="O13" s="4420"/>
      <c r="P13" s="1264"/>
      <c r="Q13" s="1264"/>
      <c r="R13" s="1264"/>
    </row>
    <row r="14" spans="2:18" s="1264" customFormat="1" ht="20.25">
      <c r="B14" s="4377" t="s">
        <v>187</v>
      </c>
      <c r="C14" s="4382" t="s">
        <v>119</v>
      </c>
      <c r="D14" s="4382" t="s">
        <v>2091</v>
      </c>
      <c r="E14" s="4382" t="s">
        <v>2092</v>
      </c>
      <c r="F14" s="4382" t="s">
        <v>63</v>
      </c>
      <c r="G14" s="1242" t="s">
        <v>187</v>
      </c>
      <c r="H14" s="4382" t="s">
        <v>119</v>
      </c>
      <c r="I14" s="4382" t="s">
        <v>2091</v>
      </c>
      <c r="J14" s="4382" t="s">
        <v>2092</v>
      </c>
      <c r="K14" s="4382" t="s">
        <v>63</v>
      </c>
      <c r="L14" s="1242" t="s">
        <v>2093</v>
      </c>
      <c r="M14" s="4416"/>
      <c r="N14" s="1283"/>
      <c r="O14" s="1294"/>
    </row>
    <row r="15" spans="2:18" s="1999" customFormat="1" ht="23.25" customHeight="1">
      <c r="B15" s="1295">
        <f t="shared" ref="B15:B56" si="0">F15+E15+D15+C15</f>
        <v>115.8</v>
      </c>
      <c r="C15" s="1296">
        <v>22.3</v>
      </c>
      <c r="D15" s="1297">
        <v>12.4</v>
      </c>
      <c r="E15" s="1296">
        <v>3.1</v>
      </c>
      <c r="F15" s="1297">
        <v>78</v>
      </c>
      <c r="G15" s="1298">
        <f t="shared" ref="G15:G56" si="1">K15+J15+I15+H15</f>
        <v>276.7</v>
      </c>
      <c r="H15" s="1297">
        <v>91</v>
      </c>
      <c r="I15" s="1297">
        <v>54.5</v>
      </c>
      <c r="J15" s="1297">
        <v>18.2</v>
      </c>
      <c r="K15" s="1297">
        <v>113</v>
      </c>
      <c r="L15" s="1299">
        <f t="shared" ref="L15:L56" si="2">G15+B15</f>
        <v>392.5</v>
      </c>
      <c r="M15" s="1298"/>
      <c r="N15" s="4389">
        <v>1968</v>
      </c>
      <c r="O15" s="1300"/>
    </row>
    <row r="16" spans="2:18" s="1999" customFormat="1" ht="23.25" customHeight="1">
      <c r="B16" s="1301">
        <f t="shared" si="0"/>
        <v>90.7</v>
      </c>
      <c r="C16" s="1302">
        <v>13.3</v>
      </c>
      <c r="D16" s="1303">
        <v>21.5</v>
      </c>
      <c r="E16" s="1302">
        <v>12.1</v>
      </c>
      <c r="F16" s="1303">
        <v>43.8</v>
      </c>
      <c r="G16" s="1304">
        <f t="shared" si="1"/>
        <v>329.1</v>
      </c>
      <c r="H16" s="1303">
        <v>73.099999999999994</v>
      </c>
      <c r="I16" s="1303">
        <v>48</v>
      </c>
      <c r="J16" s="1303">
        <v>15.7</v>
      </c>
      <c r="K16" s="1303">
        <v>192.3</v>
      </c>
      <c r="L16" s="1305">
        <f t="shared" si="2"/>
        <v>419.8</v>
      </c>
      <c r="M16" s="1304"/>
      <c r="N16" s="4385">
        <v>1969</v>
      </c>
      <c r="O16" s="1306"/>
    </row>
    <row r="17" spans="2:15" s="1999" customFormat="1" ht="23.25" customHeight="1">
      <c r="B17" s="1295">
        <f t="shared" si="0"/>
        <v>72.199999999999989</v>
      </c>
      <c r="C17" s="1296">
        <v>16.899999999999999</v>
      </c>
      <c r="D17" s="1297">
        <v>10.7</v>
      </c>
      <c r="E17" s="1296">
        <v>7</v>
      </c>
      <c r="F17" s="1297">
        <v>37.6</v>
      </c>
      <c r="G17" s="1298">
        <f t="shared" si="1"/>
        <v>257</v>
      </c>
      <c r="H17" s="1297">
        <v>71.2</v>
      </c>
      <c r="I17" s="1297">
        <v>29.7</v>
      </c>
      <c r="J17" s="1297">
        <v>14.1</v>
      </c>
      <c r="K17" s="1297">
        <v>142</v>
      </c>
      <c r="L17" s="1299">
        <f t="shared" si="2"/>
        <v>329.2</v>
      </c>
      <c r="M17" s="1298"/>
      <c r="N17" s="4389">
        <v>1970</v>
      </c>
      <c r="O17" s="1300"/>
    </row>
    <row r="18" spans="2:15" s="1999" customFormat="1" ht="23.25" customHeight="1">
      <c r="B18" s="1301">
        <f t="shared" si="0"/>
        <v>55.600000000000009</v>
      </c>
      <c r="C18" s="1302">
        <v>13.7</v>
      </c>
      <c r="D18" s="1303">
        <v>8.6999999999999993</v>
      </c>
      <c r="E18" s="1302">
        <v>4</v>
      </c>
      <c r="F18" s="1303">
        <v>29.2</v>
      </c>
      <c r="G18" s="1304">
        <f t="shared" si="1"/>
        <v>228.60000000000002</v>
      </c>
      <c r="H18" s="1303">
        <v>107.2</v>
      </c>
      <c r="I18" s="1303">
        <v>21.6</v>
      </c>
      <c r="J18" s="1303">
        <v>5.0999999999999996</v>
      </c>
      <c r="K18" s="1303">
        <v>94.7</v>
      </c>
      <c r="L18" s="1305">
        <f t="shared" si="2"/>
        <v>284.20000000000005</v>
      </c>
      <c r="M18" s="1304"/>
      <c r="N18" s="4385">
        <v>1971</v>
      </c>
      <c r="O18" s="1306"/>
    </row>
    <row r="19" spans="2:15" s="1999" customFormat="1" ht="23.25" customHeight="1">
      <c r="B19" s="1295">
        <f t="shared" si="0"/>
        <v>91.600000000000009</v>
      </c>
      <c r="C19" s="1296">
        <v>23.7</v>
      </c>
      <c r="D19" s="1297">
        <v>18.399999999999999</v>
      </c>
      <c r="E19" s="1296">
        <v>6.1</v>
      </c>
      <c r="F19" s="1297">
        <v>43.4</v>
      </c>
      <c r="G19" s="1298">
        <f t="shared" si="1"/>
        <v>439.79999999999995</v>
      </c>
      <c r="H19" s="1297">
        <v>133.69999999999999</v>
      </c>
      <c r="I19" s="1297">
        <v>55.2</v>
      </c>
      <c r="J19" s="1297">
        <v>53.3</v>
      </c>
      <c r="K19" s="1297">
        <v>197.6</v>
      </c>
      <c r="L19" s="1299">
        <f t="shared" si="2"/>
        <v>531.4</v>
      </c>
      <c r="M19" s="1298"/>
      <c r="N19" s="4389">
        <v>1972</v>
      </c>
      <c r="O19" s="1300"/>
    </row>
    <row r="20" spans="2:15" s="1999" customFormat="1" ht="23.25" customHeight="1">
      <c r="B20" s="1301">
        <f t="shared" si="0"/>
        <v>143.9</v>
      </c>
      <c r="C20" s="1302">
        <v>20.399999999999999</v>
      </c>
      <c r="D20" s="1303">
        <v>27.7</v>
      </c>
      <c r="E20" s="1302">
        <v>6.5</v>
      </c>
      <c r="F20" s="1303">
        <v>89.3</v>
      </c>
      <c r="G20" s="1304">
        <f t="shared" si="1"/>
        <v>505.4</v>
      </c>
      <c r="H20" s="1303">
        <v>139.9</v>
      </c>
      <c r="I20" s="1303">
        <v>85.4</v>
      </c>
      <c r="J20" s="1303">
        <v>38.200000000000003</v>
      </c>
      <c r="K20" s="1303">
        <v>241.9</v>
      </c>
      <c r="L20" s="1305">
        <f t="shared" si="2"/>
        <v>649.29999999999995</v>
      </c>
      <c r="M20" s="1304"/>
      <c r="N20" s="4385">
        <v>1973</v>
      </c>
      <c r="O20" s="1306"/>
    </row>
    <row r="21" spans="2:15" s="1999" customFormat="1" ht="23.25" customHeight="1">
      <c r="B21" s="1295">
        <f t="shared" si="0"/>
        <v>109.30000000000001</v>
      </c>
      <c r="C21" s="1296">
        <v>17.7</v>
      </c>
      <c r="D21" s="1296">
        <v>14.4</v>
      </c>
      <c r="E21" s="1296">
        <v>3.7</v>
      </c>
      <c r="F21" s="1296">
        <v>73.5</v>
      </c>
      <c r="G21" s="1298">
        <f t="shared" si="1"/>
        <v>408</v>
      </c>
      <c r="H21" s="1296">
        <v>115.3</v>
      </c>
      <c r="I21" s="1296">
        <v>43.9</v>
      </c>
      <c r="J21" s="1296">
        <v>31.3</v>
      </c>
      <c r="K21" s="1296">
        <v>217.5</v>
      </c>
      <c r="L21" s="1299">
        <f t="shared" si="2"/>
        <v>517.29999999999995</v>
      </c>
      <c r="M21" s="1298"/>
      <c r="N21" s="4389">
        <v>1974</v>
      </c>
      <c r="O21" s="1300"/>
    </row>
    <row r="22" spans="2:15" s="1999" customFormat="1" ht="23.25" customHeight="1">
      <c r="B22" s="1301">
        <f t="shared" si="0"/>
        <v>110.9</v>
      </c>
      <c r="C22" s="1302">
        <v>40.1</v>
      </c>
      <c r="D22" s="1303">
        <v>22.3</v>
      </c>
      <c r="E22" s="1302">
        <v>4.7</v>
      </c>
      <c r="F22" s="1303">
        <v>43.8</v>
      </c>
      <c r="G22" s="1304">
        <f t="shared" si="1"/>
        <v>576.30000000000007</v>
      </c>
      <c r="H22" s="1303">
        <v>168.5</v>
      </c>
      <c r="I22" s="1303">
        <v>77.900000000000006</v>
      </c>
      <c r="J22" s="1303">
        <v>55.3</v>
      </c>
      <c r="K22" s="1303">
        <v>274.60000000000002</v>
      </c>
      <c r="L22" s="1305">
        <f t="shared" si="2"/>
        <v>687.2</v>
      </c>
      <c r="M22" s="1304"/>
      <c r="N22" s="4385">
        <v>1975</v>
      </c>
      <c r="O22" s="1306"/>
    </row>
    <row r="23" spans="2:15" s="1999" customFormat="1" ht="23.25" customHeight="1">
      <c r="B23" s="1295">
        <f t="shared" si="0"/>
        <v>149</v>
      </c>
      <c r="C23" s="1296">
        <v>46</v>
      </c>
      <c r="D23" s="1296">
        <v>16.399999999999999</v>
      </c>
      <c r="E23" s="1296">
        <v>3.8</v>
      </c>
      <c r="F23" s="1296">
        <v>82.8</v>
      </c>
      <c r="G23" s="1298">
        <f t="shared" si="1"/>
        <v>920.40000000000009</v>
      </c>
      <c r="H23" s="1296">
        <v>322.3</v>
      </c>
      <c r="I23" s="1296">
        <v>118.1</v>
      </c>
      <c r="J23" s="1296">
        <v>21</v>
      </c>
      <c r="K23" s="1296">
        <v>459</v>
      </c>
      <c r="L23" s="1299">
        <f t="shared" si="2"/>
        <v>1069.4000000000001</v>
      </c>
      <c r="M23" s="1298"/>
      <c r="N23" s="4389">
        <v>1976</v>
      </c>
      <c r="O23" s="1300"/>
    </row>
    <row r="24" spans="2:15" s="1999" customFormat="1" ht="23.25" customHeight="1">
      <c r="B24" s="1301">
        <f t="shared" si="0"/>
        <v>173.20000000000002</v>
      </c>
      <c r="C24" s="1302">
        <v>26.4</v>
      </c>
      <c r="D24" s="1303">
        <v>55.4</v>
      </c>
      <c r="E24" s="1302">
        <v>9.4</v>
      </c>
      <c r="F24" s="1303">
        <v>82</v>
      </c>
      <c r="G24" s="1304">
        <f t="shared" si="1"/>
        <v>965.3</v>
      </c>
      <c r="H24" s="1303">
        <v>305.3</v>
      </c>
      <c r="I24" s="1303">
        <v>130.4</v>
      </c>
      <c r="J24" s="1303">
        <v>90.6</v>
      </c>
      <c r="K24" s="1303">
        <v>439</v>
      </c>
      <c r="L24" s="1305">
        <f t="shared" si="2"/>
        <v>1138.5</v>
      </c>
      <c r="M24" s="1304"/>
      <c r="N24" s="4385">
        <v>1977</v>
      </c>
      <c r="O24" s="1306"/>
    </row>
    <row r="25" spans="2:15" s="1999" customFormat="1" ht="23.25" customHeight="1">
      <c r="B25" s="1295">
        <f t="shared" si="0"/>
        <v>195.1</v>
      </c>
      <c r="C25" s="1296">
        <v>78.599999999999994</v>
      </c>
      <c r="D25" s="1296">
        <v>34.4</v>
      </c>
      <c r="E25" s="1296">
        <v>11.8</v>
      </c>
      <c r="F25" s="1296">
        <v>70.3</v>
      </c>
      <c r="G25" s="1298">
        <f t="shared" si="1"/>
        <v>1011.4000000000001</v>
      </c>
      <c r="H25" s="1296">
        <v>326.3</v>
      </c>
      <c r="I25" s="1296">
        <v>191.2</v>
      </c>
      <c r="J25" s="1296">
        <v>94.8</v>
      </c>
      <c r="K25" s="1296">
        <v>399.1</v>
      </c>
      <c r="L25" s="1299">
        <f t="shared" si="2"/>
        <v>1206.5</v>
      </c>
      <c r="M25" s="1298"/>
      <c r="N25" s="4389">
        <v>1978</v>
      </c>
      <c r="O25" s="1300"/>
    </row>
    <row r="26" spans="2:15" s="1999" customFormat="1" ht="23.25" customHeight="1">
      <c r="B26" s="1301">
        <f t="shared" si="0"/>
        <v>219.6</v>
      </c>
      <c r="C26" s="1302">
        <v>73.599999999999994</v>
      </c>
      <c r="D26" s="1303">
        <v>39.9</v>
      </c>
      <c r="E26" s="1302">
        <v>4.4000000000000004</v>
      </c>
      <c r="F26" s="1303">
        <v>101.7</v>
      </c>
      <c r="G26" s="1304">
        <f t="shared" si="1"/>
        <v>1514.5</v>
      </c>
      <c r="H26" s="1303">
        <v>396.2</v>
      </c>
      <c r="I26" s="1303">
        <v>205.9</v>
      </c>
      <c r="J26" s="1303">
        <v>165.4</v>
      </c>
      <c r="K26" s="1303">
        <v>747</v>
      </c>
      <c r="L26" s="1305">
        <f t="shared" si="2"/>
        <v>1734.1</v>
      </c>
      <c r="M26" s="1304"/>
      <c r="N26" s="4385">
        <v>1979</v>
      </c>
      <c r="O26" s="1306"/>
    </row>
    <row r="27" spans="2:15" s="1999" customFormat="1" ht="23.25" customHeight="1">
      <c r="B27" s="1295">
        <f t="shared" si="0"/>
        <v>277.7</v>
      </c>
      <c r="C27" s="1296">
        <v>60.1</v>
      </c>
      <c r="D27" s="1296">
        <v>31.9</v>
      </c>
      <c r="E27" s="1296">
        <v>31.1</v>
      </c>
      <c r="F27" s="1296">
        <v>154.6</v>
      </c>
      <c r="G27" s="1298">
        <f t="shared" si="1"/>
        <v>1671.7</v>
      </c>
      <c r="H27" s="1296">
        <v>372.7</v>
      </c>
      <c r="I27" s="1296">
        <v>217</v>
      </c>
      <c r="J27" s="1296">
        <v>180.6</v>
      </c>
      <c r="K27" s="1296">
        <v>901.4</v>
      </c>
      <c r="L27" s="1299">
        <f t="shared" si="2"/>
        <v>1949.4</v>
      </c>
      <c r="M27" s="1298"/>
      <c r="N27" s="4389">
        <v>1980</v>
      </c>
      <c r="O27" s="1300"/>
    </row>
    <row r="28" spans="2:15" s="1999" customFormat="1" ht="23.25" customHeight="1">
      <c r="B28" s="1301">
        <f t="shared" si="0"/>
        <v>309.5</v>
      </c>
      <c r="C28" s="1302">
        <v>138.6</v>
      </c>
      <c r="D28" s="1303">
        <v>49.1</v>
      </c>
      <c r="E28" s="1302">
        <v>13</v>
      </c>
      <c r="F28" s="1303">
        <v>108.8</v>
      </c>
      <c r="G28" s="1304">
        <f t="shared" si="1"/>
        <v>2163.1999999999998</v>
      </c>
      <c r="H28" s="1303">
        <v>968.7</v>
      </c>
      <c r="I28" s="1303">
        <v>228.7</v>
      </c>
      <c r="J28" s="1303">
        <v>121</v>
      </c>
      <c r="K28" s="1303">
        <v>844.8</v>
      </c>
      <c r="L28" s="1305">
        <f t="shared" si="2"/>
        <v>2472.6999999999998</v>
      </c>
      <c r="M28" s="1304"/>
      <c r="N28" s="4385">
        <v>1981</v>
      </c>
      <c r="O28" s="1306"/>
    </row>
    <row r="29" spans="2:15" s="1999" customFormat="1" ht="23.25" customHeight="1">
      <c r="B29" s="1295">
        <f t="shared" si="0"/>
        <v>752.69999999999993</v>
      </c>
      <c r="C29" s="1296">
        <v>545.4</v>
      </c>
      <c r="D29" s="1296">
        <v>30.9</v>
      </c>
      <c r="E29" s="1296">
        <v>36.799999999999997</v>
      </c>
      <c r="F29" s="1296">
        <v>139.6</v>
      </c>
      <c r="G29" s="1298">
        <f t="shared" si="1"/>
        <v>2369.8000000000002</v>
      </c>
      <c r="H29" s="1296">
        <v>1323.6</v>
      </c>
      <c r="I29" s="1296">
        <v>180.2</v>
      </c>
      <c r="J29" s="1296">
        <v>158.69999999999999</v>
      </c>
      <c r="K29" s="1296">
        <v>707.3</v>
      </c>
      <c r="L29" s="1299">
        <f t="shared" si="2"/>
        <v>3122.5</v>
      </c>
      <c r="M29" s="1298"/>
      <c r="N29" s="4389">
        <v>1982</v>
      </c>
      <c r="O29" s="1300"/>
    </row>
    <row r="30" spans="2:15" s="1999" customFormat="1" ht="23.25" customHeight="1">
      <c r="B30" s="1301">
        <f t="shared" si="0"/>
        <v>632.29999999999995</v>
      </c>
      <c r="C30" s="1302">
        <v>428.7</v>
      </c>
      <c r="D30" s="1303">
        <v>18.8</v>
      </c>
      <c r="E30" s="1302">
        <v>72.900000000000006</v>
      </c>
      <c r="F30" s="1303">
        <v>111.9</v>
      </c>
      <c r="G30" s="1304">
        <f t="shared" si="1"/>
        <v>2378.1</v>
      </c>
      <c r="H30" s="1303">
        <v>1468.5</v>
      </c>
      <c r="I30" s="1303">
        <v>180.8</v>
      </c>
      <c r="J30" s="1303">
        <v>221.5</v>
      </c>
      <c r="K30" s="1303">
        <v>507.3</v>
      </c>
      <c r="L30" s="1305">
        <f t="shared" si="2"/>
        <v>3010.3999999999996</v>
      </c>
      <c r="M30" s="1304"/>
      <c r="N30" s="4385">
        <v>1983</v>
      </c>
      <c r="O30" s="1306"/>
    </row>
    <row r="31" spans="2:15" s="1999" customFormat="1" ht="23.25" customHeight="1">
      <c r="B31" s="1295">
        <f t="shared" si="0"/>
        <v>353.6</v>
      </c>
      <c r="C31" s="1296">
        <v>164</v>
      </c>
      <c r="D31" s="1296">
        <v>33.6</v>
      </c>
      <c r="E31" s="1296">
        <v>32</v>
      </c>
      <c r="F31" s="1296">
        <v>124</v>
      </c>
      <c r="G31" s="1298">
        <f t="shared" si="1"/>
        <v>2591.5</v>
      </c>
      <c r="H31" s="1296">
        <v>1525.9</v>
      </c>
      <c r="I31" s="1296">
        <v>119</v>
      </c>
      <c r="J31" s="1296">
        <v>228.5</v>
      </c>
      <c r="K31" s="1296">
        <v>718.1</v>
      </c>
      <c r="L31" s="1299">
        <f t="shared" si="2"/>
        <v>2945.1</v>
      </c>
      <c r="M31" s="1298"/>
      <c r="N31" s="4389">
        <v>1984</v>
      </c>
      <c r="O31" s="3951"/>
    </row>
    <row r="32" spans="2:15" s="1999" customFormat="1" ht="23.25" customHeight="1">
      <c r="B32" s="1301">
        <f t="shared" si="0"/>
        <v>427.7</v>
      </c>
      <c r="C32" s="1302">
        <v>213.9</v>
      </c>
      <c r="D32" s="1303">
        <v>37</v>
      </c>
      <c r="E32" s="1302">
        <v>19.600000000000001</v>
      </c>
      <c r="F32" s="1303">
        <v>157.19999999999999</v>
      </c>
      <c r="G32" s="1304">
        <f t="shared" si="1"/>
        <v>1782.6999999999998</v>
      </c>
      <c r="H32" s="1303">
        <v>794.2</v>
      </c>
      <c r="I32" s="1303">
        <v>98.4</v>
      </c>
      <c r="J32" s="1303">
        <v>149.19999999999999</v>
      </c>
      <c r="K32" s="1303">
        <v>740.9</v>
      </c>
      <c r="L32" s="1305">
        <f t="shared" si="2"/>
        <v>2210.3999999999996</v>
      </c>
      <c r="M32" s="1304"/>
      <c r="N32" s="4385">
        <v>1985</v>
      </c>
      <c r="O32" s="1306"/>
    </row>
    <row r="33" spans="2:17" s="1999" customFormat="1" ht="23.25" customHeight="1">
      <c r="B33" s="1295">
        <f t="shared" si="0"/>
        <v>484.70000000000005</v>
      </c>
      <c r="C33" s="1296">
        <v>298</v>
      </c>
      <c r="D33" s="1296">
        <v>22.3</v>
      </c>
      <c r="E33" s="1296">
        <v>15.3</v>
      </c>
      <c r="F33" s="1296">
        <v>149.1</v>
      </c>
      <c r="G33" s="1298">
        <f t="shared" si="1"/>
        <v>1781.9</v>
      </c>
      <c r="H33" s="1296">
        <v>904.2</v>
      </c>
      <c r="I33" s="1296">
        <v>96</v>
      </c>
      <c r="J33" s="1296">
        <v>131.30000000000001</v>
      </c>
      <c r="K33" s="1296">
        <v>650.4</v>
      </c>
      <c r="L33" s="1299">
        <f t="shared" si="2"/>
        <v>2266.6000000000004</v>
      </c>
      <c r="M33" s="1298"/>
      <c r="N33" s="4389">
        <v>1986</v>
      </c>
      <c r="O33" s="3951"/>
    </row>
    <row r="34" spans="2:17" s="1999" customFormat="1" ht="23.25" customHeight="1">
      <c r="B34" s="1301">
        <f t="shared" si="0"/>
        <v>399.9</v>
      </c>
      <c r="C34" s="1302">
        <v>254.6</v>
      </c>
      <c r="D34" s="1303">
        <v>12.1</v>
      </c>
      <c r="E34" s="1302">
        <v>18.5</v>
      </c>
      <c r="F34" s="1303">
        <v>114.7</v>
      </c>
      <c r="G34" s="1304">
        <f t="shared" si="1"/>
        <v>1667.1</v>
      </c>
      <c r="H34" s="1303">
        <v>946.9</v>
      </c>
      <c r="I34" s="1303">
        <v>89.7</v>
      </c>
      <c r="J34" s="1303">
        <v>121.8</v>
      </c>
      <c r="K34" s="1303">
        <v>508.7</v>
      </c>
      <c r="L34" s="1305">
        <f t="shared" si="2"/>
        <v>2067</v>
      </c>
      <c r="M34" s="1304"/>
      <c r="N34" s="4385">
        <v>1987</v>
      </c>
      <c r="O34" s="1306"/>
    </row>
    <row r="35" spans="2:17" s="1986" customFormat="1" ht="23.25" customHeight="1">
      <c r="B35" s="1295">
        <f t="shared" si="0"/>
        <v>195.5</v>
      </c>
      <c r="C35" s="1296">
        <v>2.8</v>
      </c>
      <c r="D35" s="1296">
        <v>8.9</v>
      </c>
      <c r="E35" s="1296">
        <v>4.0999999999999996</v>
      </c>
      <c r="F35" s="1296">
        <v>179.7</v>
      </c>
      <c r="G35" s="1298">
        <f t="shared" si="1"/>
        <v>1858.6999999999998</v>
      </c>
      <c r="H35" s="1296">
        <v>165.2</v>
      </c>
      <c r="I35" s="1296">
        <v>57.8</v>
      </c>
      <c r="J35" s="1296">
        <v>371.6</v>
      </c>
      <c r="K35" s="1296">
        <v>1264.0999999999999</v>
      </c>
      <c r="L35" s="1299">
        <f t="shared" si="2"/>
        <v>2054.1999999999998</v>
      </c>
      <c r="M35" s="1298"/>
      <c r="N35" s="4389">
        <v>1988</v>
      </c>
      <c r="O35" s="3951"/>
    </row>
    <row r="36" spans="2:17" s="1986" customFormat="1" ht="23.25" customHeight="1">
      <c r="B36" s="1301">
        <f t="shared" si="0"/>
        <v>293.90000000000003</v>
      </c>
      <c r="C36" s="1302">
        <v>17.100000000000001</v>
      </c>
      <c r="D36" s="1303">
        <v>20.7</v>
      </c>
      <c r="E36" s="1302">
        <v>4.8</v>
      </c>
      <c r="F36" s="1303">
        <v>251.3</v>
      </c>
      <c r="G36" s="1304">
        <f t="shared" si="1"/>
        <v>2130.4</v>
      </c>
      <c r="H36" s="1303">
        <v>112.8</v>
      </c>
      <c r="I36" s="1303">
        <v>47.7</v>
      </c>
      <c r="J36" s="1303">
        <v>380</v>
      </c>
      <c r="K36" s="1303">
        <v>1589.9</v>
      </c>
      <c r="L36" s="1305">
        <f t="shared" si="2"/>
        <v>2424.3000000000002</v>
      </c>
      <c r="M36" s="1304"/>
      <c r="N36" s="4385">
        <v>1989</v>
      </c>
      <c r="O36" s="1306"/>
    </row>
    <row r="37" spans="2:17" s="1986" customFormat="1" ht="23.25" customHeight="1">
      <c r="B37" s="1295">
        <f t="shared" si="0"/>
        <v>181</v>
      </c>
      <c r="C37" s="1296">
        <v>19.899999999999999</v>
      </c>
      <c r="D37" s="1296">
        <v>3.1</v>
      </c>
      <c r="E37" s="1296">
        <v>3.1</v>
      </c>
      <c r="F37" s="1296">
        <v>154.9</v>
      </c>
      <c r="G37" s="1298">
        <f t="shared" si="1"/>
        <v>2477.4999999999995</v>
      </c>
      <c r="H37" s="1296">
        <v>214.7</v>
      </c>
      <c r="I37" s="1296">
        <v>85.7</v>
      </c>
      <c r="J37" s="1296">
        <v>425.3</v>
      </c>
      <c r="K37" s="1296">
        <v>1751.8</v>
      </c>
      <c r="L37" s="1299">
        <f t="shared" si="2"/>
        <v>2658.4999999999995</v>
      </c>
      <c r="M37" s="1298"/>
      <c r="N37" s="4389">
        <v>1990</v>
      </c>
      <c r="O37" s="3951"/>
    </row>
    <row r="38" spans="2:17" s="1986" customFormat="1" ht="23.25" customHeight="1">
      <c r="B38" s="1301">
        <f t="shared" si="0"/>
        <v>110.2</v>
      </c>
      <c r="C38" s="1302">
        <v>5.3</v>
      </c>
      <c r="D38" s="1303">
        <v>0.5</v>
      </c>
      <c r="E38" s="1302">
        <v>5</v>
      </c>
      <c r="F38" s="1303">
        <v>99.4</v>
      </c>
      <c r="G38" s="1304">
        <f t="shared" si="1"/>
        <v>4261.7000000000007</v>
      </c>
      <c r="H38" s="1303">
        <v>359.5</v>
      </c>
      <c r="I38" s="1303">
        <v>193.4</v>
      </c>
      <c r="J38" s="1303">
        <v>616.9</v>
      </c>
      <c r="K38" s="1303">
        <v>3091.9</v>
      </c>
      <c r="L38" s="1305">
        <f t="shared" si="2"/>
        <v>4371.9000000000005</v>
      </c>
      <c r="M38" s="1304"/>
      <c r="N38" s="4385">
        <v>1991</v>
      </c>
      <c r="O38" s="1306"/>
    </row>
    <row r="39" spans="2:17" s="1986" customFormat="1" ht="23.25" customHeight="1">
      <c r="B39" s="1295">
        <f t="shared" si="0"/>
        <v>37.5</v>
      </c>
      <c r="C39" s="1296">
        <v>0.5</v>
      </c>
      <c r="D39" s="1296">
        <v>0</v>
      </c>
      <c r="E39" s="1296">
        <v>0.5</v>
      </c>
      <c r="F39" s="1296">
        <v>36.5</v>
      </c>
      <c r="G39" s="1298">
        <f t="shared" si="1"/>
        <v>6458.9999999999991</v>
      </c>
      <c r="H39" s="1296">
        <v>355.4</v>
      </c>
      <c r="I39" s="1296">
        <v>264.89999999999998</v>
      </c>
      <c r="J39" s="1296">
        <v>717.9</v>
      </c>
      <c r="K39" s="1296">
        <v>5120.8</v>
      </c>
      <c r="L39" s="1299">
        <f t="shared" si="2"/>
        <v>6496.4999999999991</v>
      </c>
      <c r="M39" s="1298"/>
      <c r="N39" s="4389">
        <v>1992</v>
      </c>
      <c r="O39" s="3951"/>
    </row>
    <row r="40" spans="2:17" s="1986" customFormat="1" ht="23.25" customHeight="1">
      <c r="B40" s="1301">
        <f t="shared" si="0"/>
        <v>1134</v>
      </c>
      <c r="C40" s="1302">
        <v>71.5</v>
      </c>
      <c r="D40" s="1303">
        <v>99.6</v>
      </c>
      <c r="E40" s="1302">
        <v>98.1</v>
      </c>
      <c r="F40" s="1303">
        <v>864.8</v>
      </c>
      <c r="G40" s="1304">
        <f t="shared" si="1"/>
        <v>3071.5</v>
      </c>
      <c r="H40" s="1303">
        <v>339.1</v>
      </c>
      <c r="I40" s="1303">
        <v>205</v>
      </c>
      <c r="J40" s="1303">
        <v>468.6</v>
      </c>
      <c r="K40" s="1303">
        <v>2058.8000000000002</v>
      </c>
      <c r="L40" s="1305">
        <f t="shared" si="2"/>
        <v>4205.5</v>
      </c>
      <c r="M40" s="1304"/>
      <c r="N40" s="4385">
        <v>1993</v>
      </c>
      <c r="O40" s="1306"/>
      <c r="P40" s="1174"/>
      <c r="Q40" s="1174"/>
    </row>
    <row r="41" spans="2:17" s="1986" customFormat="1" ht="23.25" customHeight="1">
      <c r="B41" s="1295">
        <f t="shared" si="0"/>
        <v>1191.3000000000002</v>
      </c>
      <c r="C41" s="1296">
        <v>118.4</v>
      </c>
      <c r="D41" s="1296">
        <v>95.5</v>
      </c>
      <c r="E41" s="1296">
        <v>119.2</v>
      </c>
      <c r="F41" s="1296">
        <v>858.2</v>
      </c>
      <c r="G41" s="1298">
        <f t="shared" si="1"/>
        <v>3683.8</v>
      </c>
      <c r="H41" s="1296">
        <v>628.5</v>
      </c>
      <c r="I41" s="1296">
        <v>185.9</v>
      </c>
      <c r="J41" s="1296">
        <v>542.6</v>
      </c>
      <c r="K41" s="1296">
        <v>2326.8000000000002</v>
      </c>
      <c r="L41" s="1299">
        <f t="shared" si="2"/>
        <v>4875.1000000000004</v>
      </c>
      <c r="M41" s="1298"/>
      <c r="N41" s="4389">
        <v>1994</v>
      </c>
      <c r="O41" s="3951"/>
    </row>
    <row r="42" spans="2:17" s="1986" customFormat="1" ht="23.25" customHeight="1">
      <c r="B42" s="1301">
        <f t="shared" si="0"/>
        <v>1124.2</v>
      </c>
      <c r="C42" s="1302">
        <v>155.30000000000001</v>
      </c>
      <c r="D42" s="1303">
        <v>104</v>
      </c>
      <c r="E42" s="1302">
        <v>87.3</v>
      </c>
      <c r="F42" s="1303">
        <v>777.6</v>
      </c>
      <c r="G42" s="1304">
        <f t="shared" si="1"/>
        <v>4020.7</v>
      </c>
      <c r="H42" s="1303">
        <v>666.7</v>
      </c>
      <c r="I42" s="1303">
        <v>223.1</v>
      </c>
      <c r="J42" s="1303">
        <v>618.79999999999995</v>
      </c>
      <c r="K42" s="1303">
        <v>2512.1</v>
      </c>
      <c r="L42" s="1305">
        <f t="shared" si="2"/>
        <v>5144.8999999999996</v>
      </c>
      <c r="M42" s="1304"/>
      <c r="N42" s="4385">
        <v>1995</v>
      </c>
      <c r="O42" s="1306"/>
      <c r="P42" s="1174"/>
      <c r="Q42" s="1174"/>
    </row>
    <row r="43" spans="2:17" s="1986" customFormat="1" ht="23.25" customHeight="1">
      <c r="B43" s="1295">
        <f t="shared" si="0"/>
        <v>1156</v>
      </c>
      <c r="C43" s="1296">
        <v>194.6</v>
      </c>
      <c r="D43" s="1296">
        <v>165.7</v>
      </c>
      <c r="E43" s="1296">
        <v>19</v>
      </c>
      <c r="F43" s="1296">
        <v>776.7</v>
      </c>
      <c r="G43" s="1298">
        <f t="shared" si="1"/>
        <v>4315.0999999999995</v>
      </c>
      <c r="H43" s="1296">
        <v>741.2</v>
      </c>
      <c r="I43" s="1296">
        <v>367.7</v>
      </c>
      <c r="J43" s="1296">
        <v>458.1</v>
      </c>
      <c r="K43" s="1296">
        <v>2748.1</v>
      </c>
      <c r="L43" s="1299">
        <f t="shared" si="2"/>
        <v>5471.0999999999995</v>
      </c>
      <c r="M43" s="1298"/>
      <c r="N43" s="4389">
        <v>1996</v>
      </c>
      <c r="O43" s="3951"/>
      <c r="P43" s="1174"/>
      <c r="Q43" s="1174"/>
    </row>
    <row r="44" spans="2:17" s="1986" customFormat="1" ht="23.25" customHeight="1">
      <c r="B44" s="1301">
        <f t="shared" si="0"/>
        <v>920.80000000000007</v>
      </c>
      <c r="C44" s="1302">
        <v>136</v>
      </c>
      <c r="D44" s="1303">
        <v>167.1</v>
      </c>
      <c r="E44" s="1302">
        <v>8.6</v>
      </c>
      <c r="F44" s="1303">
        <v>609.1</v>
      </c>
      <c r="G44" s="1304">
        <f t="shared" si="1"/>
        <v>3576.1000000000004</v>
      </c>
      <c r="H44" s="1303">
        <v>674.3</v>
      </c>
      <c r="I44" s="1303">
        <v>319.89999999999998</v>
      </c>
      <c r="J44" s="1303">
        <v>361.8</v>
      </c>
      <c r="K44" s="1303">
        <v>2220.1</v>
      </c>
      <c r="L44" s="1305">
        <f t="shared" si="2"/>
        <v>4496.9000000000005</v>
      </c>
      <c r="M44" s="1304"/>
      <c r="N44" s="4385">
        <v>1997</v>
      </c>
      <c r="O44" s="1306"/>
      <c r="P44" s="1174"/>
      <c r="Q44" s="1174"/>
    </row>
    <row r="45" spans="2:17" s="1986" customFormat="1" ht="23.25" customHeight="1">
      <c r="B45" s="1295">
        <f t="shared" si="0"/>
        <v>669.6</v>
      </c>
      <c r="C45" s="1296">
        <v>95.2</v>
      </c>
      <c r="D45" s="1296">
        <v>123.3</v>
      </c>
      <c r="E45" s="1296">
        <v>16.5</v>
      </c>
      <c r="F45" s="1296">
        <v>434.6</v>
      </c>
      <c r="G45" s="1298">
        <f t="shared" si="1"/>
        <v>3427.6000000000004</v>
      </c>
      <c r="H45" s="1296">
        <v>733.7</v>
      </c>
      <c r="I45" s="1296">
        <v>307.5</v>
      </c>
      <c r="J45" s="1296">
        <v>385.9</v>
      </c>
      <c r="K45" s="1296">
        <v>2000.5</v>
      </c>
      <c r="L45" s="1299">
        <f t="shared" si="2"/>
        <v>4097.2000000000007</v>
      </c>
      <c r="M45" s="1298"/>
      <c r="N45" s="4389">
        <v>1998</v>
      </c>
      <c r="O45" s="3951"/>
      <c r="P45" s="1174"/>
      <c r="Q45" s="1174"/>
    </row>
    <row r="46" spans="2:17" s="1986" customFormat="1" ht="23.25" customHeight="1">
      <c r="B46" s="1301">
        <f t="shared" si="0"/>
        <v>576.09999999999991</v>
      </c>
      <c r="C46" s="1302">
        <v>77.5</v>
      </c>
      <c r="D46" s="1303">
        <v>92.8</v>
      </c>
      <c r="E46" s="1302">
        <v>50.4</v>
      </c>
      <c r="F46" s="1303">
        <v>355.4</v>
      </c>
      <c r="G46" s="1304">
        <f t="shared" si="1"/>
        <v>3896.8999999999996</v>
      </c>
      <c r="H46" s="1303">
        <v>712.8</v>
      </c>
      <c r="I46" s="1303">
        <v>318.39999999999998</v>
      </c>
      <c r="J46" s="1303">
        <v>466.2</v>
      </c>
      <c r="K46" s="1303">
        <v>2399.5</v>
      </c>
      <c r="L46" s="1305">
        <f t="shared" si="2"/>
        <v>4473</v>
      </c>
      <c r="M46" s="1304"/>
      <c r="N46" s="4385">
        <v>1999</v>
      </c>
      <c r="O46" s="1306"/>
      <c r="P46" s="1174"/>
      <c r="Q46" s="1174"/>
    </row>
    <row r="47" spans="2:17" s="1986" customFormat="1" ht="23.25" customHeight="1">
      <c r="B47" s="1295">
        <f t="shared" si="0"/>
        <v>780</v>
      </c>
      <c r="C47" s="1296">
        <v>106.9</v>
      </c>
      <c r="D47" s="1296">
        <v>104.7</v>
      </c>
      <c r="E47" s="1296">
        <v>21</v>
      </c>
      <c r="F47" s="1296">
        <v>547.4</v>
      </c>
      <c r="G47" s="1298">
        <f t="shared" si="1"/>
        <v>4132.5</v>
      </c>
      <c r="H47" s="1296">
        <v>909.2</v>
      </c>
      <c r="I47" s="1296">
        <v>382.9</v>
      </c>
      <c r="J47" s="1296">
        <v>587.29999999999995</v>
      </c>
      <c r="K47" s="1296">
        <v>2253.1</v>
      </c>
      <c r="L47" s="1299">
        <f t="shared" si="2"/>
        <v>4912.5</v>
      </c>
      <c r="M47" s="1298"/>
      <c r="N47" s="4389">
        <v>2000</v>
      </c>
      <c r="O47" s="3951"/>
      <c r="P47" s="1174"/>
      <c r="Q47" s="1174"/>
    </row>
    <row r="48" spans="2:17" s="1986" customFormat="1" ht="23.25" customHeight="1">
      <c r="B48" s="1301">
        <f t="shared" si="0"/>
        <v>941.80000000000007</v>
      </c>
      <c r="C48" s="1302">
        <v>195.6</v>
      </c>
      <c r="D48" s="1303">
        <v>160.1</v>
      </c>
      <c r="E48" s="1302">
        <v>22.2</v>
      </c>
      <c r="F48" s="1303">
        <v>563.9</v>
      </c>
      <c r="G48" s="1304">
        <f t="shared" si="1"/>
        <v>5130.1000000000004</v>
      </c>
      <c r="H48" s="1303">
        <v>1085.2</v>
      </c>
      <c r="I48" s="1303">
        <v>432.4</v>
      </c>
      <c r="J48" s="1303">
        <v>800.6</v>
      </c>
      <c r="K48" s="1303">
        <v>2811.9</v>
      </c>
      <c r="L48" s="1305">
        <f t="shared" si="2"/>
        <v>6071.9000000000005</v>
      </c>
      <c r="M48" s="1304"/>
      <c r="N48" s="4385">
        <v>2001</v>
      </c>
      <c r="O48" s="1306"/>
      <c r="P48" s="1174"/>
      <c r="Q48" s="1174"/>
    </row>
    <row r="49" spans="2:20" s="1986" customFormat="1" ht="23.25" customHeight="1">
      <c r="B49" s="1295">
        <f t="shared" si="0"/>
        <v>1405.3</v>
      </c>
      <c r="C49" s="1296">
        <v>303.5</v>
      </c>
      <c r="D49" s="1296">
        <v>156.1</v>
      </c>
      <c r="E49" s="1296">
        <v>19.5</v>
      </c>
      <c r="F49" s="1296">
        <v>926.2</v>
      </c>
      <c r="G49" s="1298">
        <f t="shared" si="1"/>
        <v>5901.5</v>
      </c>
      <c r="H49" s="1296">
        <v>1029.9000000000001</v>
      </c>
      <c r="I49" s="1296">
        <v>453</v>
      </c>
      <c r="J49" s="1296">
        <v>837</v>
      </c>
      <c r="K49" s="1296">
        <v>3581.6</v>
      </c>
      <c r="L49" s="1299">
        <f t="shared" si="2"/>
        <v>7306.8</v>
      </c>
      <c r="M49" s="1298"/>
      <c r="N49" s="4389">
        <v>2002</v>
      </c>
      <c r="O49" s="3951"/>
      <c r="P49" s="1174"/>
      <c r="Q49" s="1174"/>
    </row>
    <row r="50" spans="2:20" s="1986" customFormat="1" ht="23.25" customHeight="1">
      <c r="B50" s="1301">
        <f t="shared" si="0"/>
        <v>1647.1</v>
      </c>
      <c r="C50" s="1302">
        <v>318</v>
      </c>
      <c r="D50" s="1302">
        <v>206.1</v>
      </c>
      <c r="E50" s="1302">
        <v>70.3</v>
      </c>
      <c r="F50" s="1302">
        <v>1052.7</v>
      </c>
      <c r="G50" s="1304">
        <f t="shared" si="1"/>
        <v>6461.7</v>
      </c>
      <c r="H50" s="1302">
        <v>1180</v>
      </c>
      <c r="I50" s="1302">
        <v>507.4</v>
      </c>
      <c r="J50" s="1302">
        <v>861.8</v>
      </c>
      <c r="K50" s="1302">
        <v>3912.5</v>
      </c>
      <c r="L50" s="1305">
        <f t="shared" si="2"/>
        <v>8108.7999999999993</v>
      </c>
      <c r="M50" s="1304"/>
      <c r="N50" s="4385">
        <v>2003</v>
      </c>
      <c r="O50" s="3952"/>
      <c r="P50" s="1174"/>
      <c r="Q50" s="1174"/>
    </row>
    <row r="51" spans="2:20" s="1986" customFormat="1" ht="23.25" customHeight="1">
      <c r="B51" s="1295">
        <f t="shared" si="0"/>
        <v>1859.5</v>
      </c>
      <c r="C51" s="1296">
        <v>249.9</v>
      </c>
      <c r="D51" s="1296">
        <v>203.1</v>
      </c>
      <c r="E51" s="1296">
        <v>8.6999999999999993</v>
      </c>
      <c r="F51" s="1296">
        <v>1397.8</v>
      </c>
      <c r="G51" s="1298">
        <f t="shared" si="1"/>
        <v>8114.7</v>
      </c>
      <c r="H51" s="1296">
        <v>1447.2</v>
      </c>
      <c r="I51" s="1296">
        <v>629.5</v>
      </c>
      <c r="J51" s="1296">
        <v>1083.3</v>
      </c>
      <c r="K51" s="1296">
        <v>4954.7</v>
      </c>
      <c r="L51" s="1299">
        <f t="shared" si="2"/>
        <v>9974.2000000000007</v>
      </c>
      <c r="M51" s="1298"/>
      <c r="N51" s="4389">
        <v>2004</v>
      </c>
      <c r="O51" s="3951"/>
      <c r="P51" s="1174"/>
      <c r="Q51" s="1174"/>
    </row>
    <row r="52" spans="2:20" s="1986" customFormat="1" ht="23.25" customHeight="1">
      <c r="B52" s="1301">
        <f t="shared" si="0"/>
        <v>3003</v>
      </c>
      <c r="C52" s="1302">
        <v>584</v>
      </c>
      <c r="D52" s="1302">
        <v>242.5</v>
      </c>
      <c r="E52" s="1302">
        <v>50</v>
      </c>
      <c r="F52" s="1302">
        <v>2126.5</v>
      </c>
      <c r="G52" s="1304">
        <f t="shared" si="1"/>
        <v>9228.4</v>
      </c>
      <c r="H52" s="1302">
        <v>1494.6</v>
      </c>
      <c r="I52" s="1302">
        <v>704.7</v>
      </c>
      <c r="J52" s="1302">
        <v>1011.9</v>
      </c>
      <c r="K52" s="1302">
        <v>6017.2</v>
      </c>
      <c r="L52" s="1305">
        <f t="shared" si="2"/>
        <v>12231.4</v>
      </c>
      <c r="M52" s="1304"/>
      <c r="N52" s="4385">
        <v>2005</v>
      </c>
      <c r="O52" s="3952"/>
      <c r="P52" s="1174"/>
      <c r="Q52" s="1174"/>
    </row>
    <row r="53" spans="2:20" s="1986" customFormat="1" ht="23.25" customHeight="1">
      <c r="B53" s="1295">
        <f t="shared" si="0"/>
        <v>3465.3</v>
      </c>
      <c r="C53" s="1296">
        <v>544.4</v>
      </c>
      <c r="D53" s="1296">
        <v>220.5</v>
      </c>
      <c r="E53" s="1296">
        <v>154.4</v>
      </c>
      <c r="F53" s="1296">
        <v>2546</v>
      </c>
      <c r="G53" s="1298">
        <f t="shared" si="1"/>
        <v>9459.4000000000015</v>
      </c>
      <c r="H53" s="1296">
        <v>1417.7</v>
      </c>
      <c r="I53" s="1296">
        <v>738.3</v>
      </c>
      <c r="J53" s="1296">
        <v>914.3</v>
      </c>
      <c r="K53" s="1296">
        <v>6389.1</v>
      </c>
      <c r="L53" s="1299">
        <f t="shared" si="2"/>
        <v>12924.7</v>
      </c>
      <c r="M53" s="1298"/>
      <c r="N53" s="4389">
        <v>2006</v>
      </c>
      <c r="O53" s="3951"/>
      <c r="P53" s="1174"/>
      <c r="Q53" s="1174"/>
    </row>
    <row r="54" spans="2:20" s="1986" customFormat="1" ht="23.25" customHeight="1">
      <c r="B54" s="1301">
        <f t="shared" si="0"/>
        <v>2961.2000000000003</v>
      </c>
      <c r="C54" s="1302">
        <v>454.3</v>
      </c>
      <c r="D54" s="1302">
        <v>352.3</v>
      </c>
      <c r="E54" s="1302">
        <v>125.4</v>
      </c>
      <c r="F54" s="1302">
        <v>2029.2</v>
      </c>
      <c r="G54" s="1304">
        <f t="shared" si="1"/>
        <v>9105.0999999999985</v>
      </c>
      <c r="H54" s="1302">
        <v>1685.5</v>
      </c>
      <c r="I54" s="1302">
        <v>887.9</v>
      </c>
      <c r="J54" s="1302">
        <v>878.8</v>
      </c>
      <c r="K54" s="1302">
        <v>5652.9</v>
      </c>
      <c r="L54" s="1305">
        <f t="shared" si="2"/>
        <v>12066.3</v>
      </c>
      <c r="M54" s="1304"/>
      <c r="N54" s="4385">
        <v>2007</v>
      </c>
      <c r="O54" s="3952"/>
      <c r="P54" s="1174"/>
      <c r="Q54" s="1174"/>
    </row>
    <row r="55" spans="2:20" s="1999" customFormat="1" ht="23.25" customHeight="1">
      <c r="B55" s="1295">
        <f t="shared" si="0"/>
        <v>2667.7</v>
      </c>
      <c r="C55" s="1296">
        <v>525.20000000000005</v>
      </c>
      <c r="D55" s="1296">
        <v>292.8</v>
      </c>
      <c r="E55" s="1296">
        <v>137.9</v>
      </c>
      <c r="F55" s="1296">
        <v>1711.8</v>
      </c>
      <c r="G55" s="1298">
        <f t="shared" si="1"/>
        <v>7373.2</v>
      </c>
      <c r="H55" s="1296">
        <v>1469.8</v>
      </c>
      <c r="I55" s="1296">
        <v>558</v>
      </c>
      <c r="J55" s="1296">
        <v>690.5</v>
      </c>
      <c r="K55" s="1296">
        <v>4654.8999999999996</v>
      </c>
      <c r="L55" s="1299">
        <f t="shared" si="2"/>
        <v>10040.9</v>
      </c>
      <c r="M55" s="1298"/>
      <c r="N55" s="4389">
        <v>2008</v>
      </c>
      <c r="O55" s="3951"/>
      <c r="P55" s="1937"/>
      <c r="Q55" s="1937"/>
      <c r="R55" s="3298"/>
      <c r="S55" s="3298"/>
      <c r="T55" s="3298"/>
    </row>
    <row r="56" spans="2:20" s="1999" customFormat="1" ht="23.25" customHeight="1">
      <c r="B56" s="1301">
        <f t="shared" si="0"/>
        <v>2610.3000000000002</v>
      </c>
      <c r="C56" s="1302">
        <v>724.2</v>
      </c>
      <c r="D56" s="1302">
        <v>216.6</v>
      </c>
      <c r="E56" s="1302">
        <v>163.6</v>
      </c>
      <c r="F56" s="1302">
        <v>1505.9</v>
      </c>
      <c r="G56" s="1304">
        <f t="shared" si="1"/>
        <v>9187.7999999999993</v>
      </c>
      <c r="H56" s="1302">
        <v>1926.2</v>
      </c>
      <c r="I56" s="1302">
        <v>896.7</v>
      </c>
      <c r="J56" s="1302">
        <v>819.2</v>
      </c>
      <c r="K56" s="1302">
        <v>5545.7</v>
      </c>
      <c r="L56" s="1305">
        <f t="shared" si="2"/>
        <v>11798.099999999999</v>
      </c>
      <c r="M56" s="1304"/>
      <c r="N56" s="4385">
        <v>2009</v>
      </c>
      <c r="O56" s="3953"/>
      <c r="P56" s="1937"/>
      <c r="Q56" s="1937"/>
      <c r="R56" s="3298"/>
      <c r="S56" s="3298"/>
      <c r="T56" s="3298"/>
    </row>
    <row r="57" spans="2:20" s="1999" customFormat="1" ht="23.25" customHeight="1">
      <c r="B57" s="1295">
        <f>F57+E57+D57+C57</f>
        <v>3108.7</v>
      </c>
      <c r="C57" s="1296">
        <v>680.3</v>
      </c>
      <c r="D57" s="1296">
        <v>81.900000000000006</v>
      </c>
      <c r="E57" s="1296">
        <v>159</v>
      </c>
      <c r="F57" s="1296">
        <v>2187.5</v>
      </c>
      <c r="G57" s="1298">
        <f>K57+J57+I57+H57</f>
        <v>9613.2000000000007</v>
      </c>
      <c r="H57" s="1296">
        <v>1932</v>
      </c>
      <c r="I57" s="1296">
        <v>700</v>
      </c>
      <c r="J57" s="1296">
        <v>831.7</v>
      </c>
      <c r="K57" s="1296">
        <v>6149.5</v>
      </c>
      <c r="L57" s="1299">
        <f>G57+B57</f>
        <v>12721.900000000001</v>
      </c>
      <c r="M57" s="1415"/>
      <c r="N57" s="4389">
        <v>2010</v>
      </c>
      <c r="O57" s="3951"/>
      <c r="P57" s="1937"/>
      <c r="Q57" s="1937"/>
      <c r="R57" s="3298"/>
      <c r="S57" s="3298"/>
      <c r="T57" s="3298"/>
    </row>
    <row r="58" spans="2:20" s="2066" customFormat="1" ht="23.25" customHeight="1">
      <c r="B58" s="1301">
        <f>F58+E58+D58+C58</f>
        <v>3857.8</v>
      </c>
      <c r="C58" s="1302">
        <v>687.3</v>
      </c>
      <c r="D58" s="1302">
        <v>296.8</v>
      </c>
      <c r="E58" s="1302">
        <v>240.7</v>
      </c>
      <c r="F58" s="1302">
        <v>2633</v>
      </c>
      <c r="G58" s="1304">
        <f>K58+J58+I58+H58</f>
        <v>12133.200000000003</v>
      </c>
      <c r="H58" s="1302">
        <v>1833.2</v>
      </c>
      <c r="I58" s="1302">
        <v>812.7</v>
      </c>
      <c r="J58" s="1302">
        <v>1106.7</v>
      </c>
      <c r="K58" s="1302">
        <v>8380.6</v>
      </c>
      <c r="L58" s="1305">
        <f>G58+B58</f>
        <v>15991.000000000004</v>
      </c>
      <c r="M58" s="3954">
        <v>2009</v>
      </c>
      <c r="N58" s="4385">
        <v>2011</v>
      </c>
      <c r="O58" s="3955"/>
      <c r="P58" s="3956"/>
      <c r="Q58" s="3956"/>
      <c r="R58" s="3957"/>
      <c r="S58" s="3957"/>
      <c r="T58" s="3957"/>
    </row>
    <row r="59" spans="2:20" s="2066" customFormat="1" ht="23.25" customHeight="1">
      <c r="B59" s="1295">
        <f>F59+E59+D59+C59</f>
        <v>3130.7999999999997</v>
      </c>
      <c r="C59" s="1296">
        <v>728.6</v>
      </c>
      <c r="D59" s="1296">
        <v>308.5</v>
      </c>
      <c r="E59" s="1296">
        <v>116.4</v>
      </c>
      <c r="F59" s="1296">
        <v>1977.3</v>
      </c>
      <c r="G59" s="1298">
        <f>K59+J59+I59+H59</f>
        <v>14211.8</v>
      </c>
      <c r="H59" s="1296">
        <v>2187.4</v>
      </c>
      <c r="I59" s="1296">
        <v>890</v>
      </c>
      <c r="J59" s="1296">
        <v>1610.3</v>
      </c>
      <c r="K59" s="1296">
        <v>9524.1</v>
      </c>
      <c r="L59" s="1299">
        <f>G59+B59</f>
        <v>17342.599999999999</v>
      </c>
      <c r="M59" s="1298"/>
      <c r="N59" s="1296" t="s">
        <v>2110</v>
      </c>
      <c r="O59" s="3951"/>
      <c r="P59" s="3956"/>
      <c r="Q59" s="3956"/>
      <c r="R59" s="3957"/>
      <c r="S59" s="3957"/>
      <c r="T59" s="3957"/>
    </row>
    <row r="60" spans="2:20" s="2066" customFormat="1" ht="23.25" customHeight="1">
      <c r="B60" s="1690">
        <f>F60+E60+D60+C60</f>
        <v>2580.4</v>
      </c>
      <c r="C60" s="1691">
        <v>378</v>
      </c>
      <c r="D60" s="1691">
        <v>260.10000000000002</v>
      </c>
      <c r="E60" s="1691">
        <v>150.69999999999999</v>
      </c>
      <c r="F60" s="1691">
        <v>1791.6</v>
      </c>
      <c r="G60" s="1692">
        <f>K60+J60+I60+H60</f>
        <v>14411.8</v>
      </c>
      <c r="H60" s="1691">
        <v>2129.1999999999998</v>
      </c>
      <c r="I60" s="1691">
        <v>902.3</v>
      </c>
      <c r="J60" s="1691">
        <v>1728</v>
      </c>
      <c r="K60" s="1691">
        <v>9652.2999999999993</v>
      </c>
      <c r="L60" s="3958">
        <f>G60+B60</f>
        <v>16992.2</v>
      </c>
      <c r="M60" s="5265" t="s">
        <v>2111</v>
      </c>
      <c r="N60" s="5266"/>
      <c r="O60" s="5267"/>
      <c r="P60" s="3956"/>
      <c r="Q60" s="3956"/>
      <c r="R60" s="3957"/>
      <c r="S60" s="3957"/>
      <c r="T60" s="3957"/>
    </row>
    <row r="61" spans="2:20" s="2254" customFormat="1" ht="6.95" customHeight="1">
      <c r="B61" s="1184"/>
      <c r="C61" s="1184"/>
      <c r="D61" s="1184"/>
      <c r="E61" s="1184"/>
      <c r="F61" s="1184"/>
      <c r="G61" s="1184"/>
      <c r="H61" s="1184"/>
      <c r="I61" s="1184"/>
      <c r="J61" s="1184"/>
      <c r="K61" s="1184"/>
      <c r="L61" s="1184"/>
      <c r="M61" s="1184"/>
      <c r="N61" s="1184"/>
      <c r="O61" s="1184"/>
    </row>
    <row r="62" spans="2:20" s="2254" customFormat="1" ht="18">
      <c r="B62" s="4384" t="s">
        <v>2094</v>
      </c>
      <c r="C62" s="1265"/>
      <c r="D62" s="1266"/>
      <c r="E62" s="1266"/>
      <c r="F62" s="1266"/>
      <c r="G62" s="1267"/>
      <c r="H62" s="1267"/>
      <c r="I62" s="1267"/>
      <c r="J62" s="1267"/>
      <c r="K62" s="4379"/>
      <c r="L62" s="4379"/>
      <c r="M62" s="1268"/>
      <c r="N62" s="4379" t="s">
        <v>2112</v>
      </c>
      <c r="O62" s="1308"/>
      <c r="P62" s="3938"/>
    </row>
    <row r="63" spans="2:20" s="2254" customFormat="1" ht="18">
      <c r="B63" s="4384" t="s">
        <v>2113</v>
      </c>
      <c r="C63" s="1265"/>
      <c r="D63" s="1266"/>
      <c r="E63" s="1266"/>
      <c r="F63" s="1266"/>
      <c r="G63" s="1267"/>
      <c r="H63" s="1267"/>
      <c r="I63" s="1267"/>
      <c r="J63" s="1267"/>
      <c r="K63" s="4379"/>
      <c r="L63" s="4379"/>
      <c r="M63" s="3304"/>
      <c r="N63" s="4379" t="s">
        <v>2114</v>
      </c>
      <c r="O63" s="3959"/>
      <c r="P63" s="3938"/>
    </row>
    <row r="64" spans="2:20" s="2254" customFormat="1" ht="18" customHeight="1">
      <c r="B64" s="4384" t="s">
        <v>2115</v>
      </c>
      <c r="C64" s="1265"/>
      <c r="D64" s="1266"/>
      <c r="E64" s="1266"/>
      <c r="F64" s="1266"/>
      <c r="G64" s="1267"/>
      <c r="H64" s="1267"/>
      <c r="I64" s="1267"/>
      <c r="J64" s="1267"/>
      <c r="K64" s="4379"/>
      <c r="L64" s="4379"/>
      <c r="M64" s="3304"/>
      <c r="N64" s="4379" t="s">
        <v>2116</v>
      </c>
      <c r="O64" s="3959"/>
    </row>
    <row r="65" spans="2:18" s="2254" customFormat="1" ht="17.100000000000001" customHeight="1">
      <c r="B65" s="4380" t="s">
        <v>2100</v>
      </c>
      <c r="C65" s="1274"/>
      <c r="D65" s="1274"/>
      <c r="E65" s="1274"/>
      <c r="F65" s="1274"/>
      <c r="G65" s="1274"/>
      <c r="H65" s="1275"/>
      <c r="I65" s="1274"/>
      <c r="J65" s="1274"/>
      <c r="K65" s="1274"/>
      <c r="L65" s="3940"/>
      <c r="M65" s="3940"/>
      <c r="N65" s="3727"/>
      <c r="O65" s="2836" t="s">
        <v>2117</v>
      </c>
    </row>
    <row r="66" spans="2:18" s="2254" customFormat="1" ht="17.100000000000001" customHeight="1">
      <c r="B66" s="3960"/>
      <c r="C66" s="3960"/>
      <c r="D66" s="2646"/>
      <c r="E66" s="3960"/>
      <c r="F66" s="2646"/>
      <c r="G66" s="3961"/>
      <c r="H66" s="3961"/>
      <c r="I66" s="3961"/>
      <c r="J66" s="3961"/>
      <c r="K66" s="3962"/>
      <c r="L66" s="3962"/>
      <c r="M66" s="3963"/>
      <c r="N66" s="3963"/>
      <c r="O66" s="3963"/>
    </row>
    <row r="67" spans="2:18" ht="35.1" customHeight="1"/>
    <row r="68" spans="2:18" ht="35.1" customHeight="1">
      <c r="G68" s="1192"/>
    </row>
    <row r="69" spans="2:18" s="3948" customFormat="1" ht="35.1" customHeight="1">
      <c r="B69" s="4602" t="s">
        <v>2102</v>
      </c>
      <c r="C69" s="4602"/>
      <c r="D69" s="4602"/>
      <c r="E69" s="4602"/>
      <c r="F69" s="4602"/>
      <c r="G69" s="4602"/>
      <c r="H69" s="4602"/>
      <c r="I69" s="4602"/>
      <c r="J69" s="4602"/>
      <c r="K69" s="4602"/>
      <c r="L69" s="4602"/>
      <c r="M69" s="4602"/>
      <c r="N69" s="4602"/>
      <c r="O69" s="4602"/>
    </row>
    <row r="70" spans="2:18" s="3949" customFormat="1" ht="35.1" customHeight="1">
      <c r="B70" s="4713" t="s">
        <v>2103</v>
      </c>
      <c r="C70" s="4713"/>
      <c r="D70" s="4713"/>
      <c r="E70" s="4713"/>
      <c r="F70" s="4713"/>
      <c r="G70" s="4713"/>
      <c r="H70" s="4713"/>
      <c r="I70" s="4713"/>
      <c r="J70" s="4713"/>
      <c r="K70" s="4713"/>
      <c r="L70" s="4713"/>
      <c r="M70" s="4713"/>
      <c r="N70" s="4713"/>
      <c r="O70" s="4713"/>
    </row>
    <row r="71" spans="2:18" s="3335" customFormat="1" ht="18" customHeight="1">
      <c r="B71" s="1224" t="s">
        <v>2104</v>
      </c>
      <c r="C71" s="1265"/>
      <c r="D71" s="1274"/>
      <c r="E71" s="1275"/>
      <c r="F71" s="1274"/>
      <c r="G71" s="1274"/>
      <c r="H71" s="1274"/>
      <c r="I71" s="1274"/>
      <c r="J71" s="1274"/>
      <c r="K71" s="1274"/>
      <c r="L71" s="1274"/>
      <c r="M71" s="1265"/>
      <c r="N71" s="4379"/>
      <c r="O71" s="1276" t="s">
        <v>2105</v>
      </c>
      <c r="P71" s="3950"/>
      <c r="Q71" s="3950"/>
      <c r="R71" s="3950"/>
    </row>
    <row r="72" spans="2:18" ht="5.25" customHeight="1">
      <c r="B72" s="1220"/>
      <c r="C72" s="1220"/>
      <c r="D72" s="1220"/>
      <c r="E72" s="1220"/>
      <c r="F72" s="1220"/>
      <c r="G72" s="1277"/>
      <c r="H72" s="1221"/>
      <c r="I72" s="1220"/>
      <c r="J72" s="1222"/>
      <c r="K72" s="1222"/>
      <c r="L72" s="1222"/>
      <c r="M72" s="1222"/>
      <c r="N72" s="1223"/>
      <c r="O72" s="1223"/>
      <c r="P72" s="1307"/>
      <c r="Q72" s="1307"/>
      <c r="R72" s="1307"/>
    </row>
    <row r="73" spans="2:18" ht="21" customHeight="1">
      <c r="B73" s="1225"/>
      <c r="C73" s="1226"/>
      <c r="D73" s="1226"/>
      <c r="E73" s="1226"/>
      <c r="F73" s="1226"/>
      <c r="G73" s="1278"/>
      <c r="H73" s="1279"/>
      <c r="I73" s="1279"/>
      <c r="J73" s="1279"/>
      <c r="K73" s="1280"/>
      <c r="L73" s="1227"/>
      <c r="M73" s="1226"/>
      <c r="N73" s="4376"/>
      <c r="O73" s="1281"/>
      <c r="P73" s="1307"/>
      <c r="Q73" s="1307"/>
      <c r="R73" s="1307"/>
    </row>
    <row r="74" spans="2:18" s="1264" customFormat="1" ht="24.75" customHeight="1">
      <c r="B74" s="1231" t="s">
        <v>2079</v>
      </c>
      <c r="C74" s="1232"/>
      <c r="D74" s="1232"/>
      <c r="E74" s="1232"/>
      <c r="F74" s="1232"/>
      <c r="G74" s="1282" t="s">
        <v>2080</v>
      </c>
      <c r="H74" s="1232"/>
      <c r="I74" s="1232"/>
      <c r="J74" s="1232"/>
      <c r="K74" s="1233"/>
      <c r="L74" s="4415" t="s">
        <v>2083</v>
      </c>
      <c r="M74" s="1283"/>
      <c r="N74" s="4388"/>
      <c r="O74" s="4420"/>
    </row>
    <row r="75" spans="2:18" s="1264" customFormat="1" ht="25.5" customHeight="1">
      <c r="B75" s="1231" t="s">
        <v>2081</v>
      </c>
      <c r="C75" s="1238"/>
      <c r="D75" s="1232"/>
      <c r="E75" s="1241"/>
      <c r="F75" s="1232"/>
      <c r="G75" s="1284" t="s">
        <v>2082</v>
      </c>
      <c r="H75" s="1232"/>
      <c r="I75" s="1234"/>
      <c r="J75" s="1240"/>
      <c r="K75" s="1239"/>
      <c r="L75" s="4415" t="s">
        <v>2106</v>
      </c>
      <c r="M75" s="4416"/>
      <c r="N75" s="4388"/>
      <c r="O75" s="4420"/>
    </row>
    <row r="76" spans="2:18" s="1264" customFormat="1" ht="25.5" customHeight="1">
      <c r="B76" s="1231"/>
      <c r="C76" s="1238"/>
      <c r="D76" s="1232"/>
      <c r="E76" s="1241"/>
      <c r="F76" s="1232"/>
      <c r="G76" s="1285"/>
      <c r="H76" s="1286"/>
      <c r="I76" s="1287"/>
      <c r="J76" s="1288"/>
      <c r="K76" s="1289"/>
      <c r="L76" s="1290" t="s">
        <v>2107</v>
      </c>
      <c r="M76" s="4416"/>
      <c r="N76" s="4388"/>
      <c r="O76" s="4420"/>
    </row>
    <row r="77" spans="2:18" s="1264" customFormat="1" ht="24.75" customHeight="1">
      <c r="B77" s="1291"/>
      <c r="C77" s="1246"/>
      <c r="D77" s="1246"/>
      <c r="E77" s="1246"/>
      <c r="F77" s="1246"/>
      <c r="G77" s="1247"/>
      <c r="H77" s="1246"/>
      <c r="I77" s="1246"/>
      <c r="J77" s="1246"/>
      <c r="K77" s="1246"/>
      <c r="L77" s="4415"/>
      <c r="M77" s="4416"/>
      <c r="N77" s="4388"/>
      <c r="O77" s="4420"/>
    </row>
    <row r="78" spans="2:18" s="1264" customFormat="1" ht="27" customHeight="1">
      <c r="B78" s="4377" t="s">
        <v>170</v>
      </c>
      <c r="C78" s="4382" t="s">
        <v>330</v>
      </c>
      <c r="D78" s="4382" t="s">
        <v>2086</v>
      </c>
      <c r="E78" s="4382" t="s">
        <v>2087</v>
      </c>
      <c r="F78" s="4382" t="s">
        <v>40</v>
      </c>
      <c r="G78" s="1242" t="s">
        <v>170</v>
      </c>
      <c r="H78" s="4382" t="s">
        <v>330</v>
      </c>
      <c r="I78" s="4382" t="s">
        <v>2086</v>
      </c>
      <c r="J78" s="4382" t="s">
        <v>2087</v>
      </c>
      <c r="K78" s="4382" t="s">
        <v>40</v>
      </c>
      <c r="L78" s="4398" t="s">
        <v>2108</v>
      </c>
      <c r="M78" s="4397"/>
      <c r="N78" s="1292"/>
      <c r="O78" s="1293"/>
    </row>
    <row r="79" spans="2:18" s="1350" customFormat="1" ht="20.25">
      <c r="B79" s="4377"/>
      <c r="C79" s="1242"/>
      <c r="D79" s="1242"/>
      <c r="E79" s="1242"/>
      <c r="F79" s="1242"/>
      <c r="G79" s="1242"/>
      <c r="H79" s="1242"/>
      <c r="I79" s="1242"/>
      <c r="J79" s="1242"/>
      <c r="K79" s="1242"/>
      <c r="L79" s="4415" t="s">
        <v>2109</v>
      </c>
      <c r="M79" s="4397"/>
      <c r="N79" s="4388"/>
      <c r="O79" s="4420"/>
      <c r="P79" s="1264"/>
      <c r="Q79" s="1264"/>
      <c r="R79" s="1264"/>
    </row>
    <row r="80" spans="2:18" s="1264" customFormat="1" ht="20.25">
      <c r="B80" s="4377" t="s">
        <v>187</v>
      </c>
      <c r="C80" s="4382" t="s">
        <v>119</v>
      </c>
      <c r="D80" s="4382" t="s">
        <v>2091</v>
      </c>
      <c r="E80" s="4382" t="s">
        <v>2092</v>
      </c>
      <c r="F80" s="4382" t="s">
        <v>63</v>
      </c>
      <c r="G80" s="1242" t="s">
        <v>187</v>
      </c>
      <c r="H80" s="4382" t="s">
        <v>119</v>
      </c>
      <c r="I80" s="4382" t="s">
        <v>2091</v>
      </c>
      <c r="J80" s="4382" t="s">
        <v>2092</v>
      </c>
      <c r="K80" s="4382" t="s">
        <v>63</v>
      </c>
      <c r="L80" s="1242" t="s">
        <v>2093</v>
      </c>
      <c r="M80" s="4416"/>
      <c r="N80" s="1283"/>
      <c r="O80" s="1294"/>
    </row>
    <row r="81" spans="2:15" s="1999" customFormat="1" ht="23.25" customHeight="1">
      <c r="B81" s="1295">
        <v>2174.1</v>
      </c>
      <c r="C81" s="1296">
        <v>463.5</v>
      </c>
      <c r="D81" s="1297">
        <v>150.69999999999999</v>
      </c>
      <c r="E81" s="1296">
        <v>144.30000000000001</v>
      </c>
      <c r="F81" s="1297">
        <v>1415.6</v>
      </c>
      <c r="G81" s="1298">
        <v>9722.2999999999993</v>
      </c>
      <c r="H81" s="1297">
        <v>1807.6</v>
      </c>
      <c r="I81" s="1297">
        <v>621.1</v>
      </c>
      <c r="J81" s="1297">
        <v>1305.4000000000001</v>
      </c>
      <c r="K81" s="1297">
        <v>5988.2</v>
      </c>
      <c r="L81" s="1299">
        <f t="shared" ref="L81:L90" si="3">G81+B81</f>
        <v>11896.4</v>
      </c>
      <c r="M81" s="1298"/>
      <c r="N81" s="4389">
        <v>2006</v>
      </c>
      <c r="O81" s="1300"/>
    </row>
    <row r="82" spans="2:15" s="1999" customFormat="1" ht="23.25" customHeight="1">
      <c r="B82" s="1301">
        <f t="shared" ref="B82:B90" si="4">F82+E82+D82+C82</f>
        <v>2316.6999999999998</v>
      </c>
      <c r="C82" s="1302">
        <v>742.2</v>
      </c>
      <c r="D82" s="1303">
        <v>208.6</v>
      </c>
      <c r="E82" s="1302">
        <v>118.7</v>
      </c>
      <c r="F82" s="1303">
        <v>1247.2</v>
      </c>
      <c r="G82" s="1304">
        <f t="shared" ref="G82:G90" si="5">K82+J82+I82+H82</f>
        <v>9260</v>
      </c>
      <c r="H82" s="1303">
        <v>2025.7</v>
      </c>
      <c r="I82" s="1303">
        <v>874.7</v>
      </c>
      <c r="J82" s="1303">
        <v>1371.6</v>
      </c>
      <c r="K82" s="1303">
        <v>4988</v>
      </c>
      <c r="L82" s="1305">
        <f t="shared" si="3"/>
        <v>11576.7</v>
      </c>
      <c r="M82" s="1304"/>
      <c r="N82" s="4385">
        <v>2007</v>
      </c>
      <c r="O82" s="1306"/>
    </row>
    <row r="83" spans="2:15" s="1999" customFormat="1" ht="23.25" customHeight="1">
      <c r="B83" s="1295">
        <v>2043.4</v>
      </c>
      <c r="C83" s="1296">
        <v>353.5</v>
      </c>
      <c r="D83" s="1297">
        <v>141.5</v>
      </c>
      <c r="E83" s="1296">
        <v>125.6</v>
      </c>
      <c r="F83" s="1297">
        <v>1422.7</v>
      </c>
      <c r="G83" s="1298">
        <f t="shared" si="5"/>
        <v>10444</v>
      </c>
      <c r="H83" s="1297">
        <v>2509.6999999999998</v>
      </c>
      <c r="I83" s="1297">
        <v>1101.3</v>
      </c>
      <c r="J83" s="1297">
        <v>1493.4</v>
      </c>
      <c r="K83" s="1297">
        <v>5339.6</v>
      </c>
      <c r="L83" s="1299">
        <f t="shared" si="3"/>
        <v>12487.4</v>
      </c>
      <c r="M83" s="1298"/>
      <c r="N83" s="4389">
        <v>2008</v>
      </c>
      <c r="O83" s="1300"/>
    </row>
    <row r="84" spans="2:15" s="1999" customFormat="1" ht="23.25" customHeight="1">
      <c r="B84" s="1301">
        <v>2085.6999999999998</v>
      </c>
      <c r="C84" s="1302">
        <v>458.3</v>
      </c>
      <c r="D84" s="1303">
        <v>106.2</v>
      </c>
      <c r="E84" s="1302">
        <v>124.3</v>
      </c>
      <c r="F84" s="1303">
        <v>1397</v>
      </c>
      <c r="G84" s="1304">
        <f t="shared" si="5"/>
        <v>7956.2000000000007</v>
      </c>
      <c r="H84" s="1303">
        <v>2055.6</v>
      </c>
      <c r="I84" s="1303">
        <v>569.1</v>
      </c>
      <c r="J84" s="1303">
        <v>1374.7</v>
      </c>
      <c r="K84" s="1303">
        <v>3956.8</v>
      </c>
      <c r="L84" s="1305">
        <f t="shared" si="3"/>
        <v>10041.900000000001</v>
      </c>
      <c r="M84" s="1304"/>
      <c r="N84" s="4385">
        <v>2009</v>
      </c>
      <c r="O84" s="1306"/>
    </row>
    <row r="85" spans="2:15" s="1999" customFormat="1" ht="23.25" customHeight="1">
      <c r="B85" s="1295">
        <f t="shared" si="4"/>
        <v>2267.2999999999997</v>
      </c>
      <c r="C85" s="1296">
        <v>472.7</v>
      </c>
      <c r="D85" s="1297">
        <v>154.30000000000001</v>
      </c>
      <c r="E85" s="1296">
        <v>166.6</v>
      </c>
      <c r="F85" s="1297">
        <v>1473.7</v>
      </c>
      <c r="G85" s="1298">
        <f t="shared" si="5"/>
        <v>8488.2000000000007</v>
      </c>
      <c r="H85" s="1297">
        <v>2086.8000000000002</v>
      </c>
      <c r="I85" s="1297">
        <v>585.20000000000005</v>
      </c>
      <c r="J85" s="1297">
        <v>1461.9</v>
      </c>
      <c r="K85" s="1297">
        <v>4354.3</v>
      </c>
      <c r="L85" s="1299">
        <f t="shared" si="3"/>
        <v>10755.5</v>
      </c>
      <c r="M85" s="1298"/>
      <c r="N85" s="4389">
        <v>2010</v>
      </c>
      <c r="O85" s="1300"/>
    </row>
    <row r="86" spans="2:15" s="1999" customFormat="1" ht="23.25" customHeight="1">
      <c r="B86" s="1301">
        <f t="shared" si="4"/>
        <v>2440.6999999999998</v>
      </c>
      <c r="C86" s="1302">
        <v>568.20000000000005</v>
      </c>
      <c r="D86" s="1303">
        <v>172.7</v>
      </c>
      <c r="E86" s="1302">
        <v>110.6</v>
      </c>
      <c r="F86" s="1303">
        <v>1589.2</v>
      </c>
      <c r="G86" s="1304">
        <f t="shared" si="5"/>
        <v>9719.9</v>
      </c>
      <c r="H86" s="1303">
        <v>1822.4</v>
      </c>
      <c r="I86" s="1303">
        <v>699</v>
      </c>
      <c r="J86" s="1303">
        <v>1388.2</v>
      </c>
      <c r="K86" s="1303">
        <v>5810.3</v>
      </c>
      <c r="L86" s="1305">
        <f t="shared" si="3"/>
        <v>12160.599999999999</v>
      </c>
      <c r="M86" s="1304"/>
      <c r="N86" s="4385">
        <v>2011</v>
      </c>
      <c r="O86" s="1306"/>
    </row>
    <row r="87" spans="2:15" s="1999" customFormat="1" ht="23.25" customHeight="1">
      <c r="B87" s="1295">
        <f t="shared" si="4"/>
        <v>2215.5</v>
      </c>
      <c r="C87" s="1296">
        <v>333.8</v>
      </c>
      <c r="D87" s="1296">
        <v>146.6</v>
      </c>
      <c r="E87" s="1296">
        <v>131.1</v>
      </c>
      <c r="F87" s="1296">
        <v>1604</v>
      </c>
      <c r="G87" s="1298">
        <f t="shared" si="5"/>
        <v>10691.2</v>
      </c>
      <c r="H87" s="1296">
        <v>2115.6999999999998</v>
      </c>
      <c r="I87" s="1296">
        <v>756.3</v>
      </c>
      <c r="J87" s="1296">
        <v>1806</v>
      </c>
      <c r="K87" s="1296">
        <v>6013.2</v>
      </c>
      <c r="L87" s="1299">
        <f t="shared" si="3"/>
        <v>12906.7</v>
      </c>
      <c r="M87" s="1298"/>
      <c r="N87" s="4389">
        <v>2012</v>
      </c>
      <c r="O87" s="1300"/>
    </row>
    <row r="88" spans="2:15" s="1999" customFormat="1" ht="23.25" customHeight="1">
      <c r="B88" s="1301">
        <f t="shared" si="4"/>
        <v>2167.5</v>
      </c>
      <c r="C88" s="1302">
        <v>398.8</v>
      </c>
      <c r="D88" s="1302">
        <v>175.6</v>
      </c>
      <c r="E88" s="1302">
        <v>254.8</v>
      </c>
      <c r="F88" s="1302">
        <v>1338.3</v>
      </c>
      <c r="G88" s="1304">
        <f t="shared" si="5"/>
        <v>11817.6</v>
      </c>
      <c r="H88" s="1302">
        <v>2556</v>
      </c>
      <c r="I88" s="1302">
        <v>942.9</v>
      </c>
      <c r="J88" s="1302">
        <v>2243.1</v>
      </c>
      <c r="K88" s="1302">
        <v>6075.6</v>
      </c>
      <c r="L88" s="1305">
        <f>G88+B88</f>
        <v>13985.1</v>
      </c>
      <c r="M88" s="1304"/>
      <c r="N88" s="4385">
        <v>2013</v>
      </c>
      <c r="O88" s="1306"/>
    </row>
    <row r="89" spans="2:15" s="1999" customFormat="1" ht="23.25" customHeight="1">
      <c r="B89" s="1295">
        <f t="shared" si="4"/>
        <v>2413.9</v>
      </c>
      <c r="C89" s="1296">
        <v>298.3</v>
      </c>
      <c r="D89" s="1296">
        <v>265.2</v>
      </c>
      <c r="E89" s="1296">
        <v>233.6</v>
      </c>
      <c r="F89" s="1296">
        <v>1616.8</v>
      </c>
      <c r="G89" s="1298">
        <f t="shared" si="5"/>
        <v>12578.4</v>
      </c>
      <c r="H89" s="1296">
        <v>2899</v>
      </c>
      <c r="I89" s="1296">
        <v>983.4</v>
      </c>
      <c r="J89" s="1296">
        <v>2611.9</v>
      </c>
      <c r="K89" s="1296">
        <v>6084.1</v>
      </c>
      <c r="L89" s="1298">
        <f t="shared" si="3"/>
        <v>14992.3</v>
      </c>
      <c r="M89" s="1298"/>
      <c r="N89" s="4389">
        <v>2014</v>
      </c>
      <c r="O89" s="1300"/>
    </row>
    <row r="90" spans="2:15" s="1999" customFormat="1" ht="23.25" customHeight="1">
      <c r="B90" s="1301">
        <f t="shared" si="4"/>
        <v>2243.8000000000002</v>
      </c>
      <c r="C90" s="1302">
        <v>300.60000000000002</v>
      </c>
      <c r="D90" s="1302">
        <v>217.3</v>
      </c>
      <c r="E90" s="1302">
        <v>268.89999999999998</v>
      </c>
      <c r="F90" s="1302">
        <v>1457</v>
      </c>
      <c r="G90" s="1304">
        <f t="shared" si="5"/>
        <v>10879</v>
      </c>
      <c r="H90" s="1302">
        <v>2644.8</v>
      </c>
      <c r="I90" s="1302">
        <v>888.8</v>
      </c>
      <c r="J90" s="1302">
        <v>2378.1</v>
      </c>
      <c r="K90" s="1302">
        <v>4967.3</v>
      </c>
      <c r="L90" s="1304">
        <f t="shared" si="3"/>
        <v>13122.8</v>
      </c>
      <c r="M90" s="1304"/>
      <c r="N90" s="4385">
        <v>2015</v>
      </c>
      <c r="O90" s="1306"/>
    </row>
    <row r="91" spans="2:15" s="1999" customFormat="1" ht="23.25" customHeight="1">
      <c r="B91" s="1295">
        <v>2510.5</v>
      </c>
      <c r="C91" s="1296">
        <v>409</v>
      </c>
      <c r="D91" s="1296">
        <v>294.39999999999998</v>
      </c>
      <c r="E91" s="1296">
        <v>188.6</v>
      </c>
      <c r="F91" s="1296">
        <v>1618.5</v>
      </c>
      <c r="G91" s="1298">
        <v>10799.7</v>
      </c>
      <c r="H91" s="1296">
        <v>3104.3</v>
      </c>
      <c r="I91" s="1296">
        <v>1076.3</v>
      </c>
      <c r="J91" s="1296">
        <v>2599.3000000000002</v>
      </c>
      <c r="K91" s="1296">
        <v>4019.7</v>
      </c>
      <c r="L91" s="1298">
        <v>13310.2</v>
      </c>
      <c r="M91" s="1298"/>
      <c r="N91" s="4389">
        <v>2016</v>
      </c>
      <c r="O91" s="1300"/>
    </row>
    <row r="92" spans="2:15" s="1999" customFormat="1" ht="23.25" customHeight="1">
      <c r="B92" s="1301">
        <v>2920.7</v>
      </c>
      <c r="C92" s="1302">
        <v>395.2</v>
      </c>
      <c r="D92" s="1302">
        <v>473.2</v>
      </c>
      <c r="E92" s="1302">
        <v>194.4</v>
      </c>
      <c r="F92" s="1302">
        <v>1857.8</v>
      </c>
      <c r="G92" s="1304">
        <v>10987.4</v>
      </c>
      <c r="H92" s="1302">
        <v>3291.4</v>
      </c>
      <c r="I92" s="1302">
        <v>1374.6</v>
      </c>
      <c r="J92" s="1302">
        <v>2353.3000000000002</v>
      </c>
      <c r="K92" s="1302">
        <v>3968.1</v>
      </c>
      <c r="L92" s="1304">
        <v>13908.099999999999</v>
      </c>
      <c r="M92" s="1304"/>
      <c r="N92" s="4385">
        <v>2017</v>
      </c>
      <c r="O92" s="1306"/>
    </row>
    <row r="93" spans="2:15" s="1999" customFormat="1" ht="23.25" customHeight="1">
      <c r="B93" s="1295">
        <v>2697.373</v>
      </c>
      <c r="C93" s="1296">
        <v>268</v>
      </c>
      <c r="D93" s="1296">
        <v>296.85399999999998</v>
      </c>
      <c r="E93" s="1296">
        <v>195.50800000000001</v>
      </c>
      <c r="F93" s="1296">
        <v>1937.011</v>
      </c>
      <c r="G93" s="1298">
        <v>8219.4399999999987</v>
      </c>
      <c r="H93" s="1296">
        <v>2199.5479999999998</v>
      </c>
      <c r="I93" s="1296">
        <v>1145.4839999999999</v>
      </c>
      <c r="J93" s="1296">
        <v>1608.4</v>
      </c>
      <c r="K93" s="1296">
        <v>3266.0079999999998</v>
      </c>
      <c r="L93" s="1298">
        <v>10916.812999999998</v>
      </c>
      <c r="M93" s="1298"/>
      <c r="N93" s="4389">
        <v>2018</v>
      </c>
      <c r="O93" s="1300"/>
    </row>
    <row r="94" spans="2:15" s="1999" customFormat="1" ht="23.25" customHeight="1">
      <c r="B94" s="1301">
        <v>1585.3</v>
      </c>
      <c r="C94" s="1302">
        <v>247</v>
      </c>
      <c r="D94" s="1302">
        <v>188.8</v>
      </c>
      <c r="E94" s="1302">
        <v>48.4</v>
      </c>
      <c r="F94" s="1302">
        <v>1101.0999999999999</v>
      </c>
      <c r="G94" s="1304">
        <v>5494.7000000000007</v>
      </c>
      <c r="H94" s="1302">
        <v>1503.4</v>
      </c>
      <c r="I94" s="1302">
        <v>639.70000000000005</v>
      </c>
      <c r="J94" s="1302">
        <v>1130.4000000000001</v>
      </c>
      <c r="K94" s="1302">
        <v>2221.1999999999998</v>
      </c>
      <c r="L94" s="1304">
        <v>7080.0000000000009</v>
      </c>
      <c r="M94" s="1304"/>
      <c r="N94" s="4385">
        <v>2019</v>
      </c>
      <c r="O94" s="1306"/>
    </row>
    <row r="95" spans="2:15" s="1999" customFormat="1" ht="23.25" customHeight="1">
      <c r="B95" s="1295">
        <v>760.81200000000001</v>
      </c>
      <c r="C95" s="1296">
        <v>168.59</v>
      </c>
      <c r="D95" s="1296">
        <v>152.46899999999999</v>
      </c>
      <c r="E95" s="1296">
        <v>56.753999999999991</v>
      </c>
      <c r="F95" s="1296">
        <v>382.99900000000002</v>
      </c>
      <c r="G95" s="1298">
        <v>4959.9589999999998</v>
      </c>
      <c r="H95" s="1296">
        <v>1309.2549999999999</v>
      </c>
      <c r="I95" s="1296">
        <v>537.80999999999995</v>
      </c>
      <c r="J95" s="1296">
        <v>1066.4760000000001</v>
      </c>
      <c r="K95" s="1296">
        <v>2046.4179999999999</v>
      </c>
      <c r="L95" s="1298">
        <v>5720.7709999999997</v>
      </c>
      <c r="M95" s="4508"/>
      <c r="N95" s="4508">
        <v>2020</v>
      </c>
      <c r="O95" s="4509"/>
    </row>
    <row r="96" spans="2:15" s="1999" customFormat="1" ht="23.25" customHeight="1">
      <c r="B96" s="1301">
        <v>1062.6000000000001</v>
      </c>
      <c r="C96" s="1302">
        <v>205.2</v>
      </c>
      <c r="D96" s="1302">
        <v>115.2</v>
      </c>
      <c r="E96" s="1302">
        <v>28.6</v>
      </c>
      <c r="F96" s="1302">
        <v>713.6</v>
      </c>
      <c r="G96" s="1304">
        <v>7684.5</v>
      </c>
      <c r="H96" s="1302">
        <v>2056.3000000000002</v>
      </c>
      <c r="I96" s="1302">
        <v>698.8</v>
      </c>
      <c r="J96" s="1302">
        <v>1396.6</v>
      </c>
      <c r="K96" s="1302">
        <v>3532.7</v>
      </c>
      <c r="L96" s="1304">
        <v>8747.1</v>
      </c>
      <c r="M96" s="1304"/>
      <c r="N96" s="4516">
        <v>2021</v>
      </c>
      <c r="O96" s="1306"/>
    </row>
    <row r="97" spans="1:144" s="1999" customFormat="1" ht="23.25" customHeight="1">
      <c r="B97" s="4582">
        <v>1490.5</v>
      </c>
      <c r="C97" s="4583">
        <v>422.6</v>
      </c>
      <c r="D97" s="4583">
        <v>119.3</v>
      </c>
      <c r="E97" s="4583">
        <v>88.1</v>
      </c>
      <c r="F97" s="4583">
        <v>860.5</v>
      </c>
      <c r="G97" s="4584">
        <v>7567.4</v>
      </c>
      <c r="H97" s="4583">
        <v>1959.5</v>
      </c>
      <c r="I97" s="4583">
        <v>683.5</v>
      </c>
      <c r="J97" s="4583">
        <v>1448.7</v>
      </c>
      <c r="K97" s="4583">
        <v>3475.7</v>
      </c>
      <c r="L97" s="4584">
        <v>9057.9</v>
      </c>
      <c r="M97" s="4520"/>
      <c r="N97" s="4520">
        <v>2022</v>
      </c>
      <c r="O97" s="4521"/>
    </row>
    <row r="98" spans="1:144" s="2254" customFormat="1" ht="18">
      <c r="B98" s="4384" t="s">
        <v>2571</v>
      </c>
      <c r="C98" s="1265"/>
      <c r="D98" s="1266"/>
      <c r="E98" s="1266"/>
      <c r="F98" s="1266"/>
      <c r="G98" s="1267"/>
      <c r="H98" s="1267"/>
      <c r="I98" s="1267"/>
      <c r="J98" s="1267"/>
      <c r="K98" s="4379"/>
      <c r="L98" s="4379"/>
      <c r="M98" s="1268"/>
      <c r="N98" s="4379" t="s">
        <v>2572</v>
      </c>
      <c r="O98" s="1308"/>
      <c r="P98" s="3938"/>
    </row>
    <row r="99" spans="1:144" s="1274" customFormat="1" ht="30" customHeight="1">
      <c r="A99" s="1836"/>
      <c r="B99" s="1269" t="s">
        <v>2566</v>
      </c>
      <c r="C99" s="1270" t="s">
        <v>2567</v>
      </c>
      <c r="E99" s="1271"/>
      <c r="F99" s="1271"/>
      <c r="G99" s="1272"/>
      <c r="H99" s="1272"/>
      <c r="I99" s="1272"/>
      <c r="J99" s="1272"/>
      <c r="K99" s="1272"/>
      <c r="L99" s="1272"/>
      <c r="M99" s="1270" t="s">
        <v>2568</v>
      </c>
      <c r="N99" s="1273" t="s">
        <v>2569</v>
      </c>
      <c r="P99" s="1273"/>
      <c r="Q99" s="3944"/>
      <c r="S99" s="3945"/>
      <c r="T99" s="3945"/>
      <c r="U99" s="3945"/>
      <c r="V99" s="3945"/>
      <c r="W99" s="3945"/>
      <c r="X99" s="3945"/>
      <c r="Z99" s="1224"/>
      <c r="AA99" s="1224"/>
      <c r="AB99" s="1224"/>
      <c r="AC99" s="1224"/>
      <c r="AD99" s="1224"/>
      <c r="AE99" s="1224"/>
      <c r="AF99" s="1224"/>
      <c r="AG99" s="1224"/>
      <c r="AH99" s="1224"/>
      <c r="AI99" s="1224"/>
      <c r="AJ99" s="1224"/>
      <c r="AK99" s="1224"/>
      <c r="AL99" s="1224"/>
      <c r="AM99" s="1224"/>
      <c r="AN99" s="1224"/>
      <c r="AO99" s="1224"/>
      <c r="AP99" s="1224"/>
      <c r="AQ99" s="1224"/>
      <c r="AR99" s="1224"/>
      <c r="AS99" s="1224"/>
      <c r="AT99" s="1224"/>
      <c r="AU99" s="1224"/>
      <c r="AV99" s="1224"/>
      <c r="AW99" s="1224"/>
      <c r="AX99" s="1224"/>
      <c r="AY99" s="1224"/>
      <c r="AZ99" s="1224"/>
      <c r="BA99" s="1224"/>
      <c r="BB99" s="1224"/>
      <c r="BC99" s="1224"/>
      <c r="BD99" s="1224"/>
      <c r="BE99" s="1224"/>
      <c r="BF99" s="1224"/>
      <c r="BG99" s="1224"/>
      <c r="BH99" s="1224"/>
      <c r="BI99" s="1224"/>
      <c r="BJ99" s="1224"/>
      <c r="BK99" s="1224"/>
      <c r="BL99" s="1224"/>
      <c r="BM99" s="1224"/>
      <c r="BN99" s="1224"/>
      <c r="BO99" s="1224"/>
      <c r="BP99" s="1224"/>
      <c r="BQ99" s="1224"/>
      <c r="BR99" s="1224"/>
      <c r="BS99" s="1224"/>
      <c r="BT99" s="1224"/>
      <c r="BU99" s="1224"/>
      <c r="BV99" s="1224"/>
      <c r="BW99" s="1224"/>
      <c r="BX99" s="1224"/>
      <c r="BY99" s="1224"/>
      <c r="BZ99" s="1224"/>
      <c r="CA99" s="1224"/>
      <c r="CB99" s="1224"/>
      <c r="CC99" s="1224"/>
      <c r="CD99" s="1224"/>
      <c r="CE99" s="1224"/>
      <c r="CF99" s="1224"/>
      <c r="CG99" s="1224"/>
      <c r="CH99" s="1224"/>
      <c r="CI99" s="1224"/>
      <c r="CJ99" s="1224"/>
      <c r="CK99" s="1224"/>
      <c r="CL99" s="1224"/>
      <c r="CM99" s="1224"/>
      <c r="CN99" s="1224"/>
      <c r="CO99" s="1224"/>
      <c r="CP99" s="1224"/>
      <c r="CQ99" s="1224"/>
      <c r="CR99" s="1224"/>
      <c r="CS99" s="1224"/>
      <c r="CT99" s="1224"/>
      <c r="CU99" s="1224"/>
      <c r="CV99" s="1224"/>
      <c r="CW99" s="1224"/>
      <c r="CX99" s="1224"/>
      <c r="CY99" s="1224"/>
      <c r="CZ99" s="1224"/>
      <c r="DA99" s="1224"/>
      <c r="DB99" s="1224"/>
      <c r="DC99" s="1224"/>
      <c r="DD99" s="1224"/>
      <c r="DE99" s="1224"/>
      <c r="DF99" s="1224"/>
      <c r="DG99" s="1224"/>
      <c r="DH99" s="1224"/>
      <c r="DI99" s="1224"/>
      <c r="DJ99" s="1224"/>
      <c r="DK99" s="1224"/>
      <c r="DL99" s="1224"/>
      <c r="DM99" s="1224"/>
      <c r="DN99" s="1224"/>
      <c r="DO99" s="1224"/>
      <c r="DP99" s="1224"/>
      <c r="DQ99" s="1224"/>
      <c r="DR99" s="1224"/>
      <c r="DS99" s="1224"/>
      <c r="DT99" s="1224"/>
      <c r="DU99" s="1224"/>
      <c r="DV99" s="1224"/>
      <c r="DW99" s="1224"/>
      <c r="DX99" s="1224"/>
      <c r="DY99" s="1224"/>
      <c r="DZ99" s="1224"/>
      <c r="EA99" s="1224"/>
      <c r="EB99" s="1224"/>
      <c r="EC99" s="1224"/>
      <c r="ED99" s="1224"/>
      <c r="EE99" s="1224"/>
      <c r="EF99" s="1224"/>
      <c r="EG99" s="1224"/>
      <c r="EH99" s="1224"/>
      <c r="EL99" s="3946"/>
      <c r="EM99" s="3947"/>
      <c r="EN99" s="3946"/>
    </row>
    <row r="100" spans="1:144" s="1986" customFormat="1" ht="17.100000000000001" customHeight="1">
      <c r="B100" s="5264" t="s">
        <v>2570</v>
      </c>
      <c r="C100" s="5264"/>
      <c r="D100" s="5264"/>
      <c r="E100" s="5264"/>
      <c r="F100" s="5264"/>
      <c r="G100" s="5264"/>
      <c r="H100" s="1309"/>
      <c r="I100" s="5263" t="s">
        <v>2573</v>
      </c>
      <c r="J100" s="5263"/>
      <c r="K100" s="5263"/>
      <c r="L100" s="5263"/>
      <c r="M100" s="5263"/>
      <c r="N100" s="5263"/>
      <c r="O100" s="5263"/>
      <c r="P100" s="1309"/>
    </row>
    <row r="101" spans="1:144" s="1986" customFormat="1" ht="17.100000000000001" customHeight="1">
      <c r="A101" s="1262"/>
      <c r="B101" s="1307"/>
      <c r="C101" s="1307"/>
      <c r="D101" s="1262"/>
      <c r="E101" s="1307"/>
      <c r="F101" s="1262"/>
      <c r="G101" s="1262"/>
      <c r="H101" s="1262"/>
      <c r="I101" s="1262"/>
      <c r="J101" s="1262"/>
      <c r="K101" s="1262"/>
      <c r="L101" s="1262"/>
      <c r="M101" s="1307"/>
      <c r="N101" s="1264"/>
      <c r="O101" s="1264"/>
    </row>
    <row r="102" spans="1:144" s="1986" customFormat="1" ht="17.100000000000001" customHeight="1">
      <c r="A102" s="1262"/>
      <c r="B102" s="1307"/>
      <c r="C102" s="1307"/>
      <c r="D102" s="1262"/>
      <c r="E102" s="1307"/>
      <c r="F102" s="1262"/>
      <c r="G102" s="1262"/>
      <c r="H102" s="1262"/>
      <c r="I102" s="1262"/>
      <c r="J102" s="1262"/>
      <c r="K102" s="1262"/>
      <c r="L102" s="1262"/>
      <c r="M102" s="1307"/>
      <c r="N102" s="1264"/>
      <c r="O102" s="1264"/>
    </row>
    <row r="103" spans="1:144" s="1986" customFormat="1" ht="17.100000000000001" customHeight="1">
      <c r="A103" s="1262"/>
      <c r="B103" s="1307"/>
      <c r="C103" s="1307"/>
      <c r="D103" s="1262"/>
      <c r="E103" s="1307"/>
      <c r="F103" s="1262"/>
      <c r="G103" s="1262"/>
      <c r="H103" s="1262"/>
      <c r="I103" s="1262"/>
      <c r="J103" s="1262"/>
      <c r="K103" s="1262"/>
      <c r="L103" s="1262"/>
      <c r="M103" s="1307"/>
      <c r="N103" s="1264"/>
      <c r="O103" s="1264"/>
    </row>
    <row r="104" spans="1:144" s="1986" customFormat="1" ht="17.100000000000001" customHeight="1">
      <c r="A104" s="1262"/>
      <c r="B104" s="1307"/>
      <c r="C104" s="1307"/>
      <c r="D104" s="1262"/>
      <c r="E104" s="1307"/>
      <c r="F104" s="1262"/>
      <c r="G104" s="1262"/>
      <c r="H104" s="1262"/>
      <c r="I104" s="1262"/>
      <c r="J104" s="1262"/>
      <c r="K104" s="1262"/>
      <c r="L104" s="1262"/>
      <c r="M104" s="1307"/>
      <c r="N104" s="1264"/>
      <c r="O104" s="1264"/>
    </row>
    <row r="105" spans="1:144" s="1986" customFormat="1" ht="17.100000000000001" customHeight="1">
      <c r="A105" s="1262"/>
      <c r="B105" s="1307"/>
      <c r="C105" s="1307"/>
      <c r="D105" s="1262"/>
      <c r="E105" s="1307"/>
      <c r="F105" s="1262"/>
      <c r="G105" s="1262"/>
      <c r="H105" s="1262"/>
      <c r="I105" s="1262"/>
      <c r="J105" s="1262"/>
      <c r="K105" s="1262"/>
      <c r="L105" s="1262"/>
      <c r="M105" s="1307"/>
      <c r="N105" s="1264"/>
      <c r="O105" s="1264"/>
    </row>
    <row r="106" spans="1:144" s="1986" customFormat="1" ht="17.100000000000001" customHeight="1">
      <c r="A106" s="1262"/>
      <c r="B106" s="1307"/>
      <c r="C106" s="1307"/>
      <c r="D106" s="1262"/>
      <c r="E106" s="1307"/>
      <c r="F106" s="1262"/>
      <c r="G106" s="1262"/>
      <c r="H106" s="1262"/>
      <c r="I106" s="1262"/>
      <c r="J106" s="1262"/>
      <c r="K106" s="1262"/>
      <c r="L106" s="1262"/>
      <c r="M106" s="1307"/>
      <c r="N106" s="1264"/>
      <c r="O106" s="1264"/>
    </row>
    <row r="107" spans="1:144" s="1986" customFormat="1" ht="17.100000000000001" customHeight="1">
      <c r="A107" s="1262"/>
      <c r="B107" s="1307"/>
      <c r="C107" s="1307"/>
      <c r="D107" s="1262"/>
      <c r="E107" s="1307"/>
      <c r="F107" s="1262"/>
      <c r="G107" s="1262"/>
      <c r="H107" s="1262"/>
      <c r="I107" s="1262"/>
      <c r="J107" s="1262"/>
      <c r="K107" s="1262"/>
      <c r="L107" s="1262"/>
      <c r="M107" s="1307"/>
      <c r="N107" s="1264"/>
      <c r="O107" s="1264"/>
    </row>
    <row r="108" spans="1:144" s="1986" customFormat="1" ht="17.100000000000001" customHeight="1">
      <c r="A108" s="1262"/>
      <c r="B108" s="1307"/>
      <c r="C108" s="1307"/>
      <c r="D108" s="1262"/>
      <c r="E108" s="1307"/>
      <c r="F108" s="1262"/>
      <c r="G108" s="1262"/>
      <c r="H108" s="1262"/>
      <c r="I108" s="1262"/>
      <c r="J108" s="1262"/>
      <c r="K108" s="1262"/>
      <c r="L108" s="1262"/>
      <c r="M108" s="1307"/>
      <c r="N108" s="1264"/>
      <c r="O108" s="1264"/>
    </row>
    <row r="109" spans="1:144" s="1986" customFormat="1" ht="17.100000000000001" customHeight="1">
      <c r="A109" s="1262"/>
      <c r="B109" s="1307"/>
      <c r="C109" s="1307"/>
      <c r="D109" s="1262"/>
      <c r="E109" s="1307"/>
      <c r="G109" s="1262"/>
      <c r="H109" s="1262"/>
      <c r="I109" s="1262"/>
      <c r="J109" s="1262"/>
      <c r="K109" s="1262"/>
      <c r="L109" s="1262"/>
      <c r="M109" s="1307"/>
      <c r="N109" s="1264"/>
      <c r="O109" s="1264"/>
    </row>
    <row r="110" spans="1:144" s="1986" customFormat="1" ht="17.100000000000001" customHeight="1">
      <c r="A110" s="1262"/>
      <c r="B110" s="1307"/>
      <c r="C110" s="1307"/>
      <c r="D110" s="1262"/>
      <c r="E110" s="1307"/>
      <c r="G110" s="1262"/>
      <c r="H110" s="1262"/>
      <c r="I110" s="1262"/>
      <c r="J110" s="1262"/>
      <c r="K110" s="1262"/>
      <c r="L110" s="1262"/>
      <c r="M110" s="1307"/>
      <c r="N110" s="1264"/>
      <c r="O110" s="1264"/>
    </row>
    <row r="111" spans="1:144" s="1986" customFormat="1" ht="17.100000000000001" customHeight="1">
      <c r="A111" s="1262"/>
      <c r="B111" s="1307"/>
      <c r="C111" s="1307"/>
      <c r="D111" s="1262"/>
      <c r="E111" s="1307"/>
      <c r="G111" s="1262"/>
      <c r="H111" s="1262"/>
      <c r="I111" s="1262"/>
      <c r="J111" s="1262"/>
      <c r="K111" s="1262"/>
      <c r="L111" s="1262"/>
      <c r="M111" s="1307"/>
      <c r="N111" s="1264"/>
      <c r="O111" s="1264"/>
    </row>
    <row r="112" spans="1:144" s="1986" customFormat="1" ht="17.100000000000001" customHeight="1">
      <c r="A112" s="1262"/>
      <c r="B112" s="1307"/>
      <c r="C112" s="1307"/>
      <c r="D112" s="1262"/>
      <c r="E112" s="1307"/>
      <c r="G112" s="1262"/>
      <c r="H112" s="1262"/>
      <c r="I112" s="1262"/>
      <c r="J112" s="1262"/>
      <c r="K112" s="1262"/>
      <c r="L112" s="1262"/>
      <c r="M112" s="1307"/>
      <c r="N112" s="1264"/>
      <c r="O112" s="1264"/>
    </row>
    <row r="113" spans="1:15" s="1986" customFormat="1" ht="17.100000000000001" customHeight="1">
      <c r="A113" s="1262"/>
      <c r="B113" s="1307"/>
      <c r="C113" s="1307"/>
      <c r="D113" s="1262"/>
      <c r="E113" s="1307"/>
      <c r="F113" s="1262"/>
      <c r="G113" s="1262"/>
      <c r="H113" s="1262"/>
      <c r="I113" s="1262"/>
      <c r="J113" s="1262"/>
      <c r="K113" s="1262"/>
      <c r="L113" s="1262"/>
      <c r="M113" s="1307"/>
      <c r="N113" s="1264"/>
      <c r="O113" s="1264"/>
    </row>
    <row r="114" spans="1:15" s="1986" customFormat="1" ht="17.100000000000001" customHeight="1">
      <c r="A114" s="1262"/>
      <c r="B114" s="1307"/>
      <c r="C114" s="1307"/>
      <c r="D114" s="1262"/>
      <c r="E114" s="1307"/>
      <c r="F114" s="1262"/>
      <c r="G114" s="1262"/>
      <c r="H114" s="1262"/>
      <c r="I114" s="1262"/>
      <c r="J114" s="1262"/>
      <c r="K114" s="1262"/>
      <c r="L114" s="1262"/>
      <c r="M114" s="1307"/>
      <c r="N114" s="1264"/>
      <c r="O114" s="1264"/>
    </row>
    <row r="115" spans="1:15" s="1986" customFormat="1" ht="17.100000000000001" customHeight="1">
      <c r="A115" s="1262"/>
      <c r="B115" s="1307"/>
      <c r="C115" s="1307"/>
      <c r="D115" s="1262"/>
      <c r="E115" s="1307"/>
      <c r="F115" s="1262"/>
      <c r="G115" s="1262"/>
      <c r="H115" s="1262"/>
      <c r="I115" s="1262"/>
      <c r="J115" s="1262"/>
      <c r="K115" s="1262"/>
      <c r="L115" s="1262"/>
      <c r="M115" s="1307"/>
      <c r="N115" s="1264"/>
      <c r="O115" s="1264"/>
    </row>
    <row r="116" spans="1:15" s="1986" customFormat="1" ht="17.100000000000001" customHeight="1">
      <c r="A116" s="1262"/>
      <c r="B116" s="1307"/>
      <c r="C116" s="1307"/>
      <c r="D116" s="1262"/>
      <c r="E116" s="1307"/>
      <c r="F116" s="1262"/>
      <c r="G116" s="1262"/>
      <c r="H116" s="1262"/>
      <c r="I116" s="1262"/>
      <c r="J116" s="1262"/>
      <c r="K116" s="1262"/>
      <c r="L116" s="1262"/>
      <c r="M116" s="1307"/>
      <c r="N116" s="1264"/>
      <c r="O116" s="1264"/>
    </row>
    <row r="117" spans="1:15" s="1986" customFormat="1" ht="17.100000000000001" customHeight="1">
      <c r="A117" s="1262"/>
      <c r="B117" s="1307"/>
      <c r="C117" s="1307"/>
      <c r="D117" s="1262"/>
      <c r="E117" s="1307"/>
      <c r="F117" s="1262"/>
      <c r="G117" s="1262"/>
      <c r="H117" s="1262"/>
      <c r="I117" s="1262"/>
      <c r="J117" s="1262"/>
      <c r="K117" s="1262"/>
      <c r="L117" s="1262"/>
      <c r="M117" s="1307"/>
      <c r="N117" s="1264"/>
      <c r="O117" s="1264"/>
    </row>
    <row r="118" spans="1:15" s="1986" customFormat="1" ht="17.100000000000001" customHeight="1">
      <c r="A118" s="1262"/>
      <c r="B118" s="1307"/>
      <c r="C118" s="1307"/>
      <c r="D118" s="1262"/>
      <c r="E118" s="1307"/>
      <c r="F118" s="1262"/>
      <c r="G118" s="1262"/>
      <c r="H118" s="1262"/>
      <c r="I118" s="1262"/>
      <c r="J118" s="1262"/>
      <c r="K118" s="1262"/>
      <c r="L118" s="1262"/>
      <c r="M118" s="1307"/>
      <c r="N118" s="1264"/>
      <c r="O118" s="1264"/>
    </row>
    <row r="119" spans="1:15" s="1986" customFormat="1" ht="17.100000000000001" customHeight="1">
      <c r="A119" s="1262"/>
      <c r="B119" s="1307"/>
      <c r="C119" s="1307"/>
      <c r="D119" s="1262"/>
      <c r="E119" s="1307"/>
      <c r="F119" s="1262"/>
      <c r="G119" s="1262"/>
      <c r="H119" s="1262"/>
      <c r="I119" s="1262"/>
      <c r="J119" s="1262"/>
      <c r="K119" s="1262"/>
      <c r="L119" s="1262"/>
      <c r="M119" s="1307"/>
      <c r="N119" s="1264"/>
      <c r="O119" s="1264"/>
    </row>
    <row r="120" spans="1:15" s="1986" customFormat="1" ht="17.100000000000001" customHeight="1">
      <c r="A120" s="1262"/>
      <c r="B120" s="1307"/>
      <c r="C120" s="1307"/>
      <c r="D120" s="1262"/>
      <c r="E120" s="1307"/>
      <c r="G120" s="1262"/>
      <c r="H120" s="1262"/>
      <c r="I120" s="1262"/>
      <c r="J120" s="1262"/>
      <c r="K120" s="1262"/>
      <c r="L120" s="1262"/>
      <c r="M120" s="1307"/>
      <c r="N120" s="1264"/>
      <c r="O120" s="1264"/>
    </row>
    <row r="121" spans="1:15" s="1986" customFormat="1" ht="17.100000000000001" customHeight="1">
      <c r="A121" s="1262"/>
      <c r="B121" s="1307"/>
      <c r="C121" s="1307"/>
      <c r="D121" s="1262"/>
      <c r="E121" s="1307"/>
      <c r="G121" s="1262"/>
      <c r="H121" s="1262"/>
      <c r="I121" s="1262"/>
      <c r="J121" s="1262"/>
      <c r="K121" s="1262"/>
      <c r="L121" s="1262"/>
      <c r="M121" s="1307"/>
      <c r="N121" s="1264"/>
      <c r="O121" s="1264"/>
    </row>
    <row r="122" spans="1:15" s="1986" customFormat="1" ht="17.100000000000001" customHeight="1">
      <c r="A122" s="1262"/>
      <c r="B122" s="1307"/>
      <c r="C122" s="1307"/>
      <c r="D122" s="1262"/>
      <c r="E122" s="1307"/>
      <c r="G122" s="1262"/>
      <c r="H122" s="1262"/>
      <c r="I122" s="1262"/>
      <c r="J122" s="1262"/>
      <c r="K122" s="1262"/>
      <c r="L122" s="1262"/>
      <c r="M122" s="1307"/>
      <c r="N122" s="1264"/>
      <c r="O122" s="1264"/>
    </row>
    <row r="123" spans="1:15" s="1986" customFormat="1" ht="17.100000000000001" customHeight="1">
      <c r="A123" s="1262"/>
      <c r="B123" s="1307"/>
      <c r="C123" s="1307"/>
      <c r="D123" s="1262"/>
      <c r="E123" s="1307"/>
      <c r="G123" s="1262"/>
      <c r="H123" s="1262"/>
      <c r="I123" s="1262"/>
      <c r="J123" s="1262"/>
      <c r="K123" s="1262"/>
      <c r="L123" s="1262"/>
      <c r="M123" s="1307"/>
      <c r="N123" s="1264"/>
      <c r="O123" s="1264"/>
    </row>
    <row r="124" spans="1:15" s="1986" customFormat="1" ht="17.100000000000001" customHeight="1">
      <c r="A124" s="1262"/>
      <c r="B124" s="1307"/>
      <c r="C124" s="1307"/>
      <c r="D124" s="1262"/>
      <c r="E124" s="1307"/>
      <c r="F124" s="1262"/>
      <c r="G124" s="1262"/>
      <c r="H124" s="1262"/>
      <c r="I124" s="1262"/>
      <c r="J124" s="1262"/>
      <c r="K124" s="1262"/>
      <c r="L124" s="1262"/>
      <c r="M124" s="1307"/>
      <c r="N124" s="1264"/>
      <c r="O124" s="1264"/>
    </row>
    <row r="125" spans="1:15" s="1986" customFormat="1" ht="17.100000000000001" customHeight="1">
      <c r="A125" s="1262"/>
      <c r="B125" s="1307"/>
      <c r="C125" s="1307"/>
      <c r="D125" s="1262"/>
      <c r="E125" s="1307"/>
      <c r="F125" s="1262"/>
      <c r="G125" s="1262"/>
      <c r="H125" s="1262"/>
      <c r="I125" s="1262"/>
      <c r="J125" s="1262"/>
      <c r="K125" s="1262"/>
      <c r="L125" s="1262"/>
      <c r="M125" s="1307"/>
      <c r="N125" s="1264"/>
      <c r="O125" s="1264"/>
    </row>
    <row r="126" spans="1:15" s="1986" customFormat="1" ht="17.100000000000001" customHeight="1">
      <c r="A126" s="1262"/>
      <c r="B126" s="1307"/>
      <c r="C126" s="1307"/>
      <c r="D126" s="1262"/>
      <c r="E126" s="1307"/>
      <c r="F126" s="1262"/>
      <c r="G126" s="1262"/>
      <c r="H126" s="1262"/>
      <c r="I126" s="1262"/>
      <c r="J126" s="1262"/>
      <c r="K126" s="1262"/>
      <c r="L126" s="1262"/>
      <c r="M126" s="1307"/>
      <c r="N126" s="1264"/>
      <c r="O126" s="1264"/>
    </row>
    <row r="127" spans="1:15" s="1986" customFormat="1" ht="17.100000000000001" customHeight="1">
      <c r="A127" s="1262"/>
      <c r="B127" s="1307"/>
      <c r="C127" s="1307"/>
      <c r="D127" s="1262"/>
      <c r="E127" s="1307"/>
      <c r="F127" s="1262"/>
      <c r="G127" s="1262"/>
      <c r="H127" s="1262"/>
      <c r="I127" s="1262"/>
      <c r="J127" s="1262"/>
      <c r="K127" s="1262"/>
      <c r="L127" s="1262"/>
      <c r="M127" s="1307"/>
      <c r="N127" s="1264"/>
      <c r="O127" s="1264"/>
    </row>
    <row r="128" spans="1:15" s="1986" customFormat="1" ht="17.100000000000001" customHeight="1">
      <c r="A128" s="1262"/>
      <c r="B128" s="1307"/>
      <c r="C128" s="1307"/>
      <c r="D128" s="1262"/>
      <c r="E128" s="1307"/>
      <c r="F128" s="1262"/>
      <c r="G128" s="1262"/>
      <c r="H128" s="1262"/>
      <c r="I128" s="1262"/>
      <c r="J128" s="1262"/>
      <c r="K128" s="1262"/>
      <c r="L128" s="1262"/>
      <c r="M128" s="1307"/>
      <c r="N128" s="1264"/>
      <c r="O128" s="1264"/>
    </row>
    <row r="129" spans="1:15" s="1986" customFormat="1" ht="17.100000000000001" customHeight="1">
      <c r="A129" s="1262"/>
      <c r="B129" s="1307"/>
      <c r="C129" s="1307"/>
      <c r="D129" s="1262"/>
      <c r="E129" s="1307"/>
      <c r="F129" s="1262"/>
      <c r="G129" s="1262"/>
      <c r="H129" s="1262"/>
      <c r="I129" s="1262"/>
      <c r="J129" s="1262"/>
      <c r="K129" s="1262"/>
      <c r="L129" s="1262"/>
      <c r="M129" s="1307"/>
      <c r="N129" s="1264"/>
      <c r="O129" s="1264"/>
    </row>
    <row r="130" spans="1:15" s="1986" customFormat="1" ht="17.100000000000001" customHeight="1">
      <c r="A130" s="1262"/>
      <c r="B130" s="1307"/>
      <c r="C130" s="1307"/>
      <c r="D130" s="1262"/>
      <c r="E130" s="1307"/>
      <c r="F130" s="1262"/>
      <c r="G130" s="1262"/>
      <c r="H130" s="1262"/>
      <c r="I130" s="1262"/>
      <c r="J130" s="1262"/>
      <c r="K130" s="1262"/>
      <c r="L130" s="1262"/>
      <c r="M130" s="1307"/>
      <c r="N130" s="1264"/>
      <c r="O130" s="1264"/>
    </row>
    <row r="131" spans="1:15" s="1986" customFormat="1" ht="17.100000000000001" customHeight="1">
      <c r="A131" s="1262"/>
      <c r="B131" s="1307"/>
      <c r="C131" s="1307"/>
      <c r="D131" s="1262"/>
      <c r="E131" s="1307"/>
      <c r="F131" s="1262"/>
      <c r="G131" s="1262"/>
      <c r="H131" s="1262"/>
      <c r="I131" s="1262"/>
      <c r="J131" s="1262"/>
      <c r="K131" s="1262"/>
      <c r="L131" s="1262"/>
      <c r="M131" s="1307"/>
      <c r="N131" s="1264"/>
      <c r="O131" s="1264"/>
    </row>
    <row r="132" spans="1:15" s="1986" customFormat="1" ht="17.100000000000001" customHeight="1">
      <c r="A132" s="1262"/>
      <c r="B132" s="1307"/>
      <c r="C132" s="1307"/>
      <c r="D132" s="1262"/>
      <c r="E132" s="1307"/>
      <c r="F132" s="1262"/>
      <c r="G132" s="1262"/>
      <c r="H132" s="1262"/>
      <c r="I132" s="1262"/>
      <c r="J132" s="1262"/>
      <c r="K132" s="1262"/>
      <c r="L132" s="1262"/>
      <c r="M132" s="1307"/>
      <c r="N132" s="1264"/>
      <c r="O132" s="1264"/>
    </row>
    <row r="133" spans="1:15" s="1986" customFormat="1" ht="17.100000000000001" customHeight="1">
      <c r="A133" s="1262"/>
      <c r="B133" s="1307"/>
      <c r="C133" s="1307"/>
      <c r="D133" s="1262"/>
      <c r="E133" s="1307"/>
      <c r="F133" s="1262"/>
      <c r="G133" s="1262"/>
      <c r="H133" s="1262"/>
      <c r="I133" s="1262"/>
      <c r="J133" s="1262"/>
      <c r="K133" s="1262"/>
      <c r="L133" s="1262"/>
      <c r="M133" s="1307"/>
      <c r="N133" s="1264"/>
      <c r="O133" s="1264"/>
    </row>
    <row r="134" spans="1:15" s="1986" customFormat="1" ht="17.100000000000001" customHeight="1">
      <c r="A134" s="1262"/>
      <c r="B134" s="1307"/>
      <c r="C134" s="1307"/>
      <c r="D134" s="1262"/>
      <c r="E134" s="1307"/>
      <c r="F134" s="1262"/>
      <c r="G134" s="1262"/>
      <c r="H134" s="1262"/>
      <c r="I134" s="1262"/>
      <c r="J134" s="1262"/>
      <c r="K134" s="1262"/>
      <c r="L134" s="1262"/>
      <c r="M134" s="1307"/>
      <c r="N134" s="1264"/>
      <c r="O134" s="1264"/>
    </row>
    <row r="135" spans="1:15" s="1986" customFormat="1" ht="17.100000000000001" customHeight="1">
      <c r="A135" s="1262"/>
      <c r="B135" s="1307"/>
      <c r="C135" s="1307"/>
      <c r="D135" s="1262"/>
      <c r="E135" s="1307"/>
      <c r="F135" s="1262"/>
      <c r="G135" s="1262"/>
      <c r="H135" s="1262"/>
      <c r="I135" s="1262"/>
      <c r="J135" s="1262"/>
      <c r="K135" s="1262"/>
      <c r="L135" s="1262"/>
      <c r="M135" s="1307"/>
      <c r="N135" s="1264"/>
      <c r="O135" s="1264"/>
    </row>
    <row r="136" spans="1:15" s="1986" customFormat="1" ht="17.100000000000001" customHeight="1">
      <c r="A136" s="1262"/>
      <c r="B136" s="1307"/>
      <c r="C136" s="1307"/>
      <c r="D136" s="1262"/>
      <c r="E136" s="1307"/>
      <c r="F136" s="1262"/>
      <c r="G136" s="1262"/>
      <c r="H136" s="1262"/>
      <c r="I136" s="1262"/>
      <c r="J136" s="1262"/>
      <c r="K136" s="1262"/>
      <c r="L136" s="1262"/>
      <c r="M136" s="1307"/>
      <c r="N136" s="1264"/>
      <c r="O136" s="1264"/>
    </row>
    <row r="137" spans="1:15" s="1986" customFormat="1" ht="17.100000000000001" customHeight="1">
      <c r="A137" s="1262"/>
      <c r="B137" s="1307"/>
      <c r="C137" s="1307"/>
      <c r="D137" s="1262"/>
      <c r="E137" s="1307"/>
      <c r="F137" s="1262"/>
      <c r="G137" s="1262"/>
      <c r="H137" s="1262"/>
      <c r="I137" s="1262"/>
      <c r="J137" s="1262"/>
      <c r="K137" s="1262"/>
      <c r="L137" s="1262"/>
      <c r="M137" s="1307"/>
      <c r="N137" s="1264"/>
      <c r="O137" s="1264"/>
    </row>
    <row r="138" spans="1:15" s="1986" customFormat="1" ht="17.100000000000001" customHeight="1">
      <c r="A138" s="1262"/>
      <c r="B138" s="1307"/>
      <c r="C138" s="1307"/>
      <c r="D138" s="1262"/>
      <c r="E138" s="1307"/>
      <c r="F138" s="1262"/>
      <c r="G138" s="1262"/>
      <c r="H138" s="1262"/>
      <c r="I138" s="1262"/>
      <c r="J138" s="1262"/>
      <c r="K138" s="1262"/>
      <c r="L138" s="1262"/>
      <c r="M138" s="1307"/>
      <c r="N138" s="1264"/>
      <c r="O138" s="1264"/>
    </row>
    <row r="139" spans="1:15" s="1986" customFormat="1" ht="17.100000000000001" customHeight="1">
      <c r="A139" s="1262"/>
      <c r="B139" s="1307"/>
      <c r="C139" s="1307"/>
      <c r="D139" s="1262"/>
      <c r="E139" s="1307"/>
      <c r="F139" s="1262"/>
      <c r="G139" s="1262"/>
      <c r="H139" s="1262"/>
      <c r="I139" s="1262"/>
      <c r="J139" s="1262"/>
      <c r="K139" s="1262"/>
      <c r="L139" s="1262"/>
      <c r="M139" s="1307"/>
      <c r="N139" s="1264"/>
      <c r="O139" s="1264"/>
    </row>
    <row r="140" spans="1:15" s="1986" customFormat="1" ht="17.100000000000001" customHeight="1">
      <c r="A140" s="1262"/>
      <c r="B140" s="1307"/>
      <c r="C140" s="1307"/>
      <c r="D140" s="1262"/>
      <c r="E140" s="1307"/>
      <c r="F140" s="1262"/>
      <c r="G140" s="1262"/>
      <c r="H140" s="1262"/>
      <c r="I140" s="1262"/>
      <c r="J140" s="1262"/>
      <c r="K140" s="1262"/>
      <c r="L140" s="1262"/>
      <c r="M140" s="1307"/>
      <c r="N140" s="1264"/>
      <c r="O140" s="1264"/>
    </row>
    <row r="141" spans="1:15" s="1986" customFormat="1" ht="17.100000000000001" customHeight="1">
      <c r="A141" s="1262"/>
      <c r="B141" s="1307"/>
      <c r="C141" s="1307"/>
      <c r="D141" s="1262"/>
      <c r="E141" s="1307"/>
      <c r="F141" s="1262"/>
      <c r="G141" s="1262"/>
      <c r="H141" s="1262"/>
      <c r="I141" s="1262"/>
      <c r="J141" s="1262"/>
      <c r="K141" s="1262"/>
      <c r="L141" s="1262"/>
      <c r="M141" s="1307"/>
      <c r="N141" s="1264"/>
      <c r="O141" s="1264"/>
    </row>
    <row r="142" spans="1:15" s="1986" customFormat="1" ht="17.100000000000001" customHeight="1">
      <c r="A142" s="1262"/>
      <c r="B142" s="1307"/>
      <c r="C142" s="1307"/>
      <c r="D142" s="1262"/>
      <c r="E142" s="1307"/>
      <c r="F142" s="1262"/>
      <c r="G142" s="1262"/>
      <c r="H142" s="1262"/>
      <c r="I142" s="1262"/>
      <c r="J142" s="1262"/>
      <c r="K142" s="1262"/>
      <c r="L142" s="1262"/>
      <c r="M142" s="1307"/>
      <c r="N142" s="1264"/>
      <c r="O142" s="1264"/>
    </row>
    <row r="143" spans="1:15" s="1986" customFormat="1" ht="17.100000000000001" customHeight="1">
      <c r="A143" s="1262"/>
      <c r="B143" s="1307"/>
      <c r="C143" s="1307"/>
      <c r="D143" s="1262"/>
      <c r="E143" s="1307"/>
      <c r="F143" s="1262"/>
      <c r="G143" s="1262"/>
      <c r="H143" s="1262"/>
      <c r="I143" s="1262"/>
      <c r="J143" s="1262"/>
      <c r="K143" s="1262"/>
      <c r="L143" s="1262"/>
      <c r="M143" s="1307"/>
      <c r="N143" s="1264"/>
      <c r="O143" s="1264"/>
    </row>
    <row r="144" spans="1:15" s="1986" customFormat="1" ht="17.100000000000001" customHeight="1">
      <c r="A144" s="1262"/>
      <c r="B144" s="1307"/>
      <c r="C144" s="1307"/>
      <c r="D144" s="1262"/>
      <c r="E144" s="1307"/>
      <c r="F144" s="1262"/>
      <c r="G144" s="1262"/>
      <c r="H144" s="1262"/>
      <c r="I144" s="1262"/>
      <c r="J144" s="1262"/>
      <c r="K144" s="1262"/>
      <c r="L144" s="1262"/>
      <c r="M144" s="1307"/>
      <c r="N144" s="1264"/>
      <c r="O144" s="1264"/>
    </row>
    <row r="145" spans="1:15" s="1986" customFormat="1" ht="17.100000000000001" customHeight="1">
      <c r="A145" s="1262"/>
      <c r="B145" s="1307"/>
      <c r="C145" s="1307"/>
      <c r="D145" s="1262"/>
      <c r="E145" s="1307"/>
      <c r="F145" s="1262"/>
      <c r="G145" s="1262"/>
      <c r="H145" s="1262"/>
      <c r="I145" s="1262"/>
      <c r="J145" s="1262"/>
      <c r="K145" s="1262"/>
      <c r="L145" s="1262"/>
      <c r="M145" s="1307"/>
      <c r="N145" s="1264"/>
      <c r="O145" s="1264"/>
    </row>
    <row r="146" spans="1:15" s="1986" customFormat="1" ht="17.100000000000001" customHeight="1">
      <c r="A146" s="1262"/>
      <c r="B146" s="1307"/>
      <c r="C146" s="1307"/>
      <c r="D146" s="1262"/>
      <c r="E146" s="1307"/>
      <c r="F146" s="1262"/>
      <c r="G146" s="1262"/>
      <c r="H146" s="1262"/>
      <c r="I146" s="1262"/>
      <c r="J146" s="1262"/>
      <c r="K146" s="1262"/>
      <c r="L146" s="1262"/>
      <c r="M146" s="1307"/>
      <c r="N146" s="1264"/>
      <c r="O146" s="1264"/>
    </row>
    <row r="147" spans="1:15" s="1986" customFormat="1" ht="17.100000000000001" customHeight="1">
      <c r="A147" s="1262"/>
      <c r="B147" s="1307"/>
      <c r="C147" s="1307"/>
      <c r="D147" s="1262"/>
      <c r="E147" s="1307"/>
      <c r="F147" s="1262"/>
      <c r="G147" s="1262"/>
      <c r="H147" s="1262"/>
      <c r="I147" s="1262"/>
      <c r="J147" s="1262"/>
      <c r="K147" s="1262"/>
      <c r="L147" s="1262"/>
      <c r="M147" s="1307"/>
      <c r="N147" s="1264"/>
      <c r="O147" s="1264"/>
    </row>
    <row r="148" spans="1:15" s="1986" customFormat="1" ht="17.100000000000001" customHeight="1">
      <c r="A148" s="1262"/>
      <c r="B148" s="1307"/>
      <c r="C148" s="1307"/>
      <c r="D148" s="1262"/>
      <c r="E148" s="1307"/>
      <c r="F148" s="1262"/>
      <c r="G148" s="1262"/>
      <c r="H148" s="1262"/>
      <c r="I148" s="1262"/>
      <c r="J148" s="1262"/>
      <c r="K148" s="1262"/>
      <c r="L148" s="1262"/>
      <c r="M148" s="1307"/>
      <c r="N148" s="1264"/>
      <c r="O148" s="1264"/>
    </row>
    <row r="149" spans="1:15" s="1986" customFormat="1" ht="17.100000000000001" customHeight="1">
      <c r="A149" s="1262"/>
      <c r="B149" s="1307"/>
      <c r="C149" s="1307"/>
      <c r="D149" s="1262"/>
      <c r="E149" s="1307"/>
      <c r="F149" s="1262"/>
      <c r="G149" s="1262"/>
      <c r="H149" s="1262"/>
      <c r="I149" s="1262"/>
      <c r="J149" s="1262"/>
      <c r="K149" s="1262"/>
      <c r="L149" s="1262"/>
      <c r="M149" s="1307"/>
      <c r="N149" s="1264"/>
      <c r="O149" s="1264"/>
    </row>
    <row r="150" spans="1:15" s="1986" customFormat="1" ht="17.100000000000001" customHeight="1">
      <c r="A150" s="1262"/>
      <c r="B150" s="1307"/>
      <c r="C150" s="1307"/>
      <c r="D150" s="1262"/>
      <c r="E150" s="1307"/>
      <c r="F150" s="1262"/>
      <c r="G150" s="1262"/>
      <c r="H150" s="1262"/>
      <c r="I150" s="1262"/>
      <c r="J150" s="1262"/>
      <c r="K150" s="1262"/>
      <c r="L150" s="1262"/>
      <c r="M150" s="1307"/>
      <c r="N150" s="1264"/>
      <c r="O150" s="1264"/>
    </row>
    <row r="151" spans="1:15" s="1986" customFormat="1" ht="17.100000000000001" customHeight="1">
      <c r="A151" s="1262"/>
      <c r="B151" s="1307"/>
      <c r="C151" s="1307"/>
      <c r="D151" s="1262"/>
      <c r="E151" s="1307"/>
      <c r="F151" s="1262"/>
      <c r="G151" s="1262"/>
      <c r="H151" s="1262"/>
      <c r="I151" s="1262"/>
      <c r="J151" s="1262"/>
      <c r="K151" s="1262"/>
      <c r="L151" s="1262"/>
      <c r="M151" s="1307"/>
      <c r="N151" s="1264"/>
      <c r="O151" s="1264"/>
    </row>
    <row r="152" spans="1:15" s="1986" customFormat="1" ht="17.100000000000001" customHeight="1">
      <c r="A152" s="1262"/>
      <c r="B152" s="1307"/>
      <c r="C152" s="1307"/>
      <c r="D152" s="1262"/>
      <c r="E152" s="1307"/>
      <c r="F152" s="1262"/>
      <c r="G152" s="1262"/>
      <c r="H152" s="1262"/>
      <c r="I152" s="1262"/>
      <c r="J152" s="1262"/>
      <c r="K152" s="1262"/>
      <c r="L152" s="1262"/>
      <c r="M152" s="1307"/>
      <c r="N152" s="1264"/>
      <c r="O152" s="1264"/>
    </row>
    <row r="153" spans="1:15" s="1986" customFormat="1" ht="17.100000000000001" customHeight="1">
      <c r="A153" s="1262"/>
      <c r="B153" s="1307"/>
      <c r="C153" s="1307"/>
      <c r="D153" s="1262"/>
      <c r="E153" s="1307"/>
      <c r="F153" s="1262"/>
      <c r="G153" s="1262"/>
      <c r="H153" s="1262"/>
      <c r="I153" s="1262"/>
      <c r="J153" s="1262"/>
      <c r="K153" s="1262"/>
      <c r="L153" s="1262"/>
      <c r="M153" s="1307"/>
      <c r="N153" s="1264"/>
      <c r="O153" s="1264"/>
    </row>
    <row r="154" spans="1:15" s="1986" customFormat="1" ht="17.100000000000001" customHeight="1">
      <c r="A154" s="1262"/>
      <c r="B154" s="1307"/>
      <c r="C154" s="1307"/>
      <c r="D154" s="1262"/>
      <c r="E154" s="1307"/>
      <c r="F154" s="1262"/>
      <c r="G154" s="1262"/>
      <c r="H154" s="1262"/>
      <c r="I154" s="1262"/>
      <c r="J154" s="1262"/>
      <c r="K154" s="1262"/>
      <c r="L154" s="1262"/>
      <c r="M154" s="1307"/>
      <c r="N154" s="1264"/>
      <c r="O154" s="1264"/>
    </row>
    <row r="155" spans="1:15" s="1986" customFormat="1" ht="17.100000000000001" customHeight="1">
      <c r="A155" s="1262"/>
      <c r="B155" s="1307"/>
      <c r="C155" s="1307"/>
      <c r="D155" s="1262"/>
      <c r="E155" s="1307"/>
      <c r="F155" s="1262"/>
      <c r="G155" s="1262"/>
      <c r="H155" s="1262"/>
      <c r="I155" s="1262"/>
      <c r="J155" s="1262"/>
      <c r="K155" s="1262"/>
      <c r="L155" s="1262"/>
      <c r="M155" s="1307"/>
      <c r="N155" s="1264"/>
      <c r="O155" s="1264"/>
    </row>
    <row r="156" spans="1:15" s="1986" customFormat="1" ht="17.100000000000001" customHeight="1">
      <c r="A156" s="1262"/>
      <c r="B156" s="1307"/>
      <c r="C156" s="1307"/>
      <c r="D156" s="1262"/>
      <c r="E156" s="1307"/>
      <c r="F156" s="1262"/>
      <c r="G156" s="1262"/>
      <c r="H156" s="1262"/>
      <c r="I156" s="1262"/>
      <c r="J156" s="1262"/>
      <c r="K156" s="1262"/>
      <c r="L156" s="1262"/>
      <c r="M156" s="1307"/>
      <c r="N156" s="1264"/>
      <c r="O156" s="1264"/>
    </row>
    <row r="157" spans="1:15" s="1986" customFormat="1" ht="17.100000000000001" customHeight="1">
      <c r="A157" s="1262"/>
      <c r="B157" s="1307"/>
      <c r="C157" s="1307"/>
      <c r="D157" s="1262"/>
      <c r="E157" s="1307"/>
      <c r="F157" s="1262"/>
      <c r="G157" s="1262"/>
      <c r="H157" s="1262"/>
      <c r="I157" s="1262"/>
      <c r="J157" s="1262"/>
      <c r="K157" s="1262"/>
      <c r="L157" s="1262"/>
      <c r="M157" s="1307"/>
      <c r="N157" s="1264"/>
      <c r="O157" s="1264"/>
    </row>
    <row r="158" spans="1:15" s="1986" customFormat="1" ht="17.100000000000001" customHeight="1">
      <c r="A158" s="1262"/>
      <c r="B158" s="1307"/>
      <c r="C158" s="1307"/>
      <c r="D158" s="1262"/>
      <c r="E158" s="1307"/>
      <c r="F158" s="1262"/>
      <c r="G158" s="1262"/>
      <c r="H158" s="1262"/>
      <c r="I158" s="1262"/>
      <c r="J158" s="1262"/>
      <c r="K158" s="1262"/>
      <c r="L158" s="1262"/>
      <c r="M158" s="1307"/>
      <c r="N158" s="1264"/>
      <c r="O158" s="1264"/>
    </row>
    <row r="159" spans="1:15" s="1986" customFormat="1" ht="17.100000000000001" customHeight="1">
      <c r="A159" s="1262"/>
      <c r="B159" s="1307"/>
      <c r="C159" s="1307"/>
      <c r="D159" s="1262"/>
      <c r="E159" s="1307"/>
      <c r="F159" s="1262"/>
      <c r="G159" s="1262"/>
      <c r="H159" s="1262"/>
      <c r="I159" s="1262"/>
      <c r="J159" s="1262"/>
      <c r="K159" s="1262"/>
      <c r="L159" s="1262"/>
      <c r="M159" s="1307"/>
      <c r="N159" s="1264"/>
      <c r="O159" s="1264"/>
    </row>
    <row r="160" spans="1:15" s="1986" customFormat="1" ht="17.100000000000001" customHeight="1">
      <c r="A160" s="1262"/>
      <c r="B160" s="1307"/>
      <c r="C160" s="1307"/>
      <c r="D160" s="1262"/>
      <c r="E160" s="1307"/>
      <c r="F160" s="1262"/>
      <c r="G160" s="1262"/>
      <c r="H160" s="1262"/>
      <c r="I160" s="1262"/>
      <c r="J160" s="1262"/>
      <c r="K160" s="1262"/>
      <c r="L160" s="1262"/>
      <c r="M160" s="1307"/>
      <c r="N160" s="1264"/>
      <c r="O160" s="1264"/>
    </row>
    <row r="161" spans="1:15" s="1986" customFormat="1" ht="17.100000000000001" customHeight="1">
      <c r="A161" s="1262"/>
      <c r="B161" s="1307"/>
      <c r="C161" s="1307"/>
      <c r="D161" s="1262"/>
      <c r="E161" s="1307"/>
      <c r="F161" s="1262"/>
      <c r="G161" s="1262"/>
      <c r="H161" s="1262"/>
      <c r="I161" s="1262"/>
      <c r="J161" s="1262"/>
      <c r="K161" s="1262"/>
      <c r="L161" s="1262"/>
      <c r="M161" s="1307"/>
      <c r="N161" s="1264"/>
      <c r="O161" s="1264"/>
    </row>
    <row r="162" spans="1:15" s="1986" customFormat="1" ht="17.100000000000001" customHeight="1">
      <c r="A162" s="1262"/>
      <c r="B162" s="1307"/>
      <c r="C162" s="1307"/>
      <c r="D162" s="1262"/>
      <c r="E162" s="1307"/>
      <c r="F162" s="1262"/>
      <c r="G162" s="1262"/>
      <c r="H162" s="1262"/>
      <c r="I162" s="1262"/>
      <c r="J162" s="1262"/>
      <c r="K162" s="1262"/>
      <c r="L162" s="1262"/>
      <c r="M162" s="1307"/>
      <c r="N162" s="1264"/>
      <c r="O162" s="1264"/>
    </row>
    <row r="163" spans="1:15" s="1986" customFormat="1" ht="17.100000000000001" customHeight="1">
      <c r="A163" s="1262"/>
      <c r="B163" s="1307"/>
      <c r="C163" s="1307"/>
      <c r="D163" s="1262"/>
      <c r="E163" s="1307"/>
      <c r="F163" s="1262"/>
      <c r="G163" s="1262"/>
      <c r="H163" s="1262"/>
      <c r="I163" s="1262"/>
      <c r="J163" s="1262"/>
      <c r="K163" s="1262"/>
      <c r="L163" s="1262"/>
      <c r="M163" s="1307"/>
      <c r="N163" s="1264"/>
      <c r="O163" s="1264"/>
    </row>
    <row r="164" spans="1:15" s="1986" customFormat="1" ht="17.100000000000001" customHeight="1">
      <c r="A164" s="1262"/>
      <c r="B164" s="1307"/>
      <c r="C164" s="1307"/>
      <c r="D164" s="1262"/>
      <c r="E164" s="1307"/>
      <c r="F164" s="1262"/>
      <c r="G164" s="1262"/>
      <c r="H164" s="1262"/>
      <c r="I164" s="1262"/>
      <c r="J164" s="1262"/>
      <c r="K164" s="1262"/>
      <c r="L164" s="1262"/>
      <c r="M164" s="1307"/>
      <c r="N164" s="1264"/>
      <c r="O164" s="1264"/>
    </row>
    <row r="165" spans="1:15" s="1986" customFormat="1" ht="17.100000000000001" customHeight="1">
      <c r="A165" s="1262"/>
      <c r="B165" s="1307"/>
      <c r="C165" s="1307"/>
      <c r="D165" s="1262"/>
      <c r="E165" s="1307"/>
      <c r="F165" s="1262"/>
      <c r="G165" s="1262"/>
      <c r="H165" s="1262"/>
      <c r="I165" s="1262"/>
      <c r="J165" s="1262"/>
      <c r="K165" s="1262"/>
      <c r="L165" s="1262"/>
      <c r="M165" s="1307"/>
      <c r="N165" s="1264"/>
      <c r="O165" s="1264"/>
    </row>
    <row r="166" spans="1:15" s="1986" customFormat="1" ht="17.100000000000001" customHeight="1">
      <c r="A166" s="1262"/>
      <c r="B166" s="1307"/>
      <c r="C166" s="1307"/>
      <c r="D166" s="1262"/>
      <c r="E166" s="1307"/>
      <c r="F166" s="1262"/>
      <c r="G166" s="1262"/>
      <c r="H166" s="1262"/>
      <c r="I166" s="1262"/>
      <c r="J166" s="1262"/>
      <c r="K166" s="1262"/>
      <c r="L166" s="1262"/>
      <c r="M166" s="1307"/>
      <c r="N166" s="1264"/>
      <c r="O166" s="1264"/>
    </row>
    <row r="167" spans="1:15" s="1986" customFormat="1" ht="17.100000000000001" customHeight="1">
      <c r="A167" s="1262"/>
      <c r="B167" s="1307"/>
      <c r="C167" s="1307"/>
      <c r="D167" s="1262"/>
      <c r="E167" s="1307"/>
      <c r="F167" s="1262"/>
      <c r="G167" s="1262"/>
      <c r="H167" s="1262"/>
      <c r="I167" s="1262"/>
      <c r="J167" s="1262"/>
      <c r="K167" s="1262"/>
      <c r="L167" s="1262"/>
      <c r="M167" s="1307"/>
      <c r="N167" s="1264"/>
      <c r="O167" s="1264"/>
    </row>
    <row r="168" spans="1:15" s="1986" customFormat="1" ht="17.100000000000001" customHeight="1">
      <c r="A168" s="1262"/>
      <c r="B168" s="1307"/>
      <c r="C168" s="1307"/>
      <c r="D168" s="1262"/>
      <c r="E168" s="1307"/>
      <c r="F168" s="1262"/>
      <c r="G168" s="1262"/>
      <c r="H168" s="1262"/>
      <c r="I168" s="1262"/>
      <c r="J168" s="1262"/>
      <c r="K168" s="1262"/>
      <c r="L168" s="1262"/>
      <c r="M168" s="1307"/>
      <c r="N168" s="1264"/>
      <c r="O168" s="1264"/>
    </row>
    <row r="169" spans="1:15" s="1986" customFormat="1" ht="17.100000000000001" customHeight="1">
      <c r="A169" s="1262"/>
      <c r="B169" s="1307"/>
      <c r="C169" s="1307"/>
      <c r="D169" s="1262"/>
      <c r="E169" s="1307"/>
      <c r="F169" s="1262"/>
      <c r="G169" s="1262"/>
      <c r="H169" s="1262"/>
      <c r="I169" s="1262"/>
      <c r="J169" s="1262"/>
      <c r="K169" s="1262"/>
      <c r="L169" s="1262"/>
      <c r="M169" s="1307"/>
      <c r="N169" s="1264"/>
      <c r="O169" s="1264"/>
    </row>
    <row r="170" spans="1:15" s="1986" customFormat="1" ht="17.100000000000001" customHeight="1">
      <c r="A170" s="1262"/>
      <c r="B170" s="1307"/>
      <c r="C170" s="1307"/>
      <c r="D170" s="1262"/>
      <c r="E170" s="1307"/>
      <c r="F170" s="1262"/>
      <c r="G170" s="1262"/>
      <c r="H170" s="1262"/>
      <c r="I170" s="1262"/>
      <c r="J170" s="1262"/>
      <c r="K170" s="1262"/>
      <c r="L170" s="1262"/>
      <c r="M170" s="1307"/>
      <c r="N170" s="1264"/>
      <c r="O170" s="1264"/>
    </row>
    <row r="171" spans="1:15" s="1986" customFormat="1" ht="17.100000000000001" customHeight="1">
      <c r="A171" s="1262"/>
      <c r="B171" s="1307"/>
      <c r="C171" s="1307"/>
      <c r="D171" s="1262"/>
      <c r="E171" s="1307"/>
      <c r="F171" s="1262"/>
      <c r="G171" s="1262"/>
      <c r="H171" s="1262"/>
      <c r="I171" s="1262"/>
      <c r="J171" s="1262"/>
      <c r="K171" s="1262"/>
      <c r="L171" s="1262"/>
      <c r="M171" s="1307"/>
      <c r="N171" s="1264"/>
      <c r="O171" s="1264"/>
    </row>
    <row r="172" spans="1:15" s="1986" customFormat="1" ht="17.100000000000001" customHeight="1">
      <c r="A172" s="1262"/>
      <c r="B172" s="1307"/>
      <c r="C172" s="1307"/>
      <c r="D172" s="1262"/>
      <c r="E172" s="1307"/>
      <c r="F172" s="1262"/>
      <c r="G172" s="1262"/>
      <c r="H172" s="1262"/>
      <c r="I172" s="1262"/>
      <c r="J172" s="1262"/>
      <c r="K172" s="1262"/>
      <c r="L172" s="1262"/>
      <c r="M172" s="1307"/>
      <c r="N172" s="1264"/>
      <c r="O172" s="1264"/>
    </row>
    <row r="173" spans="1:15" s="1986" customFormat="1" ht="17.100000000000001" customHeight="1">
      <c r="A173" s="1262"/>
      <c r="B173" s="1307"/>
      <c r="C173" s="1307"/>
      <c r="D173" s="1262"/>
      <c r="E173" s="1307"/>
      <c r="F173" s="1262"/>
      <c r="G173" s="1262"/>
      <c r="H173" s="1262"/>
      <c r="I173" s="1262"/>
      <c r="J173" s="1262"/>
      <c r="K173" s="1262"/>
      <c r="L173" s="1262"/>
      <c r="M173" s="1307"/>
      <c r="N173" s="1264"/>
      <c r="O173" s="1264"/>
    </row>
    <row r="174" spans="1:15" s="1986" customFormat="1" ht="17.100000000000001" customHeight="1">
      <c r="A174" s="1262"/>
      <c r="B174" s="1307"/>
      <c r="C174" s="1307"/>
      <c r="D174" s="1262"/>
      <c r="E174" s="1307"/>
      <c r="F174" s="1262"/>
      <c r="G174" s="1262"/>
      <c r="H174" s="1262"/>
      <c r="I174" s="1262"/>
      <c r="J174" s="1262"/>
      <c r="K174" s="1262"/>
      <c r="L174" s="1262"/>
      <c r="M174" s="1307"/>
      <c r="N174" s="1264"/>
      <c r="O174" s="1264"/>
    </row>
    <row r="175" spans="1:15" s="1986" customFormat="1" ht="17.100000000000001" customHeight="1">
      <c r="A175" s="1262"/>
      <c r="B175" s="1307"/>
      <c r="C175" s="1307"/>
      <c r="D175" s="1262"/>
      <c r="E175" s="1307"/>
      <c r="F175" s="1262"/>
      <c r="G175" s="1262"/>
      <c r="H175" s="1262"/>
      <c r="I175" s="1262"/>
      <c r="J175" s="1262"/>
      <c r="K175" s="1262"/>
      <c r="L175" s="1262"/>
      <c r="M175" s="1307"/>
      <c r="N175" s="1264"/>
      <c r="O175" s="1264"/>
    </row>
    <row r="176" spans="1:15" s="1986" customFormat="1" ht="17.100000000000001" customHeight="1">
      <c r="A176" s="1262"/>
      <c r="B176" s="1307"/>
      <c r="C176" s="1307"/>
      <c r="D176" s="1262"/>
      <c r="E176" s="1307"/>
      <c r="F176" s="1262"/>
      <c r="G176" s="1262"/>
      <c r="H176" s="1262"/>
      <c r="I176" s="1262"/>
      <c r="J176" s="1262"/>
      <c r="K176" s="1262"/>
      <c r="L176" s="1262"/>
      <c r="M176" s="1307"/>
      <c r="N176" s="1264"/>
      <c r="O176" s="1264"/>
    </row>
    <row r="177" spans="1:15" s="1986" customFormat="1" ht="17.100000000000001" customHeight="1">
      <c r="A177" s="1262"/>
      <c r="B177" s="1307"/>
      <c r="C177" s="1307"/>
      <c r="D177" s="1262"/>
      <c r="E177" s="1307"/>
      <c r="F177" s="1262"/>
      <c r="G177" s="1262"/>
      <c r="H177" s="1262"/>
      <c r="I177" s="1262"/>
      <c r="J177" s="1262"/>
      <c r="K177" s="1262"/>
      <c r="L177" s="1262"/>
      <c r="M177" s="1307"/>
      <c r="N177" s="1264"/>
      <c r="O177" s="1264"/>
    </row>
    <row r="178" spans="1:15" s="1986" customFormat="1" ht="17.100000000000001" customHeight="1">
      <c r="A178" s="1262"/>
      <c r="B178" s="1307"/>
      <c r="C178" s="1307"/>
      <c r="D178" s="1262"/>
      <c r="E178" s="1307"/>
      <c r="F178" s="1262"/>
      <c r="G178" s="1262"/>
      <c r="H178" s="1262"/>
      <c r="I178" s="1262"/>
      <c r="J178" s="1262"/>
      <c r="K178" s="1262"/>
      <c r="L178" s="1262"/>
      <c r="M178" s="1307"/>
      <c r="N178" s="1264"/>
      <c r="O178" s="1264"/>
    </row>
    <row r="179" spans="1:15" s="1986" customFormat="1" ht="17.100000000000001" customHeight="1">
      <c r="A179" s="1262"/>
      <c r="B179" s="1307"/>
      <c r="C179" s="1307"/>
      <c r="D179" s="1262"/>
      <c r="E179" s="1307"/>
      <c r="F179" s="1262"/>
      <c r="G179" s="1262"/>
      <c r="H179" s="1262"/>
      <c r="I179" s="1262"/>
      <c r="J179" s="1262"/>
      <c r="K179" s="1262"/>
      <c r="L179" s="1262"/>
      <c r="M179" s="1307"/>
      <c r="N179" s="1264"/>
      <c r="O179" s="1264"/>
    </row>
    <row r="180" spans="1:15" s="1986" customFormat="1" ht="17.100000000000001" customHeight="1">
      <c r="A180" s="1262"/>
      <c r="B180" s="1307"/>
      <c r="C180" s="1307"/>
      <c r="D180" s="1262"/>
      <c r="E180" s="1307"/>
      <c r="F180" s="1262"/>
      <c r="G180" s="1262"/>
      <c r="H180" s="1262"/>
      <c r="I180" s="1262"/>
      <c r="J180" s="1262"/>
      <c r="K180" s="1262"/>
      <c r="L180" s="1262"/>
      <c r="M180" s="1307"/>
      <c r="N180" s="1264"/>
      <c r="O180" s="1264"/>
    </row>
    <row r="181" spans="1:15" s="1986" customFormat="1" ht="17.100000000000001" customHeight="1">
      <c r="A181" s="1262"/>
      <c r="B181" s="1307"/>
      <c r="C181" s="1307"/>
      <c r="D181" s="1262"/>
      <c r="E181" s="1307"/>
      <c r="F181" s="1262"/>
      <c r="G181" s="1262"/>
      <c r="H181" s="1262"/>
      <c r="I181" s="1262"/>
      <c r="J181" s="1262"/>
      <c r="K181" s="1262"/>
      <c r="L181" s="1262"/>
      <c r="M181" s="1307"/>
      <c r="N181" s="1264"/>
      <c r="O181" s="1264"/>
    </row>
    <row r="182" spans="1:15" s="1986" customFormat="1" ht="17.100000000000001" customHeight="1">
      <c r="A182" s="1262"/>
      <c r="B182" s="1307"/>
      <c r="C182" s="1307"/>
      <c r="D182" s="1262"/>
      <c r="E182" s="1307"/>
      <c r="F182" s="1262"/>
      <c r="G182" s="1262"/>
      <c r="H182" s="1262"/>
      <c r="I182" s="1262"/>
      <c r="J182" s="1262"/>
      <c r="K182" s="1262"/>
      <c r="L182" s="1262"/>
      <c r="M182" s="1307"/>
      <c r="N182" s="1264"/>
      <c r="O182" s="1264"/>
    </row>
    <row r="183" spans="1:15" s="1986" customFormat="1" ht="17.100000000000001" customHeight="1">
      <c r="A183" s="1262"/>
      <c r="B183" s="1307"/>
      <c r="C183" s="1307"/>
      <c r="D183" s="1262"/>
      <c r="E183" s="1307"/>
      <c r="F183" s="1262"/>
      <c r="G183" s="1262"/>
      <c r="H183" s="1262"/>
      <c r="I183" s="1262"/>
      <c r="J183" s="1262"/>
      <c r="K183" s="1262"/>
      <c r="L183" s="1262"/>
      <c r="M183" s="1307"/>
      <c r="N183" s="1264"/>
      <c r="O183" s="1264"/>
    </row>
    <row r="184" spans="1:15" s="1986" customFormat="1" ht="17.100000000000001" customHeight="1">
      <c r="A184" s="1262"/>
      <c r="B184" s="1307"/>
      <c r="C184" s="1307"/>
      <c r="D184" s="1262"/>
      <c r="E184" s="1307"/>
      <c r="F184" s="1262"/>
      <c r="G184" s="1262"/>
      <c r="H184" s="1262"/>
      <c r="I184" s="1262"/>
      <c r="J184" s="1262"/>
      <c r="K184" s="1262"/>
      <c r="L184" s="1262"/>
      <c r="M184" s="1307"/>
      <c r="N184" s="1264"/>
      <c r="O184" s="1264"/>
    </row>
    <row r="185" spans="1:15" s="1986" customFormat="1" ht="17.100000000000001" customHeight="1">
      <c r="A185" s="1262"/>
      <c r="B185" s="1307"/>
      <c r="C185" s="1307"/>
      <c r="D185" s="1262"/>
      <c r="E185" s="1307"/>
      <c r="F185" s="1262"/>
      <c r="G185" s="1262"/>
      <c r="H185" s="1262"/>
      <c r="I185" s="1262"/>
      <c r="J185" s="1262"/>
      <c r="K185" s="1262"/>
      <c r="L185" s="1262"/>
      <c r="M185" s="1307"/>
      <c r="N185" s="1264"/>
      <c r="O185" s="1264"/>
    </row>
    <row r="186" spans="1:15" s="1986" customFormat="1" ht="17.100000000000001" customHeight="1">
      <c r="A186" s="1262"/>
      <c r="B186" s="1307"/>
      <c r="C186" s="1307"/>
      <c r="D186" s="1262"/>
      <c r="E186" s="1307"/>
      <c r="F186" s="1262"/>
      <c r="G186" s="1262"/>
      <c r="H186" s="1262"/>
      <c r="I186" s="1262"/>
      <c r="J186" s="1262"/>
      <c r="K186" s="1262"/>
      <c r="L186" s="1262"/>
      <c r="M186" s="1307"/>
      <c r="N186" s="1264"/>
      <c r="O186" s="1264"/>
    </row>
    <row r="187" spans="1:15" s="1986" customFormat="1" ht="17.100000000000001" customHeight="1">
      <c r="A187" s="1262"/>
      <c r="B187" s="1307"/>
      <c r="C187" s="1307"/>
      <c r="D187" s="1262"/>
      <c r="E187" s="1307"/>
      <c r="F187" s="1262"/>
      <c r="G187" s="1262"/>
      <c r="H187" s="1262"/>
      <c r="I187" s="1262"/>
      <c r="J187" s="1262"/>
      <c r="K187" s="1262"/>
      <c r="L187" s="1262"/>
      <c r="M187" s="1307"/>
      <c r="N187" s="1264"/>
      <c r="O187" s="1264"/>
    </row>
    <row r="188" spans="1:15" s="1986" customFormat="1" ht="17.100000000000001" customHeight="1">
      <c r="A188" s="1262"/>
      <c r="B188" s="1307"/>
      <c r="C188" s="1307"/>
      <c r="D188" s="1262"/>
      <c r="E188" s="1307"/>
      <c r="F188" s="1262"/>
      <c r="G188" s="1262"/>
      <c r="H188" s="1262"/>
      <c r="I188" s="1262"/>
      <c r="J188" s="1262"/>
      <c r="K188" s="1262"/>
      <c r="L188" s="1262"/>
      <c r="M188" s="1307"/>
      <c r="N188" s="1264"/>
      <c r="O188" s="1264"/>
    </row>
    <row r="189" spans="1:15" s="1986" customFormat="1" ht="17.100000000000001" customHeight="1">
      <c r="A189" s="1262"/>
      <c r="B189" s="1307"/>
      <c r="C189" s="1307"/>
      <c r="D189" s="1262"/>
      <c r="E189" s="1307"/>
      <c r="F189" s="1262"/>
      <c r="G189" s="1262"/>
      <c r="H189" s="1262"/>
      <c r="I189" s="1262"/>
      <c r="J189" s="1262"/>
      <c r="K189" s="1262"/>
      <c r="L189" s="1262"/>
      <c r="M189" s="1307"/>
      <c r="N189" s="1264"/>
      <c r="O189" s="1264"/>
    </row>
    <row r="190" spans="1:15" s="1986" customFormat="1" ht="17.100000000000001" customHeight="1">
      <c r="A190" s="1262"/>
      <c r="B190" s="1307"/>
      <c r="C190" s="1307"/>
      <c r="D190" s="1262"/>
      <c r="E190" s="1307"/>
      <c r="F190" s="1262"/>
      <c r="G190" s="1262"/>
      <c r="H190" s="1262"/>
      <c r="I190" s="1262"/>
      <c r="J190" s="1262"/>
      <c r="K190" s="1262"/>
      <c r="L190" s="1262"/>
      <c r="M190" s="1307"/>
      <c r="N190" s="1264"/>
      <c r="O190" s="1264"/>
    </row>
    <row r="191" spans="1:15" s="1986" customFormat="1" ht="17.100000000000001" customHeight="1">
      <c r="A191" s="1262"/>
      <c r="B191" s="1307"/>
      <c r="C191" s="1307"/>
      <c r="D191" s="1262"/>
      <c r="E191" s="1307"/>
      <c r="F191" s="1262"/>
      <c r="G191" s="1262"/>
      <c r="H191" s="1262"/>
      <c r="I191" s="1262"/>
      <c r="J191" s="1262"/>
      <c r="K191" s="1262"/>
      <c r="L191" s="1262"/>
      <c r="M191" s="1307"/>
      <c r="N191" s="1264"/>
      <c r="O191" s="1264"/>
    </row>
    <row r="192" spans="1:15" s="1986" customFormat="1" ht="17.100000000000001" customHeight="1">
      <c r="A192" s="1262"/>
      <c r="B192" s="1307"/>
      <c r="C192" s="1307"/>
      <c r="D192" s="1262"/>
      <c r="E192" s="1307"/>
      <c r="F192" s="1262"/>
      <c r="G192" s="1262"/>
      <c r="H192" s="1262"/>
      <c r="I192" s="1262"/>
      <c r="J192" s="1262"/>
      <c r="K192" s="1262"/>
      <c r="L192" s="1262"/>
      <c r="M192" s="1307"/>
      <c r="N192" s="1264"/>
      <c r="O192" s="1264"/>
    </row>
    <row r="193" spans="1:15" s="1986" customFormat="1" ht="17.100000000000001" customHeight="1">
      <c r="A193" s="1262"/>
      <c r="B193" s="1307"/>
      <c r="C193" s="1307"/>
      <c r="D193" s="1262"/>
      <c r="E193" s="1307"/>
      <c r="F193" s="1262"/>
      <c r="G193" s="1262"/>
      <c r="H193" s="1262"/>
      <c r="I193" s="1262"/>
      <c r="J193" s="1262"/>
      <c r="K193" s="1262"/>
      <c r="L193" s="1262"/>
      <c r="M193" s="1307"/>
      <c r="N193" s="1264"/>
      <c r="O193" s="1264"/>
    </row>
    <row r="194" spans="1:15" s="1986" customFormat="1" ht="17.100000000000001" customHeight="1">
      <c r="A194" s="1262"/>
      <c r="B194" s="1307"/>
      <c r="C194" s="1307"/>
      <c r="D194" s="1262"/>
      <c r="E194" s="1307"/>
      <c r="F194" s="1262"/>
      <c r="G194" s="1262"/>
      <c r="H194" s="1262"/>
      <c r="I194" s="1262"/>
      <c r="J194" s="1262"/>
      <c r="K194" s="1262"/>
      <c r="L194" s="1262"/>
      <c r="M194" s="1307"/>
      <c r="N194" s="1264"/>
      <c r="O194" s="1264"/>
    </row>
    <row r="195" spans="1:15" s="1986" customFormat="1" ht="17.100000000000001" customHeight="1">
      <c r="A195" s="1262"/>
      <c r="B195" s="1307"/>
      <c r="C195" s="1307"/>
      <c r="D195" s="1262"/>
      <c r="E195" s="1307"/>
      <c r="F195" s="1262"/>
      <c r="G195" s="1262"/>
      <c r="H195" s="1262"/>
      <c r="I195" s="1262"/>
      <c r="J195" s="1262"/>
      <c r="K195" s="1262"/>
      <c r="L195" s="1262"/>
      <c r="M195" s="1307"/>
      <c r="N195" s="1264"/>
      <c r="O195" s="1264"/>
    </row>
    <row r="196" spans="1:15" s="1986" customFormat="1" ht="17.100000000000001" customHeight="1">
      <c r="A196" s="1262"/>
      <c r="B196" s="1307"/>
      <c r="C196" s="1307"/>
      <c r="D196" s="1262"/>
      <c r="E196" s="1307"/>
      <c r="F196" s="1262"/>
      <c r="G196" s="1262"/>
      <c r="H196" s="1262"/>
      <c r="I196" s="1262"/>
      <c r="J196" s="1262"/>
      <c r="K196" s="1262"/>
      <c r="L196" s="1262"/>
      <c r="M196" s="1307"/>
      <c r="N196" s="1264"/>
      <c r="O196" s="1264"/>
    </row>
    <row r="197" spans="1:15" s="1986" customFormat="1" ht="17.100000000000001" customHeight="1">
      <c r="A197" s="1262"/>
      <c r="B197" s="1307"/>
      <c r="C197" s="1307"/>
      <c r="D197" s="1262"/>
      <c r="E197" s="1307"/>
      <c r="F197" s="1262"/>
      <c r="G197" s="1262"/>
      <c r="H197" s="1262"/>
      <c r="I197" s="1262"/>
      <c r="J197" s="1262"/>
      <c r="K197" s="1262"/>
      <c r="L197" s="1262"/>
      <c r="M197" s="1307"/>
      <c r="N197" s="1264"/>
      <c r="O197" s="1264"/>
    </row>
    <row r="198" spans="1:15" s="1986" customFormat="1" ht="17.100000000000001" customHeight="1">
      <c r="A198" s="1262"/>
      <c r="B198" s="1307"/>
      <c r="C198" s="1307"/>
      <c r="D198" s="1262"/>
      <c r="E198" s="1307"/>
      <c r="F198" s="1262"/>
      <c r="G198" s="1262"/>
      <c r="H198" s="1262"/>
      <c r="I198" s="1262"/>
      <c r="J198" s="1262"/>
      <c r="K198" s="1262"/>
      <c r="L198" s="1262"/>
      <c r="M198" s="1307"/>
      <c r="N198" s="1264"/>
      <c r="O198" s="1264"/>
    </row>
    <row r="199" spans="1:15" s="1986" customFormat="1" ht="17.100000000000001" customHeight="1">
      <c r="A199" s="1262"/>
      <c r="B199" s="1307"/>
      <c r="C199" s="1307"/>
      <c r="D199" s="1262"/>
      <c r="E199" s="1307"/>
      <c r="F199" s="1262"/>
      <c r="G199" s="1262"/>
      <c r="H199" s="1262"/>
      <c r="I199" s="1262"/>
      <c r="J199" s="1262"/>
      <c r="K199" s="1262"/>
      <c r="L199" s="1262"/>
      <c r="M199" s="1307"/>
      <c r="N199" s="1264"/>
      <c r="O199" s="1264"/>
    </row>
    <row r="200" spans="1:15" s="1986" customFormat="1" ht="17.100000000000001" customHeight="1">
      <c r="A200" s="1262"/>
      <c r="B200" s="1307"/>
      <c r="C200" s="1307"/>
      <c r="D200" s="1262"/>
      <c r="E200" s="1307"/>
      <c r="F200" s="1262"/>
      <c r="G200" s="1262"/>
      <c r="H200" s="1262"/>
      <c r="I200" s="1262"/>
      <c r="J200" s="1262"/>
      <c r="K200" s="1262"/>
      <c r="L200" s="1262"/>
      <c r="M200" s="1307"/>
      <c r="N200" s="1264"/>
      <c r="O200" s="1264"/>
    </row>
    <row r="201" spans="1:15" s="1986" customFormat="1" ht="17.100000000000001" customHeight="1">
      <c r="A201" s="1262"/>
      <c r="B201" s="1307"/>
      <c r="C201" s="1307"/>
      <c r="D201" s="1262"/>
      <c r="E201" s="1307"/>
      <c r="F201" s="1262"/>
      <c r="G201" s="1262"/>
      <c r="H201" s="1262"/>
      <c r="I201" s="1262"/>
      <c r="J201" s="1262"/>
      <c r="K201" s="1262"/>
      <c r="L201" s="1262"/>
      <c r="M201" s="1307"/>
      <c r="N201" s="1264"/>
      <c r="O201" s="1264"/>
    </row>
    <row r="202" spans="1:15" s="1986" customFormat="1" ht="17.100000000000001" customHeight="1">
      <c r="A202" s="1262"/>
      <c r="B202" s="1307"/>
      <c r="C202" s="1307"/>
      <c r="D202" s="1262"/>
      <c r="E202" s="1307"/>
      <c r="F202" s="1262"/>
      <c r="G202" s="1262"/>
      <c r="H202" s="1262"/>
      <c r="I202" s="1262"/>
      <c r="J202" s="1262"/>
      <c r="K202" s="1262"/>
      <c r="L202" s="1262"/>
      <c r="M202" s="1307"/>
      <c r="N202" s="1264"/>
      <c r="O202" s="1264"/>
    </row>
    <row r="203" spans="1:15" s="1986" customFormat="1" ht="17.100000000000001" customHeight="1">
      <c r="A203" s="1262"/>
      <c r="B203" s="1307"/>
      <c r="C203" s="1307"/>
      <c r="D203" s="1262"/>
      <c r="E203" s="1307"/>
      <c r="F203" s="1262"/>
      <c r="G203" s="1262"/>
      <c r="H203" s="1262"/>
      <c r="I203" s="1262"/>
      <c r="J203" s="1262"/>
      <c r="K203" s="1262"/>
      <c r="L203" s="1262"/>
      <c r="M203" s="1307"/>
      <c r="N203" s="1264"/>
      <c r="O203" s="1264"/>
    </row>
    <row r="204" spans="1:15" s="1986" customFormat="1" ht="17.100000000000001" customHeight="1">
      <c r="A204" s="1262"/>
      <c r="B204" s="1307"/>
      <c r="C204" s="1307"/>
      <c r="D204" s="1262"/>
      <c r="E204" s="1307"/>
      <c r="F204" s="1262"/>
      <c r="G204" s="1262"/>
      <c r="H204" s="1262"/>
      <c r="I204" s="1262"/>
      <c r="J204" s="1262"/>
      <c r="K204" s="1262"/>
      <c r="L204" s="1262"/>
      <c r="M204" s="1307"/>
      <c r="N204" s="1264"/>
      <c r="O204" s="1264"/>
    </row>
    <row r="205" spans="1:15" s="1986" customFormat="1" ht="17.100000000000001" customHeight="1">
      <c r="A205" s="1262"/>
      <c r="B205" s="1307"/>
      <c r="C205" s="1307"/>
      <c r="D205" s="1262"/>
      <c r="E205" s="1307"/>
      <c r="F205" s="1262"/>
      <c r="G205" s="1262"/>
      <c r="H205" s="1262"/>
      <c r="I205" s="1262"/>
      <c r="J205" s="1262"/>
      <c r="K205" s="1262"/>
      <c r="L205" s="1262"/>
      <c r="M205" s="1307"/>
      <c r="N205" s="1264"/>
      <c r="O205" s="1264"/>
    </row>
    <row r="206" spans="1:15" s="1986" customFormat="1" ht="17.100000000000001" customHeight="1">
      <c r="A206" s="1262"/>
      <c r="B206" s="1307"/>
      <c r="C206" s="1307"/>
      <c r="D206" s="1262"/>
      <c r="E206" s="1307"/>
      <c r="F206" s="1262"/>
      <c r="G206" s="1262"/>
      <c r="H206" s="1262"/>
      <c r="I206" s="1262"/>
      <c r="J206" s="1262"/>
      <c r="K206" s="1262"/>
      <c r="L206" s="1262"/>
      <c r="M206" s="1307"/>
      <c r="N206" s="1264"/>
      <c r="O206" s="1264"/>
    </row>
    <row r="207" spans="1:15" s="1986" customFormat="1" ht="17.100000000000001" customHeight="1">
      <c r="A207" s="1262"/>
      <c r="B207" s="1307"/>
      <c r="C207" s="1307"/>
      <c r="D207" s="1262"/>
      <c r="E207" s="1307"/>
      <c r="F207" s="1262"/>
      <c r="G207" s="1262"/>
      <c r="H207" s="1262"/>
      <c r="I207" s="1262"/>
      <c r="J207" s="1262"/>
      <c r="K207" s="1262"/>
      <c r="L207" s="1262"/>
      <c r="M207" s="1307"/>
      <c r="N207" s="1264"/>
      <c r="O207" s="1264"/>
    </row>
    <row r="208" spans="1:15" s="1986" customFormat="1" ht="17.100000000000001" customHeight="1">
      <c r="A208" s="1262"/>
      <c r="B208" s="1307"/>
      <c r="C208" s="1307"/>
      <c r="D208" s="1262"/>
      <c r="E208" s="1307"/>
      <c r="F208" s="1262"/>
      <c r="G208" s="1262"/>
      <c r="H208" s="1262"/>
      <c r="I208" s="1262"/>
      <c r="J208" s="1262"/>
      <c r="K208" s="1262"/>
      <c r="L208" s="1262"/>
      <c r="M208" s="1307"/>
      <c r="N208" s="1264"/>
      <c r="O208" s="1264"/>
    </row>
    <row r="209" spans="1:15" s="1986" customFormat="1" ht="17.100000000000001" customHeight="1">
      <c r="A209" s="1262"/>
      <c r="B209" s="1307"/>
      <c r="C209" s="1307"/>
      <c r="D209" s="1262"/>
      <c r="E209" s="1307"/>
      <c r="F209" s="1262"/>
      <c r="G209" s="1262"/>
      <c r="H209" s="1262"/>
      <c r="I209" s="1262"/>
      <c r="J209" s="1262"/>
      <c r="K209" s="1262"/>
      <c r="L209" s="1262"/>
      <c r="M209" s="1307"/>
      <c r="N209" s="1264"/>
      <c r="O209" s="1264"/>
    </row>
    <row r="210" spans="1:15" s="1986" customFormat="1" ht="17.100000000000001" customHeight="1">
      <c r="A210" s="1262"/>
      <c r="B210" s="1307"/>
      <c r="C210" s="1307"/>
      <c r="D210" s="1262"/>
      <c r="E210" s="1307"/>
      <c r="F210" s="1262"/>
      <c r="G210" s="1262"/>
      <c r="H210" s="1262"/>
      <c r="I210" s="1262"/>
      <c r="J210" s="1262"/>
      <c r="K210" s="1262"/>
      <c r="L210" s="1262"/>
      <c r="M210" s="1307"/>
      <c r="N210" s="1264"/>
      <c r="O210" s="1264"/>
    </row>
    <row r="211" spans="1:15" s="1986" customFormat="1" ht="17.100000000000001" customHeight="1">
      <c r="A211" s="1262"/>
      <c r="B211" s="1307"/>
      <c r="C211" s="1307"/>
      <c r="D211" s="1262"/>
      <c r="E211" s="1307"/>
      <c r="F211" s="1262"/>
      <c r="G211" s="1262"/>
      <c r="H211" s="1262"/>
      <c r="I211" s="1262"/>
      <c r="J211" s="1262"/>
      <c r="K211" s="1262"/>
      <c r="L211" s="1262"/>
      <c r="M211" s="1307"/>
      <c r="N211" s="1264"/>
      <c r="O211" s="1264"/>
    </row>
    <row r="212" spans="1:15" s="1986" customFormat="1" ht="17.100000000000001" customHeight="1">
      <c r="A212" s="1262"/>
      <c r="B212" s="1307"/>
      <c r="C212" s="1307"/>
      <c r="D212" s="1262"/>
      <c r="E212" s="1307"/>
      <c r="F212" s="1262"/>
      <c r="G212" s="1262"/>
      <c r="H212" s="1262"/>
      <c r="I212" s="1262"/>
      <c r="J212" s="1262"/>
      <c r="K212" s="1262"/>
      <c r="L212" s="1262"/>
      <c r="M212" s="1307"/>
      <c r="N212" s="1264"/>
      <c r="O212" s="1264"/>
    </row>
    <row r="213" spans="1:15" s="1986" customFormat="1" ht="17.100000000000001" customHeight="1">
      <c r="A213" s="1262"/>
      <c r="B213" s="1307"/>
      <c r="C213" s="1307"/>
      <c r="D213" s="1262"/>
      <c r="E213" s="1307"/>
      <c r="F213" s="1262"/>
      <c r="G213" s="1262"/>
      <c r="H213" s="1262"/>
      <c r="I213" s="1262"/>
      <c r="J213" s="1262"/>
      <c r="K213" s="1262"/>
      <c r="L213" s="1262"/>
      <c r="M213" s="1307"/>
      <c r="N213" s="1264"/>
      <c r="O213" s="1264"/>
    </row>
    <row r="214" spans="1:15" s="1986" customFormat="1" ht="17.100000000000001" customHeight="1">
      <c r="A214" s="1262"/>
      <c r="B214" s="1307"/>
      <c r="C214" s="1307"/>
      <c r="D214" s="1262"/>
      <c r="E214" s="1307"/>
      <c r="F214" s="1262"/>
      <c r="G214" s="1262"/>
      <c r="H214" s="1262"/>
      <c r="I214" s="1262"/>
      <c r="J214" s="1262"/>
      <c r="K214" s="1262"/>
      <c r="L214" s="1262"/>
      <c r="M214" s="1307"/>
      <c r="N214" s="1264"/>
      <c r="O214" s="1264"/>
    </row>
    <row r="215" spans="1:15" s="1986" customFormat="1" ht="17.100000000000001" customHeight="1">
      <c r="A215" s="1262"/>
      <c r="B215" s="1307"/>
      <c r="C215" s="1307"/>
      <c r="D215" s="1262"/>
      <c r="E215" s="1307"/>
      <c r="F215" s="1262"/>
      <c r="G215" s="1262"/>
      <c r="H215" s="1262"/>
      <c r="I215" s="1262"/>
      <c r="J215" s="1262"/>
      <c r="K215" s="1262"/>
      <c r="L215" s="1262"/>
      <c r="M215" s="1307"/>
      <c r="N215" s="1264"/>
      <c r="O215" s="1264"/>
    </row>
    <row r="216" spans="1:15" s="1986" customFormat="1" ht="17.100000000000001" customHeight="1">
      <c r="A216" s="1262"/>
      <c r="B216" s="1307"/>
      <c r="C216" s="1307"/>
      <c r="D216" s="1262"/>
      <c r="E216" s="1307"/>
      <c r="F216" s="1262"/>
      <c r="G216" s="1262"/>
      <c r="H216" s="1262"/>
      <c r="I216" s="1262"/>
      <c r="J216" s="1262"/>
      <c r="K216" s="1262"/>
      <c r="L216" s="1262"/>
      <c r="M216" s="1307"/>
      <c r="N216" s="1264"/>
      <c r="O216" s="1264"/>
    </row>
    <row r="217" spans="1:15" s="1986" customFormat="1" ht="17.100000000000001" customHeight="1">
      <c r="A217" s="1262"/>
      <c r="B217" s="1307"/>
      <c r="C217" s="1307"/>
      <c r="D217" s="1262"/>
      <c r="E217" s="1307"/>
      <c r="F217" s="1262"/>
      <c r="G217" s="1262"/>
      <c r="H217" s="1262"/>
      <c r="I217" s="1262"/>
      <c r="J217" s="1262"/>
      <c r="K217" s="1262"/>
      <c r="L217" s="1262"/>
      <c r="M217" s="1307"/>
      <c r="N217" s="1264"/>
      <c r="O217" s="1264"/>
    </row>
    <row r="218" spans="1:15" s="1986" customFormat="1" ht="17.100000000000001" customHeight="1">
      <c r="A218" s="1262"/>
      <c r="B218" s="1307"/>
      <c r="C218" s="1307"/>
      <c r="D218" s="1262"/>
      <c r="E218" s="1307"/>
      <c r="F218" s="1262"/>
      <c r="G218" s="1262"/>
      <c r="H218" s="1262"/>
      <c r="I218" s="1262"/>
      <c r="J218" s="1262"/>
      <c r="K218" s="1262"/>
      <c r="L218" s="1262"/>
      <c r="M218" s="1307"/>
      <c r="N218" s="1264"/>
      <c r="O218" s="1264"/>
    </row>
    <row r="219" spans="1:15" s="1986" customFormat="1" ht="17.100000000000001" customHeight="1">
      <c r="A219" s="1262"/>
      <c r="B219" s="1307"/>
      <c r="C219" s="1307"/>
      <c r="D219" s="1262"/>
      <c r="E219" s="1307"/>
      <c r="F219" s="1262"/>
      <c r="G219" s="1262"/>
      <c r="H219" s="1262"/>
      <c r="I219" s="1262"/>
      <c r="J219" s="1262"/>
      <c r="K219" s="1262"/>
      <c r="L219" s="1262"/>
      <c r="M219" s="1307"/>
      <c r="N219" s="1264"/>
      <c r="O219" s="1264"/>
    </row>
    <row r="220" spans="1:15" s="1986" customFormat="1" ht="17.100000000000001" customHeight="1">
      <c r="A220" s="1262"/>
      <c r="B220" s="1307"/>
      <c r="C220" s="1307"/>
      <c r="D220" s="1262"/>
      <c r="E220" s="1307"/>
      <c r="F220" s="1262"/>
      <c r="G220" s="1262"/>
      <c r="H220" s="1262"/>
      <c r="I220" s="1262"/>
      <c r="J220" s="1262"/>
      <c r="K220" s="1262"/>
      <c r="L220" s="1262"/>
      <c r="M220" s="1307"/>
      <c r="N220" s="1264"/>
      <c r="O220" s="1264"/>
    </row>
    <row r="221" spans="1:15" s="1986" customFormat="1" ht="17.100000000000001" customHeight="1">
      <c r="A221" s="1262"/>
      <c r="B221" s="1307"/>
      <c r="C221" s="1307"/>
      <c r="D221" s="1262"/>
      <c r="E221" s="1307"/>
      <c r="F221" s="1262"/>
      <c r="G221" s="1262"/>
      <c r="H221" s="1262"/>
      <c r="I221" s="1262"/>
      <c r="J221" s="1262"/>
      <c r="K221" s="1262"/>
      <c r="L221" s="1262"/>
      <c r="M221" s="1307"/>
      <c r="N221" s="1264"/>
      <c r="O221" s="1264"/>
    </row>
    <row r="222" spans="1:15" s="1986" customFormat="1" ht="17.100000000000001" customHeight="1">
      <c r="A222" s="1262"/>
      <c r="B222" s="1307"/>
      <c r="C222" s="1307"/>
      <c r="D222" s="1262"/>
      <c r="E222" s="1307"/>
      <c r="F222" s="1262"/>
      <c r="G222" s="1262"/>
      <c r="H222" s="1262"/>
      <c r="I222" s="1262"/>
      <c r="J222" s="1262"/>
      <c r="K222" s="1262"/>
      <c r="L222" s="1262"/>
      <c r="M222" s="1307"/>
      <c r="N222" s="1264"/>
      <c r="O222" s="1264"/>
    </row>
    <row r="223" spans="1:15" s="1986" customFormat="1" ht="17.100000000000001" customHeight="1">
      <c r="A223" s="1262"/>
      <c r="B223" s="1307"/>
      <c r="C223" s="1307"/>
      <c r="D223" s="1262"/>
      <c r="E223" s="1307"/>
      <c r="F223" s="1262"/>
      <c r="G223" s="1262"/>
      <c r="H223" s="1262"/>
      <c r="I223" s="1262"/>
      <c r="J223" s="1262"/>
      <c r="K223" s="1262"/>
      <c r="L223" s="1262"/>
      <c r="M223" s="1307"/>
      <c r="N223" s="1264"/>
      <c r="O223" s="1264"/>
    </row>
    <row r="224" spans="1:15" s="1986" customFormat="1" ht="17.100000000000001" customHeight="1">
      <c r="A224" s="1262"/>
      <c r="B224" s="1307"/>
      <c r="C224" s="1307"/>
      <c r="D224" s="1262"/>
      <c r="E224" s="1307"/>
      <c r="F224" s="1262"/>
      <c r="G224" s="1262"/>
      <c r="H224" s="1262"/>
      <c r="I224" s="1262"/>
      <c r="J224" s="1262"/>
      <c r="K224" s="1262"/>
      <c r="L224" s="1262"/>
      <c r="M224" s="1307"/>
      <c r="N224" s="1264"/>
      <c r="O224" s="1264"/>
    </row>
    <row r="225" spans="1:15" s="1986" customFormat="1" ht="17.100000000000001" customHeight="1">
      <c r="A225" s="1262"/>
      <c r="B225" s="1307"/>
      <c r="C225" s="1307"/>
      <c r="D225" s="1262"/>
      <c r="E225" s="1307"/>
      <c r="F225" s="1262"/>
      <c r="G225" s="1262"/>
      <c r="H225" s="1262"/>
      <c r="I225" s="1262"/>
      <c r="J225" s="1262"/>
      <c r="K225" s="1262"/>
      <c r="L225" s="1262"/>
      <c r="M225" s="1307"/>
      <c r="N225" s="1264"/>
      <c r="O225" s="1264"/>
    </row>
    <row r="226" spans="1:15" s="1986" customFormat="1" ht="17.100000000000001" customHeight="1">
      <c r="A226" s="1262"/>
      <c r="B226" s="1307"/>
      <c r="C226" s="1307"/>
      <c r="D226" s="1262"/>
      <c r="E226" s="1307"/>
      <c r="F226" s="1262"/>
      <c r="G226" s="1262"/>
      <c r="H226" s="1262"/>
      <c r="I226" s="1262"/>
      <c r="J226" s="1262"/>
      <c r="K226" s="1262"/>
      <c r="L226" s="1262"/>
      <c r="M226" s="1307"/>
      <c r="N226" s="1264"/>
      <c r="O226" s="1264"/>
    </row>
    <row r="227" spans="1:15" s="1986" customFormat="1" ht="17.100000000000001" customHeight="1">
      <c r="A227" s="1262"/>
      <c r="B227" s="1307"/>
      <c r="C227" s="1307"/>
      <c r="D227" s="1262"/>
      <c r="E227" s="1307"/>
      <c r="F227" s="1262"/>
      <c r="G227" s="1262"/>
      <c r="H227" s="1262"/>
      <c r="I227" s="1262"/>
      <c r="J227" s="1262"/>
      <c r="K227" s="1262"/>
      <c r="L227" s="1262"/>
      <c r="M227" s="1307"/>
      <c r="N227" s="1264"/>
      <c r="O227" s="1264"/>
    </row>
    <row r="228" spans="1:15" s="1986" customFormat="1" ht="17.100000000000001" customHeight="1">
      <c r="A228" s="1262"/>
      <c r="B228" s="1307"/>
      <c r="C228" s="1307"/>
      <c r="D228" s="1262"/>
      <c r="E228" s="1307"/>
      <c r="F228" s="1262"/>
      <c r="G228" s="1262"/>
      <c r="H228" s="1262"/>
      <c r="I228" s="1262"/>
      <c r="J228" s="1262"/>
      <c r="K228" s="1262"/>
      <c r="L228" s="1262"/>
      <c r="M228" s="1307"/>
      <c r="N228" s="1264"/>
      <c r="O228" s="1264"/>
    </row>
    <row r="229" spans="1:15" s="1986" customFormat="1" ht="17.100000000000001" customHeight="1">
      <c r="A229" s="1262"/>
      <c r="B229" s="1307"/>
      <c r="C229" s="1307"/>
      <c r="D229" s="1262"/>
      <c r="E229" s="1307"/>
      <c r="F229" s="1262"/>
      <c r="G229" s="1262"/>
      <c r="H229" s="1262"/>
      <c r="I229" s="1262"/>
      <c r="J229" s="1262"/>
      <c r="K229" s="1262"/>
      <c r="L229" s="1262"/>
      <c r="M229" s="1307"/>
      <c r="N229" s="1264"/>
      <c r="O229" s="1264"/>
    </row>
    <row r="230" spans="1:15" s="1986" customFormat="1" ht="17.100000000000001" customHeight="1">
      <c r="A230" s="1262"/>
      <c r="B230" s="1307"/>
      <c r="C230" s="1307"/>
      <c r="D230" s="1262"/>
      <c r="E230" s="1307"/>
      <c r="F230" s="1262"/>
      <c r="G230" s="1262"/>
      <c r="H230" s="1262"/>
      <c r="I230" s="1262"/>
      <c r="J230" s="1262"/>
      <c r="K230" s="1262"/>
      <c r="L230" s="1262"/>
      <c r="M230" s="1307"/>
      <c r="N230" s="1264"/>
      <c r="O230" s="1264"/>
    </row>
    <row r="231" spans="1:15" s="1986" customFormat="1" ht="17.100000000000001" customHeight="1">
      <c r="A231" s="1262"/>
      <c r="B231" s="1307"/>
      <c r="C231" s="1307"/>
      <c r="D231" s="1262"/>
      <c r="E231" s="1307"/>
      <c r="F231" s="1262"/>
      <c r="G231" s="1262"/>
      <c r="H231" s="1262"/>
      <c r="I231" s="1262"/>
      <c r="J231" s="1262"/>
      <c r="K231" s="1262"/>
      <c r="L231" s="1262"/>
      <c r="M231" s="1307"/>
      <c r="N231" s="1264"/>
      <c r="O231" s="1264"/>
    </row>
    <row r="232" spans="1:15" s="1986" customFormat="1" ht="17.100000000000001" customHeight="1">
      <c r="A232" s="1262"/>
      <c r="B232" s="1307"/>
      <c r="C232" s="1307"/>
      <c r="D232" s="1262"/>
      <c r="E232" s="1307"/>
      <c r="F232" s="1262"/>
      <c r="G232" s="1262"/>
      <c r="H232" s="1262"/>
      <c r="I232" s="1262"/>
      <c r="J232" s="1262"/>
      <c r="K232" s="1262"/>
      <c r="L232" s="1262"/>
      <c r="M232" s="1307"/>
      <c r="N232" s="1264"/>
      <c r="O232" s="1264"/>
    </row>
    <row r="233" spans="1:15" s="1986" customFormat="1" ht="17.100000000000001" customHeight="1">
      <c r="A233" s="1262"/>
      <c r="B233" s="1307"/>
      <c r="C233" s="1307"/>
      <c r="D233" s="1262"/>
      <c r="E233" s="1307"/>
      <c r="F233" s="1262"/>
      <c r="G233" s="1262"/>
      <c r="H233" s="1262"/>
      <c r="I233" s="1262"/>
      <c r="J233" s="1262"/>
      <c r="K233" s="1262"/>
      <c r="L233" s="1262"/>
      <c r="M233" s="1307"/>
      <c r="N233" s="1264"/>
      <c r="O233" s="1264"/>
    </row>
    <row r="234" spans="1:15" s="1986" customFormat="1" ht="17.100000000000001" customHeight="1">
      <c r="A234" s="1262"/>
      <c r="B234" s="1307"/>
      <c r="C234" s="1307"/>
      <c r="D234" s="1262"/>
      <c r="E234" s="1307"/>
      <c r="F234" s="1262"/>
      <c r="G234" s="1262"/>
      <c r="H234" s="1262"/>
      <c r="I234" s="1262"/>
      <c r="J234" s="1262"/>
      <c r="K234" s="1262"/>
      <c r="L234" s="1262"/>
      <c r="M234" s="1307"/>
      <c r="N234" s="1264"/>
      <c r="O234" s="1264"/>
    </row>
    <row r="235" spans="1:15" s="1986" customFormat="1" ht="17.100000000000001" customHeight="1">
      <c r="A235" s="1262"/>
      <c r="B235" s="1307"/>
      <c r="C235" s="1307"/>
      <c r="D235" s="1262"/>
      <c r="E235" s="1307"/>
      <c r="F235" s="1262"/>
      <c r="G235" s="1262"/>
      <c r="H235" s="1262"/>
      <c r="I235" s="1262"/>
      <c r="J235" s="1262"/>
      <c r="K235" s="1262"/>
      <c r="L235" s="1262"/>
      <c r="M235" s="1307"/>
      <c r="N235" s="1264"/>
      <c r="O235" s="1264"/>
    </row>
    <row r="236" spans="1:15" s="1986" customFormat="1" ht="17.100000000000001" customHeight="1">
      <c r="A236" s="1262"/>
      <c r="B236" s="1307"/>
      <c r="C236" s="1307"/>
      <c r="D236" s="1262"/>
      <c r="E236" s="1307"/>
      <c r="F236" s="1262"/>
      <c r="G236" s="1262"/>
      <c r="H236" s="1262"/>
      <c r="I236" s="1262"/>
      <c r="J236" s="1262"/>
      <c r="K236" s="1262"/>
      <c r="L236" s="1262"/>
      <c r="M236" s="1307"/>
      <c r="N236" s="1264"/>
      <c r="O236" s="1264"/>
    </row>
    <row r="237" spans="1:15" s="1986" customFormat="1" ht="17.100000000000001" customHeight="1">
      <c r="A237" s="1262"/>
      <c r="B237" s="1307"/>
      <c r="C237" s="1307"/>
      <c r="D237" s="1262"/>
      <c r="E237" s="1307"/>
      <c r="F237" s="1262"/>
      <c r="G237" s="1262"/>
      <c r="H237" s="1262"/>
      <c r="I237" s="1262"/>
      <c r="J237" s="1262"/>
      <c r="K237" s="1262"/>
      <c r="L237" s="1262"/>
      <c r="M237" s="1307"/>
      <c r="N237" s="1264"/>
      <c r="O237" s="1264"/>
    </row>
    <row r="238" spans="1:15" s="1986" customFormat="1" ht="17.100000000000001" customHeight="1">
      <c r="A238" s="1262"/>
      <c r="B238" s="1307"/>
      <c r="C238" s="1307"/>
      <c r="D238" s="1262"/>
      <c r="E238" s="1307"/>
      <c r="F238" s="1262"/>
      <c r="G238" s="1262"/>
      <c r="H238" s="1262"/>
      <c r="I238" s="1262"/>
      <c r="J238" s="1262"/>
      <c r="K238" s="1262"/>
      <c r="L238" s="1262"/>
      <c r="M238" s="1307"/>
      <c r="N238" s="1264"/>
      <c r="O238" s="1264"/>
    </row>
    <row r="239" spans="1:15" s="1986" customFormat="1" ht="17.100000000000001" customHeight="1">
      <c r="A239" s="1262"/>
      <c r="B239" s="1307"/>
      <c r="C239" s="1307"/>
      <c r="D239" s="1262"/>
      <c r="E239" s="1307"/>
      <c r="F239" s="1262"/>
      <c r="G239" s="1262"/>
      <c r="H239" s="1262"/>
      <c r="I239" s="1262"/>
      <c r="J239" s="1262"/>
      <c r="K239" s="1262"/>
      <c r="L239" s="1262"/>
      <c r="M239" s="1307"/>
      <c r="N239" s="1264"/>
      <c r="O239" s="1264"/>
    </row>
    <row r="240" spans="1:15" s="1986" customFormat="1" ht="17.100000000000001" customHeight="1">
      <c r="A240" s="1262"/>
      <c r="B240" s="1307"/>
      <c r="C240" s="1307"/>
      <c r="D240" s="1262"/>
      <c r="E240" s="1307"/>
      <c r="F240" s="1262"/>
      <c r="G240" s="1262"/>
      <c r="H240" s="1262"/>
      <c r="I240" s="1262"/>
      <c r="J240" s="1262"/>
      <c r="K240" s="1262"/>
      <c r="L240" s="1262"/>
      <c r="M240" s="1307"/>
      <c r="N240" s="1264"/>
      <c r="O240" s="1264"/>
    </row>
    <row r="241" spans="1:15" s="1986" customFormat="1" ht="17.100000000000001" customHeight="1">
      <c r="A241" s="1262"/>
      <c r="B241" s="1307"/>
      <c r="C241" s="1307"/>
      <c r="D241" s="1262"/>
      <c r="E241" s="1307"/>
      <c r="F241" s="1262"/>
      <c r="G241" s="1262"/>
      <c r="H241" s="1262"/>
      <c r="I241" s="1262"/>
      <c r="J241" s="1262"/>
      <c r="K241" s="1262"/>
      <c r="L241" s="1262"/>
      <c r="M241" s="1307"/>
      <c r="N241" s="1264"/>
      <c r="O241" s="1264"/>
    </row>
    <row r="242" spans="1:15" s="1986" customFormat="1" ht="17.100000000000001" customHeight="1">
      <c r="A242" s="1262"/>
      <c r="B242" s="1307"/>
      <c r="C242" s="1307"/>
      <c r="D242" s="1262"/>
      <c r="E242" s="1307"/>
      <c r="F242" s="1262"/>
      <c r="G242" s="1262"/>
      <c r="H242" s="1262"/>
      <c r="I242" s="1262"/>
      <c r="J242" s="1262"/>
      <c r="K242" s="1262"/>
      <c r="L242" s="1262"/>
      <c r="M242" s="1307"/>
      <c r="N242" s="1264"/>
      <c r="O242" s="1264"/>
    </row>
    <row r="243" spans="1:15" s="1986" customFormat="1" ht="17.100000000000001" customHeight="1">
      <c r="A243" s="1262"/>
      <c r="B243" s="1307"/>
      <c r="C243" s="1307"/>
      <c r="D243" s="1262"/>
      <c r="E243" s="1307"/>
      <c r="F243" s="1262"/>
      <c r="G243" s="1262"/>
      <c r="H243" s="1262"/>
      <c r="I243" s="1262"/>
      <c r="J243" s="1262"/>
      <c r="K243" s="1262"/>
      <c r="L243" s="1262"/>
      <c r="M243" s="1307"/>
      <c r="N243" s="1264"/>
      <c r="O243" s="1264"/>
    </row>
    <row r="244" spans="1:15" s="1986" customFormat="1" ht="17.100000000000001" customHeight="1">
      <c r="A244" s="1262"/>
      <c r="B244" s="1307"/>
      <c r="C244" s="1307"/>
      <c r="D244" s="1262"/>
      <c r="E244" s="1307"/>
      <c r="F244" s="1262"/>
      <c r="G244" s="1262"/>
      <c r="H244" s="1262"/>
      <c r="I244" s="1262"/>
      <c r="J244" s="1262"/>
      <c r="K244" s="1262"/>
      <c r="L244" s="1262"/>
      <c r="M244" s="1307"/>
      <c r="N244" s="1264"/>
      <c r="O244" s="1264"/>
    </row>
    <row r="245" spans="1:15" s="1986" customFormat="1" ht="17.100000000000001" customHeight="1">
      <c r="A245" s="1262"/>
      <c r="B245" s="1307"/>
      <c r="C245" s="1307"/>
      <c r="D245" s="1262"/>
      <c r="E245" s="1307"/>
      <c r="F245" s="1262"/>
      <c r="G245" s="1262"/>
      <c r="H245" s="1262"/>
      <c r="I245" s="1262"/>
      <c r="J245" s="1262"/>
      <c r="K245" s="1262"/>
      <c r="L245" s="1262"/>
      <c r="M245" s="1307"/>
      <c r="N245" s="1264"/>
      <c r="O245" s="1264"/>
    </row>
    <row r="246" spans="1:15" s="1986" customFormat="1" ht="17.100000000000001" customHeight="1">
      <c r="A246" s="1262"/>
      <c r="B246" s="1307"/>
      <c r="C246" s="1307"/>
      <c r="D246" s="1262"/>
      <c r="E246" s="1307"/>
      <c r="F246" s="1262"/>
      <c r="G246" s="1262"/>
      <c r="H246" s="1262"/>
      <c r="I246" s="1262"/>
      <c r="J246" s="1262"/>
      <c r="K246" s="1262"/>
      <c r="L246" s="1262"/>
      <c r="M246" s="1307"/>
      <c r="N246" s="1264"/>
      <c r="O246" s="1264"/>
    </row>
    <row r="247" spans="1:15" s="1986" customFormat="1" ht="17.100000000000001" customHeight="1">
      <c r="A247" s="1262"/>
      <c r="B247" s="1307"/>
      <c r="C247" s="1307"/>
      <c r="D247" s="1262"/>
      <c r="E247" s="1307"/>
      <c r="F247" s="1262"/>
      <c r="G247" s="1262"/>
      <c r="H247" s="1262"/>
      <c r="I247" s="1262"/>
      <c r="J247" s="1262"/>
      <c r="K247" s="1262"/>
      <c r="L247" s="1262"/>
      <c r="M247" s="1307"/>
      <c r="N247" s="1264"/>
      <c r="O247" s="1264"/>
    </row>
    <row r="248" spans="1:15" s="1986" customFormat="1" ht="17.100000000000001" customHeight="1">
      <c r="A248" s="1262"/>
      <c r="B248" s="1307"/>
      <c r="C248" s="1307"/>
      <c r="D248" s="1262"/>
      <c r="E248" s="1307"/>
      <c r="F248" s="1262"/>
      <c r="G248" s="1262"/>
      <c r="H248" s="1262"/>
      <c r="I248" s="1262"/>
      <c r="J248" s="1262"/>
      <c r="K248" s="1262"/>
      <c r="L248" s="1262"/>
      <c r="M248" s="1307"/>
      <c r="N248" s="1264"/>
      <c r="O248" s="1264"/>
    </row>
    <row r="249" spans="1:15" s="1986" customFormat="1" ht="17.100000000000001" customHeight="1">
      <c r="A249" s="1262"/>
      <c r="B249" s="1307"/>
      <c r="C249" s="1307"/>
      <c r="D249" s="1262"/>
      <c r="E249" s="1307"/>
      <c r="F249" s="1262"/>
      <c r="G249" s="1262"/>
      <c r="H249" s="1262"/>
      <c r="I249" s="1262"/>
      <c r="J249" s="1262"/>
      <c r="K249" s="1262"/>
      <c r="L249" s="1262"/>
      <c r="M249" s="1307"/>
      <c r="N249" s="1264"/>
      <c r="O249" s="1264"/>
    </row>
    <row r="250" spans="1:15" s="1986" customFormat="1" ht="17.100000000000001" customHeight="1">
      <c r="A250" s="1262"/>
      <c r="B250" s="1307"/>
      <c r="C250" s="1307"/>
      <c r="D250" s="1262"/>
      <c r="E250" s="1307"/>
      <c r="F250" s="1262"/>
      <c r="G250" s="1262"/>
      <c r="H250" s="1262"/>
      <c r="I250" s="1262"/>
      <c r="J250" s="1262"/>
      <c r="K250" s="1262"/>
      <c r="L250" s="1262"/>
      <c r="M250" s="1307"/>
      <c r="N250" s="1264"/>
      <c r="O250" s="1264"/>
    </row>
    <row r="251" spans="1:15" s="1986" customFormat="1" ht="17.100000000000001" customHeight="1">
      <c r="A251" s="1262"/>
      <c r="B251" s="1307"/>
      <c r="C251" s="1307"/>
      <c r="D251" s="1262"/>
      <c r="E251" s="1307"/>
      <c r="F251" s="1262"/>
      <c r="G251" s="1262"/>
      <c r="H251" s="1262"/>
      <c r="I251" s="1262"/>
      <c r="J251" s="1262"/>
      <c r="K251" s="1262"/>
      <c r="L251" s="1262"/>
      <c r="M251" s="1307"/>
      <c r="N251" s="1264"/>
      <c r="O251" s="1264"/>
    </row>
    <row r="252" spans="1:15" s="1986" customFormat="1" ht="17.100000000000001" customHeight="1">
      <c r="A252" s="1262"/>
      <c r="B252" s="1307"/>
      <c r="C252" s="1307"/>
      <c r="D252" s="1262"/>
      <c r="E252" s="1307"/>
      <c r="F252" s="1262"/>
      <c r="G252" s="1262"/>
      <c r="H252" s="1262"/>
      <c r="I252" s="1262"/>
      <c r="J252" s="1262"/>
      <c r="K252" s="1262"/>
      <c r="L252" s="1262"/>
      <c r="M252" s="1307"/>
      <c r="N252" s="1264"/>
      <c r="O252" s="1264"/>
    </row>
    <row r="253" spans="1:15" s="1986" customFormat="1" ht="17.100000000000001" customHeight="1">
      <c r="A253" s="1262"/>
      <c r="B253" s="1307"/>
      <c r="C253" s="1307"/>
      <c r="D253" s="1262"/>
      <c r="E253" s="1307"/>
      <c r="F253" s="1262"/>
      <c r="G253" s="1262"/>
      <c r="H253" s="1262"/>
      <c r="I253" s="1262"/>
      <c r="J253" s="1262"/>
      <c r="K253" s="1262"/>
      <c r="L253" s="1262"/>
      <c r="M253" s="1307"/>
      <c r="N253" s="1264"/>
      <c r="O253" s="1264"/>
    </row>
    <row r="254" spans="1:15" s="1986" customFormat="1" ht="17.100000000000001" customHeight="1">
      <c r="A254" s="1262"/>
      <c r="B254" s="1307"/>
      <c r="C254" s="1307"/>
      <c r="D254" s="1262"/>
      <c r="E254" s="1307"/>
      <c r="F254" s="1262"/>
      <c r="G254" s="1262"/>
      <c r="H254" s="1262"/>
      <c r="I254" s="1262"/>
      <c r="J254" s="1262"/>
      <c r="K254" s="1262"/>
      <c r="L254" s="1262"/>
      <c r="M254" s="1307"/>
      <c r="N254" s="1264"/>
      <c r="O254" s="1264"/>
    </row>
    <row r="255" spans="1:15" s="1986" customFormat="1" ht="17.100000000000001" customHeight="1">
      <c r="A255" s="1262"/>
      <c r="B255" s="1307"/>
      <c r="C255" s="1307"/>
      <c r="D255" s="1262"/>
      <c r="E255" s="1307"/>
      <c r="F255" s="1262"/>
      <c r="G255" s="1262"/>
      <c r="H255" s="1262"/>
      <c r="I255" s="1262"/>
      <c r="J255" s="1262"/>
      <c r="K255" s="1262"/>
      <c r="L255" s="1262"/>
      <c r="M255" s="1307"/>
      <c r="N255" s="1264"/>
      <c r="O255" s="1264"/>
    </row>
    <row r="256" spans="1:15" s="1986" customFormat="1" ht="17.100000000000001" customHeight="1">
      <c r="A256" s="1262"/>
      <c r="B256" s="1307"/>
      <c r="C256" s="1307"/>
      <c r="D256" s="1262"/>
      <c r="E256" s="1307"/>
      <c r="F256" s="1262"/>
      <c r="G256" s="1262"/>
      <c r="H256" s="1262"/>
      <c r="I256" s="1262"/>
      <c r="J256" s="1262"/>
      <c r="K256" s="1262"/>
      <c r="L256" s="1262"/>
      <c r="M256" s="1307"/>
      <c r="N256" s="1264"/>
      <c r="O256" s="1264"/>
    </row>
    <row r="257" spans="1:15" s="1986" customFormat="1" ht="17.100000000000001" customHeight="1">
      <c r="A257" s="1262"/>
      <c r="B257" s="1307"/>
      <c r="C257" s="1307"/>
      <c r="D257" s="1262"/>
      <c r="E257" s="1307"/>
      <c r="F257" s="1262"/>
      <c r="G257" s="1262"/>
      <c r="H257" s="1262"/>
      <c r="I257" s="1262"/>
      <c r="J257" s="1262"/>
      <c r="K257" s="1262"/>
      <c r="L257" s="1262"/>
      <c r="M257" s="1307"/>
      <c r="N257" s="1264"/>
      <c r="O257" s="1264"/>
    </row>
    <row r="258" spans="1:15" s="1986" customFormat="1" ht="17.100000000000001" customHeight="1">
      <c r="A258" s="1262"/>
      <c r="B258" s="1307"/>
      <c r="C258" s="1307"/>
      <c r="D258" s="1262"/>
      <c r="E258" s="1307"/>
      <c r="F258" s="1262"/>
      <c r="G258" s="1262"/>
      <c r="H258" s="1262"/>
      <c r="I258" s="1262"/>
      <c r="J258" s="1262"/>
      <c r="K258" s="1262"/>
      <c r="L258" s="1262"/>
      <c r="M258" s="1307"/>
      <c r="N258" s="1264"/>
      <c r="O258" s="1264"/>
    </row>
    <row r="259" spans="1:15" s="1986" customFormat="1" ht="17.100000000000001" customHeight="1">
      <c r="A259" s="1262"/>
      <c r="B259" s="1307"/>
      <c r="C259" s="1307"/>
      <c r="D259" s="1262"/>
      <c r="E259" s="1307"/>
      <c r="F259" s="1262"/>
      <c r="G259" s="1262"/>
      <c r="H259" s="1262"/>
      <c r="I259" s="1262"/>
      <c r="J259" s="1262"/>
      <c r="K259" s="1262"/>
      <c r="L259" s="1262"/>
      <c r="M259" s="1307"/>
      <c r="N259" s="1264"/>
      <c r="O259" s="1264"/>
    </row>
    <row r="260" spans="1:15" s="1986" customFormat="1" ht="17.100000000000001" customHeight="1">
      <c r="A260" s="1262"/>
      <c r="B260" s="1307"/>
      <c r="C260" s="1307"/>
      <c r="D260" s="1262"/>
      <c r="E260" s="1307"/>
      <c r="F260" s="1262"/>
      <c r="G260" s="1262"/>
      <c r="H260" s="1262"/>
      <c r="I260" s="1262"/>
      <c r="J260" s="1262"/>
      <c r="K260" s="1262"/>
      <c r="L260" s="1262"/>
      <c r="M260" s="1307"/>
      <c r="N260" s="1264"/>
      <c r="O260" s="1264"/>
    </row>
    <row r="261" spans="1:15" s="1986" customFormat="1" ht="17.100000000000001" customHeight="1">
      <c r="A261" s="1262"/>
      <c r="B261" s="1307"/>
      <c r="C261" s="1307"/>
      <c r="D261" s="1262"/>
      <c r="E261" s="1307"/>
      <c r="F261" s="1262"/>
      <c r="G261" s="1262"/>
      <c r="H261" s="1262"/>
      <c r="I261" s="1262"/>
      <c r="J261" s="1262"/>
      <c r="K261" s="1262"/>
      <c r="L261" s="1262"/>
      <c r="M261" s="1307"/>
      <c r="N261" s="1264"/>
      <c r="O261" s="1264"/>
    </row>
    <row r="262" spans="1:15" s="1986" customFormat="1" ht="17.100000000000001" customHeight="1">
      <c r="A262" s="1262"/>
      <c r="B262" s="1307"/>
      <c r="C262" s="1307"/>
      <c r="D262" s="1262"/>
      <c r="E262" s="1307"/>
      <c r="F262" s="1262"/>
      <c r="G262" s="1262"/>
      <c r="H262" s="1262"/>
      <c r="I262" s="1262"/>
      <c r="J262" s="1262"/>
      <c r="K262" s="1262"/>
      <c r="L262" s="1262"/>
      <c r="M262" s="1307"/>
      <c r="N262" s="1264"/>
      <c r="O262" s="1264"/>
    </row>
    <row r="263" spans="1:15" s="1986" customFormat="1" ht="17.100000000000001" customHeight="1">
      <c r="A263" s="1262"/>
      <c r="B263" s="1307"/>
      <c r="C263" s="1307"/>
      <c r="D263" s="1262"/>
      <c r="E263" s="1307"/>
      <c r="F263" s="1262"/>
      <c r="G263" s="1262"/>
      <c r="H263" s="1262"/>
      <c r="I263" s="1262"/>
      <c r="J263" s="1262"/>
      <c r="K263" s="1262"/>
      <c r="L263" s="1262"/>
      <c r="M263" s="1307"/>
      <c r="N263" s="1264"/>
      <c r="O263" s="1264"/>
    </row>
  </sheetData>
  <mergeCells count="7">
    <mergeCell ref="B100:G100"/>
    <mergeCell ref="I100:O100"/>
    <mergeCell ref="B3:O3"/>
    <mergeCell ref="B4:O4"/>
    <mergeCell ref="M60:O60"/>
    <mergeCell ref="B69:O69"/>
    <mergeCell ref="B70:O70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8" orientation="portrait" horizontalDpi="300" verticalDpi="300" r:id="rId1"/>
  <headerFooter alignWithMargins="0">
    <oddFooter>&amp;C&amp;"Times New Roman (Arabic),Regular"&amp;22-74-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"/>
  <sheetViews>
    <sheetView topLeftCell="A56" zoomScale="75" zoomScaleNormal="75" workbookViewId="0">
      <selection activeCell="H71" sqref="H71"/>
    </sheetView>
  </sheetViews>
  <sheetFormatPr defaultColWidth="0" defaultRowHeight="20.25"/>
  <cols>
    <col min="1" max="1" width="31.28515625" style="1174" customWidth="1"/>
    <col min="2" max="9" width="21.28515625" style="1310" customWidth="1"/>
    <col min="10" max="10" width="19.85546875" style="1174" customWidth="1"/>
    <col min="11" max="16" width="0" style="1174" hidden="1"/>
    <col min="17" max="17" width="11.5703125" style="1174" customWidth="1"/>
    <col min="18" max="18" width="12" style="1174" customWidth="1"/>
    <col min="19" max="257" width="0" style="1174" hidden="1"/>
    <col min="258" max="258" width="31.28515625" style="1174" customWidth="1"/>
    <col min="259" max="265" width="21.28515625" style="1174" customWidth="1"/>
    <col min="266" max="266" width="19.85546875" style="1174" customWidth="1"/>
    <col min="267" max="272" width="0" style="1174" hidden="1"/>
    <col min="273" max="273" width="11.5703125" style="1174" customWidth="1"/>
    <col min="274" max="274" width="12" style="1174" customWidth="1"/>
    <col min="275" max="513" width="0" style="1174" hidden="1"/>
    <col min="514" max="514" width="31.28515625" style="1174" customWidth="1"/>
    <col min="515" max="521" width="21.28515625" style="1174" customWidth="1"/>
    <col min="522" max="522" width="19.85546875" style="1174" customWidth="1"/>
    <col min="523" max="528" width="0" style="1174" hidden="1"/>
    <col min="529" max="529" width="11.5703125" style="1174" customWidth="1"/>
    <col min="530" max="530" width="12" style="1174" customWidth="1"/>
    <col min="531" max="769" width="0" style="1174" hidden="1"/>
    <col min="770" max="770" width="31.28515625" style="1174" customWidth="1"/>
    <col min="771" max="777" width="21.28515625" style="1174" customWidth="1"/>
    <col min="778" max="778" width="19.85546875" style="1174" customWidth="1"/>
    <col min="779" max="784" width="0" style="1174" hidden="1"/>
    <col min="785" max="785" width="11.5703125" style="1174" customWidth="1"/>
    <col min="786" max="786" width="12" style="1174" customWidth="1"/>
    <col min="787" max="1025" width="0" style="1174" hidden="1"/>
    <col min="1026" max="1026" width="31.28515625" style="1174" customWidth="1"/>
    <col min="1027" max="1033" width="21.28515625" style="1174" customWidth="1"/>
    <col min="1034" max="1034" width="19.85546875" style="1174" customWidth="1"/>
    <col min="1035" max="1040" width="0" style="1174" hidden="1"/>
    <col min="1041" max="1041" width="11.5703125" style="1174" customWidth="1"/>
    <col min="1042" max="1042" width="12" style="1174" customWidth="1"/>
    <col min="1043" max="1281" width="0" style="1174" hidden="1"/>
    <col min="1282" max="1282" width="31.28515625" style="1174" customWidth="1"/>
    <col min="1283" max="1289" width="21.28515625" style="1174" customWidth="1"/>
    <col min="1290" max="1290" width="19.85546875" style="1174" customWidth="1"/>
    <col min="1291" max="1296" width="0" style="1174" hidden="1"/>
    <col min="1297" max="1297" width="11.5703125" style="1174" customWidth="1"/>
    <col min="1298" max="1298" width="12" style="1174" customWidth="1"/>
    <col min="1299" max="1537" width="0" style="1174" hidden="1"/>
    <col min="1538" max="1538" width="31.28515625" style="1174" customWidth="1"/>
    <col min="1539" max="1545" width="21.28515625" style="1174" customWidth="1"/>
    <col min="1546" max="1546" width="19.85546875" style="1174" customWidth="1"/>
    <col min="1547" max="1552" width="0" style="1174" hidden="1"/>
    <col min="1553" max="1553" width="11.5703125" style="1174" customWidth="1"/>
    <col min="1554" max="1554" width="12" style="1174" customWidth="1"/>
    <col min="1555" max="1793" width="0" style="1174" hidden="1"/>
    <col min="1794" max="1794" width="31.28515625" style="1174" customWidth="1"/>
    <col min="1795" max="1801" width="21.28515625" style="1174" customWidth="1"/>
    <col min="1802" max="1802" width="19.85546875" style="1174" customWidth="1"/>
    <col min="1803" max="1808" width="0" style="1174" hidden="1"/>
    <col min="1809" max="1809" width="11.5703125" style="1174" customWidth="1"/>
    <col min="1810" max="1810" width="12" style="1174" customWidth="1"/>
    <col min="1811" max="2049" width="0" style="1174" hidden="1"/>
    <col min="2050" max="2050" width="31.28515625" style="1174" customWidth="1"/>
    <col min="2051" max="2057" width="21.28515625" style="1174" customWidth="1"/>
    <col min="2058" max="2058" width="19.85546875" style="1174" customWidth="1"/>
    <col min="2059" max="2064" width="0" style="1174" hidden="1"/>
    <col min="2065" max="2065" width="11.5703125" style="1174" customWidth="1"/>
    <col min="2066" max="2066" width="12" style="1174" customWidth="1"/>
    <col min="2067" max="2305" width="0" style="1174" hidden="1"/>
    <col min="2306" max="2306" width="31.28515625" style="1174" customWidth="1"/>
    <col min="2307" max="2313" width="21.28515625" style="1174" customWidth="1"/>
    <col min="2314" max="2314" width="19.85546875" style="1174" customWidth="1"/>
    <col min="2315" max="2320" width="0" style="1174" hidden="1"/>
    <col min="2321" max="2321" width="11.5703125" style="1174" customWidth="1"/>
    <col min="2322" max="2322" width="12" style="1174" customWidth="1"/>
    <col min="2323" max="2561" width="0" style="1174" hidden="1"/>
    <col min="2562" max="2562" width="31.28515625" style="1174" customWidth="1"/>
    <col min="2563" max="2569" width="21.28515625" style="1174" customWidth="1"/>
    <col min="2570" max="2570" width="19.85546875" style="1174" customWidth="1"/>
    <col min="2571" max="2576" width="0" style="1174" hidden="1"/>
    <col min="2577" max="2577" width="11.5703125" style="1174" customWidth="1"/>
    <col min="2578" max="2578" width="12" style="1174" customWidth="1"/>
    <col min="2579" max="2817" width="0" style="1174" hidden="1"/>
    <col min="2818" max="2818" width="31.28515625" style="1174" customWidth="1"/>
    <col min="2819" max="2825" width="21.28515625" style="1174" customWidth="1"/>
    <col min="2826" max="2826" width="19.85546875" style="1174" customWidth="1"/>
    <col min="2827" max="2832" width="0" style="1174" hidden="1"/>
    <col min="2833" max="2833" width="11.5703125" style="1174" customWidth="1"/>
    <col min="2834" max="2834" width="12" style="1174" customWidth="1"/>
    <col min="2835" max="3073" width="0" style="1174" hidden="1"/>
    <col min="3074" max="3074" width="31.28515625" style="1174" customWidth="1"/>
    <col min="3075" max="3081" width="21.28515625" style="1174" customWidth="1"/>
    <col min="3082" max="3082" width="19.85546875" style="1174" customWidth="1"/>
    <col min="3083" max="3088" width="0" style="1174" hidden="1"/>
    <col min="3089" max="3089" width="11.5703125" style="1174" customWidth="1"/>
    <col min="3090" max="3090" width="12" style="1174" customWidth="1"/>
    <col min="3091" max="3329" width="0" style="1174" hidden="1"/>
    <col min="3330" max="3330" width="31.28515625" style="1174" customWidth="1"/>
    <col min="3331" max="3337" width="21.28515625" style="1174" customWidth="1"/>
    <col min="3338" max="3338" width="19.85546875" style="1174" customWidth="1"/>
    <col min="3339" max="3344" width="0" style="1174" hidden="1"/>
    <col min="3345" max="3345" width="11.5703125" style="1174" customWidth="1"/>
    <col min="3346" max="3346" width="12" style="1174" customWidth="1"/>
    <col min="3347" max="3585" width="0" style="1174" hidden="1"/>
    <col min="3586" max="3586" width="31.28515625" style="1174" customWidth="1"/>
    <col min="3587" max="3593" width="21.28515625" style="1174" customWidth="1"/>
    <col min="3594" max="3594" width="19.85546875" style="1174" customWidth="1"/>
    <col min="3595" max="3600" width="0" style="1174" hidden="1"/>
    <col min="3601" max="3601" width="11.5703125" style="1174" customWidth="1"/>
    <col min="3602" max="3602" width="12" style="1174" customWidth="1"/>
    <col min="3603" max="3841" width="0" style="1174" hidden="1"/>
    <col min="3842" max="3842" width="31.28515625" style="1174" customWidth="1"/>
    <col min="3843" max="3849" width="21.28515625" style="1174" customWidth="1"/>
    <col min="3850" max="3850" width="19.85546875" style="1174" customWidth="1"/>
    <col min="3851" max="3856" width="0" style="1174" hidden="1"/>
    <col min="3857" max="3857" width="11.5703125" style="1174" customWidth="1"/>
    <col min="3858" max="3858" width="12" style="1174" customWidth="1"/>
    <col min="3859" max="4097" width="0" style="1174" hidden="1"/>
    <col min="4098" max="4098" width="31.28515625" style="1174" customWidth="1"/>
    <col min="4099" max="4105" width="21.28515625" style="1174" customWidth="1"/>
    <col min="4106" max="4106" width="19.85546875" style="1174" customWidth="1"/>
    <col min="4107" max="4112" width="0" style="1174" hidden="1"/>
    <col min="4113" max="4113" width="11.5703125" style="1174" customWidth="1"/>
    <col min="4114" max="4114" width="12" style="1174" customWidth="1"/>
    <col min="4115" max="4353" width="0" style="1174" hidden="1"/>
    <col min="4354" max="4354" width="31.28515625" style="1174" customWidth="1"/>
    <col min="4355" max="4361" width="21.28515625" style="1174" customWidth="1"/>
    <col min="4362" max="4362" width="19.85546875" style="1174" customWidth="1"/>
    <col min="4363" max="4368" width="0" style="1174" hidden="1"/>
    <col min="4369" max="4369" width="11.5703125" style="1174" customWidth="1"/>
    <col min="4370" max="4370" width="12" style="1174" customWidth="1"/>
    <col min="4371" max="4609" width="0" style="1174" hidden="1"/>
    <col min="4610" max="4610" width="31.28515625" style="1174" customWidth="1"/>
    <col min="4611" max="4617" width="21.28515625" style="1174" customWidth="1"/>
    <col min="4618" max="4618" width="19.85546875" style="1174" customWidth="1"/>
    <col min="4619" max="4624" width="0" style="1174" hidden="1"/>
    <col min="4625" max="4625" width="11.5703125" style="1174" customWidth="1"/>
    <col min="4626" max="4626" width="12" style="1174" customWidth="1"/>
    <col min="4627" max="4865" width="0" style="1174" hidden="1"/>
    <col min="4866" max="4866" width="31.28515625" style="1174" customWidth="1"/>
    <col min="4867" max="4873" width="21.28515625" style="1174" customWidth="1"/>
    <col min="4874" max="4874" width="19.85546875" style="1174" customWidth="1"/>
    <col min="4875" max="4880" width="0" style="1174" hidden="1"/>
    <col min="4881" max="4881" width="11.5703125" style="1174" customWidth="1"/>
    <col min="4882" max="4882" width="12" style="1174" customWidth="1"/>
    <col min="4883" max="5121" width="0" style="1174" hidden="1"/>
    <col min="5122" max="5122" width="31.28515625" style="1174" customWidth="1"/>
    <col min="5123" max="5129" width="21.28515625" style="1174" customWidth="1"/>
    <col min="5130" max="5130" width="19.85546875" style="1174" customWidth="1"/>
    <col min="5131" max="5136" width="0" style="1174" hidden="1"/>
    <col min="5137" max="5137" width="11.5703125" style="1174" customWidth="1"/>
    <col min="5138" max="5138" width="12" style="1174" customWidth="1"/>
    <col min="5139" max="5377" width="0" style="1174" hidden="1"/>
    <col min="5378" max="5378" width="31.28515625" style="1174" customWidth="1"/>
    <col min="5379" max="5385" width="21.28515625" style="1174" customWidth="1"/>
    <col min="5386" max="5386" width="19.85546875" style="1174" customWidth="1"/>
    <col min="5387" max="5392" width="0" style="1174" hidden="1"/>
    <col min="5393" max="5393" width="11.5703125" style="1174" customWidth="1"/>
    <col min="5394" max="5394" width="12" style="1174" customWidth="1"/>
    <col min="5395" max="5633" width="0" style="1174" hidden="1"/>
    <col min="5634" max="5634" width="31.28515625" style="1174" customWidth="1"/>
    <col min="5635" max="5641" width="21.28515625" style="1174" customWidth="1"/>
    <col min="5642" max="5642" width="19.85546875" style="1174" customWidth="1"/>
    <col min="5643" max="5648" width="0" style="1174" hidden="1"/>
    <col min="5649" max="5649" width="11.5703125" style="1174" customWidth="1"/>
    <col min="5650" max="5650" width="12" style="1174" customWidth="1"/>
    <col min="5651" max="5889" width="0" style="1174" hidden="1"/>
    <col min="5890" max="5890" width="31.28515625" style="1174" customWidth="1"/>
    <col min="5891" max="5897" width="21.28515625" style="1174" customWidth="1"/>
    <col min="5898" max="5898" width="19.85546875" style="1174" customWidth="1"/>
    <col min="5899" max="5904" width="0" style="1174" hidden="1"/>
    <col min="5905" max="5905" width="11.5703125" style="1174" customWidth="1"/>
    <col min="5906" max="5906" width="12" style="1174" customWidth="1"/>
    <col min="5907" max="6145" width="0" style="1174" hidden="1"/>
    <col min="6146" max="6146" width="31.28515625" style="1174" customWidth="1"/>
    <col min="6147" max="6153" width="21.28515625" style="1174" customWidth="1"/>
    <col min="6154" max="6154" width="19.85546875" style="1174" customWidth="1"/>
    <col min="6155" max="6160" width="0" style="1174" hidden="1"/>
    <col min="6161" max="6161" width="11.5703125" style="1174" customWidth="1"/>
    <col min="6162" max="6162" width="12" style="1174" customWidth="1"/>
    <col min="6163" max="6401" width="0" style="1174" hidden="1"/>
    <col min="6402" max="6402" width="31.28515625" style="1174" customWidth="1"/>
    <col min="6403" max="6409" width="21.28515625" style="1174" customWidth="1"/>
    <col min="6410" max="6410" width="19.85546875" style="1174" customWidth="1"/>
    <col min="6411" max="6416" width="0" style="1174" hidden="1"/>
    <col min="6417" max="6417" width="11.5703125" style="1174" customWidth="1"/>
    <col min="6418" max="6418" width="12" style="1174" customWidth="1"/>
    <col min="6419" max="6657" width="0" style="1174" hidden="1"/>
    <col min="6658" max="6658" width="31.28515625" style="1174" customWidth="1"/>
    <col min="6659" max="6665" width="21.28515625" style="1174" customWidth="1"/>
    <col min="6666" max="6666" width="19.85546875" style="1174" customWidth="1"/>
    <col min="6667" max="6672" width="0" style="1174" hidden="1"/>
    <col min="6673" max="6673" width="11.5703125" style="1174" customWidth="1"/>
    <col min="6674" max="6674" width="12" style="1174" customWidth="1"/>
    <col min="6675" max="6913" width="0" style="1174" hidden="1"/>
    <col min="6914" max="6914" width="31.28515625" style="1174" customWidth="1"/>
    <col min="6915" max="6921" width="21.28515625" style="1174" customWidth="1"/>
    <col min="6922" max="6922" width="19.85546875" style="1174" customWidth="1"/>
    <col min="6923" max="6928" width="0" style="1174" hidden="1"/>
    <col min="6929" max="6929" width="11.5703125" style="1174" customWidth="1"/>
    <col min="6930" max="6930" width="12" style="1174" customWidth="1"/>
    <col min="6931" max="7169" width="0" style="1174" hidden="1"/>
    <col min="7170" max="7170" width="31.28515625" style="1174" customWidth="1"/>
    <col min="7171" max="7177" width="21.28515625" style="1174" customWidth="1"/>
    <col min="7178" max="7178" width="19.85546875" style="1174" customWidth="1"/>
    <col min="7179" max="7184" width="0" style="1174" hidden="1"/>
    <col min="7185" max="7185" width="11.5703125" style="1174" customWidth="1"/>
    <col min="7186" max="7186" width="12" style="1174" customWidth="1"/>
    <col min="7187" max="7425" width="0" style="1174" hidden="1"/>
    <col min="7426" max="7426" width="31.28515625" style="1174" customWidth="1"/>
    <col min="7427" max="7433" width="21.28515625" style="1174" customWidth="1"/>
    <col min="7434" max="7434" width="19.85546875" style="1174" customWidth="1"/>
    <col min="7435" max="7440" width="0" style="1174" hidden="1"/>
    <col min="7441" max="7441" width="11.5703125" style="1174" customWidth="1"/>
    <col min="7442" max="7442" width="12" style="1174" customWidth="1"/>
    <col min="7443" max="7681" width="0" style="1174" hidden="1"/>
    <col min="7682" max="7682" width="31.28515625" style="1174" customWidth="1"/>
    <col min="7683" max="7689" width="21.28515625" style="1174" customWidth="1"/>
    <col min="7690" max="7690" width="19.85546875" style="1174" customWidth="1"/>
    <col min="7691" max="7696" width="0" style="1174" hidden="1"/>
    <col min="7697" max="7697" width="11.5703125" style="1174" customWidth="1"/>
    <col min="7698" max="7698" width="12" style="1174" customWidth="1"/>
    <col min="7699" max="7937" width="0" style="1174" hidden="1"/>
    <col min="7938" max="7938" width="31.28515625" style="1174" customWidth="1"/>
    <col min="7939" max="7945" width="21.28515625" style="1174" customWidth="1"/>
    <col min="7946" max="7946" width="19.85546875" style="1174" customWidth="1"/>
    <col min="7947" max="7952" width="0" style="1174" hidden="1"/>
    <col min="7953" max="7953" width="11.5703125" style="1174" customWidth="1"/>
    <col min="7954" max="7954" width="12" style="1174" customWidth="1"/>
    <col min="7955" max="8193" width="0" style="1174" hidden="1"/>
    <col min="8194" max="8194" width="31.28515625" style="1174" customWidth="1"/>
    <col min="8195" max="8201" width="21.28515625" style="1174" customWidth="1"/>
    <col min="8202" max="8202" width="19.85546875" style="1174" customWidth="1"/>
    <col min="8203" max="8208" width="0" style="1174" hidden="1"/>
    <col min="8209" max="8209" width="11.5703125" style="1174" customWidth="1"/>
    <col min="8210" max="8210" width="12" style="1174" customWidth="1"/>
    <col min="8211" max="8449" width="0" style="1174" hidden="1"/>
    <col min="8450" max="8450" width="31.28515625" style="1174" customWidth="1"/>
    <col min="8451" max="8457" width="21.28515625" style="1174" customWidth="1"/>
    <col min="8458" max="8458" width="19.85546875" style="1174" customWidth="1"/>
    <col min="8459" max="8464" width="0" style="1174" hidden="1"/>
    <col min="8465" max="8465" width="11.5703125" style="1174" customWidth="1"/>
    <col min="8466" max="8466" width="12" style="1174" customWidth="1"/>
    <col min="8467" max="8705" width="0" style="1174" hidden="1"/>
    <col min="8706" max="8706" width="31.28515625" style="1174" customWidth="1"/>
    <col min="8707" max="8713" width="21.28515625" style="1174" customWidth="1"/>
    <col min="8714" max="8714" width="19.85546875" style="1174" customWidth="1"/>
    <col min="8715" max="8720" width="0" style="1174" hidden="1"/>
    <col min="8721" max="8721" width="11.5703125" style="1174" customWidth="1"/>
    <col min="8722" max="8722" width="12" style="1174" customWidth="1"/>
    <col min="8723" max="8961" width="0" style="1174" hidden="1"/>
    <col min="8962" max="8962" width="31.28515625" style="1174" customWidth="1"/>
    <col min="8963" max="8969" width="21.28515625" style="1174" customWidth="1"/>
    <col min="8970" max="8970" width="19.85546875" style="1174" customWidth="1"/>
    <col min="8971" max="8976" width="0" style="1174" hidden="1"/>
    <col min="8977" max="8977" width="11.5703125" style="1174" customWidth="1"/>
    <col min="8978" max="8978" width="12" style="1174" customWidth="1"/>
    <col min="8979" max="9217" width="0" style="1174" hidden="1"/>
    <col min="9218" max="9218" width="31.28515625" style="1174" customWidth="1"/>
    <col min="9219" max="9225" width="21.28515625" style="1174" customWidth="1"/>
    <col min="9226" max="9226" width="19.85546875" style="1174" customWidth="1"/>
    <col min="9227" max="9232" width="0" style="1174" hidden="1"/>
    <col min="9233" max="9233" width="11.5703125" style="1174" customWidth="1"/>
    <col min="9234" max="9234" width="12" style="1174" customWidth="1"/>
    <col min="9235" max="9473" width="0" style="1174" hidden="1"/>
    <col min="9474" max="9474" width="31.28515625" style="1174" customWidth="1"/>
    <col min="9475" max="9481" width="21.28515625" style="1174" customWidth="1"/>
    <col min="9482" max="9482" width="19.85546875" style="1174" customWidth="1"/>
    <col min="9483" max="9488" width="0" style="1174" hidden="1"/>
    <col min="9489" max="9489" width="11.5703125" style="1174" customWidth="1"/>
    <col min="9490" max="9490" width="12" style="1174" customWidth="1"/>
    <col min="9491" max="9729" width="0" style="1174" hidden="1"/>
    <col min="9730" max="9730" width="31.28515625" style="1174" customWidth="1"/>
    <col min="9731" max="9737" width="21.28515625" style="1174" customWidth="1"/>
    <col min="9738" max="9738" width="19.85546875" style="1174" customWidth="1"/>
    <col min="9739" max="9744" width="0" style="1174" hidden="1"/>
    <col min="9745" max="9745" width="11.5703125" style="1174" customWidth="1"/>
    <col min="9746" max="9746" width="12" style="1174" customWidth="1"/>
    <col min="9747" max="9985" width="0" style="1174" hidden="1"/>
    <col min="9986" max="9986" width="31.28515625" style="1174" customWidth="1"/>
    <col min="9987" max="9993" width="21.28515625" style="1174" customWidth="1"/>
    <col min="9994" max="9994" width="19.85546875" style="1174" customWidth="1"/>
    <col min="9995" max="10000" width="0" style="1174" hidden="1"/>
    <col min="10001" max="10001" width="11.5703125" style="1174" customWidth="1"/>
    <col min="10002" max="10002" width="12" style="1174" customWidth="1"/>
    <col min="10003" max="10241" width="0" style="1174" hidden="1"/>
    <col min="10242" max="10242" width="31.28515625" style="1174" customWidth="1"/>
    <col min="10243" max="10249" width="21.28515625" style="1174" customWidth="1"/>
    <col min="10250" max="10250" width="19.85546875" style="1174" customWidth="1"/>
    <col min="10251" max="10256" width="0" style="1174" hidden="1"/>
    <col min="10257" max="10257" width="11.5703125" style="1174" customWidth="1"/>
    <col min="10258" max="10258" width="12" style="1174" customWidth="1"/>
    <col min="10259" max="10497" width="0" style="1174" hidden="1"/>
    <col min="10498" max="10498" width="31.28515625" style="1174" customWidth="1"/>
    <col min="10499" max="10505" width="21.28515625" style="1174" customWidth="1"/>
    <col min="10506" max="10506" width="19.85546875" style="1174" customWidth="1"/>
    <col min="10507" max="10512" width="0" style="1174" hidden="1"/>
    <col min="10513" max="10513" width="11.5703125" style="1174" customWidth="1"/>
    <col min="10514" max="10514" width="12" style="1174" customWidth="1"/>
    <col min="10515" max="10753" width="0" style="1174" hidden="1"/>
    <col min="10754" max="10754" width="31.28515625" style="1174" customWidth="1"/>
    <col min="10755" max="10761" width="21.28515625" style="1174" customWidth="1"/>
    <col min="10762" max="10762" width="19.85546875" style="1174" customWidth="1"/>
    <col min="10763" max="10768" width="0" style="1174" hidden="1"/>
    <col min="10769" max="10769" width="11.5703125" style="1174" customWidth="1"/>
    <col min="10770" max="10770" width="12" style="1174" customWidth="1"/>
    <col min="10771" max="11009" width="0" style="1174" hidden="1"/>
    <col min="11010" max="11010" width="31.28515625" style="1174" customWidth="1"/>
    <col min="11011" max="11017" width="21.28515625" style="1174" customWidth="1"/>
    <col min="11018" max="11018" width="19.85546875" style="1174" customWidth="1"/>
    <col min="11019" max="11024" width="0" style="1174" hidden="1"/>
    <col min="11025" max="11025" width="11.5703125" style="1174" customWidth="1"/>
    <col min="11026" max="11026" width="12" style="1174" customWidth="1"/>
    <col min="11027" max="11265" width="0" style="1174" hidden="1"/>
    <col min="11266" max="11266" width="31.28515625" style="1174" customWidth="1"/>
    <col min="11267" max="11273" width="21.28515625" style="1174" customWidth="1"/>
    <col min="11274" max="11274" width="19.85546875" style="1174" customWidth="1"/>
    <col min="11275" max="11280" width="0" style="1174" hidden="1"/>
    <col min="11281" max="11281" width="11.5703125" style="1174" customWidth="1"/>
    <col min="11282" max="11282" width="12" style="1174" customWidth="1"/>
    <col min="11283" max="11521" width="0" style="1174" hidden="1"/>
    <col min="11522" max="11522" width="31.28515625" style="1174" customWidth="1"/>
    <col min="11523" max="11529" width="21.28515625" style="1174" customWidth="1"/>
    <col min="11530" max="11530" width="19.85546875" style="1174" customWidth="1"/>
    <col min="11531" max="11536" width="0" style="1174" hidden="1"/>
    <col min="11537" max="11537" width="11.5703125" style="1174" customWidth="1"/>
    <col min="11538" max="11538" width="12" style="1174" customWidth="1"/>
    <col min="11539" max="11777" width="0" style="1174" hidden="1"/>
    <col min="11778" max="11778" width="31.28515625" style="1174" customWidth="1"/>
    <col min="11779" max="11785" width="21.28515625" style="1174" customWidth="1"/>
    <col min="11786" max="11786" width="19.85546875" style="1174" customWidth="1"/>
    <col min="11787" max="11792" width="0" style="1174" hidden="1"/>
    <col min="11793" max="11793" width="11.5703125" style="1174" customWidth="1"/>
    <col min="11794" max="11794" width="12" style="1174" customWidth="1"/>
    <col min="11795" max="12033" width="0" style="1174" hidden="1"/>
    <col min="12034" max="12034" width="31.28515625" style="1174" customWidth="1"/>
    <col min="12035" max="12041" width="21.28515625" style="1174" customWidth="1"/>
    <col min="12042" max="12042" width="19.85546875" style="1174" customWidth="1"/>
    <col min="12043" max="12048" width="0" style="1174" hidden="1"/>
    <col min="12049" max="12049" width="11.5703125" style="1174" customWidth="1"/>
    <col min="12050" max="12050" width="12" style="1174" customWidth="1"/>
    <col min="12051" max="12289" width="0" style="1174" hidden="1"/>
    <col min="12290" max="12290" width="31.28515625" style="1174" customWidth="1"/>
    <col min="12291" max="12297" width="21.28515625" style="1174" customWidth="1"/>
    <col min="12298" max="12298" width="19.85546875" style="1174" customWidth="1"/>
    <col min="12299" max="12304" width="0" style="1174" hidden="1"/>
    <col min="12305" max="12305" width="11.5703125" style="1174" customWidth="1"/>
    <col min="12306" max="12306" width="12" style="1174" customWidth="1"/>
    <col min="12307" max="12545" width="0" style="1174" hidden="1"/>
    <col min="12546" max="12546" width="31.28515625" style="1174" customWidth="1"/>
    <col min="12547" max="12553" width="21.28515625" style="1174" customWidth="1"/>
    <col min="12554" max="12554" width="19.85546875" style="1174" customWidth="1"/>
    <col min="12555" max="12560" width="0" style="1174" hidden="1"/>
    <col min="12561" max="12561" width="11.5703125" style="1174" customWidth="1"/>
    <col min="12562" max="12562" width="12" style="1174" customWidth="1"/>
    <col min="12563" max="12801" width="0" style="1174" hidden="1"/>
    <col min="12802" max="12802" width="31.28515625" style="1174" customWidth="1"/>
    <col min="12803" max="12809" width="21.28515625" style="1174" customWidth="1"/>
    <col min="12810" max="12810" width="19.85546875" style="1174" customWidth="1"/>
    <col min="12811" max="12816" width="0" style="1174" hidden="1"/>
    <col min="12817" max="12817" width="11.5703125" style="1174" customWidth="1"/>
    <col min="12818" max="12818" width="12" style="1174" customWidth="1"/>
    <col min="12819" max="13057" width="0" style="1174" hidden="1"/>
    <col min="13058" max="13058" width="31.28515625" style="1174" customWidth="1"/>
    <col min="13059" max="13065" width="21.28515625" style="1174" customWidth="1"/>
    <col min="13066" max="13066" width="19.85546875" style="1174" customWidth="1"/>
    <col min="13067" max="13072" width="0" style="1174" hidden="1"/>
    <col min="13073" max="13073" width="11.5703125" style="1174" customWidth="1"/>
    <col min="13074" max="13074" width="12" style="1174" customWidth="1"/>
    <col min="13075" max="13313" width="0" style="1174" hidden="1"/>
    <col min="13314" max="13314" width="31.28515625" style="1174" customWidth="1"/>
    <col min="13315" max="13321" width="21.28515625" style="1174" customWidth="1"/>
    <col min="13322" max="13322" width="19.85546875" style="1174" customWidth="1"/>
    <col min="13323" max="13328" width="0" style="1174" hidden="1"/>
    <col min="13329" max="13329" width="11.5703125" style="1174" customWidth="1"/>
    <col min="13330" max="13330" width="12" style="1174" customWidth="1"/>
    <col min="13331" max="13569" width="0" style="1174" hidden="1"/>
    <col min="13570" max="13570" width="31.28515625" style="1174" customWidth="1"/>
    <col min="13571" max="13577" width="21.28515625" style="1174" customWidth="1"/>
    <col min="13578" max="13578" width="19.85546875" style="1174" customWidth="1"/>
    <col min="13579" max="13584" width="0" style="1174" hidden="1"/>
    <col min="13585" max="13585" width="11.5703125" style="1174" customWidth="1"/>
    <col min="13586" max="13586" width="12" style="1174" customWidth="1"/>
    <col min="13587" max="13825" width="0" style="1174" hidden="1"/>
    <col min="13826" max="13826" width="31.28515625" style="1174" customWidth="1"/>
    <col min="13827" max="13833" width="21.28515625" style="1174" customWidth="1"/>
    <col min="13834" max="13834" width="19.85546875" style="1174" customWidth="1"/>
    <col min="13835" max="13840" width="0" style="1174" hidden="1"/>
    <col min="13841" max="13841" width="11.5703125" style="1174" customWidth="1"/>
    <col min="13842" max="13842" width="12" style="1174" customWidth="1"/>
    <col min="13843" max="14081" width="0" style="1174" hidden="1"/>
    <col min="14082" max="14082" width="31.28515625" style="1174" customWidth="1"/>
    <col min="14083" max="14089" width="21.28515625" style="1174" customWidth="1"/>
    <col min="14090" max="14090" width="19.85546875" style="1174" customWidth="1"/>
    <col min="14091" max="14096" width="0" style="1174" hidden="1"/>
    <col min="14097" max="14097" width="11.5703125" style="1174" customWidth="1"/>
    <col min="14098" max="14098" width="12" style="1174" customWidth="1"/>
    <col min="14099" max="14337" width="0" style="1174" hidden="1"/>
    <col min="14338" max="14338" width="31.28515625" style="1174" customWidth="1"/>
    <col min="14339" max="14345" width="21.28515625" style="1174" customWidth="1"/>
    <col min="14346" max="14346" width="19.85546875" style="1174" customWidth="1"/>
    <col min="14347" max="14352" width="0" style="1174" hidden="1"/>
    <col min="14353" max="14353" width="11.5703125" style="1174" customWidth="1"/>
    <col min="14354" max="14354" width="12" style="1174" customWidth="1"/>
    <col min="14355" max="14593" width="0" style="1174" hidden="1"/>
    <col min="14594" max="14594" width="31.28515625" style="1174" customWidth="1"/>
    <col min="14595" max="14601" width="21.28515625" style="1174" customWidth="1"/>
    <col min="14602" max="14602" width="19.85546875" style="1174" customWidth="1"/>
    <col min="14603" max="14608" width="0" style="1174" hidden="1"/>
    <col min="14609" max="14609" width="11.5703125" style="1174" customWidth="1"/>
    <col min="14610" max="14610" width="12" style="1174" customWidth="1"/>
    <col min="14611" max="14849" width="0" style="1174" hidden="1"/>
    <col min="14850" max="14850" width="31.28515625" style="1174" customWidth="1"/>
    <col min="14851" max="14857" width="21.28515625" style="1174" customWidth="1"/>
    <col min="14858" max="14858" width="19.85546875" style="1174" customWidth="1"/>
    <col min="14859" max="14864" width="0" style="1174" hidden="1"/>
    <col min="14865" max="14865" width="11.5703125" style="1174" customWidth="1"/>
    <col min="14866" max="14866" width="12" style="1174" customWidth="1"/>
    <col min="14867" max="15105" width="0" style="1174" hidden="1"/>
    <col min="15106" max="15106" width="31.28515625" style="1174" customWidth="1"/>
    <col min="15107" max="15113" width="21.28515625" style="1174" customWidth="1"/>
    <col min="15114" max="15114" width="19.85546875" style="1174" customWidth="1"/>
    <col min="15115" max="15120" width="0" style="1174" hidden="1"/>
    <col min="15121" max="15121" width="11.5703125" style="1174" customWidth="1"/>
    <col min="15122" max="15122" width="12" style="1174" customWidth="1"/>
    <col min="15123" max="15361" width="0" style="1174" hidden="1"/>
    <col min="15362" max="15362" width="31.28515625" style="1174" customWidth="1"/>
    <col min="15363" max="15369" width="21.28515625" style="1174" customWidth="1"/>
    <col min="15370" max="15370" width="19.85546875" style="1174" customWidth="1"/>
    <col min="15371" max="15376" width="0" style="1174" hidden="1"/>
    <col min="15377" max="15377" width="11.5703125" style="1174" customWidth="1"/>
    <col min="15378" max="15378" width="12" style="1174" customWidth="1"/>
    <col min="15379" max="15617" width="0" style="1174" hidden="1"/>
    <col min="15618" max="15618" width="31.28515625" style="1174" customWidth="1"/>
    <col min="15619" max="15625" width="21.28515625" style="1174" customWidth="1"/>
    <col min="15626" max="15626" width="19.85546875" style="1174" customWidth="1"/>
    <col min="15627" max="15632" width="0" style="1174" hidden="1"/>
    <col min="15633" max="15633" width="11.5703125" style="1174" customWidth="1"/>
    <col min="15634" max="15634" width="12" style="1174" customWidth="1"/>
    <col min="15635" max="15873" width="0" style="1174" hidden="1"/>
    <col min="15874" max="15874" width="31.28515625" style="1174" customWidth="1"/>
    <col min="15875" max="15881" width="21.28515625" style="1174" customWidth="1"/>
    <col min="15882" max="15882" width="19.85546875" style="1174" customWidth="1"/>
    <col min="15883" max="15888" width="0" style="1174" hidden="1"/>
    <col min="15889" max="15889" width="11.5703125" style="1174" customWidth="1"/>
    <col min="15890" max="15890" width="12" style="1174" customWidth="1"/>
    <col min="15891" max="16129" width="0" style="1174" hidden="1"/>
    <col min="16130" max="16130" width="31.28515625" style="1174" customWidth="1"/>
    <col min="16131" max="16137" width="21.28515625" style="1174" customWidth="1"/>
    <col min="16138" max="16138" width="19.85546875" style="1174" customWidth="1"/>
    <col min="16139" max="16144" width="0" style="1174" hidden="1"/>
    <col min="16145" max="16145" width="11.5703125" style="1174" customWidth="1"/>
    <col min="16146" max="16146" width="12" style="1174" customWidth="1"/>
    <col min="16147" max="16384" width="0" style="1174" hidden="1"/>
  </cols>
  <sheetData>
    <row r="1" spans="1:18" ht="21.75" customHeight="1"/>
    <row r="2" spans="1:18" ht="14.25" customHeight="1">
      <c r="B2" s="1209"/>
      <c r="C2" s="1209"/>
      <c r="D2" s="1209"/>
      <c r="E2" s="1209"/>
      <c r="F2" s="1209"/>
      <c r="G2" s="1209"/>
      <c r="H2" s="1209"/>
      <c r="I2" s="1209"/>
    </row>
    <row r="3" spans="1:18" s="1845" customFormat="1" ht="33" customHeight="1">
      <c r="B3" s="5269" t="s">
        <v>2118</v>
      </c>
      <c r="C3" s="5269"/>
      <c r="D3" s="5269"/>
      <c r="E3" s="5269"/>
      <c r="F3" s="5269"/>
      <c r="G3" s="5269"/>
      <c r="H3" s="5269"/>
      <c r="I3" s="5269"/>
      <c r="J3" s="5269"/>
    </row>
    <row r="4" spans="1:18" s="2498" customFormat="1" ht="31.5" customHeight="1">
      <c r="B4" s="5270" t="s">
        <v>2119</v>
      </c>
      <c r="C4" s="5270"/>
      <c r="D4" s="5270"/>
      <c r="E4" s="5270"/>
      <c r="F4" s="5270"/>
      <c r="G4" s="5270"/>
      <c r="H4" s="5270"/>
      <c r="I4" s="5270"/>
      <c r="J4" s="5270"/>
    </row>
    <row r="5" spans="1:18" s="2498" customFormat="1" ht="10.5" customHeight="1">
      <c r="B5" s="1311"/>
      <c r="C5" s="1311"/>
      <c r="D5" s="1311"/>
      <c r="E5" s="1311"/>
      <c r="F5" s="1311"/>
      <c r="G5" s="1311"/>
      <c r="H5" s="1311"/>
      <c r="I5" s="1311"/>
      <c r="J5" s="1311"/>
    </row>
    <row r="6" spans="1:18" s="2499" customFormat="1" ht="6" customHeight="1">
      <c r="B6" s="1312"/>
      <c r="C6" s="1312"/>
      <c r="D6" s="1312"/>
      <c r="E6" s="1312"/>
      <c r="F6" s="1312"/>
      <c r="G6" s="1312"/>
      <c r="H6" s="1312"/>
      <c r="I6" s="1312"/>
    </row>
    <row r="7" spans="1:18" s="1849" customFormat="1" ht="5.25" hidden="1" customHeight="1">
      <c r="B7" s="1313"/>
      <c r="C7" s="1313"/>
      <c r="D7" s="1313"/>
      <c r="E7" s="1313"/>
      <c r="F7" s="1313"/>
      <c r="G7" s="1313"/>
      <c r="H7" s="1313"/>
      <c r="I7" s="1313"/>
    </row>
    <row r="8" spans="1:18" ht="25.5" customHeight="1">
      <c r="A8" s="2498"/>
      <c r="B8" s="1620" t="s">
        <v>1760</v>
      </c>
      <c r="C8" s="1621" t="s">
        <v>1760</v>
      </c>
      <c r="D8" s="1622" t="s">
        <v>2120</v>
      </c>
      <c r="E8" s="1622" t="s">
        <v>2120</v>
      </c>
      <c r="F8" s="1623"/>
      <c r="G8" s="1623"/>
      <c r="H8" s="4299"/>
      <c r="I8" s="1404"/>
      <c r="J8" s="1624"/>
    </row>
    <row r="9" spans="1:18" ht="25.5" customHeight="1">
      <c r="A9" s="2498"/>
      <c r="B9" s="1625" t="s">
        <v>2121</v>
      </c>
      <c r="C9" s="1626" t="s">
        <v>2121</v>
      </c>
      <c r="D9" s="1627" t="s">
        <v>2122</v>
      </c>
      <c r="E9" s="1627" t="s">
        <v>2122</v>
      </c>
      <c r="F9" s="1628" t="s">
        <v>2123</v>
      </c>
      <c r="G9" s="1628" t="s">
        <v>2123</v>
      </c>
      <c r="H9" s="4300" t="s">
        <v>1760</v>
      </c>
      <c r="I9" s="1405" t="s">
        <v>1760</v>
      </c>
      <c r="J9" s="1629"/>
    </row>
    <row r="10" spans="1:18" ht="25.5" customHeight="1">
      <c r="A10" s="2498"/>
      <c r="B10" s="1625" t="s">
        <v>2124</v>
      </c>
      <c r="C10" s="1626" t="s">
        <v>2124</v>
      </c>
      <c r="D10" s="1627" t="s">
        <v>2125</v>
      </c>
      <c r="E10" s="1627" t="s">
        <v>2125</v>
      </c>
      <c r="F10" s="1628" t="s">
        <v>1597</v>
      </c>
      <c r="G10" s="1628" t="s">
        <v>1597</v>
      </c>
      <c r="H10" s="4300" t="s">
        <v>2126</v>
      </c>
      <c r="I10" s="1405" t="s">
        <v>2126</v>
      </c>
      <c r="J10" s="1629"/>
      <c r="N10" s="1801"/>
      <c r="O10" s="1801"/>
      <c r="P10" s="1801"/>
      <c r="Q10" s="1801"/>
      <c r="R10" s="1801"/>
    </row>
    <row r="11" spans="1:18" ht="25.5" customHeight="1">
      <c r="A11" s="2498"/>
      <c r="B11" s="1625" t="s">
        <v>2127</v>
      </c>
      <c r="C11" s="1626" t="s">
        <v>2127</v>
      </c>
      <c r="D11" s="1627" t="s">
        <v>2128</v>
      </c>
      <c r="E11" s="1627" t="s">
        <v>2128</v>
      </c>
      <c r="F11" s="1628" t="s">
        <v>1600</v>
      </c>
      <c r="G11" s="1628" t="s">
        <v>1600</v>
      </c>
      <c r="H11" s="4300" t="s">
        <v>2124</v>
      </c>
      <c r="I11" s="1405" t="s">
        <v>2124</v>
      </c>
      <c r="J11" s="1629"/>
      <c r="N11" s="1801"/>
      <c r="O11" s="1801"/>
      <c r="P11" s="1801"/>
      <c r="Q11" s="1801"/>
      <c r="R11" s="1801"/>
    </row>
    <row r="12" spans="1:18" ht="25.5" customHeight="1">
      <c r="A12" s="2498"/>
      <c r="B12" s="1625" t="s">
        <v>1601</v>
      </c>
      <c r="C12" s="1626" t="s">
        <v>1601</v>
      </c>
      <c r="D12" s="1627" t="s">
        <v>2129</v>
      </c>
      <c r="E12" s="1627" t="s">
        <v>2129</v>
      </c>
      <c r="F12" s="1628" t="s">
        <v>1602</v>
      </c>
      <c r="G12" s="1628" t="s">
        <v>1602</v>
      </c>
      <c r="H12" s="4300" t="s">
        <v>2130</v>
      </c>
      <c r="I12" s="1405" t="s">
        <v>2130</v>
      </c>
      <c r="J12" s="1629"/>
      <c r="N12" s="1801"/>
      <c r="O12" s="1801"/>
      <c r="P12" s="1801"/>
      <c r="Q12" s="1801"/>
      <c r="R12" s="1801"/>
    </row>
    <row r="13" spans="1:18" ht="25.5" customHeight="1">
      <c r="A13" s="2498"/>
      <c r="B13" s="1625" t="s">
        <v>1627</v>
      </c>
      <c r="C13" s="1626" t="s">
        <v>1627</v>
      </c>
      <c r="D13" s="1627" t="s">
        <v>2131</v>
      </c>
      <c r="E13" s="1627" t="s">
        <v>2131</v>
      </c>
      <c r="F13" s="1628" t="s">
        <v>2742</v>
      </c>
      <c r="G13" s="1628" t="s">
        <v>2742</v>
      </c>
      <c r="H13" s="4300" t="s">
        <v>1327</v>
      </c>
      <c r="I13" s="1405" t="s">
        <v>1327</v>
      </c>
      <c r="J13" s="1629"/>
      <c r="N13" s="1801"/>
      <c r="O13" s="1801"/>
      <c r="P13" s="1801"/>
      <c r="Q13" s="1801"/>
      <c r="R13" s="1801"/>
    </row>
    <row r="14" spans="1:18" ht="25.5" customHeight="1">
      <c r="A14" s="2498"/>
      <c r="B14" s="1625" t="s">
        <v>2132</v>
      </c>
      <c r="C14" s="1626" t="s">
        <v>2132</v>
      </c>
      <c r="D14" s="1627" t="s">
        <v>2133</v>
      </c>
      <c r="E14" s="1627" t="s">
        <v>2133</v>
      </c>
      <c r="F14" s="1628" t="s">
        <v>2134</v>
      </c>
      <c r="G14" s="1628" t="s">
        <v>2134</v>
      </c>
      <c r="H14" s="4300" t="s">
        <v>2135</v>
      </c>
      <c r="I14" s="1405" t="s">
        <v>2135</v>
      </c>
      <c r="J14" s="1630"/>
      <c r="N14" s="1801"/>
      <c r="O14" s="1801"/>
      <c r="P14" s="1801"/>
      <c r="Q14" s="3964"/>
      <c r="R14" s="1801"/>
    </row>
    <row r="15" spans="1:18" ht="25.5" customHeight="1">
      <c r="A15" s="2498"/>
      <c r="B15" s="1625" t="s">
        <v>1495</v>
      </c>
      <c r="C15" s="1626" t="s">
        <v>1495</v>
      </c>
      <c r="D15" s="1627" t="s">
        <v>1495</v>
      </c>
      <c r="E15" s="1627" t="s">
        <v>1495</v>
      </c>
      <c r="F15" s="1628" t="s">
        <v>2136</v>
      </c>
      <c r="G15" s="1628" t="s">
        <v>2136</v>
      </c>
      <c r="H15" s="4300" t="s">
        <v>2137</v>
      </c>
      <c r="I15" s="1405" t="s">
        <v>2137</v>
      </c>
      <c r="J15" s="1629"/>
      <c r="N15" s="1801"/>
      <c r="O15" s="1801"/>
      <c r="P15" s="3965"/>
      <c r="Q15" s="1804"/>
      <c r="R15" s="1801"/>
    </row>
    <row r="16" spans="1:18" ht="25.5" customHeight="1">
      <c r="A16" s="2498"/>
      <c r="B16" s="1631" t="s">
        <v>2574</v>
      </c>
      <c r="C16" s="1632" t="s">
        <v>2294</v>
      </c>
      <c r="D16" s="1633" t="s">
        <v>2574</v>
      </c>
      <c r="E16" s="1633" t="s">
        <v>2743</v>
      </c>
      <c r="F16" s="1634" t="s">
        <v>3020</v>
      </c>
      <c r="G16" s="1634" t="s">
        <v>2744</v>
      </c>
      <c r="H16" s="4301" t="s">
        <v>3035</v>
      </c>
      <c r="I16" s="1406" t="s">
        <v>2574</v>
      </c>
      <c r="J16" s="1635"/>
      <c r="N16" s="1801"/>
      <c r="O16" s="1801"/>
      <c r="P16" s="1804"/>
      <c r="Q16" s="1804"/>
      <c r="R16" s="1801"/>
    </row>
    <row r="17" spans="2:18" ht="21.75" customHeight="1">
      <c r="B17" s="1636" t="s">
        <v>77</v>
      </c>
      <c r="C17" s="1401" t="s">
        <v>77</v>
      </c>
      <c r="D17" s="1401" t="s">
        <v>77</v>
      </c>
      <c r="E17" s="1401" t="s">
        <v>77</v>
      </c>
      <c r="F17" s="1401"/>
      <c r="G17" s="1401" t="s">
        <v>77</v>
      </c>
      <c r="H17" s="1401"/>
      <c r="I17" s="1401">
        <v>6.9574652747897492</v>
      </c>
      <c r="J17" s="1637">
        <v>1968</v>
      </c>
      <c r="N17" s="1808"/>
      <c r="O17" s="1808"/>
      <c r="P17" s="1804"/>
      <c r="Q17" s="1804"/>
      <c r="R17" s="1801"/>
    </row>
    <row r="18" spans="2:18" ht="21.75" customHeight="1">
      <c r="B18" s="1638" t="s">
        <v>77</v>
      </c>
      <c r="C18" s="1402" t="s">
        <v>77</v>
      </c>
      <c r="D18" s="1402" t="s">
        <v>77</v>
      </c>
      <c r="E18" s="1402" t="s">
        <v>77</v>
      </c>
      <c r="F18" s="1402"/>
      <c r="G18" s="1402" t="s">
        <v>77</v>
      </c>
      <c r="H18" s="1402"/>
      <c r="I18" s="1402">
        <v>7.7067307659209536</v>
      </c>
      <c r="J18" s="1538">
        <v>1969</v>
      </c>
      <c r="N18" s="1808"/>
      <c r="O18" s="1808"/>
      <c r="P18" s="1804"/>
      <c r="Q18" s="1804"/>
      <c r="R18" s="1801"/>
    </row>
    <row r="19" spans="2:18" ht="21.75" customHeight="1">
      <c r="B19" s="1639" t="s">
        <v>77</v>
      </c>
      <c r="C19" s="1403" t="s">
        <v>77</v>
      </c>
      <c r="D19" s="1403" t="s">
        <v>77</v>
      </c>
      <c r="E19" s="1403" t="s">
        <v>77</v>
      </c>
      <c r="F19" s="1403"/>
      <c r="G19" s="1403" t="s">
        <v>77</v>
      </c>
      <c r="H19" s="1403"/>
      <c r="I19" s="1403">
        <v>8.2419204024432418</v>
      </c>
      <c r="J19" s="1637">
        <v>1970</v>
      </c>
      <c r="N19" s="1801"/>
      <c r="O19" s="1801"/>
      <c r="P19" s="1804"/>
      <c r="Q19" s="1804"/>
      <c r="R19" s="1801"/>
    </row>
    <row r="20" spans="2:18" ht="21.75" customHeight="1">
      <c r="B20" s="1638" t="s">
        <v>77</v>
      </c>
      <c r="C20" s="1402" t="s">
        <v>77</v>
      </c>
      <c r="D20" s="1402" t="s">
        <v>77</v>
      </c>
      <c r="E20" s="1402" t="s">
        <v>77</v>
      </c>
      <c r="F20" s="1402"/>
      <c r="G20" s="1402" t="s">
        <v>77</v>
      </c>
      <c r="H20" s="1402"/>
      <c r="I20" s="1402">
        <v>8.6165531480088458</v>
      </c>
      <c r="J20" s="1538">
        <v>1971</v>
      </c>
      <c r="N20" s="1804"/>
      <c r="O20" s="1804"/>
      <c r="P20" s="1804"/>
      <c r="Q20" s="1804"/>
      <c r="R20" s="1801"/>
    </row>
    <row r="21" spans="2:18" ht="21.75" customHeight="1">
      <c r="B21" s="1639" t="s">
        <v>77</v>
      </c>
      <c r="C21" s="1403" t="s">
        <v>77</v>
      </c>
      <c r="D21" s="1403" t="s">
        <v>77</v>
      </c>
      <c r="E21" s="1403" t="s">
        <v>77</v>
      </c>
      <c r="F21" s="1403"/>
      <c r="G21" s="1403" t="s">
        <v>77</v>
      </c>
      <c r="H21" s="1403"/>
      <c r="I21" s="1403">
        <v>9.0982238208789035</v>
      </c>
      <c r="J21" s="1637">
        <v>1972</v>
      </c>
      <c r="N21" s="1804"/>
      <c r="O21" s="1804"/>
      <c r="P21" s="1804"/>
      <c r="Q21" s="3965"/>
      <c r="R21" s="1801"/>
    </row>
    <row r="22" spans="2:18" ht="21.75" customHeight="1">
      <c r="B22" s="1638" t="s">
        <v>77</v>
      </c>
      <c r="C22" s="1402" t="s">
        <v>77</v>
      </c>
      <c r="D22" s="1402" t="s">
        <v>77</v>
      </c>
      <c r="E22" s="1402" t="s">
        <v>77</v>
      </c>
      <c r="F22" s="1402"/>
      <c r="G22" s="1402" t="s">
        <v>77</v>
      </c>
      <c r="H22" s="1402"/>
      <c r="I22" s="1402">
        <v>10.168603093923478</v>
      </c>
      <c r="J22" s="1538">
        <v>1973</v>
      </c>
      <c r="N22" s="1801"/>
      <c r="O22" s="1801"/>
      <c r="P22" s="1804"/>
      <c r="Q22" s="1804"/>
      <c r="R22" s="1801"/>
    </row>
    <row r="23" spans="2:18" ht="21.75" customHeight="1">
      <c r="B23" s="1639" t="s">
        <v>77</v>
      </c>
      <c r="C23" s="1403" t="s">
        <v>77</v>
      </c>
      <c r="D23" s="1403" t="s">
        <v>77</v>
      </c>
      <c r="E23" s="1403" t="s">
        <v>77</v>
      </c>
      <c r="F23" s="1403"/>
      <c r="G23" s="1403" t="s">
        <v>77</v>
      </c>
      <c r="H23" s="1403"/>
      <c r="I23" s="1403">
        <v>12.148804749055946</v>
      </c>
      <c r="J23" s="1637">
        <v>1974</v>
      </c>
      <c r="N23" s="1804"/>
      <c r="O23" s="1804"/>
      <c r="P23" s="1804"/>
      <c r="Q23" s="1804"/>
      <c r="R23" s="1801"/>
    </row>
    <row r="24" spans="2:18" ht="21.75" customHeight="1">
      <c r="B24" s="1638" t="s">
        <v>77</v>
      </c>
      <c r="C24" s="1402" t="s">
        <v>77</v>
      </c>
      <c r="D24" s="1402" t="s">
        <v>77</v>
      </c>
      <c r="E24" s="1402" t="s">
        <v>77</v>
      </c>
      <c r="F24" s="1402"/>
      <c r="G24" s="1402" t="s">
        <v>77</v>
      </c>
      <c r="H24" s="1402"/>
      <c r="I24" s="1402">
        <v>13.593816767666125</v>
      </c>
      <c r="J24" s="1538">
        <v>1975</v>
      </c>
      <c r="N24" s="1804"/>
      <c r="O24" s="1804"/>
      <c r="P24" s="1804"/>
      <c r="Q24" s="1804"/>
      <c r="R24" s="1801"/>
    </row>
    <row r="25" spans="2:18" ht="21.75" customHeight="1">
      <c r="B25" s="1639" t="s">
        <v>77</v>
      </c>
      <c r="C25" s="1403" t="s">
        <v>77</v>
      </c>
      <c r="D25" s="1403" t="s">
        <v>77</v>
      </c>
      <c r="E25" s="1403" t="s">
        <v>77</v>
      </c>
      <c r="F25" s="1403"/>
      <c r="G25" s="1403">
        <v>33.57996921984136</v>
      </c>
      <c r="H25" s="1403"/>
      <c r="I25" s="1403">
        <v>15.145866713580761</v>
      </c>
      <c r="J25" s="1637">
        <v>1976</v>
      </c>
      <c r="N25" s="1801"/>
      <c r="O25" s="1801"/>
      <c r="P25" s="1804"/>
      <c r="Q25" s="1804"/>
      <c r="R25" s="1801"/>
    </row>
    <row r="26" spans="2:18" ht="21.75" customHeight="1">
      <c r="B26" s="1638" t="s">
        <v>77</v>
      </c>
      <c r="C26" s="1402" t="s">
        <v>77</v>
      </c>
      <c r="D26" s="1402" t="s">
        <v>77</v>
      </c>
      <c r="E26" s="1402" t="s">
        <v>77</v>
      </c>
      <c r="F26" s="1402"/>
      <c r="G26" s="1402">
        <v>37.735024048972456</v>
      </c>
      <c r="H26" s="1402"/>
      <c r="I26" s="1402">
        <v>17.340144223322145</v>
      </c>
      <c r="J26" s="1538">
        <v>1977</v>
      </c>
      <c r="N26" s="1801"/>
      <c r="O26" s="1801"/>
      <c r="P26" s="1804"/>
      <c r="Q26" s="1801"/>
      <c r="R26" s="1801"/>
    </row>
    <row r="27" spans="2:18" ht="21.75" customHeight="1">
      <c r="B27" s="1639" t="s">
        <v>77</v>
      </c>
      <c r="C27" s="1403" t="s">
        <v>77</v>
      </c>
      <c r="D27" s="1403" t="s">
        <v>77</v>
      </c>
      <c r="E27" s="1403" t="s">
        <v>77</v>
      </c>
      <c r="F27" s="1403"/>
      <c r="G27" s="1403">
        <v>37.910490443734808</v>
      </c>
      <c r="H27" s="1403"/>
      <c r="I27" s="1403">
        <v>18.571080387323409</v>
      </c>
      <c r="J27" s="1637">
        <v>1978</v>
      </c>
      <c r="N27" s="1801"/>
      <c r="O27" s="1801"/>
      <c r="P27" s="1804"/>
      <c r="Q27" s="1801"/>
      <c r="R27" s="1801"/>
    </row>
    <row r="28" spans="2:18" ht="21.75" customHeight="1">
      <c r="B28" s="1638" t="s">
        <v>77</v>
      </c>
      <c r="C28" s="1402" t="s">
        <v>77</v>
      </c>
      <c r="D28" s="1402" t="s">
        <v>77</v>
      </c>
      <c r="E28" s="1402" t="s">
        <v>77</v>
      </c>
      <c r="F28" s="1402"/>
      <c r="G28" s="1402">
        <v>38.763512980351933</v>
      </c>
      <c r="H28" s="1402"/>
      <c r="I28" s="1402">
        <v>21.193509606282625</v>
      </c>
      <c r="J28" s="1538">
        <v>1979</v>
      </c>
      <c r="N28" s="3966"/>
      <c r="O28" s="3967"/>
      <c r="P28" s="3968"/>
      <c r="Q28" s="3969"/>
      <c r="R28" s="3970"/>
    </row>
    <row r="29" spans="2:18" ht="21.75" customHeight="1">
      <c r="B29" s="1639" t="s">
        <v>77</v>
      </c>
      <c r="C29" s="1403" t="s">
        <v>77</v>
      </c>
      <c r="D29" s="1403" t="s">
        <v>77</v>
      </c>
      <c r="E29" s="1403" t="s">
        <v>77</v>
      </c>
      <c r="F29" s="1403"/>
      <c r="G29" s="1403">
        <v>41.332812888116102</v>
      </c>
      <c r="H29" s="1403"/>
      <c r="I29" s="1403">
        <v>23.548344006980695</v>
      </c>
      <c r="J29" s="1637">
        <v>1980</v>
      </c>
      <c r="N29" s="3966"/>
      <c r="O29" s="3967"/>
      <c r="P29" s="3971"/>
      <c r="Q29" s="3969"/>
      <c r="R29" s="3969"/>
    </row>
    <row r="30" spans="2:18" ht="21.75" customHeight="1">
      <c r="B30" s="1638" t="s">
        <v>77</v>
      </c>
      <c r="C30" s="1402" t="s">
        <v>77</v>
      </c>
      <c r="D30" s="1402" t="s">
        <v>77</v>
      </c>
      <c r="E30" s="1402" t="s">
        <v>77</v>
      </c>
      <c r="F30" s="1402"/>
      <c r="G30" s="1402">
        <v>43.870752831445706</v>
      </c>
      <c r="H30" s="1402"/>
      <c r="I30" s="1402">
        <v>25.367988771156476</v>
      </c>
      <c r="J30" s="1538">
        <v>1981</v>
      </c>
      <c r="N30" s="3966"/>
      <c r="O30" s="3967"/>
      <c r="P30" s="3971"/>
      <c r="Q30" s="3969"/>
      <c r="R30" s="3969"/>
    </row>
    <row r="31" spans="2:18" ht="21.75" customHeight="1">
      <c r="B31" s="1639" t="s">
        <v>77</v>
      </c>
      <c r="C31" s="1403" t="s">
        <v>77</v>
      </c>
      <c r="D31" s="1403" t="s">
        <v>77</v>
      </c>
      <c r="E31" s="1403" t="s">
        <v>77</v>
      </c>
      <c r="F31" s="1403"/>
      <c r="G31" s="1403">
        <v>46.683832267557015</v>
      </c>
      <c r="H31" s="1403"/>
      <c r="I31" s="1403">
        <v>27.241152498984491</v>
      </c>
      <c r="J31" s="1637">
        <v>1982</v>
      </c>
      <c r="N31" s="3966"/>
      <c r="O31" s="3967"/>
      <c r="P31" s="3971"/>
      <c r="Q31" s="3969"/>
      <c r="R31" s="3969"/>
    </row>
    <row r="32" spans="2:18" ht="21.75" customHeight="1">
      <c r="B32" s="1638" t="s">
        <v>77</v>
      </c>
      <c r="C32" s="1402" t="s">
        <v>77</v>
      </c>
      <c r="D32" s="1402" t="s">
        <v>77</v>
      </c>
      <c r="E32" s="1402" t="s">
        <v>77</v>
      </c>
      <c r="F32" s="1402"/>
      <c r="G32" s="1402">
        <v>51.698593668615075</v>
      </c>
      <c r="H32" s="1402"/>
      <c r="I32" s="1402">
        <v>28.632645553942432</v>
      </c>
      <c r="J32" s="1538">
        <v>1983</v>
      </c>
      <c r="N32" s="3966"/>
      <c r="O32" s="3967"/>
      <c r="P32" s="3971"/>
      <c r="Q32" s="3969"/>
      <c r="R32" s="3969"/>
    </row>
    <row r="33" spans="2:18" ht="21.75" customHeight="1">
      <c r="B33" s="1639" t="s">
        <v>77</v>
      </c>
      <c r="C33" s="1403" t="s">
        <v>77</v>
      </c>
      <c r="D33" s="1403" t="s">
        <v>77</v>
      </c>
      <c r="E33" s="1403" t="s">
        <v>77</v>
      </c>
      <c r="F33" s="1403"/>
      <c r="G33" s="1403">
        <v>52.986876057823039</v>
      </c>
      <c r="H33" s="1403"/>
      <c r="I33" s="1403">
        <v>29.703024826987008</v>
      </c>
      <c r="J33" s="1637">
        <v>1984</v>
      </c>
      <c r="N33" s="3966"/>
      <c r="O33" s="3967"/>
      <c r="P33" s="3971"/>
      <c r="Q33" s="3969"/>
      <c r="R33" s="3969"/>
    </row>
    <row r="34" spans="2:18" ht="21.75" customHeight="1">
      <c r="B34" s="1638" t="s">
        <v>77</v>
      </c>
      <c r="C34" s="1402" t="s">
        <v>77</v>
      </c>
      <c r="D34" s="1402" t="s">
        <v>77</v>
      </c>
      <c r="E34" s="1402" t="s">
        <v>77</v>
      </c>
      <c r="F34" s="1402"/>
      <c r="G34" s="1402">
        <v>56.195636674746893</v>
      </c>
      <c r="H34" s="1402"/>
      <c r="I34" s="1402">
        <v>30.612847209074907</v>
      </c>
      <c r="J34" s="1538">
        <v>1985</v>
      </c>
      <c r="N34" s="3966"/>
      <c r="O34" s="3967"/>
      <c r="P34" s="3971"/>
      <c r="Q34" s="3969"/>
      <c r="R34" s="3969"/>
    </row>
    <row r="35" spans="2:18" ht="21.75" customHeight="1">
      <c r="B35" s="1639" t="s">
        <v>77</v>
      </c>
      <c r="C35" s="1403" t="s">
        <v>77</v>
      </c>
      <c r="D35" s="1403" t="s">
        <v>77</v>
      </c>
      <c r="E35" s="1403" t="s">
        <v>77</v>
      </c>
      <c r="F35" s="1403"/>
      <c r="G35" s="1403">
        <v>60.562238140289224</v>
      </c>
      <c r="H35" s="1403"/>
      <c r="I35" s="1403">
        <v>30.612847209074907</v>
      </c>
      <c r="J35" s="1637">
        <v>1986</v>
      </c>
      <c r="N35" s="3966"/>
      <c r="O35" s="3967"/>
      <c r="P35" s="3971"/>
      <c r="Q35" s="3969"/>
      <c r="R35" s="3969"/>
    </row>
    <row r="36" spans="2:18" ht="21.75" customHeight="1">
      <c r="B36" s="1638" t="s">
        <v>77</v>
      </c>
      <c r="C36" s="1402" t="s">
        <v>77</v>
      </c>
      <c r="D36" s="1402" t="s">
        <v>77</v>
      </c>
      <c r="E36" s="1402" t="s">
        <v>77</v>
      </c>
      <c r="F36" s="1402"/>
      <c r="G36" s="1402">
        <v>60.406815480121509</v>
      </c>
      <c r="H36" s="1402"/>
      <c r="I36" s="1402">
        <v>30.559328245422673</v>
      </c>
      <c r="J36" s="1538">
        <v>1987</v>
      </c>
      <c r="N36" s="3966"/>
      <c r="O36" s="3967"/>
      <c r="P36" s="3971"/>
      <c r="Q36" s="3969"/>
      <c r="R36" s="3969"/>
    </row>
    <row r="37" spans="2:18" ht="21.75" customHeight="1">
      <c r="B37" s="1639" t="s">
        <v>77</v>
      </c>
      <c r="C37" s="1403" t="s">
        <v>77</v>
      </c>
      <c r="D37" s="1403" t="s">
        <v>77</v>
      </c>
      <c r="E37" s="1403" t="s">
        <v>77</v>
      </c>
      <c r="F37" s="1403"/>
      <c r="G37" s="1403">
        <v>61.17215163507602</v>
      </c>
      <c r="H37" s="1403"/>
      <c r="I37" s="1403">
        <v>32.593048864207361</v>
      </c>
      <c r="J37" s="1637">
        <v>1988</v>
      </c>
      <c r="N37" s="3966"/>
      <c r="O37" s="3967"/>
      <c r="P37" s="3971"/>
      <c r="Q37" s="3969"/>
      <c r="R37" s="3969"/>
    </row>
    <row r="38" spans="2:18" ht="21.75" customHeight="1">
      <c r="B38" s="1638" t="s">
        <v>77</v>
      </c>
      <c r="C38" s="1402" t="s">
        <v>77</v>
      </c>
      <c r="D38" s="1402" t="s">
        <v>77</v>
      </c>
      <c r="E38" s="1402" t="s">
        <v>77</v>
      </c>
      <c r="F38" s="1402"/>
      <c r="G38" s="1402">
        <v>70.738180651558906</v>
      </c>
      <c r="H38" s="1402"/>
      <c r="I38" s="1402">
        <v>40.942007193955057</v>
      </c>
      <c r="J38" s="1538">
        <v>1989</v>
      </c>
      <c r="N38" s="3966"/>
      <c r="O38" s="3967"/>
      <c r="P38" s="3971"/>
      <c r="Q38" s="3969"/>
      <c r="R38" s="3969"/>
    </row>
    <row r="39" spans="2:18" ht="21.75" customHeight="1">
      <c r="B39" s="1639" t="s">
        <v>77</v>
      </c>
      <c r="C39" s="1403" t="s">
        <v>77</v>
      </c>
      <c r="D39" s="1403" t="s">
        <v>77</v>
      </c>
      <c r="E39" s="1403" t="s">
        <v>77</v>
      </c>
      <c r="F39" s="1403"/>
      <c r="G39" s="1403">
        <v>80.744596847307932</v>
      </c>
      <c r="H39" s="1403"/>
      <c r="I39" s="1403">
        <v>47.578358686831443</v>
      </c>
      <c r="J39" s="1637">
        <v>1990</v>
      </c>
      <c r="N39" s="3966"/>
      <c r="O39" s="3967"/>
      <c r="P39" s="3971"/>
      <c r="Q39" s="3969"/>
      <c r="R39" s="3969"/>
    </row>
    <row r="40" spans="2:18" ht="21.75" customHeight="1">
      <c r="B40" s="1638" t="s">
        <v>77</v>
      </c>
      <c r="C40" s="1402" t="s">
        <v>77</v>
      </c>
      <c r="D40" s="1402" t="s">
        <v>77</v>
      </c>
      <c r="E40" s="1402" t="s">
        <v>77</v>
      </c>
      <c r="F40" s="1402"/>
      <c r="G40" s="1402">
        <v>85.139452551593124</v>
      </c>
      <c r="H40" s="1402"/>
      <c r="I40" s="1402">
        <v>51.485243033444149</v>
      </c>
      <c r="J40" s="1538">
        <v>1991</v>
      </c>
      <c r="N40" s="3966"/>
      <c r="O40" s="3967"/>
      <c r="P40" s="3971"/>
      <c r="Q40" s="3969"/>
      <c r="R40" s="1964"/>
    </row>
    <row r="41" spans="2:18" ht="21.75" customHeight="1">
      <c r="B41" s="1639" t="s">
        <v>77</v>
      </c>
      <c r="C41" s="1403" t="s">
        <v>77</v>
      </c>
      <c r="D41" s="1403" t="s">
        <v>77</v>
      </c>
      <c r="E41" s="1403" t="s">
        <v>77</v>
      </c>
      <c r="F41" s="1403"/>
      <c r="G41" s="1403">
        <v>91.00647795730093</v>
      </c>
      <c r="H41" s="1403"/>
      <c r="I41" s="1403">
        <v>53.521278264147419</v>
      </c>
      <c r="J41" s="1637">
        <v>1992</v>
      </c>
      <c r="N41" s="3966"/>
      <c r="O41" s="3967"/>
      <c r="P41" s="3971"/>
      <c r="Q41" s="3969"/>
      <c r="R41" s="1964"/>
    </row>
    <row r="42" spans="2:18" ht="21.75" customHeight="1">
      <c r="B42" s="1638" t="s">
        <v>77</v>
      </c>
      <c r="C42" s="1402" t="s">
        <v>77</v>
      </c>
      <c r="D42" s="1402" t="s">
        <v>77</v>
      </c>
      <c r="E42" s="1402" t="s">
        <v>77</v>
      </c>
      <c r="F42" s="1402"/>
      <c r="G42" s="1402">
        <v>93.570378935703786</v>
      </c>
      <c r="H42" s="1402"/>
      <c r="I42" s="1402">
        <v>55.289764086039717</v>
      </c>
      <c r="J42" s="1538">
        <v>1993</v>
      </c>
      <c r="N42" s="3966"/>
      <c r="O42" s="3967"/>
      <c r="P42" s="3971"/>
      <c r="Q42" s="3969"/>
      <c r="R42" s="1964"/>
    </row>
    <row r="43" spans="2:18" ht="21.75" customHeight="1">
      <c r="B43" s="1639" t="s">
        <v>77</v>
      </c>
      <c r="C43" s="1403" t="s">
        <v>77</v>
      </c>
      <c r="D43" s="1403" t="s">
        <v>77</v>
      </c>
      <c r="E43" s="1403" t="s">
        <v>77</v>
      </c>
      <c r="F43" s="1403"/>
      <c r="G43" s="1403">
        <v>99.983937954613239</v>
      </c>
      <c r="H43" s="1403"/>
      <c r="I43" s="1403">
        <v>57.238278352630758</v>
      </c>
      <c r="J43" s="1637">
        <v>1994</v>
      </c>
      <c r="N43" s="3966"/>
      <c r="O43" s="3967"/>
      <c r="P43" s="3971"/>
      <c r="Q43" s="3969"/>
      <c r="R43" s="1964"/>
    </row>
    <row r="44" spans="2:18" ht="21.75" customHeight="1">
      <c r="B44" s="1638" t="s">
        <v>77</v>
      </c>
      <c r="C44" s="1402" t="s">
        <v>77</v>
      </c>
      <c r="D44" s="1402" t="s">
        <v>77</v>
      </c>
      <c r="E44" s="1402" t="s">
        <v>77</v>
      </c>
      <c r="F44" s="1402"/>
      <c r="G44" s="1402">
        <v>101.87998357715496</v>
      </c>
      <c r="H44" s="1402"/>
      <c r="I44" s="1402">
        <v>58.585166311372724</v>
      </c>
      <c r="J44" s="1538">
        <v>1995</v>
      </c>
      <c r="N44" s="3966"/>
      <c r="O44" s="3967"/>
      <c r="P44" s="3971"/>
      <c r="Q44" s="3969"/>
      <c r="R44" s="1964"/>
    </row>
    <row r="45" spans="2:18" ht="21.75" customHeight="1">
      <c r="B45" s="1639" t="s">
        <v>77</v>
      </c>
      <c r="C45" s="1403" t="s">
        <v>77</v>
      </c>
      <c r="D45" s="1403" t="s">
        <v>77</v>
      </c>
      <c r="E45" s="1403" t="s">
        <v>77</v>
      </c>
      <c r="F45" s="1403"/>
      <c r="G45" s="1403">
        <v>103.95825836631883</v>
      </c>
      <c r="H45" s="1403"/>
      <c r="I45" s="1403">
        <v>62.393915704636449</v>
      </c>
      <c r="J45" s="1637">
        <v>1996</v>
      </c>
      <c r="N45" s="3966"/>
      <c r="O45" s="3967"/>
      <c r="P45" s="3971"/>
      <c r="Q45" s="3969"/>
      <c r="R45" s="1964"/>
    </row>
    <row r="46" spans="2:18" ht="21.75" customHeight="1">
      <c r="B46" s="1638" t="s">
        <v>77</v>
      </c>
      <c r="C46" s="1402" t="s">
        <v>77</v>
      </c>
      <c r="D46" s="1402" t="s">
        <v>77</v>
      </c>
      <c r="E46" s="1402" t="s">
        <v>77</v>
      </c>
      <c r="F46" s="1402"/>
      <c r="G46" s="1402">
        <v>105.26380493801864</v>
      </c>
      <c r="H46" s="1402"/>
      <c r="I46" s="1402">
        <v>64.289370613462083</v>
      </c>
      <c r="J46" s="1538">
        <v>1997</v>
      </c>
      <c r="N46" s="3966"/>
      <c r="O46" s="3967"/>
      <c r="P46" s="3971"/>
      <c r="Q46" s="3969"/>
      <c r="R46" s="1964"/>
    </row>
    <row r="47" spans="2:18" ht="21.75" customHeight="1">
      <c r="B47" s="1639" t="s">
        <v>77</v>
      </c>
      <c r="C47" s="1403">
        <v>100</v>
      </c>
      <c r="D47" s="1403" t="s">
        <v>77</v>
      </c>
      <c r="E47" s="1403" t="s">
        <v>77</v>
      </c>
      <c r="F47" s="1403"/>
      <c r="G47" s="1403">
        <v>111.58428642466434</v>
      </c>
      <c r="H47" s="1403"/>
      <c r="I47" s="1403">
        <v>66.268546650637049</v>
      </c>
      <c r="J47" s="1637">
        <v>1998</v>
      </c>
      <c r="N47" s="3966"/>
      <c r="O47" s="3967"/>
      <c r="P47" s="3971"/>
      <c r="Q47" s="3969"/>
      <c r="R47" s="1964"/>
    </row>
    <row r="48" spans="2:18" ht="21.75" customHeight="1">
      <c r="B48" s="1638" t="s">
        <v>77</v>
      </c>
      <c r="C48" s="1402">
        <v>97.6</v>
      </c>
      <c r="D48" s="1402" t="s">
        <v>77</v>
      </c>
      <c r="E48" s="1402">
        <v>100</v>
      </c>
      <c r="F48" s="1402"/>
      <c r="G48" s="1402">
        <v>111.16006156213929</v>
      </c>
      <c r="H48" s="1402"/>
      <c r="I48" s="1402">
        <v>66.664915261382845</v>
      </c>
      <c r="J48" s="1538">
        <v>1999</v>
      </c>
      <c r="N48" s="3966"/>
      <c r="O48" s="3967"/>
      <c r="P48" s="3971"/>
      <c r="Q48" s="3969"/>
      <c r="R48" s="1964"/>
    </row>
    <row r="49" spans="1:18" ht="21.75" customHeight="1">
      <c r="B49" s="1639" t="s">
        <v>77</v>
      </c>
      <c r="C49" s="1403">
        <v>94.1</v>
      </c>
      <c r="D49" s="1403" t="s">
        <v>77</v>
      </c>
      <c r="E49" s="1403">
        <v>99</v>
      </c>
      <c r="F49" s="1403"/>
      <c r="G49" s="1403">
        <v>110.70182885193867</v>
      </c>
      <c r="H49" s="1403"/>
      <c r="I49" s="1403">
        <v>67.113964766842145</v>
      </c>
      <c r="J49" s="1637">
        <v>2000</v>
      </c>
      <c r="N49" s="3966"/>
      <c r="O49" s="3967"/>
      <c r="P49" s="3971"/>
      <c r="Q49" s="3969"/>
      <c r="R49" s="1964"/>
    </row>
    <row r="50" spans="1:18" ht="21.75" customHeight="1">
      <c r="B50" s="1638" t="s">
        <v>77</v>
      </c>
      <c r="C50" s="1402">
        <v>92.7</v>
      </c>
      <c r="D50" s="1402" t="s">
        <v>77</v>
      </c>
      <c r="E50" s="1402">
        <v>98.5</v>
      </c>
      <c r="F50" s="1402"/>
      <c r="G50" s="1402">
        <v>111.56165632341082</v>
      </c>
      <c r="H50" s="1402"/>
      <c r="I50" s="1402">
        <v>68.300319704650974</v>
      </c>
      <c r="J50" s="1538">
        <v>2001</v>
      </c>
      <c r="N50" s="3966"/>
      <c r="O50" s="3967"/>
      <c r="P50" s="3971"/>
      <c r="Q50" s="3969"/>
      <c r="R50" s="1964"/>
    </row>
    <row r="51" spans="1:18" ht="21.75" customHeight="1">
      <c r="B51" s="1639" t="s">
        <v>77</v>
      </c>
      <c r="C51" s="1403">
        <v>91.2</v>
      </c>
      <c r="D51" s="1403">
        <v>52.3</v>
      </c>
      <c r="E51" s="1403">
        <v>98.6</v>
      </c>
      <c r="F51" s="1403"/>
      <c r="G51" s="1403">
        <v>112.59156143316432</v>
      </c>
      <c r="H51" s="1403"/>
      <c r="I51" s="1403">
        <v>69.553357552260266</v>
      </c>
      <c r="J51" s="1637">
        <v>2002</v>
      </c>
      <c r="N51" s="3966"/>
      <c r="O51" s="3967"/>
      <c r="P51" s="3971"/>
      <c r="Q51" s="3969"/>
      <c r="R51" s="1964"/>
    </row>
    <row r="52" spans="1:18" ht="21.75" customHeight="1">
      <c r="B52" s="1638" t="s">
        <v>77</v>
      </c>
      <c r="C52" s="1402">
        <v>92.3</v>
      </c>
      <c r="D52" s="1402">
        <v>53.7</v>
      </c>
      <c r="E52" s="1402">
        <v>101.2</v>
      </c>
      <c r="F52" s="1402"/>
      <c r="G52" s="1402">
        <v>115.01304652198816</v>
      </c>
      <c r="H52" s="1402"/>
      <c r="I52" s="1402">
        <v>71.181552508758784</v>
      </c>
      <c r="J52" s="1538">
        <v>2003</v>
      </c>
      <c r="N52" s="3966"/>
      <c r="O52" s="3967"/>
      <c r="P52" s="3971"/>
      <c r="Q52" s="3969"/>
      <c r="R52" s="1964"/>
    </row>
    <row r="53" spans="1:18" ht="21.75" customHeight="1">
      <c r="B53" s="1639" t="s">
        <v>77</v>
      </c>
      <c r="C53" s="1403">
        <v>100.1</v>
      </c>
      <c r="D53" s="1403">
        <v>56.9</v>
      </c>
      <c r="E53" s="1403">
        <v>107.3</v>
      </c>
      <c r="F53" s="1403"/>
      <c r="G53" s="1403">
        <v>118.56763925729443</v>
      </c>
      <c r="H53" s="1403"/>
      <c r="I53" s="1403">
        <v>73.064102163093679</v>
      </c>
      <c r="J53" s="1637">
        <v>2004</v>
      </c>
      <c r="N53" s="3966"/>
      <c r="O53" s="3967"/>
      <c r="P53" s="3971"/>
      <c r="Q53" s="3969"/>
      <c r="R53" s="1964"/>
    </row>
    <row r="54" spans="1:18" ht="21.75" customHeight="1">
      <c r="B54" s="1638" t="s">
        <v>77</v>
      </c>
      <c r="C54" s="1402">
        <v>107</v>
      </c>
      <c r="D54" s="1402">
        <v>62.3</v>
      </c>
      <c r="E54" s="1402">
        <v>117.4</v>
      </c>
      <c r="F54" s="1402"/>
      <c r="G54" s="1402">
        <v>120.94693479321373</v>
      </c>
      <c r="H54" s="1402"/>
      <c r="I54" s="1402">
        <v>75.754000000000005</v>
      </c>
      <c r="J54" s="1538">
        <v>2005</v>
      </c>
      <c r="N54" s="3966"/>
      <c r="O54" s="3967"/>
      <c r="P54" s="3971"/>
      <c r="Q54" s="3969"/>
      <c r="R54" s="1964"/>
    </row>
    <row r="55" spans="1:18" ht="21.75" customHeight="1">
      <c r="B55" s="1639" t="s">
        <v>77</v>
      </c>
      <c r="C55" s="1403">
        <v>114</v>
      </c>
      <c r="D55" s="1403">
        <v>72.099999999999994</v>
      </c>
      <c r="E55" s="1403">
        <v>135.9</v>
      </c>
      <c r="F55" s="1403"/>
      <c r="G55" s="1403">
        <v>133.8289310383733</v>
      </c>
      <c r="H55" s="1403">
        <v>64.599999999999994</v>
      </c>
      <c r="I55" s="1403">
        <v>80.493679919895484</v>
      </c>
      <c r="J55" s="1637">
        <v>2006</v>
      </c>
      <c r="N55" s="3966"/>
      <c r="O55" s="3967"/>
      <c r="P55" s="3971"/>
      <c r="Q55" s="3969"/>
      <c r="R55" s="1964"/>
    </row>
    <row r="56" spans="1:18" ht="21.75" customHeight="1">
      <c r="B56" s="1638" t="s">
        <v>77</v>
      </c>
      <c r="C56" s="1402">
        <v>123.7</v>
      </c>
      <c r="D56" s="1402">
        <v>78.7</v>
      </c>
      <c r="E56" s="1402">
        <v>148.30000000000001</v>
      </c>
      <c r="F56" s="1402"/>
      <c r="G56" s="1402">
        <v>140.58871248116816</v>
      </c>
      <c r="H56" s="1402">
        <v>67.599999999999994</v>
      </c>
      <c r="I56" s="1402">
        <v>84.312224745335811</v>
      </c>
      <c r="J56" s="1538">
        <v>2007</v>
      </c>
      <c r="N56" s="3966"/>
      <c r="O56" s="3967"/>
      <c r="P56" s="3971"/>
      <c r="Q56" s="3969"/>
      <c r="R56" s="1964"/>
    </row>
    <row r="57" spans="1:18" ht="21.75" customHeight="1">
      <c r="B57" s="1639" t="s">
        <v>77</v>
      </c>
      <c r="C57" s="1403">
        <v>147.69999999999999</v>
      </c>
      <c r="D57" s="1403">
        <v>122.6</v>
      </c>
      <c r="E57" s="1403">
        <v>231</v>
      </c>
      <c r="F57" s="1403">
        <v>70.599999999999994</v>
      </c>
      <c r="G57" s="1403">
        <v>168.5208200494969</v>
      </c>
      <c r="H57" s="1403">
        <v>77.099999999999994</v>
      </c>
      <c r="I57" s="1403">
        <v>96.091680426819053</v>
      </c>
      <c r="J57" s="1637">
        <v>2008</v>
      </c>
      <c r="N57" s="3966"/>
      <c r="O57" s="3967"/>
      <c r="P57" s="3971"/>
      <c r="Q57" s="3969"/>
      <c r="R57" s="1964"/>
    </row>
    <row r="58" spans="1:18" ht="21.75" customHeight="1">
      <c r="B58" s="1638" t="s">
        <v>77</v>
      </c>
      <c r="C58" s="1402">
        <v>149.1</v>
      </c>
      <c r="D58" s="1402">
        <v>102.4</v>
      </c>
      <c r="E58" s="1402">
        <v>193</v>
      </c>
      <c r="F58" s="1402">
        <v>72.900000000000006</v>
      </c>
      <c r="G58" s="1402">
        <v>173.28251314050351</v>
      </c>
      <c r="H58" s="1402">
        <v>76.5</v>
      </c>
      <c r="I58" s="1402">
        <v>95.381495891105075</v>
      </c>
      <c r="J58" s="1538">
        <v>2009</v>
      </c>
      <c r="N58" s="3966"/>
      <c r="O58" s="3967"/>
      <c r="P58" s="3971"/>
      <c r="Q58" s="3969"/>
      <c r="R58" s="1964"/>
    </row>
    <row r="59" spans="1:18" ht="21.75" customHeight="1">
      <c r="B59" s="1639">
        <v>100</v>
      </c>
      <c r="C59" s="1403">
        <v>154.1</v>
      </c>
      <c r="D59" s="1403">
        <v>100</v>
      </c>
      <c r="E59" s="1403">
        <v>188.4</v>
      </c>
      <c r="F59" s="1403">
        <v>79.400000000000006</v>
      </c>
      <c r="G59" s="1403">
        <v>187.89244404386361</v>
      </c>
      <c r="H59" s="1403">
        <v>80.2</v>
      </c>
      <c r="I59" s="1403">
        <v>100</v>
      </c>
      <c r="J59" s="1637">
        <v>2010</v>
      </c>
      <c r="N59" s="3966"/>
      <c r="O59" s="3967"/>
      <c r="P59" s="3971"/>
      <c r="Q59" s="3969"/>
      <c r="R59" s="1964" t="s">
        <v>8</v>
      </c>
    </row>
    <row r="60" spans="1:18" ht="21.75" customHeight="1">
      <c r="B60" s="1638">
        <v>100.8</v>
      </c>
      <c r="C60" s="1402">
        <v>160.69999999999999</v>
      </c>
      <c r="D60" s="1402">
        <v>130.80000000000001</v>
      </c>
      <c r="E60" s="1402">
        <v>216.1</v>
      </c>
      <c r="F60" s="1402">
        <v>84.1</v>
      </c>
      <c r="G60" s="1402">
        <v>199.89261797379879</v>
      </c>
      <c r="H60" s="1402">
        <v>83.6</v>
      </c>
      <c r="I60" s="1402">
        <v>104.16579999999999</v>
      </c>
      <c r="J60" s="1538">
        <v>2011</v>
      </c>
      <c r="N60" s="3966"/>
      <c r="O60" s="3967"/>
      <c r="P60" s="3971"/>
      <c r="Q60" s="3969"/>
      <c r="R60" s="1964"/>
    </row>
    <row r="61" spans="1:18" ht="21.75" customHeight="1">
      <c r="B61" s="1639">
        <v>99.9</v>
      </c>
      <c r="C61" s="1403">
        <v>167.9</v>
      </c>
      <c r="D61" s="1403">
        <v>133.19999999999999</v>
      </c>
      <c r="E61" s="1403">
        <v>226.5</v>
      </c>
      <c r="F61" s="1403">
        <v>87.9</v>
      </c>
      <c r="G61" s="1403">
        <v>208.89085427900298</v>
      </c>
      <c r="H61" s="1403">
        <v>87.3</v>
      </c>
      <c r="I61" s="1403">
        <v>108.86912500000001</v>
      </c>
      <c r="J61" s="1539">
        <v>2012</v>
      </c>
      <c r="N61" s="3966"/>
      <c r="O61" s="3967"/>
      <c r="P61" s="3971"/>
      <c r="Q61" s="3969"/>
      <c r="R61" s="1964"/>
    </row>
    <row r="62" spans="1:18" ht="20.25" customHeight="1">
      <c r="B62" s="1638">
        <v>101.5</v>
      </c>
      <c r="C62" s="1402">
        <v>171.2</v>
      </c>
      <c r="D62" s="1402">
        <v>129.4</v>
      </c>
      <c r="E62" s="1402">
        <v>220.6</v>
      </c>
      <c r="F62" s="1402">
        <v>93.3</v>
      </c>
      <c r="G62" s="1402">
        <v>220.58671204498373</v>
      </c>
      <c r="H62" s="1402">
        <v>91.5</v>
      </c>
      <c r="I62" s="1402">
        <v>114.12165</v>
      </c>
      <c r="J62" s="1540">
        <v>2013</v>
      </c>
      <c r="N62" s="3966"/>
      <c r="O62" s="3967"/>
      <c r="P62" s="3971"/>
      <c r="Q62" s="3969"/>
      <c r="R62" s="1964"/>
    </row>
    <row r="63" spans="1:18" ht="21.75" customHeight="1">
      <c r="B63" s="1639">
        <v>102.3</v>
      </c>
      <c r="C63" s="1403">
        <v>174.5</v>
      </c>
      <c r="D63" s="1403">
        <v>129.80000000000001</v>
      </c>
      <c r="E63" s="1403">
        <v>216.8</v>
      </c>
      <c r="F63" s="1403">
        <v>96.6</v>
      </c>
      <c r="G63" s="1403">
        <v>228.2</v>
      </c>
      <c r="H63" s="1403">
        <v>94.2</v>
      </c>
      <c r="I63" s="1403">
        <v>117.4</v>
      </c>
      <c r="J63" s="1539">
        <v>2014</v>
      </c>
      <c r="N63" s="3966"/>
      <c r="O63" s="3967"/>
      <c r="P63" s="3971"/>
      <c r="Q63" s="3969"/>
      <c r="R63" s="1964"/>
    </row>
    <row r="64" spans="1:18" ht="20.25" customHeight="1">
      <c r="A64" s="3200"/>
      <c r="B64" s="1638">
        <v>100.2</v>
      </c>
      <c r="C64" s="1402">
        <v>177.4</v>
      </c>
      <c r="D64" s="1402">
        <v>118.9</v>
      </c>
      <c r="E64" s="1402">
        <v>195.73841138532339</v>
      </c>
      <c r="F64" s="1402">
        <v>98.7</v>
      </c>
      <c r="G64" s="1402">
        <v>233.39116111169523</v>
      </c>
      <c r="H64" s="1402">
        <v>93.4</v>
      </c>
      <c r="I64" s="1402">
        <v>116.4</v>
      </c>
      <c r="J64" s="1540" t="s">
        <v>2616</v>
      </c>
      <c r="N64" s="3966"/>
      <c r="O64" s="3967"/>
      <c r="P64" s="3971"/>
      <c r="Q64" s="3969"/>
      <c r="R64" s="1964"/>
    </row>
    <row r="65" spans="2:18" s="1801" customFormat="1" ht="20.25" customHeight="1">
      <c r="B65" s="1639">
        <v>95.4</v>
      </c>
      <c r="C65" s="1403" t="s">
        <v>77</v>
      </c>
      <c r="D65" s="1403">
        <v>108.8</v>
      </c>
      <c r="E65" s="1403" t="s">
        <v>77</v>
      </c>
      <c r="F65" s="1403">
        <v>100</v>
      </c>
      <c r="G65" s="1403">
        <v>235.7</v>
      </c>
      <c r="H65" s="1403">
        <v>92.6</v>
      </c>
      <c r="I65" s="1403">
        <v>115.5</v>
      </c>
      <c r="J65" s="1539" t="s">
        <v>2745</v>
      </c>
      <c r="N65" s="3966"/>
      <c r="O65" s="3967"/>
      <c r="P65" s="3971"/>
      <c r="Q65" s="3969"/>
      <c r="R65" s="1964"/>
    </row>
    <row r="66" spans="2:18" s="1801" customFormat="1" ht="20.25" customHeight="1">
      <c r="B66" s="1638">
        <v>95.937911271605032</v>
      </c>
      <c r="C66" s="1402" t="s">
        <v>77</v>
      </c>
      <c r="D66" s="1402">
        <v>112.8</v>
      </c>
      <c r="E66" s="1402" t="s">
        <v>77</v>
      </c>
      <c r="F66" s="1402">
        <v>101.8</v>
      </c>
      <c r="G66" s="1402">
        <v>239.6</v>
      </c>
      <c r="H66" s="1402">
        <v>95.7</v>
      </c>
      <c r="I66" s="1402">
        <v>119.3</v>
      </c>
      <c r="J66" s="1540" t="s">
        <v>2754</v>
      </c>
      <c r="N66" s="3966"/>
      <c r="O66" s="3967"/>
      <c r="P66" s="3971"/>
      <c r="Q66" s="3969"/>
      <c r="R66" s="1964"/>
    </row>
    <row r="67" spans="2:18" s="1801" customFormat="1" ht="20.25" customHeight="1">
      <c r="B67" s="4297">
        <v>98.155007322381621</v>
      </c>
      <c r="C67" s="4285" t="s">
        <v>77</v>
      </c>
      <c r="D67" s="4285">
        <v>121.26483054659747</v>
      </c>
      <c r="E67" s="4285" t="s">
        <v>77</v>
      </c>
      <c r="F67" s="4285">
        <v>104.1</v>
      </c>
      <c r="G67" s="4285" t="s">
        <v>77</v>
      </c>
      <c r="H67" s="4285">
        <v>100</v>
      </c>
      <c r="I67" s="4285">
        <v>124.65875833333332</v>
      </c>
      <c r="J67" s="4298" t="s">
        <v>3033</v>
      </c>
      <c r="N67" s="3966"/>
      <c r="O67" s="3967"/>
      <c r="P67" s="3971"/>
      <c r="Q67" s="3969"/>
      <c r="R67" s="1964"/>
    </row>
    <row r="68" spans="2:18" s="1801" customFormat="1" ht="20.25" customHeight="1">
      <c r="B68" s="1638">
        <v>97.6</v>
      </c>
      <c r="C68" s="1402" t="s">
        <v>77</v>
      </c>
      <c r="D68" s="1402">
        <v>119.5</v>
      </c>
      <c r="E68" s="1402" t="s">
        <v>77</v>
      </c>
      <c r="F68" s="1402">
        <v>105</v>
      </c>
      <c r="G68" s="1402" t="s">
        <v>77</v>
      </c>
      <c r="H68" s="1402">
        <v>100.8</v>
      </c>
      <c r="I68" s="1402" t="s">
        <v>77</v>
      </c>
      <c r="J68" s="1540" t="s">
        <v>3034</v>
      </c>
      <c r="N68" s="3966"/>
      <c r="O68" s="3967"/>
      <c r="P68" s="3971"/>
      <c r="Q68" s="3969"/>
      <c r="R68" s="1964"/>
    </row>
    <row r="69" spans="2:18" s="1801" customFormat="1" ht="20.25" customHeight="1">
      <c r="B69" s="4297">
        <v>97</v>
      </c>
      <c r="C69" s="4285" t="s">
        <v>77</v>
      </c>
      <c r="D69" s="4285">
        <v>110.5</v>
      </c>
      <c r="E69" s="4285" t="s">
        <v>77</v>
      </c>
      <c r="F69" s="4285">
        <v>104.5</v>
      </c>
      <c r="G69" s="4285" t="s">
        <v>77</v>
      </c>
      <c r="H69" s="4285">
        <v>101.1</v>
      </c>
      <c r="I69" s="4285" t="s">
        <v>77</v>
      </c>
      <c r="J69" s="4298" t="s">
        <v>3127</v>
      </c>
      <c r="N69" s="3966"/>
      <c r="O69" s="3967"/>
      <c r="P69" s="3971"/>
      <c r="Q69" s="3969"/>
      <c r="R69" s="1964"/>
    </row>
    <row r="70" spans="2:18" s="1801" customFormat="1" ht="20.25" customHeight="1">
      <c r="B70" s="1638">
        <v>98.8</v>
      </c>
      <c r="C70" s="1402" t="s">
        <v>77</v>
      </c>
      <c r="D70" s="1402">
        <v>124.3</v>
      </c>
      <c r="E70" s="1402" t="s">
        <v>77</v>
      </c>
      <c r="F70" s="1402">
        <v>105.8</v>
      </c>
      <c r="G70" s="1402" t="s">
        <v>77</v>
      </c>
      <c r="H70" s="1402">
        <v>102.5</v>
      </c>
      <c r="I70" s="1402" t="s">
        <v>77</v>
      </c>
      <c r="J70" s="1540" t="s">
        <v>3128</v>
      </c>
      <c r="N70" s="3966"/>
      <c r="O70" s="3967"/>
      <c r="P70" s="3971"/>
      <c r="Q70" s="3969"/>
      <c r="R70" s="1964"/>
    </row>
    <row r="71" spans="2:18" s="1801" customFormat="1" ht="20.25" customHeight="1">
      <c r="B71" s="4585">
        <v>104.2</v>
      </c>
      <c r="C71" s="4586" t="s">
        <v>77</v>
      </c>
      <c r="D71" s="4586">
        <v>141.69999999999999</v>
      </c>
      <c r="E71" s="4586" t="s">
        <v>77</v>
      </c>
      <c r="F71" s="4586">
        <v>108.6</v>
      </c>
      <c r="G71" s="4586" t="s">
        <v>77</v>
      </c>
      <c r="H71" s="4586">
        <v>106.8</v>
      </c>
      <c r="I71" s="4586" t="s">
        <v>77</v>
      </c>
      <c r="J71" s="4587" t="s">
        <v>3129</v>
      </c>
      <c r="N71" s="3966"/>
      <c r="O71" s="3967"/>
      <c r="P71" s="3971"/>
      <c r="Q71" s="3969"/>
      <c r="R71" s="1964"/>
    </row>
    <row r="72" spans="2:18" ht="6.95" customHeight="1">
      <c r="J72" s="1849"/>
      <c r="N72" s="3966"/>
      <c r="O72" s="3967"/>
      <c r="P72" s="3971"/>
      <c r="Q72" s="3969"/>
      <c r="R72" s="1964"/>
    </row>
    <row r="73" spans="2:18" ht="19.7" customHeight="1">
      <c r="B73" s="3972" t="s">
        <v>1361</v>
      </c>
      <c r="C73" s="3972"/>
      <c r="J73" s="1849" t="s">
        <v>1657</v>
      </c>
      <c r="N73" s="3966"/>
      <c r="O73" s="3967"/>
      <c r="P73" s="3971"/>
      <c r="Q73" s="3969"/>
      <c r="R73" s="1964"/>
    </row>
    <row r="74" spans="2:18" ht="19.7" customHeight="1">
      <c r="B74" s="3973" t="s">
        <v>2138</v>
      </c>
      <c r="C74" s="3973"/>
      <c r="G74" s="5271" t="s">
        <v>2139</v>
      </c>
      <c r="H74" s="5271"/>
      <c r="I74" s="5271"/>
      <c r="J74" s="5271"/>
      <c r="N74" s="3966"/>
      <c r="O74" s="3967"/>
      <c r="P74" s="3971"/>
      <c r="Q74" s="3969"/>
      <c r="R74" s="1964"/>
    </row>
    <row r="75" spans="2:18" ht="19.7" customHeight="1">
      <c r="B75" s="3972" t="s">
        <v>2140</v>
      </c>
      <c r="C75" s="3972"/>
      <c r="G75" s="5268" t="s">
        <v>2141</v>
      </c>
      <c r="H75" s="5268"/>
      <c r="I75" s="5268"/>
      <c r="J75" s="5268"/>
      <c r="N75" s="3966"/>
      <c r="O75" s="3967"/>
      <c r="P75" s="3971"/>
      <c r="Q75" s="3969"/>
      <c r="R75" s="1964"/>
    </row>
    <row r="76" spans="2:18" ht="19.5" customHeight="1">
      <c r="G76" s="1314"/>
      <c r="H76" s="1314"/>
      <c r="I76" s="1314"/>
      <c r="J76" s="3974"/>
      <c r="N76" s="3966"/>
      <c r="O76" s="3967"/>
      <c r="P76" s="3971"/>
      <c r="Q76" s="3969"/>
      <c r="R76" s="1964"/>
    </row>
    <row r="77" spans="2:18" ht="25.5">
      <c r="N77" s="3966"/>
      <c r="O77" s="3967"/>
      <c r="P77" s="3971"/>
      <c r="Q77" s="3969"/>
      <c r="R77" s="1964"/>
    </row>
    <row r="78" spans="2:18" ht="25.5">
      <c r="N78" s="3966"/>
      <c r="O78" s="3967"/>
      <c r="P78" s="3971"/>
      <c r="Q78" s="3969"/>
      <c r="R78" s="1964"/>
    </row>
    <row r="79" spans="2:18" ht="25.5">
      <c r="N79" s="3967"/>
      <c r="O79" s="3967"/>
      <c r="P79" s="3971"/>
      <c r="Q79" s="3969"/>
      <c r="R79" s="1964"/>
    </row>
    <row r="80" spans="2:18" ht="25.5">
      <c r="N80" s="3966"/>
      <c r="O80" s="3967"/>
      <c r="P80" s="3971"/>
      <c r="Q80" s="3969"/>
      <c r="R80" s="1964"/>
    </row>
    <row r="81" spans="14:18" ht="25.5">
      <c r="N81" s="3967"/>
      <c r="O81" s="3967"/>
      <c r="P81" s="3971"/>
      <c r="Q81" s="3969"/>
      <c r="R81" s="1964"/>
    </row>
    <row r="82" spans="14:18" ht="25.5">
      <c r="N82" s="3966"/>
      <c r="O82" s="3967"/>
      <c r="P82" s="3971"/>
      <c r="Q82" s="3969"/>
      <c r="R82" s="1964"/>
    </row>
    <row r="83" spans="14:18" ht="25.5">
      <c r="N83" s="3967"/>
      <c r="O83" s="3967"/>
      <c r="P83" s="3969"/>
      <c r="Q83" s="3969"/>
      <c r="R83" s="1964"/>
    </row>
    <row r="84" spans="14:18" ht="25.5">
      <c r="N84" s="3966"/>
      <c r="O84" s="3967"/>
      <c r="P84" s="3971"/>
      <c r="Q84" s="3969"/>
      <c r="R84" s="1964"/>
    </row>
    <row r="85" spans="14:18" ht="25.5">
      <c r="N85" s="3967"/>
      <c r="O85" s="3967"/>
      <c r="P85" s="3971"/>
      <c r="Q85" s="3969"/>
      <c r="R85" s="1964"/>
    </row>
    <row r="86" spans="14:18" ht="25.5">
      <c r="N86" s="3966"/>
      <c r="O86" s="3967"/>
      <c r="P86" s="3971"/>
      <c r="Q86" s="3969"/>
      <c r="R86" s="1964"/>
    </row>
    <row r="87" spans="14:18" ht="25.5">
      <c r="N87" s="3967"/>
      <c r="O87" s="3967"/>
      <c r="P87" s="3969"/>
      <c r="Q87" s="3969"/>
      <c r="R87" s="1964"/>
    </row>
    <row r="88" spans="14:18" ht="25.5">
      <c r="N88" s="3966"/>
      <c r="O88" s="3967"/>
      <c r="P88" s="3971"/>
      <c r="Q88" s="3969"/>
      <c r="R88" s="1964"/>
    </row>
    <row r="89" spans="14:18" ht="25.5">
      <c r="N89" s="3967"/>
      <c r="O89" s="3967"/>
      <c r="P89" s="3969"/>
      <c r="Q89" s="3969"/>
      <c r="R89" s="1964"/>
    </row>
    <row r="90" spans="14:18" ht="25.5">
      <c r="N90" s="3966"/>
      <c r="O90" s="3967"/>
      <c r="P90" s="3971"/>
      <c r="Q90" s="3969"/>
      <c r="R90" s="1964"/>
    </row>
    <row r="91" spans="14:18">
      <c r="N91" s="1801"/>
      <c r="O91" s="1801"/>
      <c r="P91" s="1801"/>
      <c r="Q91" s="1801"/>
      <c r="R91" s="1801"/>
    </row>
  </sheetData>
  <mergeCells count="4">
    <mergeCell ref="G75:J75"/>
    <mergeCell ref="B3:J3"/>
    <mergeCell ref="B4:J4"/>
    <mergeCell ref="G74:J74"/>
  </mergeCells>
  <printOptions horizontalCentered="1" verticalCentered="1"/>
  <pageMargins left="0.19685039370078741" right="0.19685039370078741" top="0" bottom="1.9685039370078741" header="0.51181102362204722" footer="0.51181102362204722"/>
  <pageSetup paperSize="9" scale="49" orientation="portrait" r:id="rId1"/>
  <headerFooter alignWithMargins="0">
    <oddFooter>&amp;C&amp;"Times New Roman (Arabic),Regular"&amp;22-75-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R181"/>
  <sheetViews>
    <sheetView topLeftCell="A13" zoomScale="75" zoomScaleNormal="75" workbookViewId="0">
      <selection activeCell="M20" sqref="M20"/>
    </sheetView>
  </sheetViews>
  <sheetFormatPr defaultColWidth="11.42578125" defaultRowHeight="20.25"/>
  <cols>
    <col min="1" max="1" width="9.140625" style="1192" customWidth="1"/>
    <col min="2" max="2" width="12.5703125" style="1192" customWidth="1"/>
    <col min="3" max="3" width="8.7109375" style="1192" hidden="1" customWidth="1"/>
    <col min="4" max="4" width="0.140625" style="1192" hidden="1" customWidth="1"/>
    <col min="5" max="5" width="8.7109375" style="1192" hidden="1" customWidth="1"/>
    <col min="6" max="15" width="16.42578125" style="1192" customWidth="1"/>
    <col min="16" max="16" width="12.42578125" style="2260" customWidth="1"/>
    <col min="17" max="17" width="9.140625" style="1192" customWidth="1"/>
    <col min="18" max="18" width="9.5703125" style="1174" customWidth="1"/>
    <col min="19" max="25" width="10.7109375" style="1843" customWidth="1"/>
    <col min="26" max="26" width="2.7109375" style="1843" customWidth="1"/>
    <col min="27" max="16384" width="11.42578125" style="1192"/>
  </cols>
  <sheetData>
    <row r="1" spans="3:26" ht="28.35" customHeight="1"/>
    <row r="2" spans="3:26" ht="28.35" customHeight="1"/>
    <row r="3" spans="3:26" s="1761" customFormat="1" ht="28.35" customHeight="1">
      <c r="F3" s="4602" t="s">
        <v>2142</v>
      </c>
      <c r="G3" s="4602"/>
      <c r="H3" s="4602"/>
      <c r="I3" s="4602"/>
      <c r="J3" s="4602"/>
      <c r="K3" s="4602"/>
      <c r="L3" s="4602"/>
      <c r="M3" s="4602"/>
      <c r="N3" s="4602"/>
      <c r="O3" s="4602"/>
      <c r="P3" s="4602"/>
      <c r="R3" s="1845"/>
      <c r="S3" s="3975"/>
      <c r="T3" s="3975"/>
      <c r="U3" s="3975"/>
      <c r="V3" s="3975"/>
      <c r="W3" s="3975"/>
      <c r="X3" s="3975"/>
      <c r="Y3" s="3975"/>
      <c r="Z3" s="3975"/>
    </row>
    <row r="4" spans="3:26" s="2664" customFormat="1" ht="28.35" customHeight="1">
      <c r="F4" s="4713" t="s">
        <v>2143</v>
      </c>
      <c r="G4" s="4713"/>
      <c r="H4" s="4713"/>
      <c r="I4" s="4713"/>
      <c r="J4" s="4713"/>
      <c r="K4" s="4713"/>
      <c r="L4" s="4713"/>
      <c r="M4" s="4713"/>
      <c r="N4" s="4713"/>
      <c r="O4" s="4713"/>
      <c r="P4" s="4713"/>
      <c r="R4" s="2498"/>
      <c r="S4" s="3976"/>
      <c r="T4" s="3976"/>
      <c r="U4" s="3976"/>
      <c r="V4" s="3976"/>
      <c r="W4" s="3976"/>
      <c r="X4" s="3976"/>
      <c r="Y4" s="3976"/>
      <c r="Z4" s="3976"/>
    </row>
    <row r="5" spans="3:26" s="2264" customFormat="1" ht="17.100000000000001" customHeight="1">
      <c r="F5" s="1323"/>
      <c r="G5" s="1850"/>
      <c r="H5" s="1318"/>
      <c r="I5" s="1318"/>
      <c r="J5" s="1318"/>
      <c r="K5" s="1318"/>
      <c r="L5" s="1318"/>
      <c r="M5" s="1318"/>
      <c r="N5" s="1318"/>
      <c r="O5" s="1318"/>
      <c r="P5" s="4248" t="s">
        <v>2144</v>
      </c>
      <c r="R5" s="1849"/>
      <c r="S5" s="3514"/>
      <c r="T5" s="3514"/>
      <c r="U5" s="3514"/>
      <c r="V5" s="3514"/>
      <c r="W5" s="3514"/>
      <c r="X5" s="3514"/>
      <c r="Y5" s="3514"/>
      <c r="Z5" s="3514"/>
    </row>
    <row r="6" spans="3:26" ht="4.3499999999999996" customHeight="1">
      <c r="F6" s="2103"/>
      <c r="G6" s="2103"/>
      <c r="H6" s="1323"/>
      <c r="I6" s="1323"/>
      <c r="J6" s="1323"/>
      <c r="K6" s="1323"/>
      <c r="L6" s="1323"/>
      <c r="M6" s="1323"/>
      <c r="N6" s="1323"/>
      <c r="O6" s="1323"/>
      <c r="P6" s="2773"/>
    </row>
    <row r="7" spans="3:26" ht="36" customHeight="1">
      <c r="F7" s="3977" t="s">
        <v>2145</v>
      </c>
      <c r="G7" s="3977"/>
      <c r="H7" s="3978" t="s">
        <v>2146</v>
      </c>
      <c r="I7" s="3978"/>
      <c r="J7" s="3978" t="s">
        <v>2147</v>
      </c>
      <c r="K7" s="3978"/>
      <c r="L7" s="3978" t="s">
        <v>2148</v>
      </c>
      <c r="M7" s="3978"/>
      <c r="N7" s="3978" t="s">
        <v>2149</v>
      </c>
      <c r="O7" s="3979"/>
      <c r="P7" s="3980"/>
    </row>
    <row r="8" spans="3:26" ht="25.5" customHeight="1">
      <c r="F8" s="3981" t="s">
        <v>2150</v>
      </c>
      <c r="G8" s="3981"/>
      <c r="H8" s="3982" t="s">
        <v>2151</v>
      </c>
      <c r="I8" s="3983"/>
      <c r="J8" s="3982" t="s">
        <v>2152</v>
      </c>
      <c r="K8" s="3983"/>
      <c r="L8" s="3984" t="s">
        <v>2153</v>
      </c>
      <c r="M8" s="3984"/>
      <c r="N8" s="3984" t="s">
        <v>2154</v>
      </c>
      <c r="O8" s="3984"/>
      <c r="P8" s="3985"/>
    </row>
    <row r="9" spans="3:26" ht="10.5" customHeight="1">
      <c r="F9" s="3981"/>
      <c r="G9" s="3981"/>
      <c r="H9" s="3986"/>
      <c r="I9" s="3987"/>
      <c r="J9" s="3986"/>
      <c r="K9" s="3987"/>
      <c r="L9" s="3986"/>
      <c r="M9" s="3987"/>
      <c r="N9" s="3986"/>
      <c r="O9" s="3987"/>
      <c r="P9" s="3985"/>
    </row>
    <row r="10" spans="3:26" ht="25.5">
      <c r="F10" s="4222" t="s">
        <v>2155</v>
      </c>
      <c r="G10" s="4227" t="s">
        <v>2156</v>
      </c>
      <c r="H10" s="4227" t="s">
        <v>2155</v>
      </c>
      <c r="I10" s="4227" t="s">
        <v>2156</v>
      </c>
      <c r="J10" s="4227" t="s">
        <v>2155</v>
      </c>
      <c r="K10" s="4227" t="s">
        <v>2156</v>
      </c>
      <c r="L10" s="4227" t="s">
        <v>2155</v>
      </c>
      <c r="M10" s="4227" t="s">
        <v>2156</v>
      </c>
      <c r="N10" s="4227" t="s">
        <v>2155</v>
      </c>
      <c r="O10" s="4227" t="s">
        <v>2156</v>
      </c>
      <c r="P10" s="3985"/>
    </row>
    <row r="11" spans="3:26" ht="25.5">
      <c r="F11" s="4146" t="s">
        <v>2157</v>
      </c>
      <c r="G11" s="2203" t="s">
        <v>2158</v>
      </c>
      <c r="H11" s="4238" t="s">
        <v>2157</v>
      </c>
      <c r="I11" s="2203" t="s">
        <v>2158</v>
      </c>
      <c r="J11" s="4238" t="s">
        <v>2157</v>
      </c>
      <c r="K11" s="2203" t="s">
        <v>2158</v>
      </c>
      <c r="L11" s="4238" t="s">
        <v>2157</v>
      </c>
      <c r="M11" s="2203" t="s">
        <v>2158</v>
      </c>
      <c r="N11" s="4238" t="s">
        <v>2157</v>
      </c>
      <c r="O11" s="2203" t="s">
        <v>2158</v>
      </c>
      <c r="P11" s="3988"/>
    </row>
    <row r="12" spans="3:26" s="1263" customFormat="1" ht="33" customHeight="1">
      <c r="C12" s="1348"/>
      <c r="D12" s="1348"/>
      <c r="E12" s="1348"/>
      <c r="F12" s="5276" t="s">
        <v>2159</v>
      </c>
      <c r="G12" s="5276"/>
      <c r="H12" s="5276"/>
      <c r="I12" s="5276"/>
      <c r="J12" s="5276"/>
      <c r="K12" s="5276"/>
      <c r="L12" s="5276"/>
      <c r="M12" s="5276"/>
      <c r="N12" s="5276"/>
      <c r="O12" s="5276"/>
      <c r="P12" s="5277"/>
      <c r="R12" s="3943" t="s">
        <v>8</v>
      </c>
      <c r="S12" s="4280"/>
      <c r="T12" s="4280"/>
      <c r="U12" s="4280"/>
      <c r="V12" s="4280"/>
      <c r="W12" s="4280"/>
      <c r="X12" s="4280"/>
      <c r="Y12" s="4280"/>
      <c r="Z12" s="4280"/>
    </row>
    <row r="13" spans="3:26" s="1263" customFormat="1" ht="24.75" customHeight="1">
      <c r="C13" s="3989">
        <v>61.4</v>
      </c>
      <c r="D13" s="4280"/>
      <c r="E13" s="4280">
        <v>61.1</v>
      </c>
      <c r="F13" s="1533" t="s">
        <v>77</v>
      </c>
      <c r="G13" s="1533" t="s">
        <v>77</v>
      </c>
      <c r="H13" s="1533">
        <v>14.104372355430183</v>
      </c>
      <c r="I13" s="1533">
        <v>14.164305949008501</v>
      </c>
      <c r="J13" s="1533">
        <v>8.9206066012488847</v>
      </c>
      <c r="K13" s="1533">
        <v>8.952551477170994</v>
      </c>
      <c r="L13" s="1533">
        <v>1.1148272017837235</v>
      </c>
      <c r="M13" s="1533">
        <v>1.122334455667789</v>
      </c>
      <c r="N13" s="1533">
        <v>2.785515320334262</v>
      </c>
      <c r="O13" s="1543">
        <v>2.8011204481792715</v>
      </c>
      <c r="P13" s="4174">
        <v>1972</v>
      </c>
      <c r="R13" s="3943"/>
      <c r="S13" s="4280"/>
      <c r="T13" s="4280"/>
      <c r="U13" s="4280"/>
      <c r="V13" s="4280"/>
      <c r="W13" s="4280"/>
      <c r="X13" s="4280"/>
      <c r="Y13" s="4280"/>
      <c r="Z13" s="4280"/>
    </row>
    <row r="14" spans="3:26" s="1263" customFormat="1" ht="24.75" customHeight="1">
      <c r="C14" s="3989">
        <v>55.9</v>
      </c>
      <c r="D14" s="4280"/>
      <c r="E14" s="4280">
        <v>55.2</v>
      </c>
      <c r="F14" s="1541" t="s">
        <v>77</v>
      </c>
      <c r="G14" s="1541" t="s">
        <v>77</v>
      </c>
      <c r="H14" s="1541">
        <v>13.458950201884253</v>
      </c>
      <c r="I14" s="1541">
        <v>13.513513513513514</v>
      </c>
      <c r="J14" s="1541">
        <v>8.0710250201775615</v>
      </c>
      <c r="K14" s="1541">
        <v>8.097165991902834</v>
      </c>
      <c r="L14" s="1541">
        <v>1.2269938650306749</v>
      </c>
      <c r="M14" s="1541">
        <v>1.2360939431396785</v>
      </c>
      <c r="N14" s="1541">
        <v>3.0395136778115504</v>
      </c>
      <c r="O14" s="1542">
        <v>3.0581039755351682</v>
      </c>
      <c r="P14" s="4176">
        <v>1973</v>
      </c>
      <c r="R14" s="3943"/>
      <c r="S14" s="4280"/>
      <c r="T14" s="4280"/>
      <c r="U14" s="4280"/>
      <c r="V14" s="4280"/>
      <c r="W14" s="4280"/>
      <c r="X14" s="4280"/>
      <c r="Y14" s="4280"/>
      <c r="Z14" s="4280"/>
    </row>
    <row r="15" spans="3:26" s="1263" customFormat="1" ht="24.75" customHeight="1">
      <c r="C15" s="3989">
        <v>50.1</v>
      </c>
      <c r="D15" s="4280"/>
      <c r="E15" s="4280">
        <v>49.9</v>
      </c>
      <c r="F15" s="1533" t="s">
        <v>77</v>
      </c>
      <c r="G15" s="1533" t="s">
        <v>77</v>
      </c>
      <c r="H15" s="1533">
        <v>14.771048744460856</v>
      </c>
      <c r="I15" s="1533">
        <v>14.836795252225517</v>
      </c>
      <c r="J15" s="1533">
        <v>8.019246190858059</v>
      </c>
      <c r="K15" s="1533">
        <v>8.0450522928399035</v>
      </c>
      <c r="L15" s="1533">
        <v>1.3142331449599161</v>
      </c>
      <c r="M15" s="1533">
        <v>1.3246787653993908</v>
      </c>
      <c r="N15" s="1533">
        <v>3.0950170225936238</v>
      </c>
      <c r="O15" s="1543">
        <v>3.1142946122703203</v>
      </c>
      <c r="P15" s="4174">
        <v>1974</v>
      </c>
      <c r="R15" s="3943"/>
      <c r="S15" s="4280"/>
      <c r="T15" s="4280"/>
      <c r="U15" s="4280"/>
      <c r="V15" s="4280"/>
      <c r="W15" s="4280"/>
      <c r="X15" s="4280"/>
      <c r="Y15" s="4280"/>
      <c r="Z15" s="4280"/>
    </row>
    <row r="16" spans="3:26" s="1263" customFormat="1" ht="24.75" customHeight="1">
      <c r="C16" s="3989">
        <v>49.2</v>
      </c>
      <c r="D16" s="4280"/>
      <c r="E16" s="4280">
        <v>49</v>
      </c>
      <c r="F16" s="1541" t="s">
        <v>77</v>
      </c>
      <c r="G16" s="1541" t="s">
        <v>77</v>
      </c>
      <c r="H16" s="1541">
        <v>13.351134846461948</v>
      </c>
      <c r="I16" s="1541">
        <v>13.404825737265416</v>
      </c>
      <c r="J16" s="1541">
        <v>7.656967840735069</v>
      </c>
      <c r="K16" s="1541">
        <v>7.6804915514592942</v>
      </c>
      <c r="L16" s="1541">
        <v>1.3966480446927374</v>
      </c>
      <c r="M16" s="1541">
        <v>1.4092446448703495</v>
      </c>
      <c r="N16" s="1541">
        <v>3.1172069825436406</v>
      </c>
      <c r="O16" s="1542">
        <v>3.1367628607277291</v>
      </c>
      <c r="P16" s="4176">
        <v>1975</v>
      </c>
      <c r="R16" s="3943"/>
      <c r="S16" s="4280"/>
      <c r="T16" s="4280"/>
      <c r="U16" s="4280"/>
      <c r="V16" s="4280"/>
      <c r="W16" s="4280"/>
      <c r="X16" s="4280"/>
      <c r="Y16" s="4280"/>
      <c r="Z16" s="4280"/>
    </row>
    <row r="17" spans="3:26" s="1263" customFormat="1" ht="24.75" customHeight="1">
      <c r="C17" s="3989">
        <v>40.299999999999997</v>
      </c>
      <c r="D17" s="4280"/>
      <c r="E17" s="4280">
        <v>40.1</v>
      </c>
      <c r="F17" s="1533" t="s">
        <v>77</v>
      </c>
      <c r="G17" s="1533" t="s">
        <v>77</v>
      </c>
      <c r="H17" s="1533">
        <v>14.306151645207438</v>
      </c>
      <c r="I17" s="1533">
        <v>14.367816091954024</v>
      </c>
      <c r="J17" s="1533">
        <v>7.5815011372251702</v>
      </c>
      <c r="K17" s="1533">
        <v>7.6045627376425857</v>
      </c>
      <c r="L17" s="1533">
        <v>1.6501650165016502</v>
      </c>
      <c r="M17" s="1533">
        <v>1.6669444907484583</v>
      </c>
      <c r="N17" s="1533">
        <v>3.0030030030030028</v>
      </c>
      <c r="O17" s="1543">
        <v>3.0211480362537766</v>
      </c>
      <c r="P17" s="4174">
        <v>1976</v>
      </c>
      <c r="R17" s="3943"/>
      <c r="S17" s="3990"/>
      <c r="T17" s="4280"/>
      <c r="V17" s="4280"/>
      <c r="W17" s="4280"/>
      <c r="X17" s="4280"/>
      <c r="Y17" s="4280"/>
      <c r="Z17" s="4280"/>
    </row>
    <row r="18" spans="3:26" s="1263" customFormat="1" ht="24.75" customHeight="1">
      <c r="C18" s="3989">
        <v>37.5</v>
      </c>
      <c r="D18" s="4280"/>
      <c r="E18" s="4280">
        <v>37.299999999999997</v>
      </c>
      <c r="F18" s="1541" t="s">
        <v>77</v>
      </c>
      <c r="G18" s="1541" t="s">
        <v>77</v>
      </c>
      <c r="H18" s="1541">
        <v>14.858841010401189</v>
      </c>
      <c r="I18" s="1541">
        <v>14.925373134328359</v>
      </c>
      <c r="J18" s="1541">
        <v>7.0224719101123592</v>
      </c>
      <c r="K18" s="1541">
        <v>7.0521861777150914</v>
      </c>
      <c r="L18" s="1541">
        <v>1.7259233690024163</v>
      </c>
      <c r="M18" s="1541">
        <v>1.7418568193694477</v>
      </c>
      <c r="N18" s="1541">
        <v>3.0275507114744169</v>
      </c>
      <c r="O18" s="1542">
        <v>3.045994517209869</v>
      </c>
      <c r="P18" s="4176">
        <v>1977</v>
      </c>
      <c r="R18" s="3943"/>
      <c r="S18" s="3990"/>
      <c r="T18" s="4280"/>
      <c r="V18" s="4280"/>
      <c r="W18" s="4280"/>
      <c r="X18" s="4280"/>
      <c r="Y18" s="4280"/>
      <c r="Z18" s="4280"/>
    </row>
    <row r="19" spans="3:26" s="1263" customFormat="1" ht="24.75" customHeight="1">
      <c r="C19" s="3989">
        <v>36.1</v>
      </c>
      <c r="D19" s="4280"/>
      <c r="E19" s="4280">
        <v>35.9</v>
      </c>
      <c r="F19" s="1533" t="s">
        <v>77</v>
      </c>
      <c r="G19" s="1533" t="s">
        <v>77</v>
      </c>
      <c r="H19" s="1533">
        <v>14.705882352941176</v>
      </c>
      <c r="I19" s="1533">
        <v>14.792899408284025</v>
      </c>
      <c r="J19" s="1533">
        <v>6.5402223675604967</v>
      </c>
      <c r="K19" s="1533">
        <v>6.587615283267457</v>
      </c>
      <c r="L19" s="1533">
        <v>1.699524133242692</v>
      </c>
      <c r="M19" s="1533">
        <v>1.7111567419575635</v>
      </c>
      <c r="N19" s="1533">
        <v>3.2615786040443573</v>
      </c>
      <c r="O19" s="1543">
        <v>3.2829940906106367</v>
      </c>
      <c r="P19" s="4174">
        <v>1978</v>
      </c>
      <c r="R19" s="3943"/>
      <c r="S19" s="3990"/>
      <c r="T19" s="4280"/>
      <c r="V19" s="4280"/>
      <c r="W19" s="4280"/>
      <c r="X19" s="4280"/>
      <c r="Y19" s="4280"/>
      <c r="Z19" s="4280"/>
    </row>
    <row r="20" spans="3:26" s="1263" customFormat="1" ht="24.75" customHeight="1">
      <c r="C20" s="3989">
        <v>36.200000000000003</v>
      </c>
      <c r="D20" s="4280"/>
      <c r="E20" s="4280">
        <v>36</v>
      </c>
      <c r="F20" s="1541" t="s">
        <v>77</v>
      </c>
      <c r="G20" s="1541" t="s">
        <v>77</v>
      </c>
      <c r="H20" s="1541">
        <v>14.124293785310734</v>
      </c>
      <c r="I20" s="1541">
        <v>14.204545454545453</v>
      </c>
      <c r="J20" s="1541">
        <v>6.0864272671941571</v>
      </c>
      <c r="K20" s="1541">
        <v>6.1236987140232699</v>
      </c>
      <c r="L20" s="1541">
        <v>1.5647003598810827</v>
      </c>
      <c r="M20" s="1541">
        <v>1.5745551881593449</v>
      </c>
      <c r="N20" s="1541">
        <v>3.318951211417192</v>
      </c>
      <c r="O20" s="1542">
        <v>3.341129301703976</v>
      </c>
      <c r="P20" s="4176">
        <v>1979</v>
      </c>
      <c r="R20" s="3943"/>
      <c r="S20" s="3990"/>
      <c r="T20" s="4280"/>
      <c r="V20" s="4280"/>
      <c r="W20" s="4280"/>
      <c r="X20" s="4280"/>
      <c r="Y20" s="4280"/>
      <c r="Z20" s="4280"/>
    </row>
    <row r="21" spans="3:26" s="1263" customFormat="1" ht="24.75" customHeight="1">
      <c r="C21" s="3989">
        <v>34.9</v>
      </c>
      <c r="D21" s="4280"/>
      <c r="E21" s="4280">
        <v>34.700000000000003</v>
      </c>
      <c r="F21" s="1533" t="s">
        <v>77</v>
      </c>
      <c r="G21" s="1533" t="s">
        <v>77</v>
      </c>
      <c r="H21" s="1533">
        <v>14.124293785310734</v>
      </c>
      <c r="I21" s="1533">
        <v>14.204545454545453</v>
      </c>
      <c r="J21" s="1533">
        <v>6.0753341433778862</v>
      </c>
      <c r="K21" s="1533">
        <v>6.1124694376528126</v>
      </c>
      <c r="L21" s="1533">
        <v>1.4402995823131213</v>
      </c>
      <c r="M21" s="1533">
        <v>1.4490653528474133</v>
      </c>
      <c r="N21" s="1533">
        <v>3.3456005352960858</v>
      </c>
      <c r="O21" s="1543">
        <v>3.3681374200067364</v>
      </c>
      <c r="P21" s="4174">
        <v>1980</v>
      </c>
      <c r="R21" s="3943"/>
      <c r="S21" s="3990"/>
      <c r="T21" s="4280"/>
      <c r="V21" s="4280"/>
      <c r="W21" s="4280"/>
      <c r="X21" s="4280"/>
      <c r="Y21" s="4280"/>
      <c r="Z21" s="4280"/>
    </row>
    <row r="22" spans="3:26" s="1263" customFormat="1" ht="24.75" customHeight="1">
      <c r="C22" s="3989">
        <v>29.3</v>
      </c>
      <c r="D22" s="4280"/>
      <c r="E22" s="4280">
        <v>29.1</v>
      </c>
      <c r="F22" s="1541" t="s">
        <v>77</v>
      </c>
      <c r="G22" s="1541" t="s">
        <v>77</v>
      </c>
      <c r="H22" s="1541">
        <v>16.313213703099514</v>
      </c>
      <c r="I22" s="1541">
        <v>16.420361247947454</v>
      </c>
      <c r="J22" s="1541">
        <v>6.8027210884353737</v>
      </c>
      <c r="K22" s="1541">
        <v>6.844626967830254</v>
      </c>
      <c r="L22" s="1541">
        <v>1.4916467780429594</v>
      </c>
      <c r="M22" s="1541">
        <v>1.5008254539996999</v>
      </c>
      <c r="N22" s="1541">
        <v>3.0165912518853695</v>
      </c>
      <c r="O22" s="1542">
        <v>3.035822707953856</v>
      </c>
      <c r="P22" s="4176">
        <v>1981</v>
      </c>
      <c r="R22" s="3943"/>
      <c r="S22" s="4280"/>
      <c r="T22" s="4280"/>
      <c r="U22" s="4280"/>
      <c r="V22" s="4280"/>
      <c r="W22" s="4280"/>
      <c r="X22" s="4280"/>
      <c r="Y22" s="4280"/>
      <c r="Z22" s="4280"/>
    </row>
    <row r="23" spans="3:26" s="1263" customFormat="1" ht="24.75" customHeight="1">
      <c r="C23" s="3989">
        <v>26.2</v>
      </c>
      <c r="D23" s="4280"/>
      <c r="E23" s="4280">
        <v>26</v>
      </c>
      <c r="F23" s="1533" t="s">
        <v>77</v>
      </c>
      <c r="G23" s="1533" t="s">
        <v>77</v>
      </c>
      <c r="H23" s="1533">
        <v>18.518518518518519</v>
      </c>
      <c r="I23" s="1533">
        <v>18.621973929236496</v>
      </c>
      <c r="J23" s="1533">
        <v>6.8634179821551138</v>
      </c>
      <c r="K23" s="1533">
        <v>6.9060773480662982</v>
      </c>
      <c r="L23" s="1533">
        <v>1.6175994823681656</v>
      </c>
      <c r="M23" s="1533">
        <v>1.6273393002441008</v>
      </c>
      <c r="N23" s="1533">
        <v>2.8288543140028288</v>
      </c>
      <c r="O23" s="1543">
        <v>2.8449502133712663</v>
      </c>
      <c r="P23" s="4174">
        <v>1982</v>
      </c>
      <c r="R23" s="3943"/>
      <c r="S23" s="4280"/>
      <c r="T23" s="4280"/>
      <c r="U23" s="4280"/>
      <c r="V23" s="4280"/>
      <c r="W23" s="4280"/>
      <c r="X23" s="4280"/>
      <c r="Y23" s="4280"/>
      <c r="Z23" s="4280"/>
    </row>
    <row r="24" spans="3:26" s="1263" customFormat="1" ht="24.75" customHeight="1">
      <c r="C24" s="3989">
        <v>24.1</v>
      </c>
      <c r="D24" s="4280"/>
      <c r="E24" s="4280">
        <v>23.9</v>
      </c>
      <c r="F24" s="1541" t="s">
        <v>77</v>
      </c>
      <c r="G24" s="1541" t="s">
        <v>77</v>
      </c>
      <c r="H24" s="1541">
        <v>20.833333333333332</v>
      </c>
      <c r="I24" s="1541">
        <v>20.964360587002094</v>
      </c>
      <c r="J24" s="1541">
        <v>6.9979006298110562</v>
      </c>
      <c r="K24" s="1541">
        <v>7.042253521126761</v>
      </c>
      <c r="L24" s="1541">
        <v>1.8109380659181455</v>
      </c>
      <c r="M24" s="1541">
        <v>1.8218254691200584</v>
      </c>
      <c r="N24" s="1541">
        <v>2.7464982147761603</v>
      </c>
      <c r="O24" s="1542">
        <v>2.7616680475006903</v>
      </c>
      <c r="P24" s="4176">
        <v>1983</v>
      </c>
      <c r="R24" s="3943"/>
      <c r="S24" s="4280"/>
      <c r="T24" s="3990"/>
      <c r="U24" s="4280"/>
      <c r="W24" s="4280"/>
      <c r="X24" s="4280"/>
      <c r="Y24" s="4280"/>
      <c r="Z24" s="4280"/>
    </row>
    <row r="25" spans="3:26" s="1263" customFormat="1" ht="24.75" customHeight="1">
      <c r="C25" s="3989">
        <v>22.1</v>
      </c>
      <c r="D25" s="4280"/>
      <c r="E25" s="4280">
        <v>21.9</v>
      </c>
      <c r="F25" s="1533" t="s">
        <v>77</v>
      </c>
      <c r="G25" s="1533" t="s">
        <v>77</v>
      </c>
      <c r="H25" s="1533">
        <v>22.624434389140269</v>
      </c>
      <c r="I25" s="1533">
        <v>22.727272727272727</v>
      </c>
      <c r="J25" s="1533">
        <v>7.3637702503681872</v>
      </c>
      <c r="K25" s="1533">
        <v>7.4074074074074074</v>
      </c>
      <c r="L25" s="1533">
        <v>1.9436345966958211</v>
      </c>
      <c r="M25" s="1533">
        <v>1.9554165037152915</v>
      </c>
      <c r="N25" s="1533">
        <v>2.5940337224383918</v>
      </c>
      <c r="O25" s="1543">
        <v>2.6075619295958279</v>
      </c>
      <c r="P25" s="4174">
        <v>1984</v>
      </c>
      <c r="R25" s="3943"/>
      <c r="S25" s="4280"/>
      <c r="T25" s="3990"/>
      <c r="U25" s="4280"/>
      <c r="W25" s="4280"/>
      <c r="X25" s="4280"/>
      <c r="Y25" s="4280"/>
      <c r="Z25" s="4280"/>
    </row>
    <row r="26" spans="3:26" s="1263" customFormat="1" ht="24.75" customHeight="1">
      <c r="C26" s="3989">
        <v>20.9</v>
      </c>
      <c r="D26" s="4280"/>
      <c r="E26" s="4280">
        <v>20.6</v>
      </c>
      <c r="F26" s="1541" t="s">
        <v>77</v>
      </c>
      <c r="G26" s="1541" t="s">
        <v>77</v>
      </c>
      <c r="H26" s="1541">
        <v>22.573363431151243</v>
      </c>
      <c r="I26" s="1541">
        <v>22.727272727272727</v>
      </c>
      <c r="J26" s="1541">
        <v>7.3909830007390971</v>
      </c>
      <c r="K26" s="1541">
        <v>7.4460163812360385</v>
      </c>
      <c r="L26" s="1541">
        <v>1.9546520719311962</v>
      </c>
      <c r="M26" s="1541">
        <v>1.970055161544523</v>
      </c>
      <c r="N26" s="1541">
        <v>2.5258903763576663</v>
      </c>
      <c r="O26" s="1542">
        <v>2.5425883549453343</v>
      </c>
      <c r="P26" s="4176">
        <v>1985</v>
      </c>
      <c r="R26" s="3943"/>
      <c r="S26" s="4280"/>
      <c r="T26" s="3990"/>
      <c r="U26" s="4280"/>
      <c r="W26" s="4280"/>
      <c r="X26" s="4280"/>
      <c r="Y26" s="4280"/>
      <c r="Z26" s="4280"/>
    </row>
    <row r="27" spans="3:26" s="1263" customFormat="1" ht="24.75" customHeight="1">
      <c r="C27" s="3989">
        <v>23.6</v>
      </c>
      <c r="D27" s="4280"/>
      <c r="E27" s="4280">
        <v>23.4</v>
      </c>
      <c r="F27" s="1533" t="s">
        <v>77</v>
      </c>
      <c r="G27" s="1533" t="s">
        <v>77</v>
      </c>
      <c r="H27" s="1533">
        <v>19.685039370078741</v>
      </c>
      <c r="I27" s="1533">
        <v>19.841269841269842</v>
      </c>
      <c r="J27" s="1533">
        <v>6.1614294516327783</v>
      </c>
      <c r="K27" s="1533">
        <v>6.2111801242236018</v>
      </c>
      <c r="L27" s="1533">
        <v>1.939487975174554</v>
      </c>
      <c r="M27" s="1533">
        <v>1.9550342130987293</v>
      </c>
      <c r="N27" s="1533">
        <v>2.8449502133712663</v>
      </c>
      <c r="O27" s="1543">
        <v>2.8694404591104736</v>
      </c>
      <c r="P27" s="4174">
        <v>1986</v>
      </c>
      <c r="R27" s="3943"/>
      <c r="S27" s="4280"/>
      <c r="T27" s="3990"/>
      <c r="U27" s="4280"/>
      <c r="W27" s="4280"/>
      <c r="X27" s="4280"/>
      <c r="Y27" s="4280"/>
      <c r="Z27" s="4280"/>
    </row>
    <row r="28" spans="3:26" s="1263" customFormat="1" ht="24.75" customHeight="1">
      <c r="C28" s="3989">
        <v>26.3</v>
      </c>
      <c r="D28" s="4280"/>
      <c r="E28" s="4280">
        <v>26.1</v>
      </c>
      <c r="F28" s="1541" t="s">
        <v>77</v>
      </c>
      <c r="G28" s="1541" t="s">
        <v>77</v>
      </c>
      <c r="H28" s="1541">
        <v>17.667844522968199</v>
      </c>
      <c r="I28" s="1541">
        <v>17.793594306049819</v>
      </c>
      <c r="J28" s="1541">
        <v>5.2882072977260712</v>
      </c>
      <c r="K28" s="1541">
        <v>5.3191489361702127</v>
      </c>
      <c r="L28" s="1541">
        <v>1.7972681524083394</v>
      </c>
      <c r="M28" s="1541">
        <v>1.8079913216416561</v>
      </c>
      <c r="N28" s="1541">
        <v>2.9455081001472752</v>
      </c>
      <c r="O28" s="1542">
        <v>2.9629629629629628</v>
      </c>
      <c r="P28" s="4176">
        <v>1987</v>
      </c>
      <c r="R28" s="3943"/>
      <c r="S28" s="4280"/>
      <c r="T28" s="3990"/>
      <c r="U28" s="4280"/>
      <c r="W28" s="4280"/>
      <c r="X28" s="4280"/>
      <c r="Y28" s="4280"/>
      <c r="Z28" s="4280"/>
    </row>
    <row r="29" spans="3:26" s="1263" customFormat="1" ht="24.75" customHeight="1">
      <c r="C29" s="3989">
        <v>29</v>
      </c>
      <c r="D29" s="4280"/>
      <c r="E29" s="4280">
        <v>28.8</v>
      </c>
      <c r="F29" s="1533" t="s">
        <v>77</v>
      </c>
      <c r="G29" s="1533" t="s">
        <v>77</v>
      </c>
      <c r="H29" s="1533">
        <v>15.797788309636653</v>
      </c>
      <c r="I29" s="1533">
        <v>15.923566878980891</v>
      </c>
      <c r="J29" s="1533">
        <v>4.6576618537494179</v>
      </c>
      <c r="K29" s="1533">
        <v>4.6904315196998132</v>
      </c>
      <c r="L29" s="1533">
        <v>1.4909795735798419</v>
      </c>
      <c r="M29" s="1533">
        <v>1.5015015015015014</v>
      </c>
      <c r="N29" s="1533">
        <v>2.6539278131634818</v>
      </c>
      <c r="O29" s="1543">
        <v>2.6730820636193533</v>
      </c>
      <c r="P29" s="4174">
        <v>1988</v>
      </c>
      <c r="R29" s="3943"/>
      <c r="S29" s="4280"/>
      <c r="T29" s="4280"/>
      <c r="U29" s="4280"/>
      <c r="V29" s="4280"/>
      <c r="W29" s="4280"/>
      <c r="X29" s="4280"/>
      <c r="Y29" s="4280"/>
      <c r="Z29" s="4280"/>
    </row>
    <row r="30" spans="3:26" s="1263" customFormat="1" ht="24.75" customHeight="1">
      <c r="C30" s="3989">
        <v>42.2</v>
      </c>
      <c r="D30" s="4280"/>
      <c r="E30" s="4280">
        <v>41.7</v>
      </c>
      <c r="F30" s="1541" t="s">
        <v>77</v>
      </c>
      <c r="G30" s="1541" t="s">
        <v>77</v>
      </c>
      <c r="H30" s="1541">
        <v>11.025358324145534</v>
      </c>
      <c r="I30" s="1541">
        <v>11.135857461024498</v>
      </c>
      <c r="J30" s="1541">
        <v>3.2499187520311996</v>
      </c>
      <c r="K30" s="1541">
        <v>3.2808398950131235</v>
      </c>
      <c r="L30" s="1541">
        <v>1.0599957600169601</v>
      </c>
      <c r="M30" s="1541">
        <v>1.0700909577314071</v>
      </c>
      <c r="N30" s="1541">
        <v>1.7328019407381736</v>
      </c>
      <c r="O30" s="1542">
        <v>1.7479461632581714</v>
      </c>
      <c r="P30" s="4176">
        <v>1989</v>
      </c>
      <c r="R30" s="3943"/>
      <c r="S30" s="4280"/>
      <c r="T30" s="4280"/>
      <c r="U30" s="4280"/>
      <c r="V30" s="4280"/>
      <c r="W30" s="4280"/>
      <c r="X30" s="4280"/>
      <c r="Y30" s="4280"/>
      <c r="Z30" s="4280"/>
    </row>
    <row r="31" spans="3:26" s="1263" customFormat="1" ht="24.75" customHeight="1">
      <c r="C31" s="3989">
        <v>55.7</v>
      </c>
      <c r="D31" s="4280"/>
      <c r="E31" s="4280">
        <v>55.4</v>
      </c>
      <c r="F31" s="1533" t="s">
        <v>77</v>
      </c>
      <c r="G31" s="1533" t="s">
        <v>77</v>
      </c>
      <c r="H31" s="1533">
        <v>8.156606851549757</v>
      </c>
      <c r="I31" s="1533">
        <v>8.2101806239737272</v>
      </c>
      <c r="J31" s="1533">
        <v>2.4213075060532687</v>
      </c>
      <c r="K31" s="1533">
        <v>2.4372410431391662</v>
      </c>
      <c r="L31" s="1533">
        <v>0.84139671855279763</v>
      </c>
      <c r="M31" s="1533">
        <v>0.8468117537471419</v>
      </c>
      <c r="N31" s="1533">
        <v>1.5019525382997898</v>
      </c>
      <c r="O31" s="1543">
        <v>1.5114873035066505</v>
      </c>
      <c r="P31" s="4174">
        <v>1990</v>
      </c>
      <c r="R31" s="3943"/>
      <c r="S31" s="4280"/>
      <c r="T31" s="4280"/>
      <c r="U31" s="4280"/>
      <c r="V31" s="4280"/>
      <c r="W31" s="4280"/>
      <c r="X31" s="4280"/>
      <c r="Y31" s="4280"/>
      <c r="Z31" s="4280"/>
    </row>
    <row r="32" spans="3:26" s="1263" customFormat="1" ht="24.75" customHeight="1">
      <c r="C32" s="3989">
        <v>55.2</v>
      </c>
      <c r="D32" s="4280"/>
      <c r="E32" s="4280">
        <v>54.9</v>
      </c>
      <c r="F32" s="1541" t="s">
        <v>77</v>
      </c>
      <c r="G32" s="1541" t="s">
        <v>77</v>
      </c>
      <c r="H32" s="1541">
        <v>8.2372322899505761</v>
      </c>
      <c r="I32" s="1541">
        <v>8.2850041425020713</v>
      </c>
      <c r="J32" s="1541">
        <v>2.4224806201550386</v>
      </c>
      <c r="K32" s="1541">
        <v>2.4360535931790497</v>
      </c>
      <c r="L32" s="1541">
        <v>0.82850041425020704</v>
      </c>
      <c r="M32" s="1541">
        <v>0.83298625572678053</v>
      </c>
      <c r="N32" s="1541">
        <v>1.4658457930225739</v>
      </c>
      <c r="O32" s="1542">
        <v>1.4716703458425313</v>
      </c>
      <c r="P32" s="4176">
        <v>1991</v>
      </c>
      <c r="R32" s="3943"/>
      <c r="S32" s="4280"/>
      <c r="T32" s="4280"/>
      <c r="U32" s="4280"/>
      <c r="V32" s="4280"/>
      <c r="W32" s="4280"/>
      <c r="X32" s="4280"/>
      <c r="Y32" s="4280"/>
      <c r="Z32" s="4280"/>
    </row>
    <row r="33" spans="2:26" s="1263" customFormat="1" ht="24.75" customHeight="1">
      <c r="C33" s="3989">
        <v>55.6</v>
      </c>
      <c r="D33" s="4280"/>
      <c r="E33" s="4280">
        <v>55.3</v>
      </c>
      <c r="F33" s="1533" t="s">
        <v>77</v>
      </c>
      <c r="G33" s="1533" t="s">
        <v>77</v>
      </c>
      <c r="H33" s="1533">
        <v>7.7459333849728891</v>
      </c>
      <c r="I33" s="1533">
        <v>7.7881619937694708</v>
      </c>
      <c r="J33" s="1533">
        <v>2.2867596615595698</v>
      </c>
      <c r="K33" s="1533">
        <v>2.2983222247759132</v>
      </c>
      <c r="L33" s="1533">
        <v>0.83125519534497094</v>
      </c>
      <c r="M33" s="1533">
        <v>0.83549168685771569</v>
      </c>
      <c r="N33" s="1533">
        <v>1.4688601645123385</v>
      </c>
      <c r="O33" s="1543">
        <v>1.4731879787860931</v>
      </c>
      <c r="P33" s="4174">
        <v>1992</v>
      </c>
      <c r="R33" s="3943"/>
      <c r="S33" s="4280"/>
      <c r="T33" s="4280"/>
      <c r="U33" s="4280"/>
      <c r="V33" s="4280"/>
      <c r="W33" s="4280"/>
      <c r="X33" s="4280"/>
      <c r="Y33" s="4280"/>
      <c r="Z33" s="4280"/>
    </row>
    <row r="34" spans="2:26" s="1263" customFormat="1" ht="24.75" customHeight="1">
      <c r="C34" s="3989">
        <v>44.2</v>
      </c>
      <c r="D34" s="3677" t="e">
        <f>SUM(#REF!+#REF!+#REF!+#REF!+#REF!+#REF!+#REF!+#REF!+#REF!+#REF!+#REF!+#REF!)/12</f>
        <v>#REF!</v>
      </c>
      <c r="E34" s="3677">
        <v>44</v>
      </c>
      <c r="F34" s="1541">
        <v>1.2310000000000001</v>
      </c>
      <c r="G34" s="1541">
        <v>1.2310000000000001</v>
      </c>
      <c r="H34" s="1541">
        <v>8.1499592502037483</v>
      </c>
      <c r="I34" s="1541">
        <v>8.1900081900081894</v>
      </c>
      <c r="J34" s="1541">
        <v>2.3809523809523814</v>
      </c>
      <c r="K34" s="1541">
        <v>2.3923444976076556</v>
      </c>
      <c r="L34" s="1541">
        <v>0.95923261390887293</v>
      </c>
      <c r="M34" s="1541">
        <v>0.96404126096596943</v>
      </c>
      <c r="N34" s="1541">
        <v>1.4411298457991064</v>
      </c>
      <c r="O34" s="1542">
        <v>1.4452955629426218</v>
      </c>
      <c r="P34" s="4176">
        <v>1993</v>
      </c>
      <c r="R34" s="3943"/>
      <c r="S34" s="4280"/>
      <c r="T34" s="4280"/>
      <c r="U34" s="4280"/>
      <c r="V34" s="4280"/>
      <c r="W34" s="4280"/>
      <c r="X34" s="4280"/>
      <c r="Y34" s="4280"/>
      <c r="Z34" s="4280"/>
    </row>
    <row r="35" spans="2:26" s="1263" customFormat="1" ht="24.75" customHeight="1">
      <c r="B35" s="3991"/>
      <c r="C35" s="4258">
        <v>43.5</v>
      </c>
      <c r="D35" s="4259"/>
      <c r="E35" s="4259">
        <v>43.3</v>
      </c>
      <c r="F35" s="1533">
        <v>1.204</v>
      </c>
      <c r="G35" s="1533">
        <v>1.204</v>
      </c>
      <c r="H35" s="1533">
        <v>7.9051383399209483</v>
      </c>
      <c r="I35" s="1533">
        <v>7.9491255961844187</v>
      </c>
      <c r="J35" s="1533">
        <v>2.3126734505087883</v>
      </c>
      <c r="K35" s="1533">
        <v>2.3239600278875203</v>
      </c>
      <c r="L35" s="1533">
        <v>0.93257483913084027</v>
      </c>
      <c r="M35" s="1533">
        <v>0.93720712277413309</v>
      </c>
      <c r="N35" s="1533">
        <v>1.4289797084881397</v>
      </c>
      <c r="O35" s="1543">
        <v>1.4330753797649758</v>
      </c>
      <c r="P35" s="4174">
        <v>1994</v>
      </c>
      <c r="R35" s="4257"/>
      <c r="S35" s="3677"/>
      <c r="T35" s="4280"/>
      <c r="U35" s="4280"/>
      <c r="V35" s="4280"/>
      <c r="W35" s="4280"/>
      <c r="X35" s="4280"/>
      <c r="Y35" s="4280"/>
      <c r="Z35" s="4280"/>
    </row>
    <row r="36" spans="2:26" s="1263" customFormat="1" ht="24.75" customHeight="1">
      <c r="B36" s="3943"/>
      <c r="C36" s="4258">
        <v>43.166666666666664</v>
      </c>
      <c r="D36" s="4259">
        <v>0</v>
      </c>
      <c r="E36" s="4259">
        <v>42.966666666666669</v>
      </c>
      <c r="F36" s="1541">
        <v>1.091</v>
      </c>
      <c r="G36" s="1541">
        <v>1.091</v>
      </c>
      <c r="H36" s="1541">
        <v>7.0951339206527528</v>
      </c>
      <c r="I36" s="1541">
        <v>7.1318198026863184</v>
      </c>
      <c r="J36" s="1541">
        <v>2.0374898125509371</v>
      </c>
      <c r="K36" s="1541">
        <v>2.0476417991945941</v>
      </c>
      <c r="L36" s="1541">
        <v>0.90204538791710198</v>
      </c>
      <c r="M36" s="1541">
        <v>0.90655667112390359</v>
      </c>
      <c r="N36" s="1541">
        <v>1.4248227876657842</v>
      </c>
      <c r="O36" s="1542">
        <v>1.4288946309284245</v>
      </c>
      <c r="P36" s="4176">
        <v>1995</v>
      </c>
      <c r="R36" s="4257"/>
      <c r="S36" s="3677"/>
      <c r="T36" s="4280"/>
      <c r="U36" s="4280"/>
      <c r="V36" s="4280"/>
      <c r="W36" s="4280"/>
      <c r="X36" s="4280"/>
      <c r="Y36" s="4280"/>
      <c r="Z36" s="4280"/>
    </row>
    <row r="37" spans="2:26" s="1263" customFormat="1" ht="24.75" customHeight="1">
      <c r="B37" s="3943"/>
      <c r="C37" s="4258">
        <v>46.1</v>
      </c>
      <c r="D37" s="4259">
        <v>0</v>
      </c>
      <c r="E37" s="4259">
        <v>45.9</v>
      </c>
      <c r="F37" s="1533">
        <v>1.1120000000000001</v>
      </c>
      <c r="G37" s="1533">
        <v>1.1120000000000001</v>
      </c>
      <c r="H37" s="1533">
        <v>7.1929999999999996</v>
      </c>
      <c r="I37" s="1533">
        <v>7.2290000000000001</v>
      </c>
      <c r="J37" s="1533">
        <v>2.1155066638459914</v>
      </c>
      <c r="K37" s="1533">
        <v>2.1263023601956199</v>
      </c>
      <c r="L37" s="1533">
        <v>0.90065747996037104</v>
      </c>
      <c r="M37" s="1533">
        <v>0.90514120202751625</v>
      </c>
      <c r="N37" s="1533">
        <v>1.4084507042253522</v>
      </c>
      <c r="O37" s="1543">
        <v>1.4124293785310735</v>
      </c>
      <c r="P37" s="4174">
        <v>1996</v>
      </c>
      <c r="R37" s="4257"/>
      <c r="S37" s="3992"/>
      <c r="T37" s="3990"/>
      <c r="U37" s="3990"/>
      <c r="V37" s="3990"/>
      <c r="W37" s="3990"/>
      <c r="X37" s="4280"/>
      <c r="Y37" s="4280"/>
      <c r="Z37" s="4280"/>
    </row>
    <row r="38" spans="2:26" s="1263" customFormat="1" ht="24.75" customHeight="1">
      <c r="B38" s="3993"/>
      <c r="C38" s="4258">
        <v>40.799999999999997</v>
      </c>
      <c r="D38" s="4259">
        <v>0</v>
      </c>
      <c r="E38" s="4259">
        <v>40.6</v>
      </c>
      <c r="F38" s="1541">
        <v>1.2350000000000001</v>
      </c>
      <c r="G38" s="1541">
        <v>1.2529999999999999</v>
      </c>
      <c r="H38" s="1541">
        <v>8.1969999999999992</v>
      </c>
      <c r="I38" s="1541">
        <v>8.2370000000000001</v>
      </c>
      <c r="J38" s="1541">
        <v>2.4340000000000002</v>
      </c>
      <c r="K38" s="1541">
        <v>2.4470000000000001</v>
      </c>
      <c r="L38" s="1541">
        <v>0.85799999999999998</v>
      </c>
      <c r="M38" s="1541">
        <v>0.86299999999999999</v>
      </c>
      <c r="N38" s="1541">
        <v>1.4084507042253522</v>
      </c>
      <c r="O38" s="1542">
        <v>1.4124293785310735</v>
      </c>
      <c r="P38" s="4176">
        <v>1997</v>
      </c>
      <c r="R38" s="4257"/>
      <c r="S38" s="3992"/>
      <c r="T38" s="3990"/>
      <c r="U38" s="3990"/>
      <c r="V38" s="3990"/>
      <c r="W38" s="3990"/>
      <c r="X38" s="4280"/>
      <c r="Y38" s="4280"/>
      <c r="Z38" s="4280"/>
    </row>
    <row r="39" spans="2:26" s="1263" customFormat="1" ht="24.75" customHeight="1">
      <c r="B39" s="3993"/>
      <c r="C39" s="4258"/>
      <c r="D39" s="4259"/>
      <c r="E39" s="4259"/>
      <c r="F39" s="1533">
        <v>1.2542500000000001</v>
      </c>
      <c r="G39" s="1533">
        <v>1.2602499999999999</v>
      </c>
      <c r="H39" s="1533">
        <v>8.2970000000000006</v>
      </c>
      <c r="I39" s="1533">
        <v>8.3390000000000004</v>
      </c>
      <c r="J39" s="1533">
        <v>2.4750000000000001</v>
      </c>
      <c r="K39" s="1533">
        <v>2.488</v>
      </c>
      <c r="L39" s="1533">
        <v>0.84896850326852868</v>
      </c>
      <c r="M39" s="1533">
        <v>0.85302396997355634</v>
      </c>
      <c r="N39" s="1533">
        <v>1.4084507042253522</v>
      </c>
      <c r="O39" s="1543">
        <v>1.4124293785310735</v>
      </c>
      <c r="P39" s="4174">
        <v>1998</v>
      </c>
      <c r="R39" s="4257"/>
      <c r="S39" s="4280"/>
      <c r="T39" s="4280"/>
      <c r="U39" s="4280"/>
      <c r="V39" s="4280"/>
      <c r="W39" s="4280"/>
      <c r="X39" s="4280"/>
      <c r="Y39" s="4280"/>
      <c r="Z39" s="4280"/>
    </row>
    <row r="40" spans="2:26" s="1263" customFormat="1" ht="24.75" customHeight="1">
      <c r="B40" s="3993"/>
      <c r="C40" s="4258"/>
      <c r="D40" s="4259"/>
      <c r="E40" s="4259"/>
      <c r="F40" s="1541">
        <v>1.3202500000000001</v>
      </c>
      <c r="G40" s="1541">
        <v>1.326916666666667</v>
      </c>
      <c r="H40" s="1541">
        <v>8.6609999999999996</v>
      </c>
      <c r="I40" s="1541">
        <v>8.7040000000000006</v>
      </c>
      <c r="J40" s="1541">
        <v>2.5819999999999999</v>
      </c>
      <c r="K40" s="1541">
        <v>2.5950000000000002</v>
      </c>
      <c r="L40" s="1541">
        <v>0.87</v>
      </c>
      <c r="M40" s="1541">
        <v>0.874</v>
      </c>
      <c r="N40" s="1541">
        <v>1.4084507042253522</v>
      </c>
      <c r="O40" s="1542">
        <v>1.4124293785310735</v>
      </c>
      <c r="P40" s="4176">
        <v>1999</v>
      </c>
      <c r="R40" s="4257"/>
      <c r="S40" s="4280"/>
      <c r="T40" s="4280"/>
      <c r="U40" s="4280"/>
      <c r="V40" s="4280"/>
      <c r="W40" s="4280"/>
      <c r="X40" s="4280"/>
      <c r="Y40" s="4280"/>
      <c r="Z40" s="4280"/>
    </row>
    <row r="41" spans="2:26" s="1263" customFormat="1" ht="24.75" customHeight="1">
      <c r="B41" s="3993"/>
      <c r="C41" s="4258"/>
      <c r="D41" s="4259"/>
      <c r="E41" s="4259"/>
      <c r="F41" s="1533">
        <v>1.6020000000000001</v>
      </c>
      <c r="G41" s="1533">
        <v>1.61</v>
      </c>
      <c r="H41" s="1533">
        <v>10.507</v>
      </c>
      <c r="I41" s="1533">
        <v>10.56</v>
      </c>
      <c r="J41" s="1533">
        <v>3.133</v>
      </c>
      <c r="K41" s="1533">
        <v>3.149</v>
      </c>
      <c r="L41" s="1533">
        <v>0.96699999999999986</v>
      </c>
      <c r="M41" s="1533">
        <v>0.98199999999999998</v>
      </c>
      <c r="N41" s="1533">
        <v>1.4084507042253522</v>
      </c>
      <c r="O41" s="1543">
        <v>1.4124293785310735</v>
      </c>
      <c r="P41" s="4174">
        <v>2000</v>
      </c>
      <c r="R41" s="4257"/>
      <c r="S41" s="4280"/>
      <c r="T41" s="4280"/>
      <c r="U41" s="4280"/>
      <c r="V41" s="4280"/>
      <c r="W41" s="4280"/>
      <c r="X41" s="4280"/>
      <c r="Y41" s="4280"/>
      <c r="Z41" s="4280"/>
    </row>
    <row r="42" spans="2:26" s="1263" customFormat="1" ht="24.75" customHeight="1">
      <c r="B42" s="3993"/>
      <c r="C42" s="4258"/>
      <c r="D42" s="4259"/>
      <c r="E42" s="4259"/>
      <c r="F42" s="1541">
        <v>1.5717499999999998</v>
      </c>
      <c r="G42" s="1541">
        <v>1.5796666666666666</v>
      </c>
      <c r="H42" s="1541">
        <v>10.31</v>
      </c>
      <c r="I42" s="1541">
        <v>10.362</v>
      </c>
      <c r="J42" s="1541">
        <v>3.0739999999999998</v>
      </c>
      <c r="K42" s="1541">
        <v>3.09</v>
      </c>
      <c r="L42" s="1541">
        <v>0.97699999999999998</v>
      </c>
      <c r="M42" s="1541">
        <v>0.98199999999999998</v>
      </c>
      <c r="N42" s="1541">
        <v>1.4084507042253522</v>
      </c>
      <c r="O42" s="1542">
        <v>1.4124293785310735</v>
      </c>
      <c r="P42" s="4176">
        <v>2001</v>
      </c>
      <c r="R42" s="4257"/>
      <c r="S42" s="4280"/>
      <c r="T42" s="4280"/>
      <c r="U42" s="4280"/>
      <c r="V42" s="4280"/>
      <c r="W42" s="4280"/>
      <c r="X42" s="4280"/>
      <c r="Y42" s="4280"/>
      <c r="Z42" s="4280"/>
    </row>
    <row r="43" spans="2:26" s="1263" customFormat="1" ht="24.75" customHeight="1">
      <c r="B43" s="3993"/>
      <c r="C43" s="3994" t="s">
        <v>3021</v>
      </c>
      <c r="D43" s="3995"/>
      <c r="E43" s="3995"/>
      <c r="F43" s="1533">
        <v>1.4934166666666666</v>
      </c>
      <c r="G43" s="1533">
        <v>1.5008333333333335</v>
      </c>
      <c r="H43" s="1533" t="s">
        <v>77</v>
      </c>
      <c r="I43" s="1533" t="s">
        <v>77</v>
      </c>
      <c r="J43" s="1533" t="s">
        <v>77</v>
      </c>
      <c r="K43" s="1533" t="s">
        <v>77</v>
      </c>
      <c r="L43" s="1533">
        <v>0.93800000000000006</v>
      </c>
      <c r="M43" s="1533">
        <v>0.94299999999999995</v>
      </c>
      <c r="N43" s="1533">
        <v>1.4084507042253522</v>
      </c>
      <c r="O43" s="1543">
        <v>1.4124293785310735</v>
      </c>
      <c r="P43" s="4174">
        <v>2002</v>
      </c>
      <c r="R43" s="3943"/>
      <c r="S43" s="4280"/>
      <c r="T43" s="4280"/>
      <c r="U43" s="4280"/>
      <c r="V43" s="4280"/>
      <c r="W43" s="4280"/>
      <c r="X43" s="4280"/>
      <c r="Y43" s="4280"/>
      <c r="Z43" s="4280"/>
    </row>
    <row r="44" spans="2:26" s="1263" customFormat="1" ht="24.75" customHeight="1">
      <c r="B44" s="3991"/>
      <c r="C44" s="3994" t="s">
        <v>547</v>
      </c>
      <c r="D44" s="3995"/>
      <c r="E44" s="3995"/>
      <c r="F44" s="1541">
        <v>1.2462500000000001</v>
      </c>
      <c r="G44" s="1541">
        <v>1.2524999999999999</v>
      </c>
      <c r="H44" s="1541" t="s">
        <v>77</v>
      </c>
      <c r="I44" s="1541" t="s">
        <v>77</v>
      </c>
      <c r="J44" s="1541" t="s">
        <v>77</v>
      </c>
      <c r="K44" s="1541" t="s">
        <v>77</v>
      </c>
      <c r="L44" s="1541">
        <v>0.86199465563313515</v>
      </c>
      <c r="M44" s="1541">
        <v>0.86602580756906555</v>
      </c>
      <c r="N44" s="1541">
        <v>1.4084507042253522</v>
      </c>
      <c r="O44" s="1542">
        <v>1.4124293785310735</v>
      </c>
      <c r="P44" s="4176">
        <v>2003</v>
      </c>
      <c r="R44" s="3943"/>
      <c r="S44" s="4280"/>
      <c r="T44" s="4280"/>
      <c r="U44" s="4280"/>
      <c r="V44" s="4280"/>
      <c r="W44" s="4280"/>
      <c r="X44" s="4280"/>
      <c r="Y44" s="4280"/>
      <c r="Z44" s="4280"/>
    </row>
    <row r="45" spans="2:26" s="3943" customFormat="1" ht="24.75" customHeight="1">
      <c r="B45" s="3991"/>
      <c r="C45" s="3994"/>
      <c r="D45" s="3995"/>
      <c r="E45" s="3995"/>
      <c r="F45" s="1533">
        <v>1.1319999999999999</v>
      </c>
      <c r="G45" s="1533">
        <v>1.1379999999999999</v>
      </c>
      <c r="H45" s="1533" t="s">
        <v>77</v>
      </c>
      <c r="I45" s="1533" t="s">
        <v>77</v>
      </c>
      <c r="J45" s="1533" t="s">
        <v>77</v>
      </c>
      <c r="K45" s="1533" t="s">
        <v>77</v>
      </c>
      <c r="L45" s="1533">
        <v>0.76800000000000002</v>
      </c>
      <c r="M45" s="1533">
        <v>0.77100000000000002</v>
      </c>
      <c r="N45" s="1533">
        <v>1.4079999999999999</v>
      </c>
      <c r="O45" s="1543">
        <v>1.4119999999999999</v>
      </c>
      <c r="P45" s="4174">
        <v>2004</v>
      </c>
      <c r="S45" s="2865"/>
      <c r="T45" s="2865"/>
      <c r="U45" s="2865"/>
      <c r="V45" s="2865"/>
      <c r="W45" s="2865"/>
      <c r="X45" s="2865"/>
      <c r="Y45" s="2865"/>
      <c r="Z45" s="2865"/>
    </row>
    <row r="46" spans="2:26" s="3943" customFormat="1" ht="24.75" customHeight="1">
      <c r="B46" s="3991"/>
      <c r="C46" s="3994"/>
      <c r="D46" s="3995"/>
      <c r="E46" s="3995"/>
      <c r="F46" s="1541">
        <v>1.1319999999999999</v>
      </c>
      <c r="G46" s="1541">
        <v>1.137</v>
      </c>
      <c r="H46" s="1541" t="s">
        <v>77</v>
      </c>
      <c r="I46" s="1541" t="s">
        <v>77</v>
      </c>
      <c r="J46" s="1541" t="s">
        <v>77</v>
      </c>
      <c r="K46" s="1541" t="s">
        <v>77</v>
      </c>
      <c r="L46" s="1541">
        <v>0.77400000000000002</v>
      </c>
      <c r="M46" s="1541">
        <v>0.77700000000000002</v>
      </c>
      <c r="N46" s="1541">
        <v>1.4084507042253522</v>
      </c>
      <c r="O46" s="1542">
        <v>1.4124293785310735</v>
      </c>
      <c r="P46" s="4176">
        <v>2005</v>
      </c>
      <c r="R46" s="1192"/>
      <c r="S46" s="1192"/>
      <c r="T46" s="1192"/>
      <c r="U46" s="1192"/>
      <c r="V46" s="1192"/>
      <c r="W46" s="2865"/>
      <c r="X46" s="2865"/>
      <c r="Y46" s="2865"/>
      <c r="Z46" s="2865"/>
    </row>
    <row r="47" spans="2:26" s="3943" customFormat="1" ht="24.75" customHeight="1">
      <c r="B47" s="3991"/>
      <c r="C47" s="3994"/>
      <c r="D47" s="3995"/>
      <c r="E47" s="3995"/>
      <c r="F47" s="1533">
        <v>1.119</v>
      </c>
      <c r="G47" s="1533">
        <v>1.125</v>
      </c>
      <c r="H47" s="1533" t="s">
        <v>77</v>
      </c>
      <c r="I47" s="1533" t="s">
        <v>77</v>
      </c>
      <c r="J47" s="1533" t="s">
        <v>77</v>
      </c>
      <c r="K47" s="1533" t="s">
        <v>77</v>
      </c>
      <c r="L47" s="1533">
        <v>0.76300000000000001</v>
      </c>
      <c r="M47" s="1533">
        <v>0.76700000000000002</v>
      </c>
      <c r="N47" s="1533">
        <v>1.4084507042253522</v>
      </c>
      <c r="O47" s="1543">
        <v>1.4124293785310735</v>
      </c>
      <c r="P47" s="4174">
        <v>2006</v>
      </c>
      <c r="S47" s="2865"/>
      <c r="T47" s="2865"/>
      <c r="U47" s="2865"/>
      <c r="V47" s="2865"/>
      <c r="W47" s="2865"/>
      <c r="X47" s="2865"/>
      <c r="Y47" s="2865"/>
      <c r="Z47" s="2865"/>
    </row>
    <row r="48" spans="2:26" s="3943" customFormat="1" ht="24.75" customHeight="1">
      <c r="B48" s="3991"/>
      <c r="C48" s="3994"/>
      <c r="D48" s="3995"/>
      <c r="E48" s="3995"/>
      <c r="F48" s="1541">
        <v>1.0269999999999999</v>
      </c>
      <c r="G48" s="1541">
        <v>1.0329999999999999</v>
      </c>
      <c r="H48" s="1541" t="s">
        <v>77</v>
      </c>
      <c r="I48" s="1541" t="s">
        <v>77</v>
      </c>
      <c r="J48" s="1541" t="s">
        <v>77</v>
      </c>
      <c r="K48" s="1541" t="s">
        <v>77</v>
      </c>
      <c r="L48" s="1541">
        <v>0.70299999999999996</v>
      </c>
      <c r="M48" s="1541">
        <v>0.70599999999999996</v>
      </c>
      <c r="N48" s="1541">
        <v>1.4084507042253522</v>
      </c>
      <c r="O48" s="1542">
        <v>1.4124293785310735</v>
      </c>
      <c r="P48" s="4176">
        <v>2007</v>
      </c>
      <c r="S48" s="2865"/>
      <c r="T48" s="2865"/>
      <c r="U48" s="2865"/>
      <c r="V48" s="2865"/>
      <c r="W48" s="2865"/>
      <c r="X48" s="2865"/>
      <c r="Y48" s="2865"/>
      <c r="Z48" s="2865"/>
    </row>
    <row r="49" spans="2:26" s="3943" customFormat="1" ht="24.75" customHeight="1">
      <c r="B49" s="3991"/>
      <c r="C49" s="3994"/>
      <c r="D49" s="3995"/>
      <c r="E49" s="3995"/>
      <c r="F49" s="1533">
        <v>0.95399999999999996</v>
      </c>
      <c r="G49" s="1533">
        <v>0.95899999999999996</v>
      </c>
      <c r="H49" s="1533" t="s">
        <v>77</v>
      </c>
      <c r="I49" s="1533" t="s">
        <v>77</v>
      </c>
      <c r="J49" s="1533" t="s">
        <v>77</v>
      </c>
      <c r="K49" s="1533" t="s">
        <v>77</v>
      </c>
      <c r="L49" s="1533">
        <v>0.755</v>
      </c>
      <c r="M49" s="1533">
        <v>0.75900000000000001</v>
      </c>
      <c r="N49" s="1533">
        <v>1.4079999999999999</v>
      </c>
      <c r="O49" s="1543">
        <v>1.4119999999999999</v>
      </c>
      <c r="P49" s="4174">
        <v>2008</v>
      </c>
      <c r="S49" s="2865"/>
      <c r="T49" s="2865"/>
      <c r="U49" s="2865"/>
      <c r="V49" s="2865"/>
      <c r="W49" s="2865"/>
      <c r="X49" s="2865"/>
      <c r="Y49" s="2865"/>
      <c r="Z49" s="2865"/>
    </row>
    <row r="50" spans="2:26" s="3943" customFormat="1" ht="24.75" customHeight="1">
      <c r="B50" s="3991"/>
      <c r="C50" s="3994"/>
      <c r="D50" s="3995"/>
      <c r="E50" s="3995"/>
      <c r="F50" s="1541">
        <v>1.0105705681427735</v>
      </c>
      <c r="G50" s="1541">
        <v>1.0156305542295934</v>
      </c>
      <c r="H50" s="1541" t="s">
        <v>77</v>
      </c>
      <c r="I50" s="1541" t="s">
        <v>77</v>
      </c>
      <c r="J50" s="1541" t="s">
        <v>77</v>
      </c>
      <c r="K50" s="1541" t="s">
        <v>77</v>
      </c>
      <c r="L50" s="1541">
        <v>0.89900000000000002</v>
      </c>
      <c r="M50" s="1541">
        <v>0.90400000000000003</v>
      </c>
      <c r="N50" s="1541">
        <v>1.4079999999999999</v>
      </c>
      <c r="O50" s="1542">
        <v>1.4119999999999999</v>
      </c>
      <c r="P50" s="4176">
        <v>2009</v>
      </c>
      <c r="S50" s="3993"/>
      <c r="T50" s="2865"/>
      <c r="V50" s="2865"/>
      <c r="W50" s="2865"/>
      <c r="X50" s="2865"/>
      <c r="Y50" s="2865"/>
      <c r="Z50" s="2865"/>
    </row>
    <row r="51" spans="2:26" s="3943" customFormat="1" ht="24.75" customHeight="1">
      <c r="B51" s="3991"/>
      <c r="C51" s="3994"/>
      <c r="D51" s="3995"/>
      <c r="E51" s="3995"/>
      <c r="F51" s="1533">
        <v>1.060198044994805</v>
      </c>
      <c r="G51" s="1533">
        <v>1.0655187478023678</v>
      </c>
      <c r="H51" s="1533" t="s">
        <v>77</v>
      </c>
      <c r="I51" s="1533" t="s">
        <v>77</v>
      </c>
      <c r="J51" s="1533" t="s">
        <v>77</v>
      </c>
      <c r="K51" s="1533" t="s">
        <v>77</v>
      </c>
      <c r="L51" s="1533">
        <v>0.91100000000000003</v>
      </c>
      <c r="M51" s="1533">
        <v>0.91500000000000004</v>
      </c>
      <c r="N51" s="1533">
        <v>1.4079999999999999</v>
      </c>
      <c r="O51" s="1543">
        <v>1.4119999999999999</v>
      </c>
      <c r="P51" s="4174">
        <v>2010</v>
      </c>
      <c r="S51" s="3993"/>
      <c r="T51" s="2865"/>
      <c r="V51" s="2865"/>
      <c r="W51" s="2865"/>
      <c r="X51" s="2865"/>
      <c r="Y51" s="2865"/>
      <c r="Z51" s="2865"/>
    </row>
    <row r="52" spans="2:26" s="3943" customFormat="1" ht="24.75" customHeight="1">
      <c r="B52" s="3991"/>
      <c r="C52" s="3994"/>
      <c r="D52" s="3995"/>
      <c r="E52" s="3995"/>
      <c r="F52" s="1541">
        <v>1.0104378227085797</v>
      </c>
      <c r="G52" s="1541">
        <v>1.0154964762272274</v>
      </c>
      <c r="H52" s="1541" t="s">
        <v>77</v>
      </c>
      <c r="I52" s="1541" t="s">
        <v>77</v>
      </c>
      <c r="J52" s="1541" t="s">
        <v>77</v>
      </c>
      <c r="K52" s="1541" t="s">
        <v>77</v>
      </c>
      <c r="L52" s="1541">
        <v>0.877</v>
      </c>
      <c r="M52" s="1541">
        <v>0.88200000000000001</v>
      </c>
      <c r="N52" s="1541">
        <v>1.4079999999999999</v>
      </c>
      <c r="O52" s="1542">
        <v>1.4119999999999999</v>
      </c>
      <c r="P52" s="4176">
        <v>2011</v>
      </c>
      <c r="S52" s="3993"/>
      <c r="T52" s="2865"/>
      <c r="V52" s="2865"/>
      <c r="W52" s="2865"/>
      <c r="X52" s="2865"/>
      <c r="Y52" s="2865"/>
      <c r="Z52" s="2865"/>
    </row>
    <row r="53" spans="2:26" s="3943" customFormat="1" ht="24.75" customHeight="1">
      <c r="B53" s="3991"/>
      <c r="C53" s="3994"/>
      <c r="D53" s="3995"/>
      <c r="E53" s="3995"/>
      <c r="F53" s="4173">
        <v>1.0940000000000001</v>
      </c>
      <c r="G53" s="1533">
        <v>1.0993360010553626</v>
      </c>
      <c r="H53" s="1533" t="s">
        <v>77</v>
      </c>
      <c r="I53" s="1533" t="s">
        <v>77</v>
      </c>
      <c r="J53" s="1533" t="s">
        <v>77</v>
      </c>
      <c r="K53" s="1533" t="s">
        <v>77</v>
      </c>
      <c r="L53" s="1533">
        <v>0.88800000000000001</v>
      </c>
      <c r="M53" s="1533">
        <v>0.89200000000000002</v>
      </c>
      <c r="N53" s="1533">
        <v>1.4079999999999999</v>
      </c>
      <c r="O53" s="1543">
        <v>1.4119999999999999</v>
      </c>
      <c r="P53" s="4174">
        <v>2012</v>
      </c>
      <c r="S53" s="3993"/>
      <c r="T53" s="2865"/>
      <c r="V53" s="2865"/>
      <c r="W53" s="2865"/>
      <c r="X53" s="2865"/>
      <c r="Y53" s="2865"/>
      <c r="Z53" s="2865"/>
    </row>
    <row r="54" spans="2:26" s="3943" customFormat="1" ht="24.75" customHeight="1">
      <c r="B54" s="3991"/>
      <c r="C54" s="3994"/>
      <c r="D54" s="3995"/>
      <c r="E54" s="3995"/>
      <c r="F54" s="1541">
        <v>1.0601347366344058</v>
      </c>
      <c r="G54" s="1541">
        <v>1.0654486863169907</v>
      </c>
      <c r="H54" s="1541" t="s">
        <v>77</v>
      </c>
      <c r="I54" s="1541" t="s">
        <v>77</v>
      </c>
      <c r="J54" s="1541" t="s">
        <v>77</v>
      </c>
      <c r="K54" s="1541" t="s">
        <v>77</v>
      </c>
      <c r="L54" s="1541">
        <v>0.9</v>
      </c>
      <c r="M54" s="1541">
        <v>0.90500000000000003</v>
      </c>
      <c r="N54" s="1541">
        <v>1.4079999999999999</v>
      </c>
      <c r="O54" s="1542">
        <v>1.4119999999999999</v>
      </c>
      <c r="P54" s="4176">
        <v>2013</v>
      </c>
      <c r="S54" s="3993"/>
      <c r="T54" s="2865"/>
      <c r="V54" s="2865"/>
      <c r="W54" s="2865"/>
      <c r="X54" s="2865"/>
      <c r="Y54" s="2865"/>
      <c r="Z54" s="2865"/>
    </row>
    <row r="55" spans="2:26" s="3943" customFormat="1" ht="24.75" customHeight="1">
      <c r="B55" s="3991"/>
      <c r="C55" s="3994"/>
      <c r="D55" s="3995"/>
      <c r="E55" s="3995"/>
      <c r="F55" s="4173">
        <v>1.0580000000000001</v>
      </c>
      <c r="G55" s="1533">
        <v>1.0640000000000001</v>
      </c>
      <c r="H55" s="1533" t="s">
        <v>77</v>
      </c>
      <c r="I55" s="1533" t="s">
        <v>77</v>
      </c>
      <c r="J55" s="1533" t="s">
        <v>77</v>
      </c>
      <c r="K55" s="1533" t="s">
        <v>77</v>
      </c>
      <c r="L55" s="1533">
        <v>0.85399999999999998</v>
      </c>
      <c r="M55" s="1533">
        <v>0.85799999999999998</v>
      </c>
      <c r="N55" s="1533">
        <v>1.4079999999999999</v>
      </c>
      <c r="O55" s="1543">
        <v>1.4119999999999999</v>
      </c>
      <c r="P55" s="4174">
        <v>2014</v>
      </c>
      <c r="S55" s="3993"/>
      <c r="T55" s="2865"/>
      <c r="V55" s="2865"/>
      <c r="W55" s="2865"/>
      <c r="X55" s="2865"/>
      <c r="Y55" s="2865"/>
      <c r="Z55" s="2865"/>
    </row>
    <row r="56" spans="2:26" s="3943" customFormat="1" ht="24.75" customHeight="1">
      <c r="B56" s="3991"/>
      <c r="C56" s="3994"/>
      <c r="D56" s="3995"/>
      <c r="E56" s="3995"/>
      <c r="F56" s="1541">
        <v>1.2927078351021886</v>
      </c>
      <c r="G56" s="1541">
        <v>1.2991906042535499</v>
      </c>
      <c r="H56" s="1541" t="s">
        <v>77</v>
      </c>
      <c r="I56" s="1541" t="s">
        <v>77</v>
      </c>
      <c r="J56" s="1541" t="s">
        <v>77</v>
      </c>
      <c r="K56" s="1541" t="s">
        <v>77</v>
      </c>
      <c r="L56" s="1541">
        <v>0.93764650726676046</v>
      </c>
      <c r="M56" s="1541">
        <v>0.94234719840177916</v>
      </c>
      <c r="N56" s="1541">
        <v>1.4079999999999999</v>
      </c>
      <c r="O56" s="1542">
        <v>1.4119999999999999</v>
      </c>
      <c r="P56" s="4176">
        <v>2015</v>
      </c>
      <c r="S56" s="3993"/>
      <c r="T56" s="2865"/>
      <c r="V56" s="2865"/>
      <c r="W56" s="2865"/>
      <c r="X56" s="2865"/>
      <c r="Y56" s="2865"/>
      <c r="Z56" s="2865"/>
    </row>
    <row r="57" spans="2:26" s="3943" customFormat="1" ht="24.75" customHeight="1">
      <c r="B57" s="3991"/>
      <c r="C57" s="3994"/>
      <c r="D57" s="3995"/>
      <c r="E57" s="3995"/>
      <c r="F57" s="1533">
        <v>1.3336534101517696</v>
      </c>
      <c r="G57" s="1533">
        <v>1.34033883765816</v>
      </c>
      <c r="H57" s="1533" t="s">
        <v>77</v>
      </c>
      <c r="I57" s="1533" t="s">
        <v>77</v>
      </c>
      <c r="J57" s="1533" t="s">
        <v>77</v>
      </c>
      <c r="K57" s="1533" t="s">
        <v>77</v>
      </c>
      <c r="L57" s="1533">
        <v>1.1249353162193174</v>
      </c>
      <c r="M57" s="1533">
        <v>1.1305694678409515</v>
      </c>
      <c r="N57" s="1533">
        <v>1.4079999999999999</v>
      </c>
      <c r="O57" s="1543">
        <v>1.4119999999999999</v>
      </c>
      <c r="P57" s="4174">
        <v>2016</v>
      </c>
      <c r="S57" s="3993"/>
      <c r="T57" s="2865"/>
      <c r="V57" s="2865"/>
      <c r="W57" s="2865"/>
      <c r="X57" s="2865"/>
      <c r="Y57" s="2865"/>
      <c r="Z57" s="2865"/>
    </row>
    <row r="58" spans="2:26" s="3943" customFormat="1" ht="24.75" customHeight="1">
      <c r="B58" s="3991"/>
      <c r="C58" s="2600"/>
      <c r="D58" s="3995"/>
      <c r="E58" s="3995"/>
      <c r="F58" s="1541">
        <v>1.1890000000000001</v>
      </c>
      <c r="G58" s="1541">
        <v>1.1950000000000001</v>
      </c>
      <c r="H58" s="1541" t="s">
        <v>77</v>
      </c>
      <c r="I58" s="1541" t="s">
        <v>77</v>
      </c>
      <c r="J58" s="1541" t="s">
        <v>77</v>
      </c>
      <c r="K58" s="1541" t="s">
        <v>77</v>
      </c>
      <c r="L58" s="1541">
        <v>1.05</v>
      </c>
      <c r="M58" s="1541">
        <v>1.0549999999999999</v>
      </c>
      <c r="N58" s="1541">
        <v>1.4079999999999999</v>
      </c>
      <c r="O58" s="1542">
        <v>1.4119999999999999</v>
      </c>
      <c r="P58" s="4176">
        <v>2017</v>
      </c>
      <c r="S58" s="3993"/>
      <c r="T58" s="2865"/>
      <c r="V58" s="2865"/>
      <c r="W58" s="2865"/>
      <c r="X58" s="2865"/>
      <c r="Y58" s="2865"/>
      <c r="Z58" s="2865"/>
    </row>
    <row r="59" spans="2:26" s="3943" customFormat="1" ht="24.75" customHeight="1">
      <c r="B59" s="3991"/>
      <c r="C59" s="2600"/>
      <c r="D59" s="3995"/>
      <c r="E59" s="3995"/>
      <c r="F59" s="1533">
        <v>1.2370000000000001</v>
      </c>
      <c r="G59" s="1533">
        <v>1.244</v>
      </c>
      <c r="H59" s="1533" t="s">
        <v>77</v>
      </c>
      <c r="I59" s="1533" t="s">
        <v>77</v>
      </c>
      <c r="J59" s="1533" t="s">
        <v>77</v>
      </c>
      <c r="K59" s="1533" t="s">
        <v>77</v>
      </c>
      <c r="L59" s="1533">
        <v>1.111</v>
      </c>
      <c r="M59" s="1533">
        <v>1.1160000000000001</v>
      </c>
      <c r="N59" s="1533">
        <v>1.4079999999999999</v>
      </c>
      <c r="O59" s="1543">
        <v>1.4119999999999999</v>
      </c>
      <c r="P59" s="4174">
        <v>2018</v>
      </c>
      <c r="S59" s="3993"/>
      <c r="T59" s="2865"/>
      <c r="V59" s="2865"/>
      <c r="W59" s="2865"/>
      <c r="X59" s="2865"/>
      <c r="Y59" s="2865"/>
      <c r="Z59" s="2865"/>
    </row>
    <row r="60" spans="2:26" s="3943" customFormat="1" ht="24.75" customHeight="1">
      <c r="B60" s="3991"/>
      <c r="C60" s="2600"/>
      <c r="D60" s="3995"/>
      <c r="E60" s="3995"/>
      <c r="F60" s="1541">
        <v>1.2669999999999999</v>
      </c>
      <c r="G60" s="1541">
        <v>1.2729999999999999</v>
      </c>
      <c r="H60" s="1541" t="s">
        <v>77</v>
      </c>
      <c r="I60" s="1541" t="s">
        <v>77</v>
      </c>
      <c r="J60" s="1541" t="s">
        <v>77</v>
      </c>
      <c r="K60" s="1541" t="s">
        <v>77</v>
      </c>
      <c r="L60" s="1541">
        <v>1.0740000000000001</v>
      </c>
      <c r="M60" s="1541">
        <v>1.08</v>
      </c>
      <c r="N60" s="1541">
        <v>1.4079999999999999</v>
      </c>
      <c r="O60" s="1542">
        <v>1.4119999999999999</v>
      </c>
      <c r="P60" s="4176">
        <v>2019</v>
      </c>
      <c r="S60" s="3993"/>
      <c r="T60" s="2865"/>
      <c r="V60" s="2865"/>
      <c r="W60" s="2865"/>
      <c r="X60" s="2865"/>
      <c r="Y60" s="2865"/>
      <c r="Z60" s="2865"/>
    </row>
    <row r="61" spans="2:26" s="3943" customFormat="1" ht="24.75" customHeight="1">
      <c r="B61" s="3991"/>
      <c r="C61" s="2600"/>
      <c r="D61" s="3995"/>
      <c r="E61" s="3995"/>
      <c r="F61" s="3996">
        <v>1.156390212313243</v>
      </c>
      <c r="G61" s="3996">
        <v>1.1621825788831426</v>
      </c>
      <c r="H61" s="3996" t="s">
        <v>77</v>
      </c>
      <c r="I61" s="3996" t="s">
        <v>77</v>
      </c>
      <c r="J61" s="3996" t="s">
        <v>77</v>
      </c>
      <c r="K61" s="3996" t="s">
        <v>77</v>
      </c>
      <c r="L61" s="3996">
        <v>1.0469998220100303</v>
      </c>
      <c r="M61" s="3996">
        <v>1.05224391013837</v>
      </c>
      <c r="N61" s="3996">
        <v>1.4079999999999999</v>
      </c>
      <c r="O61" s="3997">
        <v>1.4119999999999999</v>
      </c>
      <c r="P61" s="1747">
        <v>2020</v>
      </c>
      <c r="S61" s="3993"/>
      <c r="T61" s="2865"/>
      <c r="V61" s="2865"/>
      <c r="W61" s="2865"/>
      <c r="X61" s="2865"/>
      <c r="Y61" s="2865"/>
      <c r="Z61" s="2865"/>
    </row>
    <row r="62" spans="2:26" s="3943" customFormat="1" ht="6.95" customHeight="1">
      <c r="B62" s="3991"/>
      <c r="C62" s="2600"/>
      <c r="D62" s="3995"/>
      <c r="E62" s="3995"/>
      <c r="F62" s="3998"/>
      <c r="G62" s="3998"/>
      <c r="H62" s="3998"/>
      <c r="I62" s="3998"/>
      <c r="J62" s="3998"/>
      <c r="K62" s="3998"/>
      <c r="L62" s="3998"/>
      <c r="M62" s="3998"/>
      <c r="N62" s="3998"/>
      <c r="O62" s="3998"/>
      <c r="P62" s="3998"/>
      <c r="S62" s="3993"/>
      <c r="T62" s="2865"/>
      <c r="V62" s="2865"/>
      <c r="W62" s="2865"/>
      <c r="X62" s="2865"/>
      <c r="Y62" s="2865"/>
      <c r="Z62" s="2865"/>
    </row>
    <row r="63" spans="2:26" s="3943" customFormat="1" ht="15" customHeight="1">
      <c r="B63" s="3991"/>
      <c r="C63" s="2600"/>
      <c r="D63" s="3995"/>
      <c r="E63" s="3995"/>
      <c r="F63" s="3115"/>
      <c r="G63" s="3115"/>
      <c r="H63" s="3115"/>
      <c r="I63" s="3115"/>
      <c r="J63" s="3115"/>
      <c r="K63" s="3115"/>
      <c r="L63" s="3115"/>
      <c r="M63" s="3115"/>
      <c r="N63" s="3115"/>
      <c r="O63" s="3115"/>
      <c r="P63" s="3999" t="s">
        <v>2160</v>
      </c>
      <c r="S63" s="3993"/>
      <c r="T63" s="2865"/>
      <c r="V63" s="2865"/>
      <c r="W63" s="2865"/>
      <c r="X63" s="2865"/>
      <c r="Y63" s="2865"/>
      <c r="Z63" s="2865"/>
    </row>
    <row r="64" spans="2:26" s="3943" customFormat="1" ht="15" customHeight="1">
      <c r="B64" s="3991"/>
      <c r="C64" s="2600"/>
      <c r="D64" s="3995"/>
      <c r="E64" s="3995"/>
      <c r="F64" s="3115"/>
      <c r="G64" s="3115"/>
      <c r="H64" s="3115"/>
      <c r="I64" s="3115"/>
      <c r="J64" s="3115"/>
      <c r="K64" s="3115"/>
      <c r="L64" s="3115"/>
      <c r="M64" s="3115"/>
      <c r="N64" s="3115"/>
      <c r="O64" s="3115"/>
      <c r="P64" s="3999" t="s">
        <v>2161</v>
      </c>
      <c r="S64" s="3993"/>
      <c r="T64" s="2865"/>
      <c r="V64" s="2865"/>
      <c r="W64" s="2865"/>
      <c r="X64" s="2865"/>
      <c r="Y64" s="2865"/>
      <c r="Z64" s="2865"/>
    </row>
    <row r="65" spans="2:26" s="3943" customFormat="1" ht="15" customHeight="1">
      <c r="B65" s="3991"/>
      <c r="C65" s="2600"/>
      <c r="D65" s="3995"/>
      <c r="E65" s="3995"/>
      <c r="F65" s="4000"/>
      <c r="G65" s="4000"/>
      <c r="H65" s="4000"/>
      <c r="I65" s="4000"/>
      <c r="J65" s="4000"/>
      <c r="K65" s="4000"/>
      <c r="L65" s="4000"/>
      <c r="M65" s="4000"/>
      <c r="N65" s="4000"/>
      <c r="O65" s="4000"/>
      <c r="P65" s="3469"/>
      <c r="S65" s="3993"/>
      <c r="T65" s="2865"/>
      <c r="V65" s="2865"/>
      <c r="W65" s="2865"/>
      <c r="X65" s="2865"/>
      <c r="Y65" s="2865"/>
      <c r="Z65" s="2865"/>
    </row>
    <row r="66" spans="2:26" s="3943" customFormat="1" ht="28.35" customHeight="1">
      <c r="B66" s="3991"/>
      <c r="C66" s="2600"/>
      <c r="D66" s="3995"/>
      <c r="E66" s="3995"/>
      <c r="F66" s="4000"/>
      <c r="G66" s="4000"/>
      <c r="H66" s="4000"/>
      <c r="I66" s="4000"/>
      <c r="J66" s="4000"/>
      <c r="K66" s="4000"/>
      <c r="L66" s="4000"/>
      <c r="M66" s="4000"/>
      <c r="N66" s="4000"/>
      <c r="O66" s="4000"/>
      <c r="P66" s="3469"/>
      <c r="S66" s="3993"/>
      <c r="T66" s="2865"/>
      <c r="V66" s="2865"/>
      <c r="W66" s="2865"/>
      <c r="X66" s="2865"/>
      <c r="Y66" s="2865"/>
      <c r="Z66" s="2865"/>
    </row>
    <row r="67" spans="2:26" s="3943" customFormat="1" ht="28.35" customHeight="1">
      <c r="B67" s="3991"/>
      <c r="C67" s="2600"/>
      <c r="D67" s="3995"/>
      <c r="E67" s="3995"/>
      <c r="F67" s="4000"/>
      <c r="G67" s="4000"/>
      <c r="H67" s="4000"/>
      <c r="I67" s="4000"/>
      <c r="J67" s="4000"/>
      <c r="K67" s="4000"/>
      <c r="L67" s="4000"/>
      <c r="M67" s="4000"/>
      <c r="N67" s="4000"/>
      <c r="O67" s="4000"/>
      <c r="P67" s="3469"/>
      <c r="S67" s="3993"/>
      <c r="T67" s="2865"/>
      <c r="V67" s="2865"/>
      <c r="W67" s="2865"/>
      <c r="X67" s="2865"/>
      <c r="Y67" s="2865"/>
      <c r="Z67" s="2865"/>
    </row>
    <row r="68" spans="2:26" s="1761" customFormat="1" ht="28.35" customHeight="1">
      <c r="F68" s="4602" t="s">
        <v>2162</v>
      </c>
      <c r="G68" s="4602"/>
      <c r="H68" s="4602"/>
      <c r="I68" s="4602"/>
      <c r="J68" s="4602"/>
      <c r="K68" s="4602"/>
      <c r="L68" s="4602"/>
      <c r="M68" s="4602"/>
      <c r="N68" s="4602"/>
      <c r="O68" s="4602"/>
      <c r="P68" s="4602"/>
      <c r="R68" s="1845"/>
      <c r="S68" s="3975"/>
      <c r="T68" s="3975"/>
      <c r="U68" s="3975"/>
      <c r="V68" s="3975"/>
      <c r="W68" s="3975"/>
      <c r="X68" s="3975"/>
      <c r="Y68" s="3975"/>
      <c r="Z68" s="3975"/>
    </row>
    <row r="69" spans="2:26" s="2664" customFormat="1" ht="28.35" customHeight="1">
      <c r="F69" s="4819" t="s">
        <v>2163</v>
      </c>
      <c r="G69" s="4819"/>
      <c r="H69" s="4819"/>
      <c r="I69" s="4819"/>
      <c r="J69" s="4819"/>
      <c r="K69" s="4819"/>
      <c r="L69" s="4819"/>
      <c r="M69" s="4819"/>
      <c r="N69" s="4819"/>
      <c r="O69" s="4819"/>
      <c r="P69" s="4819"/>
      <c r="R69" s="2498"/>
      <c r="S69" s="3976"/>
      <c r="T69" s="3976"/>
      <c r="U69" s="3976"/>
      <c r="V69" s="3976"/>
      <c r="W69" s="3976"/>
      <c r="X69" s="3976"/>
      <c r="Y69" s="3976"/>
      <c r="Z69" s="3976"/>
    </row>
    <row r="70" spans="2:26" s="2264" customFormat="1" ht="17.100000000000001" customHeight="1">
      <c r="F70" s="1323" t="s">
        <v>2164</v>
      </c>
      <c r="G70" s="1318"/>
      <c r="H70" s="1318"/>
      <c r="I70" s="1318"/>
      <c r="J70" s="1318"/>
      <c r="K70" s="1318"/>
      <c r="L70" s="1318"/>
      <c r="M70" s="1318"/>
      <c r="N70" s="1318"/>
      <c r="O70" s="1318"/>
      <c r="P70" s="4248"/>
      <c r="R70" s="1849"/>
      <c r="S70" s="3514"/>
      <c r="T70" s="3514"/>
      <c r="U70" s="3514"/>
      <c r="V70" s="3514"/>
      <c r="W70" s="3514"/>
      <c r="X70" s="3514"/>
      <c r="Y70" s="3514"/>
      <c r="Z70" s="3514"/>
    </row>
    <row r="71" spans="2:26" ht="4.3499999999999996" customHeight="1">
      <c r="F71" s="2103"/>
      <c r="G71" s="2103"/>
      <c r="H71" s="1323"/>
      <c r="I71" s="1323"/>
      <c r="J71" s="1323"/>
      <c r="K71" s="1323"/>
      <c r="L71" s="1323"/>
      <c r="M71" s="1323"/>
      <c r="N71" s="1323"/>
      <c r="O71" s="1323"/>
      <c r="P71" s="2773"/>
    </row>
    <row r="72" spans="2:26" ht="36" customHeight="1">
      <c r="F72" s="4001"/>
      <c r="G72" s="3977" t="s">
        <v>2145</v>
      </c>
      <c r="H72" s="3977"/>
      <c r="I72" s="4002" t="s">
        <v>2146</v>
      </c>
      <c r="J72" s="4003"/>
      <c r="K72" s="3977" t="s">
        <v>2147</v>
      </c>
      <c r="L72" s="3977"/>
      <c r="M72" s="4002" t="s">
        <v>2148</v>
      </c>
      <c r="N72" s="4003"/>
      <c r="O72" s="3977" t="s">
        <v>2149</v>
      </c>
      <c r="P72" s="3977"/>
    </row>
    <row r="73" spans="2:26" ht="23.25" customHeight="1">
      <c r="F73" s="4004"/>
      <c r="G73" s="3981" t="s">
        <v>2150</v>
      </c>
      <c r="H73" s="3981"/>
      <c r="I73" s="3982" t="s">
        <v>2151</v>
      </c>
      <c r="J73" s="3983"/>
      <c r="K73" s="3981" t="s">
        <v>2152</v>
      </c>
      <c r="L73" s="3981"/>
      <c r="M73" s="3982" t="s">
        <v>2153</v>
      </c>
      <c r="N73" s="3983"/>
      <c r="O73" s="3981" t="s">
        <v>2154</v>
      </c>
      <c r="P73" s="3981"/>
    </row>
    <row r="74" spans="2:26" ht="10.5" customHeight="1">
      <c r="F74" s="4004"/>
      <c r="G74" s="3981"/>
      <c r="H74" s="3981"/>
      <c r="I74" s="3986"/>
      <c r="J74" s="3987"/>
      <c r="K74" s="3981"/>
      <c r="L74" s="3981"/>
      <c r="M74" s="3986"/>
      <c r="N74" s="3987"/>
      <c r="O74" s="3981"/>
      <c r="P74" s="3981"/>
    </row>
    <row r="75" spans="2:26">
      <c r="F75" s="2612"/>
      <c r="G75" s="4222" t="s">
        <v>2155</v>
      </c>
      <c r="H75" s="4227" t="s">
        <v>2156</v>
      </c>
      <c r="I75" s="4227" t="s">
        <v>2155</v>
      </c>
      <c r="J75" s="4227" t="s">
        <v>2156</v>
      </c>
      <c r="K75" s="4227" t="s">
        <v>2155</v>
      </c>
      <c r="L75" s="4227" t="s">
        <v>2156</v>
      </c>
      <c r="M75" s="4227" t="s">
        <v>2155</v>
      </c>
      <c r="N75" s="4227" t="s">
        <v>2156</v>
      </c>
      <c r="O75" s="4227" t="s">
        <v>2155</v>
      </c>
      <c r="P75" s="4220" t="s">
        <v>2156</v>
      </c>
    </row>
    <row r="76" spans="2:26">
      <c r="F76" s="2617"/>
      <c r="G76" s="4146" t="s">
        <v>2157</v>
      </c>
      <c r="H76" s="2203" t="s">
        <v>2158</v>
      </c>
      <c r="I76" s="4238" t="s">
        <v>2157</v>
      </c>
      <c r="J76" s="2203" t="s">
        <v>2158</v>
      </c>
      <c r="K76" s="4238" t="s">
        <v>2157</v>
      </c>
      <c r="L76" s="2203" t="s">
        <v>2158</v>
      </c>
      <c r="M76" s="4238" t="s">
        <v>2157</v>
      </c>
      <c r="N76" s="2203" t="s">
        <v>2158</v>
      </c>
      <c r="O76" s="4238" t="s">
        <v>2157</v>
      </c>
      <c r="P76" s="4187" t="s">
        <v>2158</v>
      </c>
    </row>
    <row r="77" spans="2:26" s="4005" customFormat="1" ht="18" customHeight="1">
      <c r="C77" s="4006"/>
      <c r="D77" s="4007"/>
      <c r="E77" s="4007"/>
      <c r="F77" s="4008"/>
      <c r="G77" s="5272" t="s">
        <v>2165</v>
      </c>
      <c r="H77" s="5272"/>
      <c r="I77" s="5272"/>
      <c r="J77" s="5272"/>
      <c r="K77" s="5272"/>
      <c r="L77" s="5272"/>
      <c r="M77" s="5272"/>
      <c r="N77" s="5272"/>
      <c r="O77" s="5272"/>
      <c r="P77" s="5273"/>
      <c r="R77" s="4009"/>
      <c r="S77" s="4010"/>
      <c r="T77" s="4011"/>
      <c r="U77" s="4011"/>
      <c r="V77" s="4011"/>
      <c r="W77" s="4011"/>
      <c r="X77" s="4011"/>
      <c r="Y77" s="4011"/>
      <c r="Z77" s="4011"/>
    </row>
    <row r="78" spans="2:26" s="4005" customFormat="1" ht="15" customHeight="1">
      <c r="C78" s="4006"/>
      <c r="D78" s="4007"/>
      <c r="E78" s="4007"/>
      <c r="F78" s="4012"/>
      <c r="G78" s="5274"/>
      <c r="H78" s="5274"/>
      <c r="I78" s="5274"/>
      <c r="J78" s="5274"/>
      <c r="K78" s="5274"/>
      <c r="L78" s="5274"/>
      <c r="M78" s="5274"/>
      <c r="N78" s="5274"/>
      <c r="O78" s="5274"/>
      <c r="P78" s="5275"/>
      <c r="R78" s="4009"/>
      <c r="S78" s="4010"/>
      <c r="T78" s="4011"/>
      <c r="U78" s="4011"/>
      <c r="V78" s="4011"/>
      <c r="W78" s="4011"/>
      <c r="X78" s="4011"/>
      <c r="Y78" s="4011"/>
      <c r="Z78" s="4011"/>
    </row>
    <row r="79" spans="2:26" s="1263" customFormat="1" ht="24.75" customHeight="1">
      <c r="C79" s="3989">
        <v>61.5</v>
      </c>
      <c r="D79" s="4280"/>
      <c r="E79" s="4280">
        <v>61.3</v>
      </c>
      <c r="F79" s="1545">
        <v>1972</v>
      </c>
      <c r="G79" s="1533" t="s">
        <v>77</v>
      </c>
      <c r="H79" s="1533" t="s">
        <v>77</v>
      </c>
      <c r="I79" s="1533">
        <v>14.285714285714285</v>
      </c>
      <c r="J79" s="1533">
        <v>14.326647564469916</v>
      </c>
      <c r="K79" s="1533">
        <v>8.952551477170994</v>
      </c>
      <c r="L79" s="1533">
        <v>8.9686098654708513</v>
      </c>
      <c r="M79" s="1533">
        <v>1.1862396204033216</v>
      </c>
      <c r="N79" s="1533">
        <v>1.1933174224343677</v>
      </c>
      <c r="O79" s="1533">
        <v>2.785515320334262</v>
      </c>
      <c r="P79" s="1543">
        <v>2.8011204481792715</v>
      </c>
      <c r="R79" s="3943"/>
      <c r="S79" s="4280"/>
      <c r="T79" s="4280"/>
      <c r="U79" s="4280"/>
      <c r="V79" s="4280"/>
      <c r="W79" s="4280"/>
      <c r="X79" s="4280"/>
      <c r="Y79" s="4280"/>
      <c r="Z79" s="4280"/>
    </row>
    <row r="80" spans="2:26" s="1263" customFormat="1" ht="24.75" customHeight="1">
      <c r="C80" s="3989">
        <v>54.3</v>
      </c>
      <c r="D80" s="4280"/>
      <c r="E80" s="4280">
        <v>54.1</v>
      </c>
      <c r="F80" s="1544">
        <v>1973</v>
      </c>
      <c r="G80" s="1541" t="s">
        <v>77</v>
      </c>
      <c r="H80" s="1541" t="s">
        <v>77</v>
      </c>
      <c r="I80" s="1541">
        <v>14.22475106685633</v>
      </c>
      <c r="J80" s="1541">
        <v>14.285714285714285</v>
      </c>
      <c r="K80" s="1541">
        <v>8.1833060556464812</v>
      </c>
      <c r="L80" s="1541">
        <v>8.2101806239737272</v>
      </c>
      <c r="M80" s="1541">
        <v>1.3003901170351106</v>
      </c>
      <c r="N80" s="1541">
        <v>1.3106159895150722</v>
      </c>
      <c r="O80" s="1541">
        <v>3.0303030303030303</v>
      </c>
      <c r="P80" s="1542">
        <v>3.0487804878048781</v>
      </c>
      <c r="R80" s="3943"/>
      <c r="S80" s="4280"/>
      <c r="T80" s="4280"/>
      <c r="U80" s="4280"/>
      <c r="V80" s="4280"/>
      <c r="W80" s="4280"/>
      <c r="X80" s="4280"/>
      <c r="Y80" s="4280"/>
      <c r="Z80" s="4280"/>
    </row>
    <row r="81" spans="3:44" s="1263" customFormat="1" ht="24.75" customHeight="1">
      <c r="C81" s="3989">
        <v>48.8</v>
      </c>
      <c r="D81" s="4280"/>
      <c r="E81" s="4280">
        <v>48.6</v>
      </c>
      <c r="F81" s="1545">
        <v>1974</v>
      </c>
      <c r="G81" s="1533" t="s">
        <v>77</v>
      </c>
      <c r="H81" s="1533" t="s">
        <v>77</v>
      </c>
      <c r="I81" s="1533">
        <v>14.044943820224718</v>
      </c>
      <c r="J81" s="1533">
        <v>14.104372355430183</v>
      </c>
      <c r="K81" s="1533">
        <v>7.5757575757575761</v>
      </c>
      <c r="L81" s="1533">
        <v>7.5987841945288759</v>
      </c>
      <c r="M81" s="1533">
        <v>1.3404825737265416</v>
      </c>
      <c r="N81" s="1533">
        <v>1.3513513513513513</v>
      </c>
      <c r="O81" s="1533">
        <v>3.1645569620253164</v>
      </c>
      <c r="P81" s="1543">
        <v>3.1847133757961785</v>
      </c>
      <c r="R81" s="3943"/>
      <c r="S81" s="4280"/>
      <c r="T81" s="4280"/>
      <c r="U81" s="4280"/>
      <c r="V81" s="4280"/>
      <c r="W81" s="4280"/>
      <c r="X81" s="4280"/>
      <c r="Y81" s="4280"/>
      <c r="Z81" s="4280"/>
      <c r="AM81" s="4014"/>
      <c r="AN81" s="4014"/>
      <c r="AO81" s="4014"/>
      <c r="AP81" s="4014"/>
      <c r="AQ81" s="4014"/>
      <c r="AR81" s="4015"/>
    </row>
    <row r="82" spans="3:44" s="1263" customFormat="1" ht="24.75" customHeight="1">
      <c r="C82" s="3989">
        <v>48.5</v>
      </c>
      <c r="D82" s="4280"/>
      <c r="E82" s="4280">
        <v>48.3</v>
      </c>
      <c r="F82" s="1544">
        <v>1975</v>
      </c>
      <c r="G82" s="1541" t="s">
        <v>77</v>
      </c>
      <c r="H82" s="1541" t="s">
        <v>77</v>
      </c>
      <c r="I82" s="1541">
        <v>13.477088948787062</v>
      </c>
      <c r="J82" s="1541">
        <v>13.531799729364003</v>
      </c>
      <c r="K82" s="1541">
        <v>7.9113924050632898</v>
      </c>
      <c r="L82" s="1541">
        <v>7.9365079365079358</v>
      </c>
      <c r="M82" s="1541">
        <v>1.4836795252225521</v>
      </c>
      <c r="N82" s="1541">
        <v>1.4970059880239521</v>
      </c>
      <c r="O82" s="1541">
        <v>3.0211480362537766</v>
      </c>
      <c r="P82" s="1542">
        <v>3.0395136778115504</v>
      </c>
      <c r="R82" s="3943"/>
      <c r="S82" s="4280"/>
      <c r="T82" s="4280"/>
      <c r="U82" s="4280"/>
      <c r="V82" s="4280"/>
      <c r="W82" s="4280"/>
      <c r="X82" s="4280"/>
      <c r="Y82" s="4280"/>
      <c r="Z82" s="4280"/>
      <c r="AM82" s="4014"/>
      <c r="AN82" s="4014"/>
      <c r="AO82" s="4014"/>
      <c r="AP82" s="4014"/>
      <c r="AQ82" s="4014"/>
      <c r="AR82" s="4015"/>
    </row>
    <row r="83" spans="3:44" s="1263" customFormat="1" ht="24.75" customHeight="1">
      <c r="C83" s="3989">
        <v>38.1</v>
      </c>
      <c r="D83" s="4280"/>
      <c r="E83" s="4280">
        <v>37.9</v>
      </c>
      <c r="F83" s="1545">
        <v>1976</v>
      </c>
      <c r="G83" s="1533" t="s">
        <v>77</v>
      </c>
      <c r="H83" s="1533" t="s">
        <v>77</v>
      </c>
      <c r="I83" s="1533">
        <v>14.903129657228019</v>
      </c>
      <c r="J83" s="1533">
        <v>14.970059880239521</v>
      </c>
      <c r="K83" s="1533">
        <v>7.0921985815602833</v>
      </c>
      <c r="L83" s="1533">
        <v>7.1123755334281649</v>
      </c>
      <c r="M83" s="1533">
        <v>1.7513134851138354</v>
      </c>
      <c r="N83" s="1533">
        <v>1.7699115044247788</v>
      </c>
      <c r="O83" s="1533">
        <v>3.0120481927710845</v>
      </c>
      <c r="P83" s="1543">
        <v>3.0303030303030303</v>
      </c>
      <c r="R83" s="3943"/>
      <c r="S83" s="4280"/>
      <c r="T83" s="4280"/>
      <c r="U83" s="4280"/>
      <c r="V83" s="4280"/>
      <c r="W83" s="4280"/>
      <c r="X83" s="4280"/>
      <c r="Y83" s="4280"/>
      <c r="Z83" s="4280"/>
      <c r="AM83" s="4015">
        <v>1972</v>
      </c>
    </row>
    <row r="84" spans="3:44" s="1263" customFormat="1" ht="24.75" customHeight="1">
      <c r="C84" s="3989">
        <v>36.4</v>
      </c>
      <c r="D84" s="4280"/>
      <c r="E84" s="4280">
        <v>36.200000000000003</v>
      </c>
      <c r="F84" s="1544">
        <v>1977</v>
      </c>
      <c r="G84" s="1541" t="s">
        <v>77</v>
      </c>
      <c r="H84" s="1541" t="s">
        <v>77</v>
      </c>
      <c r="I84" s="1541">
        <v>14.836795252225517</v>
      </c>
      <c r="J84" s="1541">
        <v>14.925373134328359</v>
      </c>
      <c r="K84" s="1541">
        <v>6.6225165562913908</v>
      </c>
      <c r="L84" s="1541">
        <v>6.6622251832111923</v>
      </c>
      <c r="M84" s="1541">
        <v>1.6420361247947455</v>
      </c>
      <c r="N84" s="1541">
        <v>1.6528925619834711</v>
      </c>
      <c r="O84" s="1541">
        <v>3.1645569620253164</v>
      </c>
      <c r="P84" s="1542">
        <v>3.1847133757961785</v>
      </c>
      <c r="R84" s="3943"/>
      <c r="S84" s="4280"/>
      <c r="T84" s="4280"/>
      <c r="U84" s="4280"/>
      <c r="V84" s="4280"/>
      <c r="W84" s="4280"/>
      <c r="X84" s="4280"/>
      <c r="Y84" s="4280"/>
      <c r="Z84" s="4280"/>
      <c r="AM84" s="4015">
        <v>1973</v>
      </c>
    </row>
    <row r="85" spans="3:44" s="1263" customFormat="1" ht="24.75" customHeight="1">
      <c r="C85" s="3989">
        <v>35.299999999999997</v>
      </c>
      <c r="D85" s="4280"/>
      <c r="E85" s="4280">
        <v>35.1</v>
      </c>
      <c r="F85" s="1545">
        <v>1978</v>
      </c>
      <c r="G85" s="1533" t="s">
        <v>77</v>
      </c>
      <c r="H85" s="1533" t="s">
        <v>77</v>
      </c>
      <c r="I85" s="1533">
        <v>14.204545454545453</v>
      </c>
      <c r="J85" s="1533">
        <v>14.285714285714285</v>
      </c>
      <c r="K85" s="1533">
        <v>6.1919504643962853</v>
      </c>
      <c r="L85" s="1533">
        <v>6.2305295950155761</v>
      </c>
      <c r="M85" s="1533">
        <v>1.6666666666666667</v>
      </c>
      <c r="N85" s="1533">
        <v>1.6778523489932886</v>
      </c>
      <c r="O85" s="1533">
        <v>3.4013605442176869</v>
      </c>
      <c r="P85" s="1543">
        <v>3.4246575342465753</v>
      </c>
      <c r="R85" s="3943"/>
      <c r="S85" s="4280"/>
      <c r="T85" s="4280"/>
      <c r="U85" s="4280"/>
      <c r="V85" s="4280"/>
      <c r="W85" s="4280"/>
      <c r="X85" s="4280"/>
      <c r="Y85" s="4280"/>
      <c r="Z85" s="4280"/>
      <c r="AM85" s="4015">
        <v>1974</v>
      </c>
    </row>
    <row r="86" spans="3:44" s="1263" customFormat="1" ht="24.75" customHeight="1">
      <c r="C86" s="3989">
        <v>36.700000000000003</v>
      </c>
      <c r="D86" s="4280"/>
      <c r="E86" s="4280">
        <v>36.5</v>
      </c>
      <c r="F86" s="1544">
        <v>1979</v>
      </c>
      <c r="G86" s="1541" t="s">
        <v>77</v>
      </c>
      <c r="H86" s="1541" t="s">
        <v>77</v>
      </c>
      <c r="I86" s="1541">
        <v>13.623978201634875</v>
      </c>
      <c r="J86" s="1541">
        <v>13.698630136986301</v>
      </c>
      <c r="K86" s="1541">
        <v>5.8343057176196034</v>
      </c>
      <c r="L86" s="1541">
        <v>5.868544600938967</v>
      </c>
      <c r="M86" s="1541">
        <v>1.515610791148833</v>
      </c>
      <c r="N86" s="1541">
        <v>1.5248551387618177</v>
      </c>
      <c r="O86" s="1541">
        <v>3.3783783783783785</v>
      </c>
      <c r="P86" s="1542">
        <v>3.4013605442176869</v>
      </c>
      <c r="R86" s="3943"/>
      <c r="S86" s="4280"/>
      <c r="T86" s="4280"/>
      <c r="U86" s="4280"/>
      <c r="V86" s="4280"/>
      <c r="W86" s="4280"/>
      <c r="X86" s="4280"/>
      <c r="Y86" s="4280"/>
      <c r="Z86" s="4280"/>
      <c r="AM86" s="4015">
        <v>1975</v>
      </c>
    </row>
    <row r="87" spans="3:44" s="1263" customFormat="1" ht="24.75" customHeight="1">
      <c r="C87" s="3989">
        <v>33.299999999999997</v>
      </c>
      <c r="D87" s="4280"/>
      <c r="E87" s="4280">
        <v>33.1</v>
      </c>
      <c r="F87" s="1545">
        <v>1980</v>
      </c>
      <c r="G87" s="1533" t="s">
        <v>77</v>
      </c>
      <c r="H87" s="1533" t="s">
        <v>77</v>
      </c>
      <c r="I87" s="1533">
        <v>14.662756598240469</v>
      </c>
      <c r="J87" s="1533">
        <v>14.749262536873156</v>
      </c>
      <c r="K87" s="1533">
        <v>6.345177664974619</v>
      </c>
      <c r="L87" s="1533">
        <v>6.3856960408684547</v>
      </c>
      <c r="M87" s="1533">
        <v>1.3542795232936078</v>
      </c>
      <c r="N87" s="1533">
        <v>1.3623978201634876</v>
      </c>
      <c r="O87" s="1533">
        <v>3.2310177705977385</v>
      </c>
      <c r="P87" s="1543">
        <v>3.2520325203252032</v>
      </c>
      <c r="R87" s="3943"/>
      <c r="S87" s="4280"/>
      <c r="T87" s="4280"/>
      <c r="U87" s="4280"/>
      <c r="V87" s="4280"/>
      <c r="W87" s="4280"/>
      <c r="X87" s="4280"/>
      <c r="Y87" s="4280"/>
      <c r="Z87" s="4280"/>
      <c r="AM87" s="4015">
        <v>1976</v>
      </c>
    </row>
    <row r="88" spans="3:44" s="1263" customFormat="1" ht="24.75" customHeight="1">
      <c r="C88" s="3989">
        <v>28.2</v>
      </c>
      <c r="D88" s="4280"/>
      <c r="E88" s="4280">
        <v>28</v>
      </c>
      <c r="F88" s="1544">
        <v>1981</v>
      </c>
      <c r="G88" s="1541" t="s">
        <v>77</v>
      </c>
      <c r="H88" s="1541" t="s">
        <v>77</v>
      </c>
      <c r="I88" s="1541">
        <v>16.778523489932887</v>
      </c>
      <c r="J88" s="1541">
        <v>16.891891891891888</v>
      </c>
      <c r="K88" s="1541">
        <v>6.6312997347480103</v>
      </c>
      <c r="L88" s="1541">
        <v>6.6711140760507002</v>
      </c>
      <c r="M88" s="1541">
        <v>1.5370427297878881</v>
      </c>
      <c r="N88" s="1541">
        <v>1.5465511908444167</v>
      </c>
      <c r="O88" s="1541">
        <v>2.9411764705882351</v>
      </c>
      <c r="P88" s="1542">
        <v>2.9585798816568047</v>
      </c>
      <c r="R88" s="3943"/>
      <c r="S88" s="3990"/>
      <c r="T88" s="4280"/>
      <c r="U88" s="4280"/>
      <c r="V88" s="4280"/>
      <c r="W88" s="4280"/>
      <c r="X88" s="4280"/>
      <c r="Y88" s="4280"/>
      <c r="Z88" s="4280"/>
      <c r="AM88" s="4015">
        <v>1977</v>
      </c>
    </row>
    <row r="89" spans="3:44" s="1263" customFormat="1" ht="24.75" customHeight="1">
      <c r="C89" s="3989">
        <v>25.9</v>
      </c>
      <c r="D89" s="4280"/>
      <c r="E89" s="4280">
        <v>25.7</v>
      </c>
      <c r="F89" s="1545">
        <v>1982</v>
      </c>
      <c r="G89" s="1533" t="s">
        <v>77</v>
      </c>
      <c r="H89" s="1533" t="s">
        <v>77</v>
      </c>
      <c r="I89" s="1533">
        <v>19.083969465648856</v>
      </c>
      <c r="J89" s="1533">
        <v>19.193857965451055</v>
      </c>
      <c r="K89" s="1533">
        <v>6.7340067340067336</v>
      </c>
      <c r="L89" s="1533">
        <v>6.7750677506775068</v>
      </c>
      <c r="M89" s="1533">
        <v>1.7473353136466889</v>
      </c>
      <c r="N89" s="1533">
        <v>1.7577781683951486</v>
      </c>
      <c r="O89" s="1533">
        <v>2.8368794326241136</v>
      </c>
      <c r="P89" s="1543">
        <v>2.8530670470756063</v>
      </c>
      <c r="R89" s="3943"/>
      <c r="S89" s="4280"/>
      <c r="T89" s="4280"/>
      <c r="U89" s="4280"/>
      <c r="V89" s="4280"/>
      <c r="W89" s="4280"/>
      <c r="X89" s="4280"/>
      <c r="Y89" s="4280"/>
      <c r="Z89" s="4280"/>
      <c r="AM89" s="4015">
        <v>1978</v>
      </c>
    </row>
    <row r="90" spans="3:44" s="1263" customFormat="1" ht="24.75" customHeight="1">
      <c r="C90" s="3989">
        <v>22.5</v>
      </c>
      <c r="D90" s="4280"/>
      <c r="E90" s="4280">
        <v>22.3</v>
      </c>
      <c r="F90" s="1544">
        <v>1983</v>
      </c>
      <c r="G90" s="1541" t="s">
        <v>77</v>
      </c>
      <c r="H90" s="1541" t="s">
        <v>77</v>
      </c>
      <c r="I90" s="1541">
        <v>22.271714922048996</v>
      </c>
      <c r="J90" s="1541">
        <v>22.421524663677129</v>
      </c>
      <c r="K90" s="1541">
        <v>7.3206442166910692</v>
      </c>
      <c r="L90" s="1541">
        <v>7.3637702503681872</v>
      </c>
      <c r="M90" s="1541">
        <v>1.847063169560399</v>
      </c>
      <c r="N90" s="1541">
        <v>1.8580453363062057</v>
      </c>
      <c r="O90" s="1541">
        <v>2.6845637583892614</v>
      </c>
      <c r="P90" s="1542">
        <v>2.6990553306342777</v>
      </c>
      <c r="R90" s="3943"/>
      <c r="S90" s="4280"/>
      <c r="T90" s="4280"/>
      <c r="U90" s="4280"/>
      <c r="V90" s="4280"/>
      <c r="W90" s="4280"/>
      <c r="X90" s="4280"/>
      <c r="Y90" s="4280"/>
      <c r="Z90" s="4280"/>
      <c r="AM90" s="4015">
        <v>1979</v>
      </c>
    </row>
    <row r="91" spans="3:44" s="1263" customFormat="1" ht="24.75" customHeight="1">
      <c r="C91" s="3989">
        <v>21.1</v>
      </c>
      <c r="D91" s="4280"/>
      <c r="E91" s="4280">
        <v>20.9</v>
      </c>
      <c r="F91" s="1545">
        <v>1984</v>
      </c>
      <c r="G91" s="1533" t="s">
        <v>77</v>
      </c>
      <c r="H91" s="1533" t="s">
        <v>77</v>
      </c>
      <c r="I91" s="1533">
        <v>23.584905660377359</v>
      </c>
      <c r="J91" s="1533">
        <v>23.752969121140143</v>
      </c>
      <c r="K91" s="1533">
        <v>7.7399380804953566</v>
      </c>
      <c r="L91" s="1533">
        <v>7.7881619937694708</v>
      </c>
      <c r="M91" s="1533">
        <v>2.1190930281839373</v>
      </c>
      <c r="N91" s="1533">
        <v>2.1321961620469083</v>
      </c>
      <c r="O91" s="1533">
        <v>2.4630541871921183</v>
      </c>
      <c r="P91" s="1543">
        <v>2.4752475247524752</v>
      </c>
      <c r="R91" s="3943"/>
      <c r="S91" s="4280"/>
      <c r="T91" s="4280"/>
      <c r="U91" s="4280"/>
      <c r="V91" s="4280"/>
      <c r="W91" s="4280"/>
      <c r="X91" s="4280"/>
      <c r="Y91" s="4280"/>
      <c r="Z91" s="4280"/>
      <c r="AM91" s="4015">
        <v>1980</v>
      </c>
    </row>
    <row r="92" spans="3:44" s="1263" customFormat="1" ht="24.75" customHeight="1">
      <c r="C92" s="3989">
        <v>22.1</v>
      </c>
      <c r="D92" s="4280"/>
      <c r="E92" s="4280">
        <v>21.8</v>
      </c>
      <c r="F92" s="1544">
        <v>1985</v>
      </c>
      <c r="G92" s="1541" t="s">
        <v>77</v>
      </c>
      <c r="H92" s="1541" t="s">
        <v>77</v>
      </c>
      <c r="I92" s="1541">
        <v>20.449897750511248</v>
      </c>
      <c r="J92" s="1541">
        <v>20.618556701030929</v>
      </c>
      <c r="K92" s="1541">
        <v>6.6489361702127656</v>
      </c>
      <c r="L92" s="1541">
        <v>6.7024128686327078</v>
      </c>
      <c r="M92" s="1541">
        <v>1.8814675446848543</v>
      </c>
      <c r="N92" s="1541">
        <v>1.8964536317087048</v>
      </c>
      <c r="O92" s="1541">
        <v>2.7078256160303273</v>
      </c>
      <c r="P92" s="1542">
        <v>2.7307482250136537</v>
      </c>
      <c r="R92" s="3943"/>
      <c r="S92" s="4280"/>
      <c r="T92" s="4280"/>
      <c r="U92" s="4280"/>
      <c r="V92" s="4280"/>
      <c r="W92" s="4280"/>
      <c r="X92" s="4280"/>
      <c r="Y92" s="4280"/>
      <c r="Z92" s="4280"/>
      <c r="AM92" s="4015">
        <v>1981</v>
      </c>
    </row>
    <row r="93" spans="3:44" s="1263" customFormat="1" ht="24.75" customHeight="1">
      <c r="C93" s="3989">
        <v>25.5</v>
      </c>
      <c r="D93" s="4280"/>
      <c r="E93" s="4280">
        <v>25.3</v>
      </c>
      <c r="F93" s="1545">
        <v>1986</v>
      </c>
      <c r="G93" s="1533" t="s">
        <v>77</v>
      </c>
      <c r="H93" s="1533" t="s">
        <v>77</v>
      </c>
      <c r="I93" s="1533">
        <v>18.656716417910445</v>
      </c>
      <c r="J93" s="1533">
        <v>18.761726078799253</v>
      </c>
      <c r="K93" s="1533">
        <v>5.6433408577878108</v>
      </c>
      <c r="L93" s="1533">
        <v>5.6785917092561045</v>
      </c>
      <c r="M93" s="1533">
        <v>1.9712201852946971</v>
      </c>
      <c r="N93" s="1533">
        <v>1.9829466587348803</v>
      </c>
      <c r="O93" s="1533">
        <v>2.8977108084613152</v>
      </c>
      <c r="P93" s="1543">
        <v>2.914602156805596</v>
      </c>
      <c r="R93" s="3943"/>
      <c r="S93" s="4280"/>
      <c r="T93" s="4280"/>
      <c r="U93" s="4280"/>
      <c r="V93" s="4280"/>
      <c r="W93" s="4280"/>
      <c r="X93" s="4280"/>
      <c r="Y93" s="4280"/>
      <c r="Z93" s="4280"/>
      <c r="AM93" s="4015">
        <v>1982</v>
      </c>
    </row>
    <row r="94" spans="3:44" s="1263" customFormat="1" ht="24.75" customHeight="1">
      <c r="C94" s="3989">
        <v>28.1</v>
      </c>
      <c r="D94" s="4280"/>
      <c r="E94" s="4280">
        <v>27.9</v>
      </c>
      <c r="F94" s="1544">
        <v>1987</v>
      </c>
      <c r="G94" s="1541" t="s">
        <v>77</v>
      </c>
      <c r="H94" s="1541" t="s">
        <v>77</v>
      </c>
      <c r="I94" s="1541">
        <v>16.260162601626018</v>
      </c>
      <c r="J94" s="1541">
        <v>16.366612111292962</v>
      </c>
      <c r="K94" s="1541">
        <v>4.8123195380173245</v>
      </c>
      <c r="L94" s="1541">
        <v>4.8402710551790902</v>
      </c>
      <c r="M94" s="1541">
        <v>1.6178611875101117</v>
      </c>
      <c r="N94" s="1541">
        <v>1.6276041666666667</v>
      </c>
      <c r="O94" s="1541">
        <v>3.0303030303030303</v>
      </c>
      <c r="P94" s="1542">
        <v>3.0487804878048781</v>
      </c>
      <c r="R94" s="3943"/>
      <c r="S94" s="4280"/>
      <c r="T94" s="4280"/>
      <c r="U94" s="4280"/>
      <c r="V94" s="4280"/>
      <c r="W94" s="4280"/>
      <c r="X94" s="4280"/>
      <c r="Y94" s="4280"/>
      <c r="Z94" s="4280"/>
      <c r="AM94" s="4015">
        <v>1983</v>
      </c>
    </row>
    <row r="95" spans="3:44" s="1263" customFormat="1" ht="24.75" customHeight="1">
      <c r="C95" s="3989">
        <v>36.6</v>
      </c>
      <c r="D95" s="4280"/>
      <c r="E95" s="4280">
        <v>36.4</v>
      </c>
      <c r="F95" s="1545">
        <v>1988</v>
      </c>
      <c r="G95" s="1533" t="s">
        <v>77</v>
      </c>
      <c r="H95" s="1533" t="s">
        <v>77</v>
      </c>
      <c r="I95" s="1533">
        <v>12.674271229404308</v>
      </c>
      <c r="J95" s="1533">
        <v>12.738853503184714</v>
      </c>
      <c r="K95" s="1533">
        <v>3.6995930447650753</v>
      </c>
      <c r="L95" s="1533">
        <v>3.7174721189591078</v>
      </c>
      <c r="M95" s="1533">
        <v>1.1579434923575729</v>
      </c>
      <c r="N95" s="1533">
        <v>1.1637379262190155</v>
      </c>
      <c r="O95" s="1533">
        <v>2.0920502092050208</v>
      </c>
      <c r="P95" s="1543">
        <v>2.1008403361344539</v>
      </c>
      <c r="R95" s="3943"/>
      <c r="S95" s="4280"/>
      <c r="T95" s="4280"/>
      <c r="U95" s="4280"/>
      <c r="V95" s="4280"/>
      <c r="W95" s="4280"/>
      <c r="X95" s="4280"/>
      <c r="Y95" s="4280"/>
      <c r="Z95" s="4280"/>
      <c r="AM95" s="4015">
        <v>1984</v>
      </c>
    </row>
    <row r="96" spans="3:44" s="1263" customFormat="1" ht="24.75" customHeight="1">
      <c r="C96" s="3989">
        <v>51.4</v>
      </c>
      <c r="D96" s="4280"/>
      <c r="E96" s="4280">
        <v>50.9</v>
      </c>
      <c r="F96" s="1544">
        <v>1989</v>
      </c>
      <c r="G96" s="1541" t="s">
        <v>77</v>
      </c>
      <c r="H96" s="1541" t="s">
        <v>77</v>
      </c>
      <c r="I96" s="1541">
        <v>8.8731144631765755</v>
      </c>
      <c r="J96" s="1541">
        <v>8.9605734767025105</v>
      </c>
      <c r="K96" s="1541">
        <v>2.595380223202699</v>
      </c>
      <c r="L96" s="1541">
        <v>2.6212319790301444</v>
      </c>
      <c r="M96" s="1541">
        <v>0.9530162965786716</v>
      </c>
      <c r="N96" s="1541">
        <v>0.962556550197324</v>
      </c>
      <c r="O96" s="1541">
        <v>1.5360983102918586</v>
      </c>
      <c r="P96" s="1542">
        <v>1.5503875968992249</v>
      </c>
      <c r="R96" s="3943"/>
      <c r="S96" s="4280"/>
      <c r="T96" s="4280"/>
      <c r="U96" s="4280"/>
      <c r="V96" s="4280"/>
      <c r="W96" s="4280"/>
      <c r="X96" s="4280"/>
      <c r="Y96" s="4280"/>
      <c r="Z96" s="4280"/>
      <c r="AM96" s="4015">
        <v>1985</v>
      </c>
    </row>
    <row r="97" spans="2:39" s="1263" customFormat="1" ht="24.75" customHeight="1">
      <c r="C97" s="3989">
        <v>59.3</v>
      </c>
      <c r="D97" s="4280"/>
      <c r="E97" s="4280">
        <v>58.9</v>
      </c>
      <c r="F97" s="1545">
        <v>1990</v>
      </c>
      <c r="G97" s="1533" t="s">
        <v>77</v>
      </c>
      <c r="H97" s="1533" t="s">
        <v>77</v>
      </c>
      <c r="I97" s="1533">
        <v>7.6511094108645761</v>
      </c>
      <c r="J97" s="1533">
        <v>7.6982294072363349</v>
      </c>
      <c r="K97" s="1533">
        <v>2.2492127755285649</v>
      </c>
      <c r="L97" s="1533">
        <v>2.2629554197782307</v>
      </c>
      <c r="M97" s="1533">
        <v>0.78167747987180491</v>
      </c>
      <c r="N97" s="1533">
        <v>0.78634898167806866</v>
      </c>
      <c r="O97" s="1533">
        <v>1.4992503748125936</v>
      </c>
      <c r="P97" s="1543">
        <v>1.5082956259426847</v>
      </c>
      <c r="R97" s="3943"/>
      <c r="S97" s="4280"/>
      <c r="T97" s="4280"/>
      <c r="U97" s="4280"/>
      <c r="V97" s="4280"/>
      <c r="W97" s="4280"/>
      <c r="X97" s="4280"/>
      <c r="Y97" s="4280"/>
      <c r="Z97" s="4280"/>
      <c r="AM97" s="4015">
        <v>1986</v>
      </c>
    </row>
    <row r="98" spans="2:39" s="1263" customFormat="1" ht="24.75" customHeight="1">
      <c r="C98" s="3989">
        <v>58.9</v>
      </c>
      <c r="D98" s="4280"/>
      <c r="E98" s="4280">
        <v>58.6</v>
      </c>
      <c r="F98" s="1544">
        <v>1991</v>
      </c>
      <c r="G98" s="1541" t="s">
        <v>77</v>
      </c>
      <c r="H98" s="1541" t="s">
        <v>77</v>
      </c>
      <c r="I98" s="1541">
        <v>7.6628352490421454</v>
      </c>
      <c r="J98" s="1541">
        <v>7.6982294072363349</v>
      </c>
      <c r="K98" s="1541">
        <v>2.2426553038797938</v>
      </c>
      <c r="L98" s="1541">
        <v>2.2537750732476898</v>
      </c>
      <c r="M98" s="1541">
        <v>0.78982702788089409</v>
      </c>
      <c r="N98" s="1541">
        <v>0.79377678996666134</v>
      </c>
      <c r="O98" s="1541">
        <v>1.4792899408284024</v>
      </c>
      <c r="P98" s="1542">
        <v>1.4836795252225521</v>
      </c>
      <c r="R98" s="3943"/>
      <c r="S98" s="4280"/>
      <c r="T98" s="4280"/>
      <c r="U98" s="4280"/>
      <c r="V98" s="4280"/>
      <c r="W98" s="4280"/>
      <c r="X98" s="4280"/>
      <c r="Y98" s="4280"/>
      <c r="Z98" s="4280"/>
      <c r="AM98" s="4015">
        <v>1987</v>
      </c>
    </row>
    <row r="99" spans="2:39" s="1263" customFormat="1" ht="24.75" customHeight="1">
      <c r="C99" s="3989">
        <v>47</v>
      </c>
      <c r="D99" s="4280"/>
      <c r="E99" s="4280">
        <v>46.8</v>
      </c>
      <c r="F99" s="1545">
        <v>1992</v>
      </c>
      <c r="G99" s="1533" t="s">
        <v>77</v>
      </c>
      <c r="H99" s="1533" t="s">
        <v>77</v>
      </c>
      <c r="I99" s="1533">
        <v>7.9617834394904454</v>
      </c>
      <c r="J99" s="1533">
        <v>8</v>
      </c>
      <c r="K99" s="1533">
        <v>2.3342670401493932</v>
      </c>
      <c r="L99" s="1533">
        <v>2.345765892563922</v>
      </c>
      <c r="M99" s="1533">
        <v>0.95347063310450042</v>
      </c>
      <c r="N99" s="1533">
        <v>0.9582215408202378</v>
      </c>
      <c r="O99" s="1533">
        <v>1.445086705202312</v>
      </c>
      <c r="P99" s="1543">
        <v>1.4492753623188406</v>
      </c>
      <c r="R99" s="3943"/>
      <c r="S99" s="4280"/>
      <c r="T99" s="4280"/>
      <c r="U99" s="4280"/>
      <c r="V99" s="4280"/>
      <c r="W99" s="4280"/>
      <c r="X99" s="4280"/>
      <c r="Y99" s="4280"/>
      <c r="Z99" s="4280"/>
      <c r="AM99" s="4015">
        <v>1988</v>
      </c>
    </row>
    <row r="100" spans="2:39" s="1263" customFormat="1" ht="24.75" customHeight="1">
      <c r="C100" s="3989">
        <v>41.5</v>
      </c>
      <c r="D100" s="4280"/>
      <c r="E100" s="4280">
        <v>41.3</v>
      </c>
      <c r="F100" s="1544">
        <v>1993</v>
      </c>
      <c r="G100" s="1541">
        <v>1.268</v>
      </c>
      <c r="H100" s="1541">
        <v>1.268</v>
      </c>
      <c r="I100" s="1541">
        <v>8.2987551867219924</v>
      </c>
      <c r="J100" s="1541">
        <v>8.3402835696413682</v>
      </c>
      <c r="K100" s="1541">
        <v>2.4443901246638964</v>
      </c>
      <c r="L100" s="1541">
        <v>2.4563989191844753</v>
      </c>
      <c r="M100" s="1541">
        <v>0.95538358650998367</v>
      </c>
      <c r="N100" s="1541">
        <v>0.9601536245799327</v>
      </c>
      <c r="O100" s="1541">
        <v>1.4184397163120568</v>
      </c>
      <c r="P100" s="1542">
        <v>1.4224751066856332</v>
      </c>
      <c r="R100" s="3943"/>
      <c r="S100" s="4280"/>
      <c r="T100" s="4280"/>
      <c r="U100" s="4280"/>
      <c r="V100" s="4280"/>
      <c r="W100" s="4280"/>
      <c r="X100" s="4280"/>
      <c r="Y100" s="4280"/>
      <c r="Z100" s="4280"/>
      <c r="AM100" s="4015">
        <v>1989</v>
      </c>
    </row>
    <row r="101" spans="2:39" s="1263" customFormat="1" ht="24.75" customHeight="1">
      <c r="C101" s="3989">
        <v>43.4</v>
      </c>
      <c r="D101" s="4280"/>
      <c r="E101" s="4280">
        <v>43.2</v>
      </c>
      <c r="F101" s="1545">
        <v>1994</v>
      </c>
      <c r="G101" s="1533">
        <v>1.1599999999999999</v>
      </c>
      <c r="H101" s="1533">
        <v>1.1599999999999999</v>
      </c>
      <c r="I101" s="1533">
        <v>7.5930144267274118</v>
      </c>
      <c r="J101" s="1533">
        <v>7.6335877862595414</v>
      </c>
      <c r="K101" s="1533">
        <v>2.204585537918871</v>
      </c>
      <c r="L101" s="1533">
        <v>2.2158209616662972</v>
      </c>
      <c r="M101" s="1533">
        <v>0.90834771550549542</v>
      </c>
      <c r="N101" s="1533">
        <v>0.91290852656563803</v>
      </c>
      <c r="O101" s="1533">
        <v>1.4245014245014245</v>
      </c>
      <c r="P101" s="1543">
        <v>1.4285714285714286</v>
      </c>
      <c r="R101" s="1803"/>
      <c r="S101" s="4280"/>
      <c r="T101" s="4280"/>
      <c r="U101" s="4280"/>
      <c r="V101" s="4280"/>
      <c r="W101" s="4280"/>
      <c r="X101" s="4280"/>
      <c r="Y101" s="4280"/>
      <c r="Z101" s="4280"/>
      <c r="AM101" s="4015">
        <v>1990</v>
      </c>
    </row>
    <row r="102" spans="2:39" s="1263" customFormat="1" ht="24.75" customHeight="1">
      <c r="C102" s="4013"/>
      <c r="F102" s="1544">
        <v>1995</v>
      </c>
      <c r="G102" s="1541">
        <v>1.073</v>
      </c>
      <c r="H102" s="1541">
        <v>1.073</v>
      </c>
      <c r="I102" s="1541">
        <v>6.9013112491373363</v>
      </c>
      <c r="J102" s="1541">
        <v>6.934812760055479</v>
      </c>
      <c r="K102" s="1541">
        <v>2.0165355918531964</v>
      </c>
      <c r="L102" s="1541">
        <v>2.0267531414673696</v>
      </c>
      <c r="M102" s="1541">
        <v>0.90694721567204795</v>
      </c>
      <c r="N102" s="1541">
        <v>0.91149393856530858</v>
      </c>
      <c r="O102" s="1541">
        <v>1.4084507042253522</v>
      </c>
      <c r="P102" s="1542">
        <v>1.4124293785310735</v>
      </c>
      <c r="R102" s="1803"/>
      <c r="S102" s="4280"/>
      <c r="T102" s="4280"/>
      <c r="U102" s="4280"/>
      <c r="V102" s="4280"/>
      <c r="W102" s="4280"/>
      <c r="X102" s="4280"/>
      <c r="Y102" s="4280"/>
      <c r="Z102" s="4280"/>
      <c r="AM102" s="4015">
        <v>1991</v>
      </c>
    </row>
    <row r="103" spans="2:39" s="1263" customFormat="1" ht="24.75" customHeight="1">
      <c r="C103" s="4013"/>
      <c r="F103" s="1545">
        <v>1996</v>
      </c>
      <c r="G103" s="1533">
        <v>1.1259999999999999</v>
      </c>
      <c r="H103" s="1533">
        <v>1.1259999999999999</v>
      </c>
      <c r="I103" s="1533">
        <v>7.3691967575534276</v>
      </c>
      <c r="J103" s="1533">
        <v>7.4074074074074074</v>
      </c>
      <c r="K103" s="1533">
        <v>2.1872265966754156</v>
      </c>
      <c r="L103" s="1533">
        <v>2.1982853374367992</v>
      </c>
      <c r="M103" s="1533">
        <v>0.83236224404860992</v>
      </c>
      <c r="N103" s="1533">
        <v>0.83654007026936583</v>
      </c>
      <c r="O103" s="1533">
        <v>1.4084507042253522</v>
      </c>
      <c r="P103" s="1543">
        <v>1.4124293785310735</v>
      </c>
      <c r="R103" s="1803"/>
      <c r="S103" s="4280"/>
      <c r="T103" s="4280"/>
      <c r="U103" s="4280"/>
      <c r="V103" s="4280"/>
      <c r="W103" s="4280"/>
      <c r="X103" s="4280"/>
      <c r="Y103" s="4280"/>
      <c r="Z103" s="4280"/>
      <c r="AM103" s="4015">
        <v>1992</v>
      </c>
    </row>
    <row r="104" spans="2:39" s="1263" customFormat="1" ht="24.75" customHeight="1">
      <c r="C104" s="4013"/>
      <c r="F104" s="1544">
        <v>1997</v>
      </c>
      <c r="G104" s="1541">
        <v>1.274</v>
      </c>
      <c r="H104" s="1541">
        <v>1.28</v>
      </c>
      <c r="I104" s="1541">
        <v>8.4175084175084169</v>
      </c>
      <c r="J104" s="1541">
        <v>8.4610000000000003</v>
      </c>
      <c r="K104" s="1541">
        <v>2.5169896803423106</v>
      </c>
      <c r="L104" s="1541">
        <v>2.5297242600556538</v>
      </c>
      <c r="M104" s="1541">
        <v>0.84832032575500516</v>
      </c>
      <c r="N104" s="1541">
        <v>0.85258760337624684</v>
      </c>
      <c r="O104" s="1541">
        <v>1.4084507042253522</v>
      </c>
      <c r="P104" s="1542">
        <v>1.4124293785310735</v>
      </c>
      <c r="R104" s="1803"/>
      <c r="S104" s="4280"/>
      <c r="T104" s="4280"/>
      <c r="U104" s="4280"/>
      <c r="V104" s="4280"/>
      <c r="W104" s="4280"/>
      <c r="X104" s="4280"/>
      <c r="Y104" s="4280"/>
      <c r="Z104" s="4280"/>
      <c r="AM104" s="4015">
        <v>1993</v>
      </c>
    </row>
    <row r="105" spans="2:39" s="1263" customFormat="1" ht="24.75" customHeight="1">
      <c r="C105" s="4016"/>
      <c r="D105" s="4017"/>
      <c r="E105" s="4017"/>
      <c r="F105" s="1545">
        <v>1998</v>
      </c>
      <c r="G105" s="1533">
        <v>1.2050000000000001</v>
      </c>
      <c r="H105" s="1533">
        <v>1.2110000000000001</v>
      </c>
      <c r="I105" s="1533">
        <v>7.9240000000000004</v>
      </c>
      <c r="J105" s="1533">
        <v>7.9619999999999997</v>
      </c>
      <c r="K105" s="1533">
        <v>2.363</v>
      </c>
      <c r="L105" s="1533">
        <v>2.375</v>
      </c>
      <c r="M105" s="1533">
        <v>0.84499999999999997</v>
      </c>
      <c r="N105" s="1533">
        <v>0.84899999999999998</v>
      </c>
      <c r="O105" s="1533">
        <v>1.4084507042253522</v>
      </c>
      <c r="P105" s="1543">
        <v>1.4124293785310735</v>
      </c>
      <c r="R105" s="4257"/>
      <c r="S105" s="3677"/>
      <c r="T105" s="3677"/>
      <c r="U105" s="3677"/>
      <c r="V105" s="4280"/>
      <c r="W105" s="4280"/>
      <c r="X105" s="4280"/>
      <c r="Y105" s="4280"/>
      <c r="Z105" s="4280"/>
      <c r="AM105" s="4015">
        <v>1994</v>
      </c>
    </row>
    <row r="106" spans="2:39" s="1348" customFormat="1" ht="24.75" customHeight="1">
      <c r="B106" s="1263"/>
      <c r="F106" s="1544">
        <v>1999</v>
      </c>
      <c r="G106" s="1541">
        <v>1.397</v>
      </c>
      <c r="H106" s="1541">
        <v>1.4039999999999999</v>
      </c>
      <c r="I106" s="1541">
        <v>9.1660000000000004</v>
      </c>
      <c r="J106" s="1541">
        <v>9.2119999999999997</v>
      </c>
      <c r="K106" s="1541">
        <v>2.7330000000000001</v>
      </c>
      <c r="L106" s="1541">
        <v>2.7469999999999999</v>
      </c>
      <c r="M106" s="1541">
        <v>0.86899999999999999</v>
      </c>
      <c r="N106" s="1541">
        <v>0.873</v>
      </c>
      <c r="O106" s="1541">
        <v>1.4084507042253522</v>
      </c>
      <c r="P106" s="1542">
        <v>1.4124293785310735</v>
      </c>
      <c r="R106" s="4018"/>
      <c r="S106" s="1263"/>
      <c r="T106" s="1263"/>
      <c r="U106" s="1263"/>
      <c r="V106" s="1263"/>
      <c r="W106" s="4014"/>
      <c r="X106" s="4014"/>
      <c r="Y106" s="4014"/>
      <c r="Z106" s="4014"/>
      <c r="AM106" s="4015">
        <v>1995</v>
      </c>
    </row>
    <row r="107" spans="2:39" s="1348" customFormat="1" ht="24.75" customHeight="1">
      <c r="B107" s="1263"/>
      <c r="C107" s="1263"/>
      <c r="D107" s="1263"/>
      <c r="E107" s="1263"/>
      <c r="F107" s="1545">
        <v>2000</v>
      </c>
      <c r="G107" s="1533">
        <v>1.5229999999999999</v>
      </c>
      <c r="H107" s="1533">
        <v>1.5309999999999999</v>
      </c>
      <c r="I107" s="1533">
        <v>9.9930000000000003</v>
      </c>
      <c r="J107" s="1533">
        <v>10.042999999999999</v>
      </c>
      <c r="K107" s="1533">
        <v>2.9790000000000001</v>
      </c>
      <c r="L107" s="1533">
        <v>2.9940000000000002</v>
      </c>
      <c r="M107" s="1533">
        <v>0.95599999999999996</v>
      </c>
      <c r="N107" s="1533">
        <v>0.96099999999999997</v>
      </c>
      <c r="O107" s="1533">
        <v>1.4084507042253522</v>
      </c>
      <c r="P107" s="1543">
        <v>1.4124293785310735</v>
      </c>
      <c r="R107" s="3943"/>
      <c r="S107" s="1263"/>
      <c r="T107" s="4019"/>
      <c r="U107" s="4019"/>
      <c r="V107" s="4019"/>
      <c r="W107" s="4019"/>
      <c r="X107" s="4019"/>
      <c r="Y107" s="1263"/>
      <c r="Z107" s="4020"/>
      <c r="AM107" s="4015">
        <v>1996</v>
      </c>
    </row>
    <row r="108" spans="2:39" s="1263" customFormat="1" ht="24.75" customHeight="1">
      <c r="C108" s="4280">
        <v>40.4</v>
      </c>
      <c r="D108" s="4280"/>
      <c r="E108" s="4280">
        <v>40.200000000000003</v>
      </c>
      <c r="F108" s="1544">
        <v>2001</v>
      </c>
      <c r="G108" s="1541">
        <v>1.589</v>
      </c>
      <c r="H108" s="1541">
        <v>1.597</v>
      </c>
      <c r="I108" s="1541">
        <v>10.42</v>
      </c>
      <c r="J108" s="1541">
        <v>10.472</v>
      </c>
      <c r="K108" s="1541">
        <v>3.1070000000000002</v>
      </c>
      <c r="L108" s="1541">
        <v>3.1230000000000002</v>
      </c>
      <c r="M108" s="1541">
        <v>0.97</v>
      </c>
      <c r="N108" s="1541">
        <v>0.97399999999999998</v>
      </c>
      <c r="O108" s="1541">
        <v>1.4084507042253522</v>
      </c>
      <c r="P108" s="1542">
        <v>1.4124293785310735</v>
      </c>
      <c r="T108" s="4019"/>
      <c r="U108" s="4019"/>
      <c r="V108" s="4019"/>
      <c r="W108" s="4019"/>
      <c r="X108" s="4019"/>
      <c r="Z108" s="4020"/>
      <c r="AM108" s="4015">
        <v>1997</v>
      </c>
    </row>
    <row r="109" spans="2:39" s="1263" customFormat="1" ht="24.75" customHeight="1">
      <c r="C109" s="4280">
        <v>46.5</v>
      </c>
      <c r="D109" s="4280"/>
      <c r="E109" s="4280">
        <v>46.3</v>
      </c>
      <c r="F109" s="1545">
        <v>2002</v>
      </c>
      <c r="G109" s="1533">
        <v>1.3420000000000001</v>
      </c>
      <c r="H109" s="1533">
        <v>1.3480000000000001</v>
      </c>
      <c r="I109" s="1533" t="s">
        <v>77</v>
      </c>
      <c r="J109" s="1533" t="s">
        <v>77</v>
      </c>
      <c r="K109" s="1533" t="s">
        <v>77</v>
      </c>
      <c r="L109" s="1533" t="s">
        <v>77</v>
      </c>
      <c r="M109" s="1533">
        <v>0.877</v>
      </c>
      <c r="N109" s="1533">
        <v>0.88200000000000001</v>
      </c>
      <c r="O109" s="1533">
        <v>1.4084507042253522</v>
      </c>
      <c r="P109" s="1543">
        <v>1.4124293785310735</v>
      </c>
      <c r="T109" s="4019"/>
      <c r="U109" s="4019"/>
      <c r="V109" s="4019"/>
      <c r="W109" s="4019"/>
      <c r="X109" s="4019"/>
      <c r="Z109" s="4020"/>
      <c r="AM109" s="4021"/>
    </row>
    <row r="110" spans="2:39" s="2089" customFormat="1" ht="24.75" customHeight="1">
      <c r="C110" s="3677">
        <v>44.8</v>
      </c>
      <c r="D110" s="3677"/>
      <c r="E110" s="3677">
        <v>44.6</v>
      </c>
      <c r="F110" s="1544">
        <v>2003</v>
      </c>
      <c r="G110" s="1541">
        <v>1.119</v>
      </c>
      <c r="H110" s="1541">
        <v>1.125</v>
      </c>
      <c r="I110" s="1541" t="s">
        <v>77</v>
      </c>
      <c r="J110" s="1541" t="s">
        <v>77</v>
      </c>
      <c r="K110" s="1541" t="s">
        <v>77</v>
      </c>
      <c r="L110" s="1541" t="s">
        <v>77</v>
      </c>
      <c r="M110" s="1541">
        <v>0.79</v>
      </c>
      <c r="N110" s="1541">
        <v>0.79400000000000004</v>
      </c>
      <c r="O110" s="1541">
        <v>1.4084507042253522</v>
      </c>
      <c r="P110" s="1542">
        <v>1.4124293785310735</v>
      </c>
      <c r="T110" s="4022"/>
      <c r="U110" s="4022"/>
      <c r="V110" s="4022"/>
      <c r="W110" s="4022"/>
      <c r="X110" s="4022"/>
      <c r="Z110" s="4023"/>
    </row>
    <row r="111" spans="2:39" s="4257" customFormat="1" ht="24.75" customHeight="1">
      <c r="C111" s="4259"/>
      <c r="D111" s="4259"/>
      <c r="E111" s="4259"/>
      <c r="F111" s="1545">
        <v>2004</v>
      </c>
      <c r="G111" s="1533">
        <v>1.032</v>
      </c>
      <c r="H111" s="1533">
        <v>1.038</v>
      </c>
      <c r="I111" s="1533" t="s">
        <v>77</v>
      </c>
      <c r="J111" s="1533" t="s">
        <v>77</v>
      </c>
      <c r="K111" s="1533" t="s">
        <v>77</v>
      </c>
      <c r="L111" s="1533" t="s">
        <v>77</v>
      </c>
      <c r="M111" s="1533">
        <v>0.73299999999999998</v>
      </c>
      <c r="N111" s="1533">
        <v>0.73699999999999999</v>
      </c>
      <c r="O111" s="1533">
        <v>1.4079999999999999</v>
      </c>
      <c r="P111" s="1543">
        <v>1.4119999999999999</v>
      </c>
      <c r="T111" s="4024"/>
      <c r="U111" s="4024"/>
      <c r="V111" s="4024"/>
      <c r="W111" s="4024"/>
      <c r="X111" s="4024"/>
      <c r="Z111" s="4025"/>
    </row>
    <row r="112" spans="2:39" s="4257" customFormat="1" ht="24.75" customHeight="1">
      <c r="C112" s="4259"/>
      <c r="D112" s="4259"/>
      <c r="E112" s="4259"/>
      <c r="F112" s="1544">
        <v>2005</v>
      </c>
      <c r="G112" s="1541">
        <v>1.1870000000000001</v>
      </c>
      <c r="H112" s="1541">
        <v>1.1919999999999999</v>
      </c>
      <c r="I112" s="1541" t="s">
        <v>77</v>
      </c>
      <c r="J112" s="1541" t="s">
        <v>77</v>
      </c>
      <c r="K112" s="1541" t="s">
        <v>77</v>
      </c>
      <c r="L112" s="1541" t="s">
        <v>77</v>
      </c>
      <c r="M112" s="1541">
        <v>0.81599999999999995</v>
      </c>
      <c r="N112" s="1541">
        <v>0.82</v>
      </c>
      <c r="O112" s="1541">
        <v>1.4084507042253522</v>
      </c>
      <c r="P112" s="1542">
        <v>1.4124293785310735</v>
      </c>
      <c r="T112" s="4024"/>
      <c r="U112" s="4024"/>
      <c r="V112" s="4024"/>
      <c r="W112" s="4024"/>
      <c r="X112" s="4024"/>
      <c r="Z112" s="4025"/>
    </row>
    <row r="113" spans="2:26" s="4257" customFormat="1" ht="24.75" customHeight="1">
      <c r="C113" s="4259"/>
      <c r="D113" s="4259"/>
      <c r="E113" s="4259"/>
      <c r="F113" s="1545">
        <v>2006</v>
      </c>
      <c r="G113" s="1533">
        <v>1.0720000000000001</v>
      </c>
      <c r="H113" s="1533">
        <v>1.077</v>
      </c>
      <c r="I113" s="1533" t="s">
        <v>77</v>
      </c>
      <c r="J113" s="1533" t="s">
        <v>77</v>
      </c>
      <c r="K113" s="1533" t="s">
        <v>77</v>
      </c>
      <c r="L113" s="1533" t="s">
        <v>77</v>
      </c>
      <c r="M113" s="1533">
        <v>0.71799999999999997</v>
      </c>
      <c r="N113" s="1533">
        <v>0.72199999999999998</v>
      </c>
      <c r="O113" s="1533">
        <v>1.4084507042253522</v>
      </c>
      <c r="P113" s="1543">
        <v>1.4124293785310735</v>
      </c>
      <c r="T113" s="4024"/>
      <c r="U113" s="4024"/>
      <c r="V113" s="4024"/>
      <c r="W113" s="4024"/>
      <c r="X113" s="4024"/>
      <c r="Z113" s="4025"/>
    </row>
    <row r="114" spans="2:26" s="4257" customFormat="1" ht="24.75" customHeight="1">
      <c r="C114" s="4259"/>
      <c r="D114" s="4259"/>
      <c r="E114" s="4259"/>
      <c r="F114" s="1544">
        <v>2007</v>
      </c>
      <c r="G114" s="1541">
        <v>0.95399999999999996</v>
      </c>
      <c r="H114" s="1541">
        <v>0.95899999999999996</v>
      </c>
      <c r="I114" s="1541" t="s">
        <v>77</v>
      </c>
      <c r="J114" s="1541" t="s">
        <v>77</v>
      </c>
      <c r="K114" s="1541" t="s">
        <v>77</v>
      </c>
      <c r="L114" s="1541" t="s">
        <v>77</v>
      </c>
      <c r="M114" s="1541">
        <v>0.70399999999999996</v>
      </c>
      <c r="N114" s="1541">
        <v>0.70799999999999996</v>
      </c>
      <c r="O114" s="1541">
        <v>1.4084507042253522</v>
      </c>
      <c r="P114" s="1542">
        <v>1.4124293785310735</v>
      </c>
      <c r="T114" s="4024"/>
      <c r="U114" s="4024"/>
      <c r="V114" s="4024"/>
      <c r="W114" s="4024"/>
      <c r="X114" s="4024"/>
      <c r="Z114" s="4025"/>
    </row>
    <row r="115" spans="2:26" s="4257" customFormat="1" ht="24.75" customHeight="1">
      <c r="C115" s="4259"/>
      <c r="D115" s="4259"/>
      <c r="E115" s="4259"/>
      <c r="F115" s="1545">
        <v>2008</v>
      </c>
      <c r="G115" s="1533">
        <v>0.999</v>
      </c>
      <c r="H115" s="1533">
        <v>1.004</v>
      </c>
      <c r="I115" s="1533" t="s">
        <v>77</v>
      </c>
      <c r="J115" s="1533" t="s">
        <v>77</v>
      </c>
      <c r="K115" s="1533" t="s">
        <v>77</v>
      </c>
      <c r="L115" s="1533" t="s">
        <v>77</v>
      </c>
      <c r="M115" s="1533">
        <v>0.97399999999999998</v>
      </c>
      <c r="N115" s="1533">
        <v>0.97899999999999998</v>
      </c>
      <c r="O115" s="1533">
        <v>1.4079999999999999</v>
      </c>
      <c r="P115" s="1543">
        <v>1.4119999999999999</v>
      </c>
      <c r="T115" s="3991"/>
      <c r="U115" s="4024"/>
      <c r="V115" s="4024"/>
      <c r="W115" s="4024"/>
      <c r="X115" s="4024"/>
      <c r="Z115" s="4025"/>
    </row>
    <row r="116" spans="2:26" s="4257" customFormat="1" ht="24.75" customHeight="1">
      <c r="C116" s="4259"/>
      <c r="D116" s="4259"/>
      <c r="E116" s="4259"/>
      <c r="F116" s="1544">
        <v>2009</v>
      </c>
      <c r="G116" s="1541">
        <v>0.97899999999999998</v>
      </c>
      <c r="H116" s="1541">
        <v>0.98399999999999999</v>
      </c>
      <c r="I116" s="1541" t="s">
        <v>77</v>
      </c>
      <c r="J116" s="1541" t="s">
        <v>77</v>
      </c>
      <c r="K116" s="1541" t="s">
        <v>77</v>
      </c>
      <c r="L116" s="1541" t="s">
        <v>77</v>
      </c>
      <c r="M116" s="1541">
        <v>0.875</v>
      </c>
      <c r="N116" s="1541">
        <v>0.879</v>
      </c>
      <c r="O116" s="1541">
        <v>1.4079999999999999</v>
      </c>
      <c r="P116" s="1542">
        <v>1.4119999999999999</v>
      </c>
      <c r="R116" s="4024"/>
      <c r="S116" s="3991"/>
      <c r="T116" s="3991"/>
      <c r="V116" s="4024"/>
      <c r="W116" s="4024"/>
      <c r="X116" s="4024"/>
      <c r="Z116" s="4025"/>
    </row>
    <row r="117" spans="2:26" s="4257" customFormat="1" ht="24.75" customHeight="1">
      <c r="C117" s="4259"/>
      <c r="D117" s="4259"/>
      <c r="E117" s="4259"/>
      <c r="F117" s="1545">
        <v>2010</v>
      </c>
      <c r="G117" s="1533">
        <v>1.0629999999999999</v>
      </c>
      <c r="H117" s="1533">
        <v>1.0680000000000001</v>
      </c>
      <c r="I117" s="1533" t="s">
        <v>77</v>
      </c>
      <c r="J117" s="1533" t="s">
        <v>77</v>
      </c>
      <c r="K117" s="1533" t="s">
        <v>77</v>
      </c>
      <c r="L117" s="1533" t="s">
        <v>77</v>
      </c>
      <c r="M117" s="1533">
        <v>0.90700000000000003</v>
      </c>
      <c r="N117" s="1533">
        <v>0.91100000000000003</v>
      </c>
      <c r="O117" s="1533">
        <v>1.4079999999999999</v>
      </c>
      <c r="P117" s="1543">
        <v>1.4119999999999999</v>
      </c>
      <c r="R117" s="4024"/>
      <c r="S117" s="3991"/>
      <c r="T117" s="3991"/>
      <c r="V117" s="4024"/>
      <c r="W117" s="4024"/>
      <c r="X117" s="4024"/>
      <c r="Z117" s="4025"/>
    </row>
    <row r="118" spans="2:26" s="4257" customFormat="1" ht="24.75" customHeight="1">
      <c r="C118" s="4259"/>
      <c r="D118" s="4259"/>
      <c r="E118" s="4259"/>
      <c r="F118" s="1544">
        <v>2011</v>
      </c>
      <c r="G118" s="1541">
        <v>1.0880000000000001</v>
      </c>
      <c r="H118" s="1541">
        <v>1.0940000000000001</v>
      </c>
      <c r="I118" s="1541" t="s">
        <v>77</v>
      </c>
      <c r="J118" s="1541" t="s">
        <v>77</v>
      </c>
      <c r="K118" s="1541" t="s">
        <v>77</v>
      </c>
      <c r="L118" s="1541" t="s">
        <v>77</v>
      </c>
      <c r="M118" s="1541">
        <v>0.91</v>
      </c>
      <c r="N118" s="1541">
        <v>0.91500000000000004</v>
      </c>
      <c r="O118" s="1541">
        <v>1.4079999999999999</v>
      </c>
      <c r="P118" s="1542">
        <v>1.4119999999999999</v>
      </c>
      <c r="R118" s="4024"/>
      <c r="S118" s="3991"/>
      <c r="T118" s="3991"/>
      <c r="V118" s="4024"/>
      <c r="W118" s="4024"/>
      <c r="X118" s="4024"/>
      <c r="Z118" s="4025"/>
    </row>
    <row r="119" spans="2:26" s="4257" customFormat="1" ht="24.75" customHeight="1">
      <c r="C119" s="4259"/>
      <c r="D119" s="4259"/>
      <c r="E119" s="4259"/>
      <c r="F119" s="1545">
        <v>2012</v>
      </c>
      <c r="G119" s="1533">
        <v>1.0660000000000001</v>
      </c>
      <c r="H119" s="1533">
        <v>1.0720000000000001</v>
      </c>
      <c r="I119" s="1533" t="s">
        <v>77</v>
      </c>
      <c r="J119" s="1533" t="s">
        <v>77</v>
      </c>
      <c r="K119" s="1533" t="s">
        <v>77</v>
      </c>
      <c r="L119" s="1533" t="s">
        <v>77</v>
      </c>
      <c r="M119" s="1533">
        <v>0.871</v>
      </c>
      <c r="N119" s="1533">
        <v>0.875</v>
      </c>
      <c r="O119" s="1533">
        <v>1.4079999999999999</v>
      </c>
      <c r="P119" s="1543">
        <v>1.4119999999999999</v>
      </c>
      <c r="R119" s="4024"/>
      <c r="S119" s="3991"/>
      <c r="T119" s="3991"/>
      <c r="V119" s="4024"/>
      <c r="W119" s="4024"/>
      <c r="X119" s="4024"/>
      <c r="Z119" s="4025"/>
    </row>
    <row r="120" spans="2:26" s="4257" customFormat="1" ht="24.75" customHeight="1">
      <c r="C120" s="4259"/>
      <c r="D120" s="4259"/>
      <c r="E120" s="4259"/>
      <c r="F120" s="1544">
        <v>2013</v>
      </c>
      <c r="G120" s="1541">
        <v>1.02</v>
      </c>
      <c r="H120" s="1541">
        <v>1.0249999999999999</v>
      </c>
      <c r="I120" s="1541" t="s">
        <v>77</v>
      </c>
      <c r="J120" s="1541" t="s">
        <v>77</v>
      </c>
      <c r="K120" s="1541" t="s">
        <v>77</v>
      </c>
      <c r="L120" s="1541" t="s">
        <v>77</v>
      </c>
      <c r="M120" s="1541">
        <v>0.85399999999999998</v>
      </c>
      <c r="N120" s="1541">
        <v>0.85799999999999998</v>
      </c>
      <c r="O120" s="1541">
        <v>1.4079999999999999</v>
      </c>
      <c r="P120" s="1542">
        <v>1.4119999999999999</v>
      </c>
      <c r="R120" s="4024"/>
      <c r="S120" s="3991"/>
      <c r="T120" s="3991"/>
      <c r="V120" s="4024"/>
      <c r="W120" s="4024"/>
      <c r="X120" s="4024"/>
      <c r="Z120" s="4025"/>
    </row>
    <row r="121" spans="2:26" s="4257" customFormat="1" ht="24.75" customHeight="1">
      <c r="C121" s="4259"/>
      <c r="D121" s="4259"/>
      <c r="E121" s="4259"/>
      <c r="F121" s="1545">
        <v>2014</v>
      </c>
      <c r="G121" s="1533">
        <v>1.157</v>
      </c>
      <c r="H121" s="1533">
        <v>1.163</v>
      </c>
      <c r="I121" s="1533" t="s">
        <v>77</v>
      </c>
      <c r="J121" s="1533" t="s">
        <v>77</v>
      </c>
      <c r="K121" s="1533" t="s">
        <v>77</v>
      </c>
      <c r="L121" s="1533" t="s">
        <v>77</v>
      </c>
      <c r="M121" s="1533">
        <v>0.90400000000000003</v>
      </c>
      <c r="N121" s="1533">
        <v>0.90900000000000003</v>
      </c>
      <c r="O121" s="1533">
        <v>1.4079999999999999</v>
      </c>
      <c r="P121" s="1533">
        <v>1.4119999999999999</v>
      </c>
      <c r="R121" s="4024"/>
      <c r="S121" s="3991"/>
      <c r="T121" s="3991"/>
      <c r="V121" s="4024"/>
      <c r="W121" s="4024"/>
      <c r="X121" s="4024"/>
      <c r="Z121" s="4025"/>
    </row>
    <row r="122" spans="2:26" s="3943" customFormat="1" ht="24.75" customHeight="1">
      <c r="B122" s="3991"/>
      <c r="C122" s="3994"/>
      <c r="D122" s="3995"/>
      <c r="E122" s="3995"/>
      <c r="F122" s="1340">
        <v>2015</v>
      </c>
      <c r="G122" s="1541">
        <v>1.2877968371709678</v>
      </c>
      <c r="H122" s="1541">
        <v>1.2942470717660002</v>
      </c>
      <c r="I122" s="1541" t="s">
        <v>77</v>
      </c>
      <c r="J122" s="1541" t="s">
        <v>77</v>
      </c>
      <c r="K122" s="1541" t="s">
        <v>77</v>
      </c>
      <c r="L122" s="1541" t="s">
        <v>77</v>
      </c>
      <c r="M122" s="1541">
        <v>0.94908176339391626</v>
      </c>
      <c r="N122" s="1541">
        <v>0.95384351243335008</v>
      </c>
      <c r="O122" s="1542">
        <v>1.4079999999999999</v>
      </c>
      <c r="P122" s="4163">
        <v>1.4119999999999999</v>
      </c>
      <c r="S122" s="3993"/>
      <c r="T122" s="2865"/>
      <c r="V122" s="2865"/>
      <c r="W122" s="2865"/>
      <c r="X122" s="2865"/>
      <c r="Y122" s="2865"/>
      <c r="Z122" s="2865"/>
    </row>
    <row r="123" spans="2:26" s="4257" customFormat="1" ht="24.75" customHeight="1">
      <c r="C123" s="4259"/>
      <c r="D123" s="4259"/>
      <c r="E123" s="4259"/>
      <c r="F123" s="1545">
        <v>2016</v>
      </c>
      <c r="G123" s="1533">
        <v>1.3449899125756557</v>
      </c>
      <c r="H123" s="1533">
        <v>1.3517166801838334</v>
      </c>
      <c r="I123" s="1533" t="s">
        <v>77</v>
      </c>
      <c r="J123" s="1533" t="s">
        <v>77</v>
      </c>
      <c r="K123" s="1533" t="s">
        <v>77</v>
      </c>
      <c r="L123" s="1533" t="s">
        <v>77</v>
      </c>
      <c r="M123" s="1533">
        <v>1.1489762621504238</v>
      </c>
      <c r="N123" s="1533">
        <v>1.1547344110854503</v>
      </c>
      <c r="O123" s="1533">
        <v>1.4079999999999999</v>
      </c>
      <c r="P123" s="1533">
        <v>1.4119999999999999</v>
      </c>
      <c r="R123" s="4024"/>
      <c r="S123" s="3991"/>
      <c r="T123" s="3991"/>
      <c r="V123" s="4024"/>
      <c r="W123" s="4024"/>
      <c r="X123" s="4024"/>
      <c r="Z123" s="4025"/>
    </row>
    <row r="124" spans="2:26" s="3943" customFormat="1" ht="24.75" customHeight="1">
      <c r="B124" s="3991"/>
      <c r="C124" s="3994"/>
      <c r="D124" s="3995"/>
      <c r="E124" s="3995"/>
      <c r="F124" s="1340">
        <v>2017</v>
      </c>
      <c r="G124" s="1541">
        <v>1.1719999999999999</v>
      </c>
      <c r="H124" s="1541">
        <v>1.1779999999999999</v>
      </c>
      <c r="I124" s="1541" t="s">
        <v>77</v>
      </c>
      <c r="J124" s="1541" t="s">
        <v>77</v>
      </c>
      <c r="K124" s="1541" t="s">
        <v>77</v>
      </c>
      <c r="L124" s="1541" t="s">
        <v>77</v>
      </c>
      <c r="M124" s="1541">
        <v>1.0409999999999999</v>
      </c>
      <c r="N124" s="1541">
        <v>1.046</v>
      </c>
      <c r="O124" s="1542">
        <v>1.4079999999999999</v>
      </c>
      <c r="P124" s="4163">
        <v>1.4119999999999999</v>
      </c>
      <c r="S124" s="3993"/>
      <c r="T124" s="2865"/>
      <c r="V124" s="2865"/>
      <c r="W124" s="2865"/>
      <c r="X124" s="2865"/>
      <c r="Y124" s="2865"/>
      <c r="Z124" s="2865"/>
    </row>
    <row r="125" spans="2:26" s="3943" customFormat="1" ht="24.75" customHeight="1">
      <c r="B125" s="3991"/>
      <c r="C125" s="3994"/>
      <c r="D125" s="3995"/>
      <c r="E125" s="3995"/>
      <c r="F125" s="1545">
        <v>2018</v>
      </c>
      <c r="G125" s="1533">
        <v>1.2310000000000001</v>
      </c>
      <c r="H125" s="1533">
        <v>1.2370000000000001</v>
      </c>
      <c r="I125" s="1533" t="s">
        <v>77</v>
      </c>
      <c r="J125" s="1533" t="s">
        <v>77</v>
      </c>
      <c r="K125" s="1533" t="s">
        <v>77</v>
      </c>
      <c r="L125" s="1533" t="s">
        <v>77</v>
      </c>
      <c r="M125" s="1533">
        <v>1.109</v>
      </c>
      <c r="N125" s="1533">
        <v>1.1140000000000001</v>
      </c>
      <c r="O125" s="1533">
        <v>1.4079999999999999</v>
      </c>
      <c r="P125" s="1533">
        <v>1.4119999999999999</v>
      </c>
      <c r="S125" s="3993"/>
      <c r="T125" s="2865"/>
      <c r="V125" s="2865"/>
      <c r="W125" s="2865"/>
      <c r="X125" s="2865"/>
      <c r="Y125" s="2865"/>
      <c r="Z125" s="2865"/>
    </row>
    <row r="126" spans="2:26" s="3943" customFormat="1" ht="24.75" customHeight="1">
      <c r="B126" s="3991"/>
      <c r="C126" s="2600"/>
      <c r="D126" s="3995"/>
      <c r="E126" s="3995"/>
      <c r="F126" s="1340">
        <v>2019</v>
      </c>
      <c r="G126" s="1541">
        <v>1.2549999999999999</v>
      </c>
      <c r="H126" s="1541">
        <v>1.2609999999999999</v>
      </c>
      <c r="I126" s="1541" t="s">
        <v>77</v>
      </c>
      <c r="J126" s="1541" t="s">
        <v>77</v>
      </c>
      <c r="K126" s="1541" t="s">
        <v>77</v>
      </c>
      <c r="L126" s="1541" t="s">
        <v>77</v>
      </c>
      <c r="M126" s="1541">
        <v>1.073</v>
      </c>
      <c r="N126" s="1541">
        <v>1.0780000000000001</v>
      </c>
      <c r="O126" s="1542">
        <v>1.4079999999999999</v>
      </c>
      <c r="P126" s="4163">
        <v>1.4119999999999999</v>
      </c>
      <c r="S126" s="3993"/>
      <c r="T126" s="2865"/>
      <c r="V126" s="2865"/>
      <c r="W126" s="2865"/>
      <c r="X126" s="2865"/>
      <c r="Y126" s="2865"/>
      <c r="Z126" s="2865"/>
    </row>
    <row r="127" spans="2:26" s="3943" customFormat="1" ht="24.75" customHeight="1">
      <c r="B127" s="3991"/>
      <c r="C127" s="2600"/>
      <c r="D127" s="3995"/>
      <c r="E127" s="3995"/>
      <c r="F127" s="4343">
        <v>2020</v>
      </c>
      <c r="G127" s="3996">
        <v>1.1448196908986834</v>
      </c>
      <c r="H127" s="3996">
        <v>1.1505493873324513</v>
      </c>
      <c r="I127" s="3996" t="s">
        <v>77</v>
      </c>
      <c r="J127" s="3996" t="s">
        <v>77</v>
      </c>
      <c r="K127" s="3996" t="s">
        <v>77</v>
      </c>
      <c r="L127" s="3996" t="s">
        <v>77</v>
      </c>
      <c r="M127" s="3996">
        <v>1.0325671684943105</v>
      </c>
      <c r="N127" s="3996">
        <v>1.0377427020744479</v>
      </c>
      <c r="O127" s="3996">
        <v>1.4079999999999999</v>
      </c>
      <c r="P127" s="3996">
        <v>1.4119999999999999</v>
      </c>
      <c r="S127" s="3993"/>
      <c r="T127" s="2865"/>
      <c r="V127" s="2865"/>
      <c r="W127" s="2865"/>
      <c r="X127" s="2865"/>
      <c r="Y127" s="2865"/>
      <c r="Z127" s="2865"/>
    </row>
    <row r="128" spans="2:26" s="1398" customFormat="1" ht="6.95" customHeight="1">
      <c r="F128" s="1646"/>
      <c r="G128" s="1397"/>
      <c r="H128" s="1397"/>
      <c r="I128" s="1397"/>
      <c r="J128" s="1397"/>
      <c r="K128" s="1397"/>
      <c r="L128" s="1397"/>
      <c r="M128" s="1397"/>
      <c r="N128" s="1397"/>
      <c r="O128" s="2837"/>
      <c r="P128" s="4026"/>
      <c r="R128" s="1191"/>
      <c r="T128" s="4027"/>
      <c r="U128" s="4027"/>
      <c r="V128" s="4027"/>
      <c r="W128" s="4027"/>
      <c r="X128" s="4027"/>
      <c r="Z128" s="4028"/>
    </row>
    <row r="129" spans="2:38" s="1398" customFormat="1" ht="18">
      <c r="F129" s="2159" t="s">
        <v>2166</v>
      </c>
      <c r="G129" s="1397"/>
      <c r="H129" s="1397"/>
      <c r="I129" s="1397"/>
      <c r="J129" s="1397"/>
      <c r="K129" s="1397"/>
      <c r="L129" s="1397"/>
      <c r="M129" s="1397"/>
      <c r="N129" s="1397"/>
      <c r="O129" s="2837"/>
      <c r="P129" s="4026"/>
      <c r="R129" s="1191"/>
      <c r="T129" s="4027"/>
      <c r="U129" s="4027"/>
      <c r="V129" s="4027"/>
      <c r="W129" s="4027"/>
      <c r="X129" s="4027"/>
      <c r="Z129" s="4028"/>
    </row>
    <row r="130" spans="2:38" s="1398" customFormat="1" ht="18">
      <c r="F130" s="2159" t="s">
        <v>2167</v>
      </c>
      <c r="G130" s="1397"/>
      <c r="H130" s="1397"/>
      <c r="I130" s="1397"/>
      <c r="J130" s="1397"/>
      <c r="K130" s="1397"/>
      <c r="L130" s="1397"/>
      <c r="M130" s="1397"/>
      <c r="N130" s="1397"/>
      <c r="O130" s="2837"/>
      <c r="P130" s="4026"/>
      <c r="R130" s="1191"/>
      <c r="T130" s="4027"/>
      <c r="U130" s="4027"/>
      <c r="V130" s="4027"/>
      <c r="W130" s="4027"/>
      <c r="X130" s="4027"/>
      <c r="Z130" s="2631"/>
    </row>
    <row r="131" spans="2:38" s="1398" customFormat="1" ht="15.75">
      <c r="O131" s="4029"/>
      <c r="P131" s="4030"/>
      <c r="R131" s="1191"/>
      <c r="T131" s="4027"/>
      <c r="U131" s="4027"/>
      <c r="V131" s="4027"/>
      <c r="W131" s="4027"/>
      <c r="X131" s="4027"/>
      <c r="Z131" s="4031"/>
    </row>
    <row r="132" spans="2:38" s="1398" customFormat="1" ht="15.75">
      <c r="K132" s="1191"/>
      <c r="P132" s="2632"/>
      <c r="R132" s="1191"/>
      <c r="S132" s="4027"/>
      <c r="T132" s="4027"/>
      <c r="U132" s="4027"/>
      <c r="V132" s="4027"/>
      <c r="W132" s="4027"/>
      <c r="X132" s="4027"/>
      <c r="Z132" s="4031"/>
      <c r="AB132" s="1398" t="s">
        <v>8</v>
      </c>
    </row>
    <row r="133" spans="2:38">
      <c r="B133" s="1793"/>
      <c r="K133" s="4257"/>
      <c r="S133" s="1192"/>
      <c r="T133" s="1192"/>
      <c r="U133" s="1192"/>
      <c r="V133" s="1192"/>
      <c r="X133" s="1192"/>
      <c r="Y133" s="1192"/>
      <c r="Z133" s="4032"/>
    </row>
    <row r="134" spans="2:38">
      <c r="B134" s="1793"/>
      <c r="K134" s="2865"/>
      <c r="S134" s="2686"/>
      <c r="T134" s="2686"/>
      <c r="U134" s="2686"/>
      <c r="V134" s="2686"/>
      <c r="W134" s="2686"/>
      <c r="X134" s="2686"/>
      <c r="Y134" s="2686"/>
      <c r="Z134" s="2686"/>
      <c r="AA134" s="2686"/>
      <c r="AB134" s="1760"/>
      <c r="AC134" s="2686"/>
      <c r="AD134" s="1760"/>
      <c r="AE134" s="2686"/>
      <c r="AF134" s="1760"/>
      <c r="AG134" s="2686"/>
      <c r="AH134" s="1760"/>
      <c r="AI134" s="2686"/>
      <c r="AJ134" s="1760"/>
      <c r="AK134" s="2686"/>
      <c r="AL134" s="1760"/>
    </row>
    <row r="135" spans="2:38">
      <c r="B135" s="1793"/>
      <c r="C135" s="1793"/>
      <c r="S135" s="2686"/>
      <c r="T135" s="1192"/>
      <c r="U135" s="2686"/>
      <c r="V135" s="1192"/>
      <c r="W135" s="2686"/>
      <c r="X135" s="1192"/>
      <c r="Y135" s="2686"/>
      <c r="Z135" s="1192"/>
      <c r="AA135" s="2686"/>
      <c r="AB135" s="1760"/>
      <c r="AC135" s="2686"/>
      <c r="AD135" s="1760"/>
      <c r="AE135" s="2686"/>
      <c r="AF135" s="1760"/>
      <c r="AG135" s="2686"/>
      <c r="AH135" s="1760"/>
      <c r="AI135" s="2686"/>
      <c r="AJ135" s="1760"/>
      <c r="AK135" s="2686"/>
      <c r="AL135" s="1760"/>
    </row>
    <row r="136" spans="2:38">
      <c r="B136" s="1793"/>
      <c r="C136" s="1793"/>
      <c r="S136" s="2686"/>
      <c r="T136" s="1192"/>
      <c r="U136" s="2686"/>
      <c r="V136" s="1192"/>
      <c r="W136" s="2686"/>
      <c r="X136" s="1192"/>
      <c r="Y136" s="2686"/>
      <c r="Z136" s="1192"/>
      <c r="AA136" s="2686"/>
      <c r="AB136" s="1760"/>
      <c r="AC136" s="2686"/>
      <c r="AD136" s="1760"/>
      <c r="AE136" s="2686"/>
      <c r="AF136" s="1760"/>
      <c r="AG136" s="2686"/>
      <c r="AH136" s="1760"/>
      <c r="AI136" s="2686"/>
      <c r="AJ136" s="1760"/>
      <c r="AK136" s="2686"/>
      <c r="AL136" s="1760"/>
    </row>
    <row r="137" spans="2:38">
      <c r="B137" s="1793"/>
      <c r="C137" s="1793"/>
      <c r="S137" s="1192"/>
      <c r="T137" s="1192"/>
      <c r="U137" s="1192"/>
      <c r="V137" s="1192"/>
      <c r="W137" s="1192"/>
      <c r="X137" s="1192"/>
      <c r="Y137" s="1192"/>
      <c r="Z137" s="1192"/>
      <c r="AB137" s="1760"/>
      <c r="AC137" s="2686"/>
      <c r="AD137" s="1760"/>
      <c r="AE137" s="2686"/>
      <c r="AF137" s="1760"/>
      <c r="AG137" s="2686"/>
      <c r="AH137" s="1760"/>
      <c r="AI137" s="2686"/>
      <c r="AJ137" s="1760"/>
      <c r="AK137" s="2686"/>
      <c r="AL137" s="1760"/>
    </row>
    <row r="138" spans="2:38">
      <c r="B138" s="1793"/>
      <c r="C138" s="1793"/>
      <c r="S138" s="1192"/>
      <c r="T138" s="1192"/>
      <c r="U138" s="1192"/>
      <c r="V138" s="1192"/>
      <c r="W138" s="1192"/>
      <c r="X138" s="1192"/>
      <c r="Y138" s="1192"/>
      <c r="Z138" s="1192"/>
      <c r="AC138" s="2686"/>
      <c r="AD138" s="2686"/>
      <c r="AE138" s="2686"/>
      <c r="AF138" s="2686"/>
      <c r="AG138" s="2686"/>
      <c r="AH138" s="2686"/>
      <c r="AI138" s="2686"/>
      <c r="AJ138" s="2686"/>
      <c r="AK138" s="2686"/>
      <c r="AL138" s="2686"/>
    </row>
    <row r="139" spans="2:38">
      <c r="B139" s="1793"/>
      <c r="C139" s="1793"/>
      <c r="S139" s="1192"/>
      <c r="T139" s="1192"/>
      <c r="U139" s="1192"/>
      <c r="V139" s="1192"/>
      <c r="W139" s="1192"/>
      <c r="X139" s="1192"/>
      <c r="Y139" s="1192"/>
      <c r="Z139" s="1192"/>
      <c r="AC139" s="2686"/>
      <c r="AE139" s="2686"/>
      <c r="AG139" s="2686"/>
      <c r="AI139" s="2686"/>
      <c r="AK139" s="2686"/>
    </row>
    <row r="140" spans="2:38">
      <c r="B140" s="1793"/>
      <c r="C140" s="1793"/>
      <c r="K140" s="2865"/>
      <c r="P140" s="2260" t="s">
        <v>8</v>
      </c>
      <c r="S140" s="1192"/>
      <c r="T140" s="1192"/>
      <c r="U140" s="1192"/>
      <c r="V140" s="1192"/>
      <c r="W140" s="1192"/>
      <c r="X140" s="1192"/>
      <c r="Y140" s="1192"/>
      <c r="Z140" s="1192"/>
      <c r="AC140" s="2686"/>
      <c r="AE140" s="2686"/>
      <c r="AG140" s="2686"/>
      <c r="AI140" s="2686"/>
      <c r="AK140" s="2686"/>
    </row>
    <row r="141" spans="2:38">
      <c r="B141" s="1793"/>
      <c r="C141" s="1793"/>
      <c r="K141" s="2865"/>
      <c r="S141" s="1192"/>
      <c r="T141" s="1192"/>
      <c r="U141" s="1192"/>
      <c r="V141" s="1192"/>
      <c r="W141" s="1192"/>
      <c r="X141" s="1192"/>
      <c r="Y141" s="1192"/>
      <c r="Z141" s="1192"/>
    </row>
    <row r="142" spans="2:38">
      <c r="B142" s="1793"/>
      <c r="C142" s="1793"/>
      <c r="K142" s="4257"/>
      <c r="S142" s="1192"/>
      <c r="T142" s="1192"/>
      <c r="U142" s="1192"/>
      <c r="V142" s="1192"/>
      <c r="W142" s="1192"/>
      <c r="X142" s="1192"/>
      <c r="Y142" s="1192"/>
      <c r="Z142" s="1192"/>
    </row>
    <row r="143" spans="2:38">
      <c r="S143" s="2686"/>
      <c r="T143" s="2686"/>
      <c r="U143" s="2686"/>
      <c r="V143" s="2686"/>
      <c r="W143" s="2686"/>
      <c r="X143" s="2686"/>
      <c r="Y143" s="2686"/>
      <c r="Z143" s="2686"/>
      <c r="AA143" s="2686"/>
    </row>
    <row r="144" spans="2:38">
      <c r="K144" s="1174"/>
      <c r="S144" s="2686"/>
      <c r="T144" s="1192"/>
      <c r="U144" s="2686"/>
      <c r="V144" s="1192"/>
      <c r="W144" s="2686"/>
      <c r="X144" s="1192"/>
      <c r="Y144" s="2686"/>
      <c r="Z144" s="1192"/>
      <c r="AA144" s="2686"/>
    </row>
    <row r="145" spans="11:27">
      <c r="K145" s="1174"/>
      <c r="S145" s="2686"/>
      <c r="T145" s="1192"/>
      <c r="U145" s="2686"/>
      <c r="V145" s="1192"/>
      <c r="W145" s="2686"/>
      <c r="X145" s="1192"/>
      <c r="Y145" s="2686"/>
      <c r="Z145" s="1192"/>
      <c r="AA145" s="2686"/>
    </row>
    <row r="146" spans="11:27">
      <c r="S146" s="1192"/>
      <c r="T146" s="1192"/>
      <c r="U146" s="1192"/>
      <c r="V146" s="1192"/>
      <c r="W146" s="1192"/>
      <c r="X146" s="1192"/>
      <c r="Y146" s="1192"/>
      <c r="Z146" s="1192"/>
    </row>
    <row r="147" spans="11:27">
      <c r="S147" s="1192"/>
      <c r="T147" s="1192"/>
      <c r="U147" s="1192"/>
      <c r="V147" s="1192"/>
      <c r="W147" s="1192"/>
      <c r="X147" s="1192"/>
      <c r="Y147" s="1192"/>
      <c r="Z147" s="1192"/>
    </row>
    <row r="148" spans="11:27">
      <c r="S148" s="1192"/>
      <c r="T148" s="1192"/>
      <c r="U148" s="1192"/>
      <c r="V148" s="1192"/>
      <c r="W148" s="1192"/>
      <c r="X148" s="1192"/>
      <c r="Y148" s="1192"/>
      <c r="Z148" s="1192"/>
    </row>
    <row r="149" spans="11:27">
      <c r="S149" s="1192"/>
      <c r="T149" s="1192"/>
      <c r="U149" s="1192"/>
      <c r="V149" s="1192"/>
      <c r="W149" s="1192"/>
      <c r="X149" s="1192"/>
      <c r="Y149" s="1192"/>
      <c r="Z149" s="1192"/>
    </row>
    <row r="150" spans="11:27">
      <c r="S150" s="1192"/>
      <c r="T150" s="1192"/>
      <c r="U150" s="1192"/>
      <c r="V150" s="1192"/>
      <c r="W150" s="1192"/>
      <c r="X150" s="1192"/>
      <c r="Y150" s="1192"/>
      <c r="Z150" s="1192"/>
    </row>
    <row r="151" spans="11:27">
      <c r="S151" s="1192"/>
      <c r="T151" s="1192"/>
      <c r="U151" s="1192"/>
      <c r="V151" s="1192"/>
      <c r="W151" s="1192"/>
      <c r="X151" s="1192"/>
      <c r="Y151" s="1192"/>
      <c r="Z151" s="1192"/>
    </row>
    <row r="152" spans="11:27">
      <c r="S152" s="1192"/>
      <c r="T152" s="1192"/>
      <c r="U152" s="1192"/>
      <c r="V152" s="1192"/>
      <c r="W152" s="1192"/>
      <c r="X152" s="1192"/>
      <c r="Y152" s="1192"/>
      <c r="Z152" s="1192"/>
    </row>
    <row r="153" spans="11:27">
      <c r="S153" s="1192"/>
      <c r="T153" s="1192"/>
      <c r="U153" s="1192"/>
      <c r="V153" s="1192"/>
      <c r="W153" s="1192"/>
      <c r="X153" s="1192"/>
      <c r="Y153" s="1192"/>
      <c r="Z153" s="1192"/>
    </row>
    <row r="154" spans="11:27">
      <c r="S154" s="1192"/>
      <c r="T154" s="1192"/>
      <c r="U154" s="1192"/>
      <c r="V154" s="1192"/>
      <c r="W154" s="1192"/>
      <c r="X154" s="1192"/>
      <c r="Y154" s="1192"/>
      <c r="Z154" s="1192"/>
    </row>
    <row r="155" spans="11:27">
      <c r="S155" s="1192"/>
      <c r="T155" s="1192"/>
      <c r="U155" s="1192"/>
      <c r="V155" s="1192"/>
      <c r="W155" s="1192"/>
      <c r="X155" s="1192"/>
      <c r="Y155" s="1192"/>
      <c r="Z155" s="1192"/>
    </row>
    <row r="156" spans="11:27">
      <c r="S156" s="1192"/>
      <c r="T156" s="1192"/>
      <c r="U156" s="1192"/>
      <c r="V156" s="1192"/>
      <c r="W156" s="1192"/>
      <c r="X156" s="1192"/>
      <c r="Y156" s="1192"/>
      <c r="Z156" s="1192"/>
    </row>
    <row r="157" spans="11:27">
      <c r="S157" s="1192"/>
      <c r="T157" s="1192"/>
      <c r="U157" s="1192"/>
      <c r="V157" s="1192"/>
      <c r="W157" s="1192"/>
      <c r="X157" s="1192"/>
      <c r="Y157" s="1192"/>
      <c r="Z157" s="1192"/>
    </row>
    <row r="158" spans="11:27">
      <c r="X158" s="1192"/>
      <c r="Y158" s="1192"/>
      <c r="Z158" s="4032"/>
    </row>
    <row r="159" spans="11:27">
      <c r="X159" s="1192"/>
      <c r="Y159" s="1192"/>
      <c r="Z159" s="4032"/>
    </row>
    <row r="160" spans="11:27">
      <c r="X160" s="1192"/>
    </row>
    <row r="161" spans="25:25">
      <c r="Y161" s="1192"/>
    </row>
    <row r="163" spans="25:25">
      <c r="Y163" s="1192"/>
    </row>
    <row r="181" spans="30:32">
      <c r="AD181" s="1760"/>
      <c r="AE181" s="1760"/>
      <c r="AF181" s="1760"/>
    </row>
  </sheetData>
  <mergeCells count="6">
    <mergeCell ref="G77:P78"/>
    <mergeCell ref="F3:P3"/>
    <mergeCell ref="F4:P4"/>
    <mergeCell ref="F12:P12"/>
    <mergeCell ref="F68:P68"/>
    <mergeCell ref="F69:P69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1" orientation="portrait" horizontalDpi="300" verticalDpi="300" r:id="rId1"/>
  <headerFooter alignWithMargins="0">
    <oddFooter>&amp;C&amp;"+,Regular"&amp;22-77-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139"/>
  <sheetViews>
    <sheetView topLeftCell="A94" zoomScale="75" zoomScaleNormal="75" workbookViewId="0"/>
  </sheetViews>
  <sheetFormatPr defaultColWidth="10.7109375" defaultRowHeight="20.25"/>
  <cols>
    <col min="1" max="1" width="10.7109375" style="1262" customWidth="1"/>
    <col min="2" max="3" width="15" style="1348" customWidth="1"/>
    <col min="4" max="4" width="15" style="1263" bestFit="1" customWidth="1"/>
    <col min="5" max="5" width="14.140625" style="1262" customWidth="1"/>
    <col min="6" max="6" width="12.140625" style="1262" customWidth="1"/>
    <col min="7" max="7" width="24.28515625" style="1262" customWidth="1"/>
    <col min="8" max="8" width="19.7109375" style="1262" customWidth="1"/>
    <col min="9" max="9" width="18" style="1262" bestFit="1" customWidth="1"/>
    <col min="10" max="10" width="11.5703125" style="1262" bestFit="1" customWidth="1"/>
    <col min="11" max="11" width="28" style="1262" customWidth="1"/>
    <col min="12" max="12" width="15" style="1262" customWidth="1"/>
    <col min="13" max="13" width="20.140625" style="1262" customWidth="1"/>
    <col min="14" max="14" width="19" style="1262" customWidth="1"/>
    <col min="15" max="15" width="13.28515625" style="1262" customWidth="1"/>
    <col min="16" max="16" width="15.7109375" style="1262" customWidth="1"/>
    <col min="17" max="17" width="19.42578125" style="1262" customWidth="1"/>
    <col min="18" max="18" width="23.140625" style="1262" customWidth="1"/>
    <col min="19" max="19" width="20.5703125" style="1262" customWidth="1"/>
    <col min="20" max="20" width="14.140625" style="1263" customWidth="1"/>
    <col min="21" max="21" width="9.5703125" style="1262" customWidth="1"/>
    <col min="22" max="22" width="19.42578125" style="1262" customWidth="1"/>
    <col min="23" max="23" width="15.7109375" style="1262" customWidth="1"/>
    <col min="24" max="24" width="20.140625" style="1262" customWidth="1"/>
    <col min="25" max="25" width="15.140625" style="1348" customWidth="1"/>
    <col min="26" max="26" width="10.7109375" style="4033" hidden="1" customWidth="1"/>
    <col min="27" max="27" width="18.5703125" style="1262" customWidth="1"/>
    <col min="28" max="28" width="7.140625" style="1262" customWidth="1"/>
    <col min="29" max="29" width="6.85546875" style="1262" customWidth="1"/>
    <col min="30" max="35" width="10.7109375" style="1262" customWidth="1"/>
    <col min="36" max="36" width="10.7109375" style="1350" customWidth="1"/>
    <col min="37" max="39" width="10.7109375" style="1262" customWidth="1"/>
    <col min="40" max="40" width="10.7109375" style="1350" customWidth="1"/>
    <col min="41" max="42" width="10.7109375" style="1262" customWidth="1"/>
    <col min="43" max="43" width="10.7109375" style="1350" customWidth="1"/>
    <col min="44" max="44" width="8.140625" style="1262" customWidth="1"/>
    <col min="45" max="45" width="9.85546875" style="1262" customWidth="1"/>
    <col min="46" max="46" width="10.7109375" style="1262" customWidth="1"/>
    <col min="47" max="47" width="9.85546875" style="1262" customWidth="1"/>
    <col min="48" max="48" width="9.140625" style="1262" customWidth="1"/>
    <col min="49" max="49" width="10.7109375" style="1262" customWidth="1"/>
    <col min="50" max="50" width="7.85546875" style="1262" customWidth="1"/>
    <col min="51" max="51" width="8" style="1262" customWidth="1"/>
    <col min="52" max="52" width="8.140625" style="1262" customWidth="1"/>
    <col min="53" max="53" width="8" style="1350" customWidth="1"/>
    <col min="54" max="54" width="9.42578125" style="1350" customWidth="1"/>
    <col min="55" max="55" width="6.5703125" style="1262" customWidth="1"/>
    <col min="56" max="56" width="0.85546875" style="1307" customWidth="1"/>
    <col min="57" max="57" width="6.7109375" style="1262" customWidth="1"/>
    <col min="58" max="58" width="7.140625" style="1262" customWidth="1"/>
    <col min="59" max="16384" width="10.7109375" style="1262"/>
  </cols>
  <sheetData>
    <row r="1" spans="2:63" ht="35.1" customHeight="1">
      <c r="AA1" s="1192"/>
      <c r="AB1" s="1192"/>
      <c r="AC1" s="1192"/>
      <c r="AD1" s="1192"/>
      <c r="AE1" s="1192"/>
      <c r="AF1" s="1192"/>
      <c r="AG1" s="1192"/>
      <c r="AH1" s="1192"/>
      <c r="AI1" s="1192"/>
      <c r="AJ1" s="1192"/>
      <c r="AK1" s="1192"/>
      <c r="AL1" s="1192"/>
      <c r="AM1" s="1192"/>
      <c r="AN1" s="1192"/>
      <c r="AO1" s="1192"/>
      <c r="AP1" s="1192"/>
      <c r="AQ1" s="1192"/>
      <c r="AR1" s="1192"/>
      <c r="AS1" s="1192"/>
      <c r="AT1" s="1192"/>
      <c r="AU1" s="1192"/>
      <c r="AV1" s="1192"/>
      <c r="AW1" s="1192"/>
      <c r="AX1" s="1192"/>
      <c r="AY1" s="1192"/>
      <c r="AZ1" s="1192"/>
      <c r="BA1" s="1192"/>
      <c r="BB1" s="1192"/>
      <c r="BC1" s="1192"/>
      <c r="BD1" s="1192"/>
      <c r="BE1" s="1192"/>
      <c r="BF1" s="1192"/>
      <c r="BG1" s="1192"/>
      <c r="BH1" s="1192"/>
      <c r="BI1" s="1192"/>
      <c r="BJ1" s="1192"/>
      <c r="BK1" s="1192"/>
    </row>
    <row r="2" spans="2:63" ht="35.1" customHeight="1">
      <c r="D2" s="1348"/>
      <c r="E2" s="1350"/>
      <c r="F2" s="1350"/>
      <c r="G2" s="1350"/>
      <c r="H2" s="1350"/>
      <c r="I2" s="1350"/>
      <c r="J2" s="1350"/>
      <c r="K2" s="1350"/>
      <c r="L2" s="1350"/>
      <c r="M2" s="1350"/>
      <c r="N2" s="1350"/>
      <c r="O2" s="1350"/>
      <c r="P2" s="1350"/>
      <c r="Q2" s="1350"/>
      <c r="S2" s="1350"/>
      <c r="T2" s="1348"/>
      <c r="U2" s="1350"/>
      <c r="V2" s="1350"/>
      <c r="W2" s="1350"/>
      <c r="X2" s="1350"/>
      <c r="AA2" s="1192"/>
      <c r="AB2" s="1192"/>
      <c r="AC2" s="1192"/>
      <c r="AD2" s="1192"/>
      <c r="AE2" s="1192"/>
      <c r="AF2" s="1192"/>
      <c r="AG2" s="1192"/>
      <c r="AH2" s="1192"/>
      <c r="AI2" s="1192"/>
      <c r="AJ2" s="1192"/>
      <c r="AK2" s="1192"/>
      <c r="AL2" s="1192"/>
      <c r="AM2" s="1192"/>
      <c r="AN2" s="1192"/>
      <c r="AO2" s="1192"/>
      <c r="AP2" s="1192"/>
      <c r="AQ2" s="1192"/>
      <c r="AR2" s="1192"/>
      <c r="AS2" s="1192"/>
      <c r="AT2" s="1192"/>
      <c r="AU2" s="1192"/>
      <c r="AV2" s="1192"/>
      <c r="AW2" s="1192"/>
      <c r="AX2" s="1192"/>
      <c r="AY2" s="1192"/>
      <c r="AZ2" s="1192"/>
      <c r="BA2" s="1192"/>
      <c r="BB2" s="1192"/>
      <c r="BC2" s="1192"/>
      <c r="BD2" s="1192"/>
      <c r="BE2" s="1192"/>
      <c r="BF2" s="1192"/>
      <c r="BG2" s="1192"/>
      <c r="BH2" s="1192"/>
      <c r="BI2" s="1192"/>
      <c r="BJ2" s="1192"/>
      <c r="BK2" s="1192"/>
    </row>
    <row r="3" spans="2:63" s="3948" customFormat="1" ht="35.1" customHeight="1">
      <c r="B3" s="4602" t="s">
        <v>2168</v>
      </c>
      <c r="C3" s="4602"/>
      <c r="D3" s="4602"/>
      <c r="E3" s="4602"/>
      <c r="F3" s="4602"/>
      <c r="G3" s="4602"/>
      <c r="H3" s="4602"/>
      <c r="I3" s="4602"/>
      <c r="J3" s="4602"/>
      <c r="K3" s="4602"/>
      <c r="L3" s="4602"/>
      <c r="M3" s="4602"/>
      <c r="N3" s="4602" t="s">
        <v>2169</v>
      </c>
      <c r="O3" s="4602"/>
      <c r="P3" s="4602"/>
      <c r="Q3" s="4602"/>
      <c r="R3" s="4602"/>
      <c r="S3" s="4602"/>
      <c r="T3" s="4602"/>
      <c r="U3" s="4602"/>
      <c r="V3" s="4602"/>
      <c r="W3" s="4602"/>
      <c r="X3" s="4602"/>
      <c r="Y3" s="4602"/>
      <c r="Z3" s="4034"/>
      <c r="AA3" s="1761"/>
      <c r="AB3" s="1761"/>
      <c r="AC3" s="1761"/>
      <c r="AD3" s="1761"/>
      <c r="AE3" s="1761"/>
      <c r="AF3" s="1761"/>
      <c r="AG3" s="1761"/>
      <c r="AH3" s="1761"/>
      <c r="AI3" s="1761"/>
      <c r="AJ3" s="1761"/>
      <c r="AK3" s="1761"/>
      <c r="AL3" s="1761"/>
      <c r="AM3" s="1761"/>
      <c r="AN3" s="1761"/>
      <c r="AO3" s="1761"/>
      <c r="AP3" s="1761"/>
      <c r="AQ3" s="1761"/>
      <c r="AR3" s="1761"/>
      <c r="AS3" s="1761"/>
      <c r="AT3" s="1761"/>
      <c r="AU3" s="1761"/>
      <c r="AV3" s="1761"/>
      <c r="AW3" s="1761"/>
      <c r="AX3" s="1761"/>
      <c r="AY3" s="1761"/>
      <c r="AZ3" s="1761"/>
      <c r="BA3" s="1761"/>
      <c r="BB3" s="1761"/>
      <c r="BC3" s="1761"/>
      <c r="BD3" s="1761"/>
      <c r="BE3" s="1761"/>
      <c r="BF3" s="1761"/>
      <c r="BG3" s="1761"/>
      <c r="BH3" s="1761"/>
      <c r="BI3" s="1761"/>
      <c r="BJ3" s="1761"/>
      <c r="BK3" s="1761"/>
    </row>
    <row r="4" spans="2:63" s="1814" customFormat="1" ht="35.1" customHeight="1">
      <c r="B4" s="4713" t="s">
        <v>2170</v>
      </c>
      <c r="C4" s="4713"/>
      <c r="D4" s="4713"/>
      <c r="E4" s="4713"/>
      <c r="F4" s="4713"/>
      <c r="G4" s="4713"/>
      <c r="H4" s="4713"/>
      <c r="I4" s="4713"/>
      <c r="J4" s="4713"/>
      <c r="K4" s="4713"/>
      <c r="L4" s="4713"/>
      <c r="M4" s="4713"/>
      <c r="N4" s="4713" t="s">
        <v>2171</v>
      </c>
      <c r="O4" s="4713"/>
      <c r="P4" s="4713"/>
      <c r="Q4" s="4713"/>
      <c r="R4" s="4713"/>
      <c r="S4" s="4713"/>
      <c r="T4" s="4713"/>
      <c r="U4" s="4713"/>
      <c r="V4" s="4713"/>
      <c r="W4" s="4713"/>
      <c r="X4" s="4713"/>
      <c r="Y4" s="4713"/>
      <c r="Z4" s="4035"/>
      <c r="AA4" s="2664"/>
      <c r="AB4" s="2664"/>
      <c r="AC4" s="2664"/>
      <c r="AD4" s="2664"/>
      <c r="AE4" s="2664"/>
      <c r="AF4" s="2664"/>
      <c r="AG4" s="2664"/>
      <c r="AH4" s="2664"/>
      <c r="AI4" s="2664"/>
      <c r="AJ4" s="2664"/>
      <c r="AK4" s="2664"/>
      <c r="AL4" s="2664"/>
      <c r="AM4" s="2664"/>
      <c r="AN4" s="2664"/>
      <c r="AO4" s="2664"/>
      <c r="AP4" s="2664"/>
      <c r="AQ4" s="2664"/>
      <c r="AR4" s="2664"/>
      <c r="AS4" s="2664"/>
      <c r="AT4" s="2664"/>
      <c r="AU4" s="2664"/>
      <c r="AV4" s="2664"/>
      <c r="AW4" s="2664"/>
      <c r="AX4" s="2664"/>
      <c r="AY4" s="2664"/>
      <c r="AZ4" s="2664"/>
      <c r="BA4" s="2664"/>
      <c r="BB4" s="2664"/>
      <c r="BC4" s="2664"/>
      <c r="BD4" s="2664"/>
      <c r="BE4" s="2664"/>
      <c r="BF4" s="2664"/>
      <c r="BG4" s="2664"/>
      <c r="BH4" s="2664"/>
      <c r="BI4" s="2664"/>
      <c r="BJ4" s="2664"/>
      <c r="BK4" s="2664"/>
    </row>
    <row r="5" spans="2:63" s="3335" customFormat="1" ht="18" customHeight="1">
      <c r="B5" s="1315" t="s">
        <v>3022</v>
      </c>
      <c r="C5" s="4159"/>
      <c r="D5" s="1275"/>
      <c r="E5" s="1275"/>
      <c r="F5" s="1275"/>
      <c r="G5" s="1317"/>
      <c r="H5" s="1318"/>
      <c r="I5" s="1274"/>
      <c r="J5" s="1317"/>
      <c r="K5" s="1274"/>
      <c r="L5" s="1274"/>
      <c r="M5" s="1274"/>
      <c r="N5" s="4159"/>
      <c r="O5" s="1274"/>
      <c r="P5" s="1275"/>
      <c r="Q5" s="1275"/>
      <c r="R5" s="1275"/>
      <c r="S5" s="1319"/>
      <c r="T5" s="1318"/>
      <c r="U5" s="1318"/>
      <c r="V5" s="1274"/>
      <c r="W5" s="1274"/>
      <c r="X5" s="1274"/>
      <c r="Y5" s="1320" t="s">
        <v>3023</v>
      </c>
      <c r="Z5" s="4036"/>
      <c r="AA5" s="2264"/>
      <c r="AB5" s="2264"/>
      <c r="AC5" s="2264"/>
      <c r="AD5" s="2264"/>
      <c r="AE5" s="2264"/>
      <c r="AF5" s="2264"/>
      <c r="AG5" s="2264"/>
      <c r="AH5" s="2264"/>
      <c r="AI5" s="2264"/>
      <c r="AJ5" s="2264"/>
      <c r="AK5" s="2264"/>
      <c r="AL5" s="2264"/>
      <c r="AM5" s="2264"/>
      <c r="AN5" s="2264"/>
      <c r="AO5" s="2264"/>
      <c r="AP5" s="2264"/>
      <c r="AQ5" s="2264"/>
      <c r="AR5" s="2264"/>
      <c r="AS5" s="2264"/>
      <c r="AT5" s="2264"/>
      <c r="AU5" s="2264"/>
      <c r="AV5" s="2264"/>
      <c r="AW5" s="2264"/>
      <c r="AX5" s="2264"/>
      <c r="AY5" s="2264"/>
      <c r="AZ5" s="2264"/>
      <c r="BA5" s="2264"/>
      <c r="BB5" s="2264"/>
      <c r="BC5" s="2264"/>
      <c r="BD5" s="2264"/>
      <c r="BE5" s="2264"/>
      <c r="BF5" s="2264"/>
      <c r="BG5" s="2264"/>
      <c r="BH5" s="2264"/>
      <c r="BI5" s="2264"/>
      <c r="BJ5" s="2264"/>
      <c r="BK5" s="2264"/>
    </row>
    <row r="6" spans="2:63" ht="6" customHeight="1">
      <c r="B6" s="1221"/>
      <c r="C6" s="1221"/>
      <c r="D6" s="1221"/>
      <c r="E6" s="1221"/>
      <c r="F6" s="1221"/>
      <c r="G6" s="1220"/>
      <c r="H6" s="1321"/>
      <c r="I6" s="1277"/>
      <c r="J6" s="1321"/>
      <c r="K6" s="1220"/>
      <c r="L6" s="1220"/>
      <c r="M6" s="1220"/>
      <c r="N6" s="1221"/>
      <c r="O6" s="1220"/>
      <c r="P6" s="1221"/>
      <c r="Q6" s="1221"/>
      <c r="R6" s="1322"/>
      <c r="S6" s="1220"/>
      <c r="T6" s="1323"/>
      <c r="U6" s="1323"/>
      <c r="V6" s="1220"/>
      <c r="W6" s="1324"/>
      <c r="X6" s="1220"/>
      <c r="Y6" s="1221"/>
      <c r="AA6" s="1192"/>
      <c r="AB6" s="1192"/>
      <c r="AC6" s="1192"/>
      <c r="AD6" s="1192"/>
      <c r="AE6" s="1192"/>
      <c r="AF6" s="1192"/>
      <c r="AG6" s="1192"/>
      <c r="AH6" s="1192"/>
      <c r="AI6" s="1192"/>
      <c r="AJ6" s="1192"/>
      <c r="AK6" s="1192"/>
      <c r="AL6" s="1192"/>
      <c r="AM6" s="1192"/>
      <c r="AN6" s="1192"/>
      <c r="AO6" s="1192"/>
      <c r="AP6" s="1192"/>
      <c r="AQ6" s="1192"/>
      <c r="AR6" s="1192"/>
      <c r="AS6" s="1192"/>
      <c r="AT6" s="1192"/>
      <c r="AU6" s="1192"/>
      <c r="AV6" s="1192"/>
      <c r="AW6" s="1192"/>
      <c r="AX6" s="1192"/>
      <c r="AY6" s="1192"/>
      <c r="AZ6" s="1192"/>
      <c r="BA6" s="1192"/>
      <c r="BB6" s="1192"/>
      <c r="BC6" s="1192"/>
      <c r="BD6" s="1192"/>
      <c r="BE6" s="1192"/>
      <c r="BF6" s="1192"/>
      <c r="BG6" s="1192"/>
      <c r="BH6" s="1192"/>
      <c r="BI6" s="1192"/>
      <c r="BJ6" s="1192"/>
      <c r="BK6" s="1192"/>
    </row>
    <row r="7" spans="2:63" s="1307" customFormat="1" ht="9.75" customHeight="1">
      <c r="B7" s="1325"/>
      <c r="C7" s="4208"/>
      <c r="D7" s="4164"/>
      <c r="E7" s="4164"/>
      <c r="F7" s="4164"/>
      <c r="G7" s="4164"/>
      <c r="H7" s="4202"/>
      <c r="I7" s="1352"/>
      <c r="J7" s="1353"/>
      <c r="K7" s="1353"/>
      <c r="L7" s="1354"/>
      <c r="M7" s="4208"/>
      <c r="N7" s="4164"/>
      <c r="O7" s="4165"/>
      <c r="P7" s="4208"/>
      <c r="Q7" s="4164"/>
      <c r="R7" s="4141"/>
      <c r="S7" s="1229"/>
      <c r="T7" s="4223"/>
      <c r="U7" s="1226"/>
      <c r="V7" s="4223"/>
      <c r="W7" s="1355"/>
      <c r="X7" s="1409"/>
      <c r="Y7" s="4037"/>
      <c r="Z7" s="4038"/>
    </row>
    <row r="8" spans="2:63" ht="25.5">
      <c r="B8" s="1331"/>
      <c r="C8" s="4171" t="s">
        <v>8</v>
      </c>
      <c r="D8" s="4166"/>
      <c r="E8" s="4166"/>
      <c r="F8" s="4166"/>
      <c r="G8" s="4166"/>
      <c r="H8" s="1356" t="s">
        <v>8</v>
      </c>
      <c r="I8" s="1357" t="s">
        <v>8</v>
      </c>
      <c r="J8" s="1358"/>
      <c r="K8" s="1358"/>
      <c r="L8" s="1359"/>
      <c r="M8" s="4279" t="s">
        <v>2172</v>
      </c>
      <c r="N8" s="1360"/>
      <c r="O8" s="1361" t="s">
        <v>2173</v>
      </c>
      <c r="P8" s="4171"/>
      <c r="Q8" s="4166"/>
      <c r="R8" s="1243"/>
      <c r="S8" s="1236"/>
      <c r="T8" s="4234"/>
      <c r="U8" s="1362"/>
      <c r="V8" s="4234"/>
      <c r="W8" s="1363" t="s">
        <v>8</v>
      </c>
      <c r="X8" s="1410"/>
      <c r="Y8" s="4039"/>
      <c r="Z8" s="4038"/>
      <c r="AJ8" s="1262"/>
      <c r="AN8" s="1262"/>
      <c r="AQ8" s="1262"/>
      <c r="BA8" s="1262"/>
      <c r="BB8" s="1262"/>
      <c r="BD8" s="1262"/>
    </row>
    <row r="9" spans="2:63" ht="30">
      <c r="B9" s="1331"/>
      <c r="C9" s="1364" t="s">
        <v>2174</v>
      </c>
      <c r="D9" s="1360"/>
      <c r="E9" s="1360"/>
      <c r="F9" s="1360"/>
      <c r="G9" s="1360"/>
      <c r="H9" s="1361" t="s">
        <v>2607</v>
      </c>
      <c r="I9" s="1364" t="s">
        <v>2175</v>
      </c>
      <c r="J9" s="1365"/>
      <c r="K9" s="1358"/>
      <c r="L9" s="1361" t="s">
        <v>2608</v>
      </c>
      <c r="M9" s="4279" t="s">
        <v>1914</v>
      </c>
      <c r="N9" s="1360"/>
      <c r="O9" s="1361" t="s">
        <v>2609</v>
      </c>
      <c r="P9" s="1364" t="s">
        <v>2610</v>
      </c>
      <c r="Q9" s="1292"/>
      <c r="R9" s="1243"/>
      <c r="S9" s="1236"/>
      <c r="T9" s="4234"/>
      <c r="U9" s="1362"/>
      <c r="V9" s="4234"/>
      <c r="W9" s="1366"/>
      <c r="X9" s="1366" t="s">
        <v>2611</v>
      </c>
      <c r="Y9" s="4040"/>
      <c r="Z9" s="4038"/>
      <c r="AJ9" s="1262"/>
      <c r="AN9" s="1262"/>
      <c r="AQ9" s="1262"/>
      <c r="BA9" s="1262"/>
      <c r="BB9" s="1262"/>
      <c r="BD9" s="1262"/>
    </row>
    <row r="10" spans="2:63" ht="25.5">
      <c r="B10" s="1331"/>
      <c r="C10" s="1367"/>
      <c r="D10" s="4236"/>
      <c r="E10" s="4236"/>
      <c r="F10" s="4236"/>
      <c r="G10" s="4236"/>
      <c r="H10" s="1369"/>
      <c r="I10" s="1370"/>
      <c r="J10" s="1371"/>
      <c r="K10" s="1372"/>
      <c r="L10" s="1373"/>
      <c r="M10" s="4224"/>
      <c r="N10" s="4236"/>
      <c r="O10" s="4225"/>
      <c r="P10" s="1367"/>
      <c r="Q10" s="1374"/>
      <c r="R10" s="1375"/>
      <c r="S10" s="1376"/>
      <c r="T10" s="4236"/>
      <c r="U10" s="1377"/>
      <c r="V10" s="4236"/>
      <c r="W10" s="1378"/>
      <c r="X10" s="1411"/>
      <c r="Y10" s="4039"/>
      <c r="Z10" s="4038"/>
      <c r="AA10" s="1192"/>
      <c r="AB10" s="1192"/>
      <c r="AC10" s="1192"/>
      <c r="AD10" s="1192"/>
      <c r="AE10" s="1192"/>
      <c r="AF10" s="1192"/>
      <c r="AG10" s="1192"/>
      <c r="AH10" s="1192"/>
      <c r="AI10" s="1192"/>
      <c r="AJ10" s="1192"/>
      <c r="AK10" s="1192"/>
      <c r="AL10" s="1192"/>
      <c r="AM10" s="1192"/>
      <c r="AN10" s="1192"/>
      <c r="AO10" s="1192"/>
      <c r="AP10" s="1192"/>
      <c r="AQ10" s="1192"/>
      <c r="AR10" s="1192"/>
      <c r="AS10" s="1192"/>
      <c r="AT10" s="1192"/>
      <c r="AU10" s="1192"/>
      <c r="AV10" s="1192"/>
      <c r="AW10" s="1192"/>
      <c r="AX10" s="1192"/>
      <c r="AY10" s="1192"/>
      <c r="AZ10" s="1192"/>
      <c r="BA10" s="1192"/>
      <c r="BB10" s="1192"/>
      <c r="BC10" s="1192"/>
      <c r="BD10" s="1192"/>
      <c r="BE10" s="1192"/>
      <c r="BF10" s="1192"/>
      <c r="BG10" s="1192"/>
      <c r="BH10" s="1192"/>
      <c r="BI10" s="1192"/>
      <c r="BJ10" s="1192"/>
      <c r="BK10" s="1192"/>
    </row>
    <row r="11" spans="2:63" ht="25.5">
      <c r="B11" s="1331"/>
      <c r="C11" s="1246"/>
      <c r="D11" s="1246"/>
      <c r="E11" s="1247"/>
      <c r="F11" s="1379"/>
      <c r="G11" s="1380"/>
      <c r="H11" s="1381"/>
      <c r="I11" s="1246"/>
      <c r="J11" s="1247"/>
      <c r="K11" s="1247"/>
      <c r="L11" s="1381"/>
      <c r="M11" s="1382"/>
      <c r="N11" s="1383"/>
      <c r="O11" s="1381"/>
      <c r="P11" s="1247"/>
      <c r="Q11" s="1384"/>
      <c r="R11" s="1246"/>
      <c r="S11" s="1246"/>
      <c r="T11" s="1385"/>
      <c r="U11" s="1246" t="s">
        <v>8</v>
      </c>
      <c r="V11" s="1246"/>
      <c r="W11" s="1386"/>
      <c r="X11" s="4041" t="s">
        <v>1760</v>
      </c>
      <c r="Y11" s="4039"/>
      <c r="Z11" s="4038"/>
      <c r="AA11" s="1192"/>
      <c r="AB11" s="1192"/>
      <c r="AC11" s="1192"/>
      <c r="AD11" s="1192"/>
      <c r="AE11" s="1192"/>
      <c r="AF11" s="1192"/>
      <c r="AG11" s="1192"/>
      <c r="AH11" s="1192"/>
      <c r="AI11" s="1192"/>
      <c r="AJ11" s="1192"/>
      <c r="AK11" s="1192"/>
      <c r="AL11" s="1192"/>
      <c r="AM11" s="1192"/>
      <c r="AN11" s="1192"/>
      <c r="AO11" s="1192"/>
      <c r="AP11" s="1192"/>
      <c r="AQ11" s="1192"/>
      <c r="AR11" s="1192"/>
      <c r="AS11" s="1192"/>
      <c r="AT11" s="1192"/>
      <c r="AU11" s="1192"/>
      <c r="AV11" s="1192"/>
      <c r="AW11" s="1192"/>
      <c r="AX11" s="1192"/>
      <c r="AY11" s="1192"/>
      <c r="AZ11" s="1192"/>
      <c r="BA11" s="1192"/>
      <c r="BB11" s="1192"/>
      <c r="BC11" s="1192"/>
      <c r="BD11" s="1192"/>
      <c r="BE11" s="1192"/>
      <c r="BF11" s="1192"/>
      <c r="BG11" s="1192"/>
      <c r="BH11" s="1192"/>
      <c r="BI11" s="1192"/>
      <c r="BJ11" s="1192"/>
      <c r="BK11" s="1192"/>
    </row>
    <row r="12" spans="2:63" ht="25.5">
      <c r="B12" s="1331"/>
      <c r="C12" s="4170"/>
      <c r="D12" s="1387"/>
      <c r="E12" s="4170"/>
      <c r="F12" s="4170"/>
      <c r="G12" s="4170"/>
      <c r="H12" s="4263" t="s">
        <v>8</v>
      </c>
      <c r="I12" s="4170"/>
      <c r="J12" s="4170"/>
      <c r="K12" s="1235"/>
      <c r="L12" s="1332"/>
      <c r="M12" s="4171"/>
      <c r="N12" s="4167"/>
      <c r="O12" s="1332" t="s">
        <v>8</v>
      </c>
      <c r="P12" s="4170" t="s">
        <v>1317</v>
      </c>
      <c r="Q12" s="4170" t="s">
        <v>2176</v>
      </c>
      <c r="R12" s="4170" t="s">
        <v>2177</v>
      </c>
      <c r="S12" s="4170" t="s">
        <v>8</v>
      </c>
      <c r="T12" s="1387"/>
      <c r="U12" s="4170"/>
      <c r="V12" s="4170"/>
      <c r="W12" s="4278"/>
      <c r="X12" s="4042" t="s">
        <v>1761</v>
      </c>
      <c r="Y12" s="4039"/>
      <c r="Z12" s="4043"/>
      <c r="AA12" s="1192"/>
      <c r="AB12" s="1192"/>
      <c r="AC12" s="1192"/>
      <c r="AD12" s="1192"/>
      <c r="AE12" s="1192"/>
      <c r="AF12" s="1192"/>
      <c r="AG12" s="1192"/>
      <c r="AH12" s="1192"/>
      <c r="AI12" s="1192"/>
      <c r="AJ12" s="1192"/>
      <c r="AK12" s="1192"/>
      <c r="AL12" s="1192"/>
      <c r="AM12" s="1192"/>
      <c r="AN12" s="1192"/>
      <c r="AO12" s="1192"/>
      <c r="AP12" s="1192"/>
      <c r="AQ12" s="1192"/>
      <c r="AR12" s="1192"/>
      <c r="AS12" s="1192"/>
      <c r="AT12" s="1192"/>
      <c r="AU12" s="1192"/>
      <c r="AV12" s="1192"/>
      <c r="AW12" s="1192"/>
      <c r="AX12" s="1192"/>
      <c r="AY12" s="1192"/>
      <c r="AZ12" s="1192"/>
      <c r="BA12" s="1192"/>
      <c r="BB12" s="1192"/>
      <c r="BC12" s="1192"/>
      <c r="BD12" s="1192"/>
      <c r="BE12" s="1192"/>
      <c r="BF12" s="1192"/>
      <c r="BG12" s="1192"/>
      <c r="BH12" s="1192"/>
      <c r="BI12" s="1192"/>
      <c r="BJ12" s="1192"/>
      <c r="BK12" s="1192"/>
    </row>
    <row r="13" spans="2:63" ht="25.5">
      <c r="B13" s="1331"/>
      <c r="C13" s="4170"/>
      <c r="D13" s="1387"/>
      <c r="E13" s="4170" t="s">
        <v>2178</v>
      </c>
      <c r="F13" s="4170" t="s">
        <v>2178</v>
      </c>
      <c r="G13" s="4170" t="s">
        <v>668</v>
      </c>
      <c r="H13" s="1332"/>
      <c r="I13" s="4170"/>
      <c r="J13" s="4170" t="s">
        <v>2179</v>
      </c>
      <c r="K13" s="4170" t="s">
        <v>2180</v>
      </c>
      <c r="L13" s="1332"/>
      <c r="M13" s="4171"/>
      <c r="N13" s="4167"/>
      <c r="O13" s="1332"/>
      <c r="P13" s="4170" t="s">
        <v>1381</v>
      </c>
      <c r="Q13" s="4170" t="s">
        <v>2181</v>
      </c>
      <c r="R13" s="4170" t="s">
        <v>2182</v>
      </c>
      <c r="S13" s="4170"/>
      <c r="T13" s="1387"/>
      <c r="U13" s="4170" t="s">
        <v>2183</v>
      </c>
      <c r="V13" s="4170" t="s">
        <v>1764</v>
      </c>
      <c r="W13" s="4278"/>
      <c r="X13" s="4042" t="s">
        <v>395</v>
      </c>
      <c r="Y13" s="4039"/>
      <c r="Z13" s="4043"/>
      <c r="AA13" s="1192"/>
      <c r="AB13" s="1192"/>
      <c r="AC13" s="1192"/>
      <c r="AD13" s="1192"/>
      <c r="AE13" s="1192"/>
      <c r="AF13" s="1192"/>
      <c r="AG13" s="1192"/>
      <c r="AH13" s="1192"/>
      <c r="AI13" s="1192"/>
      <c r="AJ13" s="1192"/>
      <c r="AK13" s="1192"/>
      <c r="AL13" s="1192"/>
      <c r="AM13" s="1192"/>
      <c r="AN13" s="1192"/>
      <c r="AO13" s="1192"/>
      <c r="AP13" s="1192"/>
      <c r="AQ13" s="1192"/>
      <c r="AR13" s="1192"/>
      <c r="AS13" s="1192"/>
      <c r="AT13" s="1192"/>
      <c r="AU13" s="1192"/>
      <c r="AV13" s="1192"/>
      <c r="AW13" s="1192"/>
      <c r="AX13" s="1192"/>
      <c r="AY13" s="1192"/>
      <c r="AZ13" s="1192"/>
      <c r="BA13" s="1192"/>
      <c r="BB13" s="1192"/>
      <c r="BC13" s="1192"/>
      <c r="BD13" s="1192"/>
      <c r="BE13" s="1192"/>
      <c r="BF13" s="1192"/>
      <c r="BG13" s="1192"/>
      <c r="BH13" s="1192"/>
      <c r="BI13" s="1192"/>
      <c r="BJ13" s="1192"/>
      <c r="BK13" s="1192"/>
    </row>
    <row r="14" spans="2:63" ht="25.5">
      <c r="B14" s="1331"/>
      <c r="C14" s="4170" t="s">
        <v>330</v>
      </c>
      <c r="D14" s="4170" t="s">
        <v>2184</v>
      </c>
      <c r="E14" s="4170" t="s">
        <v>2185</v>
      </c>
      <c r="F14" s="4170" t="s">
        <v>2186</v>
      </c>
      <c r="G14" s="4170" t="s">
        <v>1617</v>
      </c>
      <c r="H14" s="1332" t="s">
        <v>1769</v>
      </c>
      <c r="I14" s="4170" t="s">
        <v>330</v>
      </c>
      <c r="J14" s="4170" t="s">
        <v>2187</v>
      </c>
      <c r="K14" s="4170" t="s">
        <v>2188</v>
      </c>
      <c r="L14" s="1332" t="s">
        <v>1769</v>
      </c>
      <c r="M14" s="4171" t="s">
        <v>1836</v>
      </c>
      <c r="N14" s="4167" t="s">
        <v>1837</v>
      </c>
      <c r="O14" s="1332" t="s">
        <v>1769</v>
      </c>
      <c r="P14" s="4170" t="s">
        <v>330</v>
      </c>
      <c r="Q14" s="4170" t="s">
        <v>2189</v>
      </c>
      <c r="R14" s="4170" t="s">
        <v>2190</v>
      </c>
      <c r="S14" s="4170" t="s">
        <v>2191</v>
      </c>
      <c r="T14" s="4170" t="s">
        <v>2192</v>
      </c>
      <c r="U14" s="4170" t="s">
        <v>2193</v>
      </c>
      <c r="V14" s="4170" t="s">
        <v>2194</v>
      </c>
      <c r="W14" s="4278" t="s">
        <v>2195</v>
      </c>
      <c r="X14" s="4044"/>
      <c r="Y14" s="4045"/>
      <c r="Z14" s="4043"/>
      <c r="AA14" s="1192"/>
      <c r="AB14" s="1192"/>
      <c r="AC14" s="1192"/>
      <c r="AD14" s="1192"/>
      <c r="AE14" s="1192"/>
      <c r="AF14" s="1192"/>
      <c r="AG14" s="4046"/>
      <c r="AH14" s="1192"/>
      <c r="AI14" s="1192"/>
      <c r="AJ14" s="1192"/>
      <c r="AK14" s="1192"/>
      <c r="AL14" s="1192"/>
      <c r="AM14" s="1192"/>
      <c r="AN14" s="1192"/>
      <c r="AO14" s="1192"/>
      <c r="AP14" s="1192"/>
      <c r="AQ14" s="1192"/>
      <c r="AR14" s="1192"/>
      <c r="AS14" s="1192"/>
      <c r="AT14" s="1192"/>
      <c r="AU14" s="1192"/>
      <c r="AV14" s="1192"/>
      <c r="AW14" s="1192"/>
      <c r="AX14" s="1192"/>
      <c r="AY14" s="1192"/>
      <c r="AZ14" s="1192"/>
      <c r="BA14" s="1192"/>
      <c r="BB14" s="1192"/>
      <c r="BC14" s="1192"/>
      <c r="BD14" s="1192"/>
      <c r="BE14" s="1192"/>
      <c r="BF14" s="1192"/>
      <c r="BG14" s="1192"/>
      <c r="BH14" s="1192"/>
      <c r="BI14" s="1192"/>
      <c r="BJ14" s="1192"/>
      <c r="BK14" s="1192"/>
    </row>
    <row r="15" spans="2:63" ht="25.5">
      <c r="B15" s="1336"/>
      <c r="C15" s="4170"/>
      <c r="D15" s="4170" t="s">
        <v>8</v>
      </c>
      <c r="E15" s="4170" t="s">
        <v>8</v>
      </c>
      <c r="F15" s="4170" t="s">
        <v>8</v>
      </c>
      <c r="G15" s="4170" t="s">
        <v>2196</v>
      </c>
      <c r="H15" s="1332" t="s">
        <v>8</v>
      </c>
      <c r="I15" s="4170" t="s">
        <v>8</v>
      </c>
      <c r="J15" s="4170" t="s">
        <v>1360</v>
      </c>
      <c r="K15" s="4170" t="s">
        <v>2197</v>
      </c>
      <c r="L15" s="1332"/>
      <c r="M15" s="4171" t="s">
        <v>8</v>
      </c>
      <c r="N15" s="4167"/>
      <c r="O15" s="1332" t="s">
        <v>8</v>
      </c>
      <c r="P15" s="4170" t="s">
        <v>119</v>
      </c>
      <c r="Q15" s="4170" t="s">
        <v>1868</v>
      </c>
      <c r="R15" s="4170" t="s">
        <v>2198</v>
      </c>
      <c r="S15" s="4170" t="s">
        <v>8</v>
      </c>
      <c r="T15" s="4170"/>
      <c r="U15" s="4170" t="s">
        <v>1780</v>
      </c>
      <c r="V15" s="4170" t="s">
        <v>2199</v>
      </c>
      <c r="W15" s="4278"/>
      <c r="X15" s="4044"/>
      <c r="Y15" s="4045"/>
      <c r="Z15" s="4043"/>
      <c r="AA15" s="1192"/>
      <c r="AB15" s="1192"/>
      <c r="AC15" s="1192"/>
      <c r="AD15" s="1192"/>
      <c r="AF15" s="1192"/>
      <c r="AG15" s="1192"/>
      <c r="AH15" s="1192"/>
      <c r="AI15" s="1192"/>
      <c r="AJ15" s="1192"/>
      <c r="AK15" s="1192"/>
      <c r="AL15" s="1192"/>
      <c r="AM15" s="1192"/>
      <c r="AN15" s="1192"/>
      <c r="AO15" s="1192"/>
      <c r="AP15" s="1192"/>
      <c r="AQ15" s="1192"/>
      <c r="AR15" s="1192"/>
      <c r="AS15" s="1192"/>
      <c r="AT15" s="1192"/>
      <c r="AU15" s="1192"/>
      <c r="AV15" s="1192"/>
      <c r="AW15" s="1192"/>
      <c r="AX15" s="1192"/>
      <c r="AY15" s="1192"/>
      <c r="AZ15" s="1192"/>
      <c r="BA15" s="1192"/>
      <c r="BB15" s="1192"/>
      <c r="BC15" s="1192"/>
      <c r="BD15" s="1192"/>
      <c r="BE15" s="1192"/>
      <c r="BF15" s="1192"/>
      <c r="BG15" s="1192"/>
      <c r="BH15" s="1192"/>
      <c r="BI15" s="1192"/>
      <c r="BJ15" s="1192"/>
      <c r="BK15" s="1192"/>
    </row>
    <row r="16" spans="2:63" ht="25.5">
      <c r="B16" s="1331"/>
      <c r="C16" s="4170"/>
      <c r="D16" s="4170"/>
      <c r="E16" s="4170" t="s">
        <v>1698</v>
      </c>
      <c r="F16" s="4170" t="s">
        <v>2200</v>
      </c>
      <c r="G16" s="4170" t="s">
        <v>2201</v>
      </c>
      <c r="H16" s="1332"/>
      <c r="I16" s="4170"/>
      <c r="J16" s="4170" t="s">
        <v>127</v>
      </c>
      <c r="K16" s="4170" t="s">
        <v>2202</v>
      </c>
      <c r="L16" s="1332"/>
      <c r="M16" s="4171"/>
      <c r="N16" s="4167"/>
      <c r="O16" s="1332"/>
      <c r="P16" s="4170" t="s">
        <v>1870</v>
      </c>
      <c r="Q16" s="4170" t="s">
        <v>2203</v>
      </c>
      <c r="R16" s="4170" t="s">
        <v>2204</v>
      </c>
      <c r="S16" s="4170"/>
      <c r="T16" s="4170"/>
      <c r="U16" s="4170" t="s">
        <v>127</v>
      </c>
      <c r="V16" s="4170" t="s">
        <v>1920</v>
      </c>
      <c r="W16" s="4278"/>
      <c r="X16" s="4044" t="s">
        <v>401</v>
      </c>
      <c r="Y16" s="4039"/>
      <c r="Z16" s="4043"/>
      <c r="AA16" s="1192"/>
      <c r="AB16" s="1192"/>
      <c r="AC16" s="1192"/>
      <c r="AD16" s="1192"/>
      <c r="AE16" s="1192"/>
      <c r="AF16" s="1192"/>
      <c r="AG16" s="1192"/>
      <c r="AH16" s="1192"/>
      <c r="AI16" s="1192"/>
      <c r="AJ16" s="1192"/>
      <c r="AK16" s="1192"/>
      <c r="AL16" s="1192"/>
      <c r="AM16" s="1192"/>
      <c r="AN16" s="1192"/>
      <c r="AO16" s="1192"/>
      <c r="AP16" s="1192"/>
      <c r="AQ16" s="1192"/>
      <c r="AR16" s="1192"/>
      <c r="AS16" s="1192"/>
      <c r="AT16" s="1192"/>
      <c r="AU16" s="1192"/>
      <c r="AV16" s="1192"/>
      <c r="AW16" s="1192"/>
      <c r="AX16" s="1192"/>
      <c r="AY16" s="1192"/>
      <c r="AZ16" s="1192"/>
      <c r="BA16" s="1192"/>
      <c r="BB16" s="1192"/>
      <c r="BC16" s="1192"/>
      <c r="BD16" s="1192"/>
      <c r="BE16" s="1192"/>
      <c r="BF16" s="1192"/>
      <c r="BG16" s="1192"/>
      <c r="BH16" s="1192"/>
      <c r="BI16" s="1192"/>
      <c r="BJ16" s="1192"/>
      <c r="BK16" s="1192"/>
    </row>
    <row r="17" spans="2:63" ht="25.5">
      <c r="B17" s="1337"/>
      <c r="C17" s="4207" t="s">
        <v>119</v>
      </c>
      <c r="D17" s="4207" t="s">
        <v>2205</v>
      </c>
      <c r="E17" s="4207" t="s">
        <v>2206</v>
      </c>
      <c r="F17" s="4207" t="s">
        <v>2206</v>
      </c>
      <c r="G17" s="4207" t="s">
        <v>2207</v>
      </c>
      <c r="H17" s="1338" t="s">
        <v>401</v>
      </c>
      <c r="I17" s="4207" t="s">
        <v>119</v>
      </c>
      <c r="J17" s="4207" t="s">
        <v>2208</v>
      </c>
      <c r="K17" s="4207" t="s">
        <v>2209</v>
      </c>
      <c r="L17" s="1338" t="s">
        <v>401</v>
      </c>
      <c r="M17" s="4148" t="s">
        <v>1859</v>
      </c>
      <c r="N17" s="4168" t="s">
        <v>2210</v>
      </c>
      <c r="O17" s="1338" t="s">
        <v>401</v>
      </c>
      <c r="P17" s="4207" t="s">
        <v>126</v>
      </c>
      <c r="Q17" s="4207" t="s">
        <v>1421</v>
      </c>
      <c r="R17" s="4207" t="s">
        <v>2211</v>
      </c>
      <c r="S17" s="4207" t="s">
        <v>1789</v>
      </c>
      <c r="T17" s="4207" t="s">
        <v>2212</v>
      </c>
      <c r="U17" s="4207" t="s">
        <v>2213</v>
      </c>
      <c r="V17" s="4207" t="s">
        <v>1806</v>
      </c>
      <c r="W17" s="4277" t="s">
        <v>401</v>
      </c>
      <c r="X17" s="4047" t="s">
        <v>1495</v>
      </c>
      <c r="Y17" s="4048"/>
      <c r="Z17" s="4043"/>
      <c r="AA17" s="1192"/>
      <c r="AB17" s="1192"/>
      <c r="AC17" s="1192"/>
      <c r="AD17" s="1192"/>
      <c r="AE17" s="1192"/>
      <c r="AF17" s="1192"/>
      <c r="AG17" s="1192"/>
      <c r="AH17" s="1192"/>
      <c r="AI17" s="1192"/>
      <c r="AJ17" s="1192"/>
      <c r="AK17" s="1192"/>
      <c r="AL17" s="1192"/>
      <c r="AM17" s="1192"/>
      <c r="AN17" s="1192"/>
      <c r="AO17" s="1192"/>
      <c r="AP17" s="1192"/>
      <c r="AQ17" s="1192"/>
      <c r="AR17" s="1192"/>
      <c r="AS17" s="1192"/>
      <c r="AT17" s="1192"/>
      <c r="AU17" s="1192"/>
      <c r="AV17" s="1192"/>
      <c r="AW17" s="1192"/>
      <c r="AX17" s="1192"/>
      <c r="AY17" s="1192"/>
      <c r="AZ17" s="1192"/>
      <c r="BA17" s="1192"/>
      <c r="BB17" s="1192"/>
      <c r="BC17" s="1192"/>
      <c r="BD17" s="1192"/>
      <c r="BE17" s="1192"/>
      <c r="BF17" s="1192"/>
      <c r="BG17" s="1192"/>
      <c r="BH17" s="1192"/>
      <c r="BI17" s="1192"/>
      <c r="BJ17" s="1192"/>
      <c r="BK17" s="1192"/>
    </row>
    <row r="18" spans="2:63" ht="23.25" customHeight="1">
      <c r="B18" s="1340">
        <v>1967</v>
      </c>
      <c r="C18" s="1388" t="s">
        <v>77</v>
      </c>
      <c r="D18" s="4184">
        <v>6.3088036011123867</v>
      </c>
      <c r="E18" s="4184">
        <v>9.0947423615225098</v>
      </c>
      <c r="F18" s="4184">
        <v>10.761538461273563</v>
      </c>
      <c r="G18" s="4184">
        <v>7.6741818573238598</v>
      </c>
      <c r="H18" s="4276">
        <v>7.8635052127315781</v>
      </c>
      <c r="I18" s="4184" t="s">
        <v>2214</v>
      </c>
      <c r="J18" s="4184">
        <v>15.592067396612123</v>
      </c>
      <c r="K18" s="4184">
        <v>17.761914885608221</v>
      </c>
      <c r="L18" s="4276">
        <v>15.259665739460523</v>
      </c>
      <c r="M18" s="4184">
        <v>6.5908787482307423</v>
      </c>
      <c r="N18" s="4184">
        <v>6.760504808797335</v>
      </c>
      <c r="O18" s="4276">
        <v>6.6968258955763886</v>
      </c>
      <c r="P18" s="4184">
        <v>9.0425321914323966</v>
      </c>
      <c r="Q18" s="4184">
        <v>13.428121671706448</v>
      </c>
      <c r="R18" s="4184">
        <v>10.577809401883256</v>
      </c>
      <c r="S18" s="4184">
        <v>6.5314917207571082</v>
      </c>
      <c r="T18" s="4184">
        <v>1.8678893090532909</v>
      </c>
      <c r="U18" s="4184">
        <v>9.0401004815323525</v>
      </c>
      <c r="V18" s="4184">
        <v>23.42185270744233</v>
      </c>
      <c r="W18" s="4276">
        <v>7.1786831252473373</v>
      </c>
      <c r="X18" s="4049">
        <v>8.9620792023749516</v>
      </c>
      <c r="Y18" s="4155">
        <v>1967</v>
      </c>
      <c r="AA18" s="1843"/>
      <c r="AB18" s="1192"/>
      <c r="AC18" s="1192"/>
      <c r="AD18" s="1192"/>
      <c r="AE18" s="1192"/>
      <c r="AF18" s="1192"/>
      <c r="AG18" s="1192"/>
      <c r="AH18" s="1192"/>
      <c r="AI18" s="1192"/>
      <c r="AJ18" s="1192"/>
      <c r="AK18" s="1192"/>
      <c r="AL18" s="1192"/>
      <c r="AM18" s="1192"/>
      <c r="AN18" s="1192"/>
      <c r="AO18" s="1192"/>
      <c r="AP18" s="1192"/>
      <c r="AQ18" s="1192"/>
      <c r="AR18" s="1192"/>
      <c r="AS18" s="1192"/>
      <c r="AT18" s="1192"/>
      <c r="AU18" s="1192"/>
      <c r="AV18" s="1192"/>
      <c r="AW18" s="1192"/>
      <c r="AX18" s="1192"/>
      <c r="AY18" s="1192"/>
      <c r="AZ18" s="1192"/>
      <c r="BA18" s="1192"/>
      <c r="BB18" s="1192"/>
      <c r="BC18" s="1192"/>
      <c r="BD18" s="1192"/>
      <c r="BE18" s="1192"/>
      <c r="BF18" s="1192"/>
      <c r="BG18" s="1192"/>
      <c r="BH18" s="1192"/>
      <c r="BI18" s="1192"/>
      <c r="BJ18" s="1192"/>
      <c r="BK18" s="1192"/>
    </row>
    <row r="19" spans="2:63" ht="23.25" customHeight="1">
      <c r="B19" s="1342">
        <v>1968</v>
      </c>
      <c r="C19" s="1156" t="s">
        <v>2214</v>
      </c>
      <c r="D19" s="4183">
        <v>6.3088036011123867</v>
      </c>
      <c r="E19" s="4183">
        <v>9.0580700132905623</v>
      </c>
      <c r="F19" s="4183">
        <v>10.761538461273563</v>
      </c>
      <c r="G19" s="4183">
        <v>7.6741818573238598</v>
      </c>
      <c r="H19" s="4274">
        <v>7.9366540984314042</v>
      </c>
      <c r="I19" s="4183" t="s">
        <v>2214</v>
      </c>
      <c r="J19" s="4183">
        <v>15.63513940599503</v>
      </c>
      <c r="K19" s="4183">
        <v>18.334879881918166</v>
      </c>
      <c r="L19" s="4274">
        <v>15.454677442201234</v>
      </c>
      <c r="M19" s="4183">
        <v>6.5579243544895878</v>
      </c>
      <c r="N19" s="4183">
        <v>6.7347013553286441</v>
      </c>
      <c r="O19" s="4274">
        <v>6.6968258955763886</v>
      </c>
      <c r="P19" s="4183">
        <v>9.1182019168837165</v>
      </c>
      <c r="Q19" s="4183">
        <v>13.754641347614207</v>
      </c>
      <c r="R19" s="4183">
        <v>10.260871292463531</v>
      </c>
      <c r="S19" s="4183">
        <v>5.7826582750652094</v>
      </c>
      <c r="T19" s="4183">
        <v>2.0399317454134631</v>
      </c>
      <c r="U19" s="4183">
        <v>9.0022757933251061</v>
      </c>
      <c r="V19" s="4183">
        <v>23.42185270744233</v>
      </c>
      <c r="W19" s="4274">
        <v>7.0314280867807266</v>
      </c>
      <c r="X19" s="4050">
        <v>8.66</v>
      </c>
      <c r="Y19" s="4156">
        <v>1968</v>
      </c>
      <c r="Z19" s="4033">
        <f t="shared" ref="Z19:Z58" si="0">X19/X18*100-100</f>
        <v>-3.3706375000000008</v>
      </c>
      <c r="AA19" s="1843"/>
      <c r="AB19" s="1192"/>
      <c r="AC19" s="1192"/>
      <c r="AD19" s="1192"/>
      <c r="AE19" s="1192"/>
      <c r="AF19" s="1192"/>
      <c r="AG19" s="1192"/>
      <c r="AH19" s="1192"/>
      <c r="AI19" s="1192"/>
      <c r="AJ19" s="1192"/>
      <c r="AK19" s="1192"/>
      <c r="AL19" s="1192"/>
      <c r="AM19" s="1192"/>
      <c r="AN19" s="1192"/>
      <c r="AO19" s="1192"/>
      <c r="AP19" s="1192"/>
      <c r="AQ19" s="1192"/>
      <c r="AR19" s="1192"/>
      <c r="AS19" s="1192"/>
      <c r="AT19" s="1192"/>
      <c r="AU19" s="1192"/>
      <c r="AV19" s="1192"/>
      <c r="AW19" s="1192"/>
      <c r="AX19" s="1192"/>
      <c r="AY19" s="1192"/>
      <c r="AZ19" s="1192"/>
      <c r="BA19" s="1192"/>
      <c r="BB19" s="1192"/>
      <c r="BC19" s="1192"/>
      <c r="BD19" s="1192"/>
      <c r="BE19" s="1192"/>
      <c r="BF19" s="1192"/>
      <c r="BG19" s="1192"/>
      <c r="BH19" s="1192"/>
      <c r="BI19" s="1192"/>
      <c r="BJ19" s="1192"/>
      <c r="BK19" s="1192"/>
    </row>
    <row r="20" spans="2:63" ht="23.25" customHeight="1">
      <c r="B20" s="1340">
        <v>1969</v>
      </c>
      <c r="C20" s="1141" t="s">
        <v>2214</v>
      </c>
      <c r="D20" s="4184">
        <v>6.4270936686332441</v>
      </c>
      <c r="E20" s="4184">
        <v>9.4614658438419639</v>
      </c>
      <c r="F20" s="4184">
        <v>10.882454623759783</v>
      </c>
      <c r="G20" s="4184">
        <v>7.7959942677575738</v>
      </c>
      <c r="H20" s="4276">
        <v>8.0098029841312322</v>
      </c>
      <c r="I20" s="4184" t="s">
        <v>2214</v>
      </c>
      <c r="J20" s="4184">
        <v>15.721283424760845</v>
      </c>
      <c r="K20" s="4184">
        <v>18.965141377859098</v>
      </c>
      <c r="L20" s="4276">
        <v>15.454677442201234</v>
      </c>
      <c r="M20" s="4184">
        <v>6.6897419294542031</v>
      </c>
      <c r="N20" s="4184">
        <v>6.8121117157347184</v>
      </c>
      <c r="O20" s="4276">
        <v>6.7768676393482163</v>
      </c>
      <c r="P20" s="4184">
        <v>9.4965505441403018</v>
      </c>
      <c r="Q20" s="4184">
        <v>13.877086226079612</v>
      </c>
      <c r="R20" s="4184">
        <v>11.44938920278749</v>
      </c>
      <c r="S20" s="4184">
        <v>9.2772143549607353</v>
      </c>
      <c r="T20" s="4184">
        <v>2.5069040726767846</v>
      </c>
      <c r="U20" s="4184">
        <v>9.7209448692628211</v>
      </c>
      <c r="V20" s="4184">
        <v>23.688877086843142</v>
      </c>
      <c r="W20" s="4276">
        <v>8.3935371925968898</v>
      </c>
      <c r="X20" s="4051">
        <v>9.6022277168303045</v>
      </c>
      <c r="Y20" s="4155">
        <v>1969</v>
      </c>
      <c r="Z20" s="4033">
        <f t="shared" si="0"/>
        <v>10.880227677024294</v>
      </c>
      <c r="AA20" s="1843"/>
      <c r="AB20" s="1192"/>
      <c r="AC20" s="1192"/>
      <c r="AD20" s="1192"/>
      <c r="AE20" s="1192"/>
      <c r="AF20" s="1192"/>
      <c r="AG20" s="1192"/>
      <c r="AH20" s="1192"/>
      <c r="AI20" s="1192"/>
      <c r="AJ20" s="1192"/>
      <c r="AK20" s="1192"/>
      <c r="AL20" s="1192"/>
      <c r="AM20" s="1192"/>
      <c r="AN20" s="1192"/>
      <c r="AO20" s="1192"/>
      <c r="AP20" s="1192"/>
      <c r="AQ20" s="1192"/>
      <c r="AR20" s="1192"/>
      <c r="AS20" s="1192"/>
      <c r="AT20" s="1192"/>
      <c r="AU20" s="1192"/>
      <c r="AV20" s="1192"/>
      <c r="AW20" s="1192"/>
      <c r="AX20" s="1192"/>
      <c r="AY20" s="1192"/>
      <c r="AZ20" s="1192"/>
      <c r="BA20" s="1192"/>
      <c r="BB20" s="1192"/>
      <c r="BC20" s="1192"/>
      <c r="BD20" s="1192"/>
      <c r="BE20" s="1192"/>
      <c r="BF20" s="1192"/>
      <c r="BG20" s="1192"/>
      <c r="BH20" s="1192"/>
      <c r="BI20" s="1192"/>
      <c r="BJ20" s="1192"/>
      <c r="BK20" s="1192"/>
    </row>
    <row r="21" spans="2:63" ht="23.25" customHeight="1">
      <c r="B21" s="1342">
        <v>1970</v>
      </c>
      <c r="C21" s="1156" t="s">
        <v>2214</v>
      </c>
      <c r="D21" s="4183">
        <v>6.8213938937027692</v>
      </c>
      <c r="E21" s="4183">
        <v>10.781670380192004</v>
      </c>
      <c r="F21" s="4183">
        <v>12.978334773520931</v>
      </c>
      <c r="G21" s="4183">
        <v>7.7959942677575738</v>
      </c>
      <c r="H21" s="4274">
        <v>8.6315685125797792</v>
      </c>
      <c r="I21" s="4183" t="s">
        <v>2214</v>
      </c>
      <c r="J21" s="4183">
        <v>15.979715481058285</v>
      </c>
      <c r="K21" s="4183">
        <v>19.251623876014072</v>
      </c>
      <c r="L21" s="4274">
        <v>16.478488881589954</v>
      </c>
      <c r="M21" s="4183">
        <v>7.2170122293126635</v>
      </c>
      <c r="N21" s="4183">
        <v>7.328180785108561</v>
      </c>
      <c r="O21" s="4274">
        <v>7.2837986832364709</v>
      </c>
      <c r="P21" s="4183">
        <v>9.9505688968482033</v>
      </c>
      <c r="Q21" s="4183">
        <v>14.081161023521959</v>
      </c>
      <c r="R21" s="4183">
        <v>11.805944575884682</v>
      </c>
      <c r="S21" s="4183">
        <v>10.067649658746628</v>
      </c>
      <c r="T21" s="4183">
        <v>3.1950738181174705</v>
      </c>
      <c r="U21" s="4183">
        <v>9.9100683102990637</v>
      </c>
      <c r="V21" s="4183">
        <v>24.566242904874372</v>
      </c>
      <c r="W21" s="4274">
        <v>8.9457435868466835</v>
      </c>
      <c r="X21" s="4050">
        <v>10.242376231285659</v>
      </c>
      <c r="Y21" s="4156">
        <v>1970</v>
      </c>
      <c r="Z21" s="4033">
        <f t="shared" si="0"/>
        <v>6.6666666666666856</v>
      </c>
      <c r="AA21" s="1843"/>
      <c r="AB21" s="1192"/>
      <c r="AC21" s="1192"/>
      <c r="AD21" s="1192"/>
      <c r="AE21" s="1192"/>
      <c r="AF21" s="1192"/>
      <c r="AG21" s="1192"/>
      <c r="AH21" s="1192"/>
      <c r="AI21" s="1192"/>
      <c r="AJ21" s="1192"/>
      <c r="AK21" s="1192"/>
      <c r="AL21" s="1192"/>
      <c r="AM21" s="1192"/>
      <c r="AN21" s="1192"/>
      <c r="AO21" s="1192"/>
      <c r="AP21" s="1192"/>
      <c r="AQ21" s="1192"/>
      <c r="AR21" s="1192"/>
      <c r="AS21" s="1192"/>
      <c r="AT21" s="1192"/>
      <c r="AU21" s="1192"/>
      <c r="AV21" s="1192"/>
      <c r="AW21" s="1192"/>
      <c r="AX21" s="1192"/>
      <c r="AY21" s="1192"/>
      <c r="AZ21" s="1192"/>
      <c r="BA21" s="1192"/>
      <c r="BB21" s="1192"/>
      <c r="BC21" s="1192"/>
      <c r="BD21" s="1192"/>
      <c r="BE21" s="1192"/>
      <c r="BF21" s="1192"/>
      <c r="BG21" s="1192"/>
      <c r="BH21" s="1192"/>
      <c r="BI21" s="1192"/>
      <c r="BJ21" s="1192"/>
      <c r="BK21" s="1192"/>
    </row>
    <row r="22" spans="2:63" ht="23.25" customHeight="1">
      <c r="B22" s="1340">
        <v>1971</v>
      </c>
      <c r="C22" s="1141" t="s">
        <v>2214</v>
      </c>
      <c r="D22" s="4184">
        <v>7.2945541637861977</v>
      </c>
      <c r="E22" s="4184">
        <v>11.07504916604757</v>
      </c>
      <c r="F22" s="4184">
        <v>12.978334773520931</v>
      </c>
      <c r="G22" s="4184">
        <v>7.9584108150025203</v>
      </c>
      <c r="H22" s="4276">
        <v>8.8144407268293499</v>
      </c>
      <c r="I22" s="4184" t="s">
        <v>2214</v>
      </c>
      <c r="J22" s="4184">
        <v>16.668867631184785</v>
      </c>
      <c r="K22" s="4184">
        <v>20.225664369740976</v>
      </c>
      <c r="L22" s="4276">
        <v>17.112276915497265</v>
      </c>
      <c r="M22" s="4184">
        <v>7.480647379241895</v>
      </c>
      <c r="N22" s="4184">
        <v>7.7152325871389458</v>
      </c>
      <c r="O22" s="4276">
        <v>7.6573268208383407</v>
      </c>
      <c r="P22" s="4184">
        <v>11.463963405874546</v>
      </c>
      <c r="Q22" s="4184">
        <v>14.081161023521959</v>
      </c>
      <c r="R22" s="4184">
        <v>12.479438058401591</v>
      </c>
      <c r="S22" s="4184">
        <v>11.274103543472464</v>
      </c>
      <c r="T22" s="4184">
        <v>3.317961272660451</v>
      </c>
      <c r="U22" s="4184">
        <v>10.363964568786045</v>
      </c>
      <c r="V22" s="4184">
        <v>23.231121007870321</v>
      </c>
      <c r="W22" s="4276">
        <v>9.5347637407131316</v>
      </c>
      <c r="X22" s="4051">
        <v>10.722487617127173</v>
      </c>
      <c r="Y22" s="4155">
        <v>1971</v>
      </c>
      <c r="Z22" s="4033">
        <f t="shared" si="0"/>
        <v>4.6875</v>
      </c>
      <c r="AA22" s="1843"/>
      <c r="AB22" s="1192"/>
      <c r="AC22" s="1192"/>
      <c r="AD22" s="1192"/>
      <c r="AE22" s="1192"/>
      <c r="AF22" s="1192"/>
      <c r="AG22" s="1192"/>
      <c r="AH22" s="1192"/>
      <c r="AI22" s="1192"/>
      <c r="AJ22" s="1192"/>
      <c r="AK22" s="1192"/>
      <c r="AL22" s="1192"/>
      <c r="AM22" s="1192"/>
      <c r="AN22" s="1192"/>
      <c r="AO22" s="1192"/>
      <c r="AP22" s="1192"/>
      <c r="AQ22" s="1192"/>
      <c r="AR22" s="1192"/>
      <c r="AS22" s="1192"/>
      <c r="AT22" s="1192"/>
      <c r="AU22" s="1192"/>
      <c r="AV22" s="1192"/>
      <c r="AW22" s="1192"/>
      <c r="AX22" s="1192"/>
      <c r="AY22" s="1192"/>
      <c r="AZ22" s="1192"/>
      <c r="BA22" s="1192"/>
      <c r="BB22" s="1192"/>
      <c r="BC22" s="1192"/>
      <c r="BD22" s="1192"/>
      <c r="BE22" s="1192"/>
      <c r="BF22" s="1192"/>
      <c r="BG22" s="1192"/>
      <c r="BH22" s="1192"/>
      <c r="BI22" s="1192"/>
      <c r="BJ22" s="1192"/>
      <c r="BK22" s="1192"/>
    </row>
    <row r="23" spans="2:63" ht="23.25" customHeight="1">
      <c r="B23" s="1342">
        <v>1972</v>
      </c>
      <c r="C23" s="1156" t="s">
        <v>2214</v>
      </c>
      <c r="D23" s="4183">
        <v>7.8860045013904836</v>
      </c>
      <c r="E23" s="4183">
        <v>11.331755603671189</v>
      </c>
      <c r="F23" s="4183">
        <v>12.77680783604389</v>
      </c>
      <c r="G23" s="4183">
        <v>8.3238480463036577</v>
      </c>
      <c r="H23" s="4274">
        <v>8.9607384982290075</v>
      </c>
      <c r="I23" s="4183" t="s">
        <v>2214</v>
      </c>
      <c r="J23" s="4183">
        <v>16.841155668716414</v>
      </c>
      <c r="K23" s="4183">
        <v>21.715373360146824</v>
      </c>
      <c r="L23" s="4274">
        <v>18.08733542920081</v>
      </c>
      <c r="M23" s="4183">
        <v>7.7113281354299694</v>
      </c>
      <c r="N23" s="4183">
        <v>8.2571051099814774</v>
      </c>
      <c r="O23" s="4274">
        <v>8.1642578647265935</v>
      </c>
      <c r="P23" s="4183">
        <v>12.334165248564695</v>
      </c>
      <c r="Q23" s="4183">
        <v>14.081161023521959</v>
      </c>
      <c r="R23" s="4183">
        <v>11.647475521174817</v>
      </c>
      <c r="S23" s="4183">
        <v>11.565316550130419</v>
      </c>
      <c r="T23" s="4183">
        <v>3.9569760362839461</v>
      </c>
      <c r="U23" s="4183">
        <v>11.233932397552756</v>
      </c>
      <c r="V23" s="4183">
        <v>23.231121007870321</v>
      </c>
      <c r="W23" s="4274">
        <v>10.271038933046194</v>
      </c>
      <c r="X23" s="4050">
        <v>11.3</v>
      </c>
      <c r="Y23" s="4156">
        <v>1972</v>
      </c>
      <c r="Z23" s="4033">
        <f t="shared" si="0"/>
        <v>5.3859925373134416</v>
      </c>
      <c r="AA23" s="1843"/>
      <c r="AB23" s="1192"/>
      <c r="AC23" s="1192"/>
      <c r="AD23" s="1192"/>
      <c r="AE23" s="1192"/>
      <c r="AF23" s="1192"/>
      <c r="AG23" s="1192"/>
      <c r="AH23" s="1192"/>
      <c r="AI23" s="1192"/>
      <c r="AJ23" s="1192"/>
      <c r="AK23" s="1192"/>
      <c r="AL23" s="1192"/>
      <c r="AM23" s="1192"/>
      <c r="AN23" s="1192"/>
      <c r="AO23" s="1192"/>
      <c r="AP23" s="1192"/>
      <c r="AQ23" s="1192"/>
      <c r="AR23" s="1192"/>
      <c r="AS23" s="1192"/>
      <c r="AT23" s="1192"/>
      <c r="AU23" s="1192"/>
      <c r="AV23" s="1192"/>
      <c r="AW23" s="1192"/>
      <c r="AX23" s="1192"/>
      <c r="AY23" s="1192"/>
      <c r="AZ23" s="1192"/>
      <c r="BA23" s="1192"/>
      <c r="BB23" s="1192"/>
      <c r="BC23" s="1192"/>
      <c r="BD23" s="1192"/>
      <c r="BE23" s="1192"/>
      <c r="BF23" s="1192"/>
      <c r="BG23" s="1192"/>
      <c r="BH23" s="1192"/>
      <c r="BI23" s="1192"/>
      <c r="BJ23" s="1192"/>
      <c r="BK23" s="1192"/>
    </row>
    <row r="24" spans="2:63" ht="23.25" customHeight="1">
      <c r="B24" s="1340">
        <v>1973</v>
      </c>
      <c r="C24" s="1141" t="s">
        <v>2214</v>
      </c>
      <c r="D24" s="4184">
        <v>8.2803047264600078</v>
      </c>
      <c r="E24" s="4184">
        <v>11.515117344830918</v>
      </c>
      <c r="F24" s="4184">
        <v>12.978334773520931</v>
      </c>
      <c r="G24" s="4184">
        <v>8.4456604567373699</v>
      </c>
      <c r="H24" s="4276">
        <v>9.1436107124785799</v>
      </c>
      <c r="I24" s="4184" t="s">
        <v>2214</v>
      </c>
      <c r="J24" s="4184">
        <v>17.271875762545474</v>
      </c>
      <c r="K24" s="4184">
        <v>22.402931355718756</v>
      </c>
      <c r="L24" s="4276">
        <v>18.867382240163654</v>
      </c>
      <c r="M24" s="4184">
        <v>8.2056440415472753</v>
      </c>
      <c r="N24" s="4184">
        <v>9.2634397952604726</v>
      </c>
      <c r="O24" s="4276">
        <v>9.0980782087312697</v>
      </c>
      <c r="P24" s="4184">
        <v>13.507045993060112</v>
      </c>
      <c r="Q24" s="4184">
        <v>14.285235820964306</v>
      </c>
      <c r="R24" s="4184">
        <v>14.737622088017119</v>
      </c>
      <c r="S24" s="4184">
        <v>14.893465197649967</v>
      </c>
      <c r="T24" s="4184">
        <v>6.1443727271489843</v>
      </c>
      <c r="U24" s="4184">
        <v>12.103900226319469</v>
      </c>
      <c r="V24" s="4184">
        <v>24.604389244788774</v>
      </c>
      <c r="W24" s="4276">
        <v>12.258981952345454</v>
      </c>
      <c r="X24" s="4051">
        <v>12.66</v>
      </c>
      <c r="Y24" s="4155">
        <v>1973</v>
      </c>
      <c r="Z24" s="4033">
        <f t="shared" si="0"/>
        <v>12.035398230088475</v>
      </c>
      <c r="AA24" s="1843"/>
      <c r="AB24" s="1192"/>
      <c r="AC24" s="1192"/>
      <c r="AD24" s="1192"/>
      <c r="AE24" s="1192"/>
      <c r="AF24" s="1192"/>
      <c r="AG24" s="1192"/>
      <c r="AH24" s="1192"/>
      <c r="AI24" s="1192"/>
      <c r="AJ24" s="1192"/>
      <c r="AK24" s="1192"/>
      <c r="AL24" s="1192"/>
      <c r="AM24" s="1192"/>
      <c r="AN24" s="1192"/>
      <c r="AO24" s="1192"/>
      <c r="AP24" s="1192"/>
      <c r="AQ24" s="1192"/>
      <c r="AR24" s="1192"/>
      <c r="AS24" s="1192"/>
      <c r="AT24" s="1192"/>
      <c r="AU24" s="1192"/>
      <c r="AV24" s="1192"/>
      <c r="AW24" s="1192"/>
      <c r="AX24" s="1192"/>
      <c r="AY24" s="1192"/>
      <c r="AZ24" s="1192"/>
      <c r="BA24" s="1192"/>
      <c r="BB24" s="1192"/>
      <c r="BC24" s="1192"/>
      <c r="BD24" s="1192"/>
      <c r="BE24" s="1192"/>
      <c r="BF24" s="1192"/>
      <c r="BG24" s="1192"/>
      <c r="BH24" s="1192"/>
      <c r="BI24" s="1192"/>
      <c r="BJ24" s="1192"/>
      <c r="BK24" s="1192"/>
    </row>
    <row r="25" spans="2:63" ht="23.25" customHeight="1">
      <c r="B25" s="1342">
        <v>1974</v>
      </c>
      <c r="C25" s="1156" t="s">
        <v>2214</v>
      </c>
      <c r="D25" s="4183">
        <v>9.5420654466824839</v>
      </c>
      <c r="E25" s="4183">
        <v>12.395253702397611</v>
      </c>
      <c r="F25" s="4183">
        <v>14.711466435823409</v>
      </c>
      <c r="G25" s="4183">
        <v>8.4456604567373699</v>
      </c>
      <c r="H25" s="4274">
        <v>9.7288017980772068</v>
      </c>
      <c r="I25" s="4183" t="s">
        <v>2214</v>
      </c>
      <c r="J25" s="4183">
        <v>17.401091790694188</v>
      </c>
      <c r="K25" s="4183">
        <v>23.205082350552679</v>
      </c>
      <c r="L25" s="4274">
        <v>20.427475862089324</v>
      </c>
      <c r="M25" s="4183">
        <v>9.7215461536403431</v>
      </c>
      <c r="N25" s="4183">
        <v>10.476202108289003</v>
      </c>
      <c r="O25" s="4274">
        <v>10.352065527823264</v>
      </c>
      <c r="P25" s="4183">
        <v>16.836513912918058</v>
      </c>
      <c r="Q25" s="4183">
        <v>14.979090132268286</v>
      </c>
      <c r="R25" s="4183">
        <v>16.916571590277719</v>
      </c>
      <c r="S25" s="4183">
        <v>17.888798980417562</v>
      </c>
      <c r="T25" s="4183">
        <v>9.2902915634492622</v>
      </c>
      <c r="U25" s="4183">
        <v>18.269324404100949</v>
      </c>
      <c r="V25" s="4183">
        <v>27.465364738368852</v>
      </c>
      <c r="W25" s="4274">
        <v>16.050799192860712</v>
      </c>
      <c r="X25" s="4050">
        <v>15.123508654007731</v>
      </c>
      <c r="Y25" s="4156">
        <v>1974</v>
      </c>
      <c r="Z25" s="4033">
        <f t="shared" si="0"/>
        <v>19.458994107486021</v>
      </c>
      <c r="AA25" s="1843"/>
      <c r="AB25" s="1192"/>
      <c r="AC25" s="1192"/>
      <c r="AD25" s="1192"/>
      <c r="AE25" s="1192"/>
      <c r="AF25" s="1192"/>
      <c r="AG25" s="1192"/>
      <c r="AH25" s="1192"/>
      <c r="AI25" s="1192"/>
      <c r="AJ25" s="1192"/>
      <c r="AK25" s="1192"/>
      <c r="AL25" s="1192"/>
      <c r="AM25" s="1192"/>
      <c r="AN25" s="1192"/>
      <c r="AO25" s="1192"/>
      <c r="AP25" s="1192"/>
      <c r="AQ25" s="1192"/>
      <c r="AR25" s="1192"/>
      <c r="AS25" s="1192"/>
      <c r="AT25" s="1192"/>
      <c r="AU25" s="1192"/>
      <c r="AV25" s="1192"/>
      <c r="AW25" s="1192"/>
      <c r="AX25" s="1192"/>
      <c r="AY25" s="1192"/>
      <c r="AZ25" s="1192"/>
      <c r="BA25" s="1192"/>
      <c r="BB25" s="1192"/>
      <c r="BC25" s="1192"/>
      <c r="BD25" s="1192"/>
      <c r="BE25" s="1192"/>
      <c r="BF25" s="1192"/>
      <c r="BG25" s="1192"/>
      <c r="BH25" s="1192"/>
      <c r="BI25" s="1192"/>
      <c r="BJ25" s="1192"/>
      <c r="BK25" s="1192"/>
    </row>
    <row r="26" spans="2:63" ht="23.25" customHeight="1">
      <c r="B26" s="1340">
        <v>1975</v>
      </c>
      <c r="C26" s="1141">
        <v>5.546301094018915</v>
      </c>
      <c r="D26" s="4184">
        <v>11.040406301946676</v>
      </c>
      <c r="E26" s="4184">
        <v>13.055355970572633</v>
      </c>
      <c r="F26" s="4184">
        <v>18.862921347850286</v>
      </c>
      <c r="G26" s="4184">
        <v>10.516471434110473</v>
      </c>
      <c r="H26" s="4276">
        <v>11.155205069223866</v>
      </c>
      <c r="I26" s="4184">
        <v>18.765287897900844</v>
      </c>
      <c r="J26" s="4184">
        <v>17.444163800077103</v>
      </c>
      <c r="K26" s="4184">
        <v>24.179122844279579</v>
      </c>
      <c r="L26" s="4276">
        <v>21.500040227163232</v>
      </c>
      <c r="M26" s="4184">
        <v>11.171539478251107</v>
      </c>
      <c r="N26" s="4184">
        <v>11.198698805412379</v>
      </c>
      <c r="O26" s="4276">
        <v>11.152482965541557</v>
      </c>
      <c r="P26" s="4184">
        <v>18.387743284670069</v>
      </c>
      <c r="Q26" s="4184">
        <v>15.346424767664512</v>
      </c>
      <c r="R26" s="4184">
        <v>18.540879401053793</v>
      </c>
      <c r="S26" s="4184">
        <v>22.256994080286972</v>
      </c>
      <c r="T26" s="4184">
        <v>12.706562799744098</v>
      </c>
      <c r="U26" s="4184">
        <v>18.685395974380675</v>
      </c>
      <c r="V26" s="4184">
        <v>27.160194019053652</v>
      </c>
      <c r="W26" s="4276">
        <v>18.811831164109687</v>
      </c>
      <c r="X26" s="4051">
        <v>16.883917068759953</v>
      </c>
      <c r="Y26" s="4155">
        <v>1975</v>
      </c>
      <c r="Z26" s="4033">
        <f t="shared" si="0"/>
        <v>11.640211640211632</v>
      </c>
      <c r="AA26" s="1843"/>
      <c r="AB26" s="1192"/>
      <c r="AC26" s="1192"/>
      <c r="AD26" s="1192"/>
      <c r="AE26" s="1192"/>
      <c r="AF26" s="1192"/>
      <c r="AG26" s="1192"/>
      <c r="AH26" s="1192"/>
      <c r="AI26" s="1192"/>
      <c r="AJ26" s="1192"/>
      <c r="AK26" s="1192"/>
      <c r="AL26" s="1192"/>
      <c r="AM26" s="1192"/>
      <c r="AN26" s="1192"/>
      <c r="AO26" s="1192"/>
      <c r="AP26" s="1192"/>
      <c r="AQ26" s="1192"/>
      <c r="AR26" s="1192"/>
      <c r="AS26" s="1192"/>
      <c r="AT26" s="1192"/>
      <c r="AU26" s="1192"/>
      <c r="AV26" s="1192"/>
      <c r="AW26" s="1192"/>
      <c r="AX26" s="1192"/>
      <c r="AY26" s="1192"/>
      <c r="AZ26" s="1192"/>
      <c r="BA26" s="1192"/>
      <c r="BB26" s="1192"/>
      <c r="BC26" s="1192"/>
      <c r="BD26" s="1192"/>
      <c r="BE26" s="1192"/>
      <c r="BF26" s="1192"/>
      <c r="BG26" s="1192"/>
      <c r="BH26" s="1192"/>
      <c r="BI26" s="1192"/>
      <c r="BJ26" s="1192"/>
      <c r="BK26" s="1192"/>
    </row>
    <row r="27" spans="2:63" ht="23.25" customHeight="1">
      <c r="B27" s="1342">
        <v>1976</v>
      </c>
      <c r="C27" s="1156">
        <v>6.4925894323349347</v>
      </c>
      <c r="D27" s="4183">
        <v>11.552996594537058</v>
      </c>
      <c r="E27" s="4183">
        <v>16.025816177360227</v>
      </c>
      <c r="F27" s="4183">
        <v>20.152693747703299</v>
      </c>
      <c r="G27" s="4183">
        <v>12.140636906559971</v>
      </c>
      <c r="H27" s="4274">
        <v>12.508459454670696</v>
      </c>
      <c r="I27" s="4183">
        <v>20.049723296588542</v>
      </c>
      <c r="J27" s="4183">
        <v>18.607108053415576</v>
      </c>
      <c r="K27" s="4183">
        <v>25.726128334316421</v>
      </c>
      <c r="L27" s="4274">
        <v>22.962627997718556</v>
      </c>
      <c r="M27" s="4183">
        <v>11.995399321779949</v>
      </c>
      <c r="N27" s="4183">
        <v>12.050212769879218</v>
      </c>
      <c r="O27" s="4274">
        <v>12.006261565774407</v>
      </c>
      <c r="P27" s="4183">
        <v>20.809174499112217</v>
      </c>
      <c r="Q27" s="4183">
        <v>16.203538916922366</v>
      </c>
      <c r="R27" s="4183">
        <v>23.374185569704572</v>
      </c>
      <c r="S27" s="4183">
        <v>25.751550160182486</v>
      </c>
      <c r="T27" s="4183">
        <v>15.188889381512283</v>
      </c>
      <c r="U27" s="4183">
        <v>20.652279761157587</v>
      </c>
      <c r="V27" s="4183">
        <v>28.686047615629697</v>
      </c>
      <c r="W27" s="4274">
        <v>21.57286313535867</v>
      </c>
      <c r="X27" s="4050">
        <v>18.850000000000001</v>
      </c>
      <c r="Y27" s="4156">
        <v>1976</v>
      </c>
      <c r="Z27" s="4033">
        <f t="shared" si="0"/>
        <v>11.644708530805701</v>
      </c>
      <c r="AA27" s="1843"/>
      <c r="AB27" s="1192"/>
      <c r="AC27" s="1192"/>
      <c r="AD27" s="1192"/>
      <c r="AE27" s="1192"/>
      <c r="AF27" s="1192"/>
      <c r="AG27" s="1192"/>
      <c r="AH27" s="1192"/>
      <c r="AI27" s="1192"/>
      <c r="AJ27" s="1192"/>
      <c r="AK27" s="1192"/>
      <c r="AL27" s="1192"/>
      <c r="AM27" s="1192"/>
      <c r="AN27" s="1192"/>
      <c r="AO27" s="1192"/>
      <c r="AP27" s="1192"/>
      <c r="AQ27" s="1192"/>
      <c r="AR27" s="1192"/>
      <c r="AS27" s="1192"/>
      <c r="AT27" s="1192"/>
      <c r="AU27" s="1192"/>
      <c r="AV27" s="1192"/>
      <c r="AW27" s="1192"/>
      <c r="AX27" s="1192"/>
      <c r="AY27" s="1192"/>
      <c r="AZ27" s="1192"/>
      <c r="BA27" s="1192"/>
      <c r="BB27" s="1192"/>
      <c r="BC27" s="1192"/>
      <c r="BD27" s="1192"/>
      <c r="BE27" s="1192"/>
      <c r="BF27" s="1192"/>
      <c r="BG27" s="1192"/>
      <c r="BH27" s="1192"/>
      <c r="BI27" s="1192"/>
      <c r="BJ27" s="1192"/>
      <c r="BK27" s="1192"/>
    </row>
    <row r="28" spans="2:63" ht="23.25" customHeight="1">
      <c r="B28" s="1340">
        <v>1977</v>
      </c>
      <c r="C28" s="1141">
        <v>4.9680137761591219</v>
      </c>
      <c r="D28" s="4184">
        <v>17.664650083114683</v>
      </c>
      <c r="E28" s="4184">
        <v>16.869280186694976</v>
      </c>
      <c r="F28" s="4184">
        <v>27.246441946894862</v>
      </c>
      <c r="G28" s="4184">
        <v>13.115136190029663</v>
      </c>
      <c r="H28" s="4276">
        <v>14.812649354215296</v>
      </c>
      <c r="I28" s="4184">
        <v>22.086023318898317</v>
      </c>
      <c r="J28" s="4184">
        <v>18.65018006279848</v>
      </c>
      <c r="K28" s="4184">
        <v>29.106621812545086</v>
      </c>
      <c r="L28" s="4276">
        <v>24.717733322384934</v>
      </c>
      <c r="M28" s="4184">
        <v>16.839695201729548</v>
      </c>
      <c r="N28" s="4184">
        <v>15.430465174277892</v>
      </c>
      <c r="O28" s="4276">
        <v>15.528098291734892</v>
      </c>
      <c r="P28" s="4184">
        <v>25.122348849837294</v>
      </c>
      <c r="Q28" s="4184">
        <v>17.183097944645638</v>
      </c>
      <c r="R28" s="4184">
        <v>24.99849338048065</v>
      </c>
      <c r="S28" s="4184">
        <v>31.867023299999648</v>
      </c>
      <c r="T28" s="4184">
        <v>17.572905999646089</v>
      </c>
      <c r="U28" s="4184">
        <v>23.943027635188198</v>
      </c>
      <c r="V28" s="4184">
        <v>29.563413433660923</v>
      </c>
      <c r="W28" s="4276">
        <v>24.628405183540881</v>
      </c>
      <c r="X28" s="4051">
        <v>21.558441558441558</v>
      </c>
      <c r="Y28" s="4155">
        <v>1977</v>
      </c>
      <c r="Z28" s="4033">
        <f t="shared" si="0"/>
        <v>14.368390230459198</v>
      </c>
      <c r="AA28" s="1843"/>
      <c r="AB28" s="1192"/>
      <c r="AC28" s="1192"/>
      <c r="AD28" s="1192"/>
      <c r="AE28" s="1192"/>
      <c r="AF28" s="1192"/>
      <c r="AG28" s="1192"/>
      <c r="AH28" s="1192"/>
      <c r="AI28" s="1192"/>
      <c r="AJ28" s="1192"/>
      <c r="AK28" s="1192"/>
      <c r="AL28" s="1192"/>
      <c r="AM28" s="1192"/>
      <c r="AN28" s="1192"/>
      <c r="AO28" s="1192"/>
      <c r="AP28" s="1192"/>
      <c r="AQ28" s="1192"/>
      <c r="AR28" s="1192"/>
      <c r="AS28" s="1192"/>
      <c r="AT28" s="1192"/>
      <c r="AU28" s="1192"/>
      <c r="AV28" s="1192"/>
      <c r="AW28" s="1192"/>
      <c r="AX28" s="1192"/>
      <c r="AY28" s="1192"/>
      <c r="AZ28" s="1192"/>
      <c r="BA28" s="1192"/>
      <c r="BB28" s="1192"/>
      <c r="BC28" s="1192"/>
      <c r="BD28" s="1192"/>
      <c r="BE28" s="1192"/>
      <c r="BF28" s="1192"/>
      <c r="BG28" s="1192"/>
      <c r="BH28" s="1192"/>
      <c r="BI28" s="1192"/>
      <c r="BJ28" s="1192"/>
      <c r="BK28" s="1192"/>
    </row>
    <row r="29" spans="2:63" ht="23.25" customHeight="1">
      <c r="B29" s="1342">
        <v>1978</v>
      </c>
      <c r="C29" s="1156">
        <v>6.4268749643963226</v>
      </c>
      <c r="D29" s="4183">
        <v>19.872731343504022</v>
      </c>
      <c r="E29" s="4183">
        <v>18.996276384147823</v>
      </c>
      <c r="F29" s="4183">
        <v>29.342322096656005</v>
      </c>
      <c r="G29" s="4183">
        <v>15.795009219571336</v>
      </c>
      <c r="H29" s="4274">
        <v>17.007115925210158</v>
      </c>
      <c r="I29" s="4183">
        <v>24.184978726509932</v>
      </c>
      <c r="J29" s="4183">
        <v>20.07155637243439</v>
      </c>
      <c r="K29" s="4183">
        <v>32.25792929224977</v>
      </c>
      <c r="L29" s="4274">
        <v>27.252885458014163</v>
      </c>
      <c r="M29" s="4183">
        <v>18.454460495046078</v>
      </c>
      <c r="N29" s="4183">
        <v>16.075551510995187</v>
      </c>
      <c r="O29" s="4274">
        <v>16.301835148195913</v>
      </c>
      <c r="P29" s="4183">
        <v>23.987302968067535</v>
      </c>
      <c r="Q29" s="4183">
        <v>17.917767215438086</v>
      </c>
      <c r="R29" s="4183">
        <v>26.741652982289128</v>
      </c>
      <c r="S29" s="4183">
        <v>33.323088333289448</v>
      </c>
      <c r="T29" s="4183">
        <v>20.645092363220577</v>
      </c>
      <c r="U29" s="4183">
        <v>24.661696711125913</v>
      </c>
      <c r="V29" s="4183">
        <v>29.754145133232928</v>
      </c>
      <c r="W29" s="4274">
        <v>25.511935414340542</v>
      </c>
      <c r="X29" s="4050">
        <v>23.125365084699649</v>
      </c>
      <c r="Y29" s="4156">
        <v>1978</v>
      </c>
      <c r="Z29" s="4033">
        <f t="shared" si="0"/>
        <v>7.2682597302333107</v>
      </c>
      <c r="AA29" s="1843"/>
      <c r="AB29" s="1192"/>
      <c r="AC29" s="1192"/>
      <c r="AD29" s="1192"/>
      <c r="AE29" s="1192"/>
      <c r="AF29" s="1192"/>
      <c r="AG29" s="1192"/>
      <c r="AH29" s="1192"/>
      <c r="AI29" s="1192"/>
      <c r="AJ29" s="1192"/>
      <c r="AK29" s="1192"/>
      <c r="AL29" s="1192"/>
      <c r="AM29" s="1192"/>
      <c r="AN29" s="1192"/>
      <c r="AO29" s="1192"/>
      <c r="AP29" s="1192"/>
      <c r="AQ29" s="1192"/>
      <c r="AR29" s="1192"/>
      <c r="AS29" s="1192"/>
      <c r="AT29" s="1192"/>
      <c r="AU29" s="1192"/>
      <c r="AV29" s="1192"/>
      <c r="AW29" s="1192"/>
      <c r="AX29" s="1192"/>
      <c r="AY29" s="1192"/>
      <c r="AZ29" s="1192"/>
      <c r="BA29" s="1192"/>
      <c r="BB29" s="1192"/>
      <c r="BC29" s="1192"/>
      <c r="BD29" s="1192"/>
      <c r="BE29" s="1192"/>
      <c r="BF29" s="1192"/>
      <c r="BG29" s="1192"/>
      <c r="BH29" s="1192"/>
      <c r="BI29" s="1192"/>
      <c r="BJ29" s="1192"/>
      <c r="BK29" s="1192"/>
    </row>
    <row r="30" spans="2:63" ht="23.25" customHeight="1">
      <c r="B30" s="1340">
        <v>1979</v>
      </c>
      <c r="C30" s="1141">
        <v>8.8845960653004408</v>
      </c>
      <c r="D30" s="4184">
        <v>20.937341951191733</v>
      </c>
      <c r="E30" s="4184">
        <v>24.35043922601189</v>
      </c>
      <c r="F30" s="4184">
        <v>30.551483721518196</v>
      </c>
      <c r="G30" s="4184">
        <v>19.65240221663888</v>
      </c>
      <c r="H30" s="4276">
        <v>19.823348024653558</v>
      </c>
      <c r="I30" s="4184">
        <v>29.635997247769946</v>
      </c>
      <c r="J30" s="4184">
        <v>27.695302033208826</v>
      </c>
      <c r="K30" s="4184">
        <v>41.08159023542288</v>
      </c>
      <c r="L30" s="4276">
        <v>35.00460064195736</v>
      </c>
      <c r="M30" s="4184">
        <v>21.914671837867221</v>
      </c>
      <c r="N30" s="4184">
        <v>19.971872984767693</v>
      </c>
      <c r="O30" s="4276">
        <v>20.143838849243721</v>
      </c>
      <c r="P30" s="4184">
        <v>23.722458928987923</v>
      </c>
      <c r="Q30" s="4184">
        <v>19.264660878557581</v>
      </c>
      <c r="R30" s="4184">
        <v>27.573615519515894</v>
      </c>
      <c r="S30" s="4184">
        <v>36.817644413184972</v>
      </c>
      <c r="T30" s="4184">
        <v>20.989177235940932</v>
      </c>
      <c r="U30" s="4184">
        <v>27.082476756389813</v>
      </c>
      <c r="V30" s="4184">
        <v>32.805852326385029</v>
      </c>
      <c r="W30" s="4276">
        <v>27.021299558623312</v>
      </c>
      <c r="X30" s="4051">
        <v>26.406126221283337</v>
      </c>
      <c r="Y30" s="4155">
        <v>1979</v>
      </c>
      <c r="Z30" s="4033">
        <f t="shared" si="0"/>
        <v>14.186851211072664</v>
      </c>
      <c r="AA30" s="1843"/>
      <c r="AB30" s="1192"/>
      <c r="AC30" s="1192"/>
      <c r="AD30" s="1192"/>
      <c r="AE30" s="1192"/>
      <c r="AF30" s="1192"/>
      <c r="AG30" s="1192"/>
      <c r="AH30" s="1192"/>
      <c r="AI30" s="1192"/>
      <c r="AJ30" s="1192"/>
      <c r="AK30" s="1192"/>
      <c r="AL30" s="1192"/>
      <c r="AM30" s="1192"/>
      <c r="AN30" s="1192"/>
      <c r="AO30" s="1192"/>
      <c r="AP30" s="1192"/>
      <c r="AQ30" s="1192"/>
      <c r="AR30" s="1192"/>
      <c r="AS30" s="1192"/>
      <c r="AT30" s="1192"/>
      <c r="AU30" s="1192"/>
      <c r="AV30" s="1192"/>
      <c r="AW30" s="1192"/>
      <c r="AX30" s="1192"/>
      <c r="AY30" s="1192"/>
      <c r="AZ30" s="1192"/>
      <c r="BA30" s="1192"/>
      <c r="BB30" s="1192"/>
      <c r="BC30" s="1192"/>
      <c r="BD30" s="1192"/>
      <c r="BE30" s="1192"/>
      <c r="BF30" s="1192"/>
      <c r="BG30" s="1192"/>
      <c r="BH30" s="1192"/>
      <c r="BI30" s="1192"/>
      <c r="BJ30" s="1192"/>
      <c r="BK30" s="1192"/>
    </row>
    <row r="31" spans="2:63" ht="23.25" customHeight="1">
      <c r="B31" s="1342">
        <v>1980</v>
      </c>
      <c r="C31" s="1156">
        <v>13.14289358772254</v>
      </c>
      <c r="D31" s="4183">
        <v>22.948273099046311</v>
      </c>
      <c r="E31" s="4183">
        <v>26.917503602248072</v>
      </c>
      <c r="F31" s="4183">
        <v>34.380495533581822</v>
      </c>
      <c r="G31" s="4183">
        <v>26.230272380059326</v>
      </c>
      <c r="H31" s="4274">
        <v>23.80996229529422</v>
      </c>
      <c r="I31" s="4183">
        <v>31.327692650919602</v>
      </c>
      <c r="J31" s="4183">
        <v>34.500679515708036</v>
      </c>
      <c r="K31" s="4183">
        <v>42.628595725459732</v>
      </c>
      <c r="L31" s="4274">
        <v>37.686011554642121</v>
      </c>
      <c r="M31" s="4183">
        <v>23.529437131183755</v>
      </c>
      <c r="N31" s="4183">
        <v>21.10722493739015</v>
      </c>
      <c r="O31" s="4274">
        <v>21.317784424563882</v>
      </c>
      <c r="P31" s="4183">
        <v>26.597908496137972</v>
      </c>
      <c r="Q31" s="4183">
        <v>20.69318446065401</v>
      </c>
      <c r="R31" s="4183">
        <v>30.029885867518747</v>
      </c>
      <c r="S31" s="4183">
        <v>39.313755898824631</v>
      </c>
      <c r="T31" s="4183">
        <v>22.783334072268435</v>
      </c>
      <c r="U31" s="4183">
        <v>30.032802436555183</v>
      </c>
      <c r="V31" s="4183">
        <v>38.75668135303161</v>
      </c>
      <c r="W31" s="4274">
        <v>29.966400327955554</v>
      </c>
      <c r="X31" s="4050">
        <v>29.28679453633243</v>
      </c>
      <c r="Y31" s="4156">
        <v>1980</v>
      </c>
      <c r="Z31" s="4033">
        <f t="shared" si="0"/>
        <v>10.909090909090907</v>
      </c>
      <c r="AA31" s="1843"/>
      <c r="AB31" s="1192"/>
      <c r="AC31" s="1192"/>
      <c r="AD31" s="1192"/>
      <c r="AE31" s="1192"/>
      <c r="AF31" s="1192"/>
      <c r="AG31" s="1192"/>
      <c r="AH31" s="1192"/>
      <c r="AI31" s="1192"/>
      <c r="AJ31" s="1192"/>
      <c r="AK31" s="1192"/>
      <c r="AL31" s="1192"/>
      <c r="AM31" s="1192"/>
      <c r="AN31" s="1192"/>
      <c r="AO31" s="1192"/>
      <c r="AP31" s="1192"/>
      <c r="AQ31" s="1192"/>
      <c r="AR31" s="1192"/>
      <c r="AS31" s="1192"/>
      <c r="AT31" s="1192"/>
      <c r="AU31" s="1192"/>
      <c r="AV31" s="1192"/>
      <c r="AW31" s="1192"/>
      <c r="AX31" s="1192"/>
      <c r="AY31" s="1192"/>
      <c r="AZ31" s="1192"/>
      <c r="BA31" s="1192"/>
      <c r="BB31" s="1192"/>
      <c r="BC31" s="1192"/>
      <c r="BD31" s="1192"/>
      <c r="BE31" s="1192"/>
      <c r="BF31" s="1192"/>
      <c r="BG31" s="1192"/>
      <c r="BH31" s="1192"/>
      <c r="BI31" s="1192"/>
      <c r="BJ31" s="1192"/>
      <c r="BK31" s="1192"/>
    </row>
    <row r="32" spans="2:63" ht="23.25" customHeight="1">
      <c r="B32" s="1340">
        <v>1981</v>
      </c>
      <c r="C32" s="1141">
        <v>13.510894608178775</v>
      </c>
      <c r="D32" s="4184">
        <v>24.249463841775736</v>
      </c>
      <c r="E32" s="4184">
        <v>32.858424015823253</v>
      </c>
      <c r="F32" s="4184">
        <v>37.121261883269476</v>
      </c>
      <c r="G32" s="4184">
        <v>32.726934269857303</v>
      </c>
      <c r="H32" s="4276">
        <v>26.114152194838812</v>
      </c>
      <c r="I32" s="4184">
        <v>30.763794183203053</v>
      </c>
      <c r="J32" s="4184">
        <v>38.463304378935433</v>
      </c>
      <c r="K32" s="4184">
        <v>44.003711716603583</v>
      </c>
      <c r="L32" s="4276">
        <v>38.807328845401194</v>
      </c>
      <c r="M32" s="4184">
        <v>29.19759285466219</v>
      </c>
      <c r="N32" s="4184">
        <v>26.758181247033729</v>
      </c>
      <c r="O32" s="4276">
        <v>26.947387069849221</v>
      </c>
      <c r="P32" s="4184">
        <v>31.932624140455836</v>
      </c>
      <c r="Q32" s="4184">
        <v>22.733932435077485</v>
      </c>
      <c r="R32" s="4184">
        <v>31.139169250487779</v>
      </c>
      <c r="S32" s="4184">
        <v>40.145793060704534</v>
      </c>
      <c r="T32" s="4184">
        <v>20.325584981408838</v>
      </c>
      <c r="U32" s="4184">
        <v>33.399199687000277</v>
      </c>
      <c r="V32" s="4184">
        <v>39.71033985089165</v>
      </c>
      <c r="W32" s="4276">
        <v>32.396108462654652</v>
      </c>
      <c r="X32" s="4051">
        <v>31.6</v>
      </c>
      <c r="Y32" s="4155">
        <v>1981</v>
      </c>
      <c r="Z32" s="4033">
        <f t="shared" si="0"/>
        <v>7.8984590163934598</v>
      </c>
      <c r="AA32" s="1843"/>
      <c r="AB32" s="1192"/>
      <c r="AC32" s="1192"/>
      <c r="AD32" s="1192"/>
      <c r="AE32" s="1192"/>
      <c r="AF32" s="1192"/>
      <c r="AG32" s="1192"/>
      <c r="AH32" s="1192"/>
      <c r="AI32" s="1192"/>
      <c r="AJ32" s="1192"/>
      <c r="AK32" s="1192"/>
      <c r="AL32" s="1192"/>
      <c r="AM32" s="1192"/>
      <c r="AN32" s="1192"/>
      <c r="AO32" s="1192"/>
      <c r="AP32" s="1192"/>
      <c r="AQ32" s="1192"/>
      <c r="AR32" s="1192"/>
      <c r="AS32" s="1192"/>
      <c r="AT32" s="1192"/>
      <c r="AU32" s="1192"/>
      <c r="AV32" s="1192"/>
      <c r="AW32" s="1192"/>
      <c r="AX32" s="1192"/>
      <c r="AY32" s="1192"/>
      <c r="AZ32" s="1192"/>
      <c r="BA32" s="1192"/>
      <c r="BB32" s="1192"/>
      <c r="BC32" s="1192"/>
      <c r="BD32" s="1192"/>
      <c r="BE32" s="1192"/>
      <c r="BF32" s="1192"/>
      <c r="BG32" s="1192"/>
      <c r="BH32" s="1192"/>
      <c r="BI32" s="1192"/>
      <c r="BJ32" s="1192"/>
      <c r="BK32" s="1192"/>
    </row>
    <row r="33" spans="2:63" ht="23.25" customHeight="1">
      <c r="B33" s="1342">
        <v>1982</v>
      </c>
      <c r="C33" s="1156">
        <v>16.807776321765385</v>
      </c>
      <c r="D33" s="4183">
        <v>27.798165867401455</v>
      </c>
      <c r="E33" s="4183">
        <v>34.875403168580263</v>
      </c>
      <c r="F33" s="4183">
        <v>37.282483433251109</v>
      </c>
      <c r="G33" s="4183">
        <v>35.650432120266395</v>
      </c>
      <c r="H33" s="4274">
        <v>29.552149822730765</v>
      </c>
      <c r="I33" s="4183">
        <v>34.515598655077177</v>
      </c>
      <c r="J33" s="4183">
        <v>41.478345035738897</v>
      </c>
      <c r="K33" s="4183">
        <v>46.696647199260319</v>
      </c>
      <c r="L33" s="4274">
        <v>41.878763163567385</v>
      </c>
      <c r="M33" s="4183">
        <v>30.350996635602566</v>
      </c>
      <c r="N33" s="4183">
        <v>28.332191908623948</v>
      </c>
      <c r="O33" s="4274">
        <v>28.441499620256693</v>
      </c>
      <c r="P33" s="4183">
        <v>33.710862688561789</v>
      </c>
      <c r="Q33" s="4183">
        <v>26.529723667505145</v>
      </c>
      <c r="R33" s="4183">
        <v>32.605008006554002</v>
      </c>
      <c r="S33" s="4183">
        <v>43.598747282506054</v>
      </c>
      <c r="T33" s="4183">
        <v>24.552913417687336</v>
      </c>
      <c r="U33" s="4183">
        <v>34.57176502142498</v>
      </c>
      <c r="V33" s="4183">
        <v>39.634047171062839</v>
      </c>
      <c r="W33" s="4274">
        <v>33.90547260693743</v>
      </c>
      <c r="X33" s="4050">
        <v>33.9</v>
      </c>
      <c r="Y33" s="4156">
        <v>1982</v>
      </c>
      <c r="Z33" s="4033">
        <f t="shared" si="0"/>
        <v>7.2784810126582187</v>
      </c>
      <c r="AA33" s="1843"/>
      <c r="AB33" s="1192"/>
      <c r="AC33" s="1192"/>
      <c r="AD33" s="1192"/>
      <c r="AE33" s="1192"/>
      <c r="AF33" s="1192"/>
      <c r="AG33" s="1192"/>
      <c r="AH33" s="1192"/>
      <c r="AI33" s="1192"/>
      <c r="AJ33" s="1192"/>
      <c r="AK33" s="1192"/>
      <c r="AL33" s="1192"/>
      <c r="AM33" s="1192"/>
      <c r="AN33" s="1192"/>
      <c r="AO33" s="1192"/>
      <c r="AP33" s="1192"/>
      <c r="AQ33" s="1192"/>
      <c r="AR33" s="1192"/>
      <c r="AS33" s="1192"/>
      <c r="AT33" s="1192"/>
      <c r="AU33" s="1192"/>
      <c r="AV33" s="1192"/>
      <c r="AW33" s="1192"/>
      <c r="AX33" s="1192"/>
      <c r="AY33" s="1192"/>
      <c r="AZ33" s="1192"/>
      <c r="BA33" s="1192"/>
      <c r="BB33" s="1192"/>
      <c r="BC33" s="1192"/>
      <c r="BD33" s="1192"/>
      <c r="BE33" s="1192"/>
      <c r="BF33" s="1192"/>
      <c r="BG33" s="1192"/>
      <c r="BH33" s="1192"/>
      <c r="BI33" s="1192"/>
      <c r="BJ33" s="1192"/>
      <c r="BK33" s="1192"/>
    </row>
    <row r="34" spans="2:63" ht="23.25" customHeight="1">
      <c r="B34" s="1340">
        <v>1983</v>
      </c>
      <c r="C34" s="1141">
        <v>17.800117359212788</v>
      </c>
      <c r="D34" s="4184">
        <v>30.67655751040898</v>
      </c>
      <c r="E34" s="4184">
        <v>34.06861150747747</v>
      </c>
      <c r="F34" s="4184">
        <v>39.015615095553585</v>
      </c>
      <c r="G34" s="4184">
        <v>38.12728446575187</v>
      </c>
      <c r="H34" s="4276">
        <v>31.271148636676738</v>
      </c>
      <c r="I34" s="4184">
        <v>39.06538211415554</v>
      </c>
      <c r="J34" s="4184">
        <v>42.641289289077356</v>
      </c>
      <c r="K34" s="4184">
        <v>50.764698673060913</v>
      </c>
      <c r="L34" s="4276">
        <v>45.583985515640869</v>
      </c>
      <c r="M34" s="4184">
        <v>34.635067821952553</v>
      </c>
      <c r="N34" s="4184">
        <v>28.770850617591709</v>
      </c>
      <c r="O34" s="4276">
        <v>29.428681126775917</v>
      </c>
      <c r="P34" s="4184">
        <v>35.337761785765103</v>
      </c>
      <c r="Q34" s="4184">
        <v>34.243751010825875</v>
      </c>
      <c r="R34" s="4184">
        <v>32.882328852296261</v>
      </c>
      <c r="S34" s="4184">
        <v>46.302868058615672</v>
      </c>
      <c r="T34" s="4184">
        <v>22.857066544994218</v>
      </c>
      <c r="U34" s="4184">
        <v>35.895629108678676</v>
      </c>
      <c r="V34" s="4184">
        <v>39.405169131576436</v>
      </c>
      <c r="W34" s="4276">
        <v>34.789002837737101</v>
      </c>
      <c r="X34" s="4051">
        <v>35.608261116579051</v>
      </c>
      <c r="Y34" s="4155">
        <v>1983</v>
      </c>
      <c r="Z34" s="4033">
        <f t="shared" si="0"/>
        <v>5.0391183379913116</v>
      </c>
      <c r="AA34" s="1843"/>
      <c r="AB34" s="1192"/>
      <c r="AC34" s="1192"/>
      <c r="AD34" s="1192"/>
      <c r="AE34" s="1192"/>
      <c r="AF34" s="1192"/>
      <c r="AG34" s="1192"/>
      <c r="AH34" s="1192"/>
      <c r="AI34" s="1192"/>
      <c r="AJ34" s="1192"/>
      <c r="AK34" s="1192"/>
      <c r="AL34" s="1192"/>
      <c r="AM34" s="1192"/>
      <c r="AN34" s="1192"/>
      <c r="AO34" s="1192"/>
      <c r="AP34" s="1192"/>
      <c r="AQ34" s="1192"/>
      <c r="AR34" s="1192"/>
      <c r="AS34" s="1192"/>
      <c r="AT34" s="1192"/>
      <c r="AU34" s="1192"/>
      <c r="AV34" s="1192"/>
      <c r="AW34" s="1192"/>
      <c r="AX34" s="1192"/>
      <c r="AY34" s="1192"/>
      <c r="AZ34" s="1192"/>
      <c r="BA34" s="1192"/>
      <c r="BB34" s="1192"/>
      <c r="BC34" s="1192"/>
      <c r="BD34" s="1192"/>
      <c r="BE34" s="1192"/>
      <c r="BF34" s="1192"/>
      <c r="BG34" s="1192"/>
      <c r="BH34" s="1192"/>
      <c r="BI34" s="1192"/>
      <c r="BJ34" s="1192"/>
      <c r="BK34" s="1192"/>
    </row>
    <row r="35" spans="2:63" ht="23.25" customHeight="1">
      <c r="B35" s="1342">
        <v>1984</v>
      </c>
      <c r="C35" s="1156">
        <v>18.937174797954608</v>
      </c>
      <c r="D35" s="4183">
        <v>33.909819355979081</v>
      </c>
      <c r="E35" s="4183">
        <v>35.242126650899728</v>
      </c>
      <c r="F35" s="4183">
        <v>39.942639007947946</v>
      </c>
      <c r="G35" s="4183">
        <v>39.832658211823841</v>
      </c>
      <c r="H35" s="4274">
        <v>33.392466321971767</v>
      </c>
      <c r="I35" s="4183">
        <v>39.653716182139803</v>
      </c>
      <c r="J35" s="4183">
        <v>42.770505317226068</v>
      </c>
      <c r="K35" s="4183">
        <v>55.520308142433436</v>
      </c>
      <c r="L35" s="4274">
        <v>48.02163179989973</v>
      </c>
      <c r="M35" s="4183">
        <v>35.788471602892933</v>
      </c>
      <c r="N35" s="4183">
        <v>28.770850617591709</v>
      </c>
      <c r="O35" s="4274">
        <v>29.588764614319587</v>
      </c>
      <c r="P35" s="4183">
        <v>37.116000333871057</v>
      </c>
      <c r="Q35" s="4183">
        <v>35.549829714456898</v>
      </c>
      <c r="R35" s="4183">
        <v>34.704722981459668</v>
      </c>
      <c r="S35" s="4183">
        <v>43.141126843472122</v>
      </c>
      <c r="T35" s="4183">
        <v>24.257983526784184</v>
      </c>
      <c r="U35" s="4183">
        <v>36.387350055372899</v>
      </c>
      <c r="V35" s="4183">
        <v>39.367022791662023</v>
      </c>
      <c r="W35" s="4274">
        <v>35.451650510836849</v>
      </c>
      <c r="X35" s="4050">
        <v>37.04859527410359</v>
      </c>
      <c r="Y35" s="4156">
        <v>1984</v>
      </c>
      <c r="Z35" s="4033">
        <f t="shared" si="0"/>
        <v>4.0449438202247165</v>
      </c>
      <c r="AA35" s="1843"/>
      <c r="AB35" s="1192"/>
      <c r="AC35" s="1192"/>
      <c r="AD35" s="1192"/>
      <c r="AE35" s="1192"/>
      <c r="AF35" s="1192"/>
      <c r="AG35" s="1192"/>
      <c r="AH35" s="1192"/>
      <c r="AI35" s="1192"/>
      <c r="AJ35" s="1192"/>
      <c r="AK35" s="1192"/>
      <c r="AL35" s="1192"/>
      <c r="AM35" s="1192"/>
      <c r="AN35" s="1192"/>
      <c r="AO35" s="1192"/>
      <c r="AP35" s="1192"/>
      <c r="AQ35" s="1192"/>
      <c r="AR35" s="1192"/>
      <c r="AS35" s="1192"/>
      <c r="AT35" s="1192"/>
      <c r="AU35" s="1192"/>
      <c r="AV35" s="1192"/>
      <c r="AW35" s="1192"/>
      <c r="AX35" s="1192"/>
      <c r="AY35" s="1192"/>
      <c r="AZ35" s="1192"/>
      <c r="BA35" s="1192"/>
      <c r="BB35" s="1192"/>
      <c r="BC35" s="1192"/>
      <c r="BD35" s="1192"/>
      <c r="BE35" s="1192"/>
      <c r="BF35" s="1192"/>
      <c r="BG35" s="1192"/>
      <c r="BH35" s="1192"/>
      <c r="BI35" s="1192"/>
      <c r="BJ35" s="1192"/>
      <c r="BK35" s="1192"/>
    </row>
    <row r="36" spans="2:63" ht="23.25" customHeight="1">
      <c r="B36" s="1340">
        <v>1985</v>
      </c>
      <c r="C36" s="1141">
        <v>19.950189607015499</v>
      </c>
      <c r="D36" s="4184">
        <v>36.945931089014415</v>
      </c>
      <c r="E36" s="4184">
        <v>36.232280053162249</v>
      </c>
      <c r="F36" s="4184">
        <v>39.741112070470905</v>
      </c>
      <c r="G36" s="4184">
        <v>40.604136811237353</v>
      </c>
      <c r="H36" s="4276">
        <v>35.184614021617563</v>
      </c>
      <c r="I36" s="4184">
        <v>39.771382995736666</v>
      </c>
      <c r="J36" s="4184">
        <v>44.364169664393614</v>
      </c>
      <c r="K36" s="4184">
        <v>58.098650625828185</v>
      </c>
      <c r="L36" s="4276">
        <v>49.581725421825396</v>
      </c>
      <c r="M36" s="4184">
        <v>36.216878721527934</v>
      </c>
      <c r="N36" s="4184">
        <v>28.616029896779555</v>
      </c>
      <c r="O36" s="4276">
        <v>29.535403451805038</v>
      </c>
      <c r="P36" s="4184">
        <v>37.532183823853302</v>
      </c>
      <c r="Q36" s="4184">
        <v>40.692514610004046</v>
      </c>
      <c r="R36" s="4184">
        <v>38.309893976109016</v>
      </c>
      <c r="S36" s="4184">
        <v>40.645015357832456</v>
      </c>
      <c r="T36" s="4184">
        <v>24.405448472235765</v>
      </c>
      <c r="U36" s="4184">
        <v>37.370791948761351</v>
      </c>
      <c r="V36" s="4184">
        <v>38.146339914401196</v>
      </c>
      <c r="W36" s="4276">
        <v>36.261553222403215</v>
      </c>
      <c r="X36" s="4051">
        <v>38.088836610093544</v>
      </c>
      <c r="Y36" s="4155">
        <v>1985</v>
      </c>
      <c r="Z36" s="4033">
        <f t="shared" si="0"/>
        <v>2.8077753779697616</v>
      </c>
      <c r="AA36" s="1843"/>
      <c r="AB36" s="1192"/>
      <c r="AC36" s="1192"/>
      <c r="AD36" s="1192"/>
      <c r="AE36" s="1192"/>
      <c r="AF36" s="1192"/>
      <c r="AG36" s="1192"/>
      <c r="AH36" s="1192"/>
      <c r="AI36" s="1192"/>
      <c r="AJ36" s="1192"/>
      <c r="AK36" s="1192"/>
      <c r="AL36" s="1192"/>
      <c r="AM36" s="1192"/>
      <c r="AN36" s="1192"/>
      <c r="AO36" s="1192"/>
      <c r="AP36" s="1192"/>
      <c r="AQ36" s="1192"/>
      <c r="AR36" s="1192"/>
      <c r="AS36" s="1192"/>
      <c r="AT36" s="1192"/>
      <c r="AU36" s="1192"/>
      <c r="AV36" s="1192"/>
      <c r="AW36" s="1192"/>
      <c r="AX36" s="1192"/>
      <c r="AY36" s="1192"/>
      <c r="AZ36" s="1192"/>
      <c r="BA36" s="1192"/>
      <c r="BB36" s="1192"/>
      <c r="BC36" s="1192"/>
      <c r="BD36" s="1192"/>
      <c r="BE36" s="1192"/>
      <c r="BF36" s="1192"/>
      <c r="BG36" s="1192"/>
      <c r="BH36" s="1192"/>
      <c r="BI36" s="1192"/>
      <c r="BJ36" s="1192"/>
      <c r="BK36" s="1192"/>
    </row>
    <row r="37" spans="2:63" ht="23.25" customHeight="1">
      <c r="B37" s="1342">
        <v>1986</v>
      </c>
      <c r="C37" s="1156">
        <v>20.67377161348756</v>
      </c>
      <c r="D37" s="4183">
        <v>39.430022506952419</v>
      </c>
      <c r="E37" s="4183">
        <v>36.672348231945612</v>
      </c>
      <c r="F37" s="4183">
        <v>40.305387495406599</v>
      </c>
      <c r="G37" s="4183">
        <v>40.604136811237353</v>
      </c>
      <c r="H37" s="4274">
        <v>36.57444284991432</v>
      </c>
      <c r="I37" s="4183">
        <v>39.22227119895134</v>
      </c>
      <c r="J37" s="4183">
        <v>43.072009382906415</v>
      </c>
      <c r="K37" s="4183">
        <v>57.296499630994255</v>
      </c>
      <c r="L37" s="4274">
        <v>48.752925685177381</v>
      </c>
      <c r="M37" s="4183">
        <v>32.954393741153709</v>
      </c>
      <c r="N37" s="4183">
        <v>25.803453468692116</v>
      </c>
      <c r="O37" s="4274">
        <v>26.680581257276447</v>
      </c>
      <c r="P37" s="4183">
        <v>37.834862725658567</v>
      </c>
      <c r="Q37" s="4183">
        <v>40.814959488469455</v>
      </c>
      <c r="R37" s="4183">
        <v>39.617263677465374</v>
      </c>
      <c r="S37" s="4183">
        <v>41.601858093994323</v>
      </c>
      <c r="T37" s="4183">
        <v>24.577490908595937</v>
      </c>
      <c r="U37" s="4183">
        <v>37.824688207248322</v>
      </c>
      <c r="V37" s="4183">
        <v>38.146339914401196</v>
      </c>
      <c r="W37" s="4274">
        <v>36.813759616653016</v>
      </c>
      <c r="X37" s="4050">
        <v>38.088836610093544</v>
      </c>
      <c r="Y37" s="4156">
        <v>1986</v>
      </c>
      <c r="Z37" s="4033">
        <f t="shared" si="0"/>
        <v>0</v>
      </c>
      <c r="AA37" s="1843"/>
      <c r="AB37" s="1192"/>
      <c r="AC37" s="1192"/>
      <c r="AD37" s="1192"/>
      <c r="AE37" s="1192"/>
      <c r="AF37" s="1192"/>
      <c r="AG37" s="1192"/>
      <c r="AH37" s="1192"/>
      <c r="AI37" s="1192"/>
      <c r="AJ37" s="1192"/>
      <c r="AK37" s="1192"/>
      <c r="AL37" s="1192"/>
      <c r="AM37" s="1192"/>
      <c r="AN37" s="1192"/>
      <c r="AO37" s="1192"/>
      <c r="AP37" s="1192"/>
      <c r="AQ37" s="1192"/>
      <c r="AR37" s="1192"/>
      <c r="AS37" s="1192"/>
      <c r="AT37" s="1192"/>
      <c r="AU37" s="1192"/>
      <c r="AV37" s="1192"/>
      <c r="AW37" s="1192"/>
      <c r="AX37" s="1192"/>
      <c r="AY37" s="1192"/>
      <c r="AZ37" s="1192"/>
      <c r="BA37" s="1192"/>
      <c r="BB37" s="1192"/>
      <c r="BC37" s="1192"/>
      <c r="BD37" s="1192"/>
      <c r="BE37" s="1192"/>
      <c r="BF37" s="1192"/>
      <c r="BG37" s="1192"/>
      <c r="BH37" s="1192"/>
      <c r="BI37" s="1192"/>
      <c r="BJ37" s="1192"/>
      <c r="BK37" s="1192"/>
    </row>
    <row r="38" spans="2:63" ht="23.25" customHeight="1">
      <c r="B38" s="1340">
        <v>1987</v>
      </c>
      <c r="C38" s="1141">
        <v>20.67377161348756</v>
      </c>
      <c r="D38" s="4184">
        <v>41.204373519765277</v>
      </c>
      <c r="E38" s="4184">
        <v>39.972859572820703</v>
      </c>
      <c r="F38" s="4184">
        <v>43.40890233255292</v>
      </c>
      <c r="G38" s="4184">
        <v>41.984677462819434</v>
      </c>
      <c r="H38" s="4276">
        <v>38.220292778160456</v>
      </c>
      <c r="I38" s="4184">
        <v>32.711374179925414</v>
      </c>
      <c r="J38" s="4184">
        <v>42.21056919524829</v>
      </c>
      <c r="K38" s="4184">
        <v>57.81216812767321</v>
      </c>
      <c r="L38" s="4276">
        <v>47.144079137566528</v>
      </c>
      <c r="M38" s="4184">
        <v>34.766885396917161</v>
      </c>
      <c r="N38" s="4184">
        <v>26.680770886627652</v>
      </c>
      <c r="O38" s="4276">
        <v>27.69444334505296</v>
      </c>
      <c r="P38" s="4184">
        <v>38.213211352915152</v>
      </c>
      <c r="Q38" s="4184">
        <v>44.365860963966291</v>
      </c>
      <c r="R38" s="4184">
        <v>37.279845120494912</v>
      </c>
      <c r="S38" s="4184">
        <v>38.232107588380792</v>
      </c>
      <c r="T38" s="4184">
        <v>28.116649599433746</v>
      </c>
      <c r="U38" s="4184">
        <v>37.295142572346862</v>
      </c>
      <c r="V38" s="4184">
        <v>37.154535076626757</v>
      </c>
      <c r="W38" s="4276">
        <v>36.261553222403215</v>
      </c>
      <c r="X38" s="4051">
        <v>38.008818045786619</v>
      </c>
      <c r="Y38" s="4155">
        <v>1987</v>
      </c>
      <c r="Z38" s="4033">
        <f t="shared" si="0"/>
        <v>-0.2100840336134695</v>
      </c>
      <c r="AA38" s="1843"/>
      <c r="AB38" s="1192"/>
      <c r="AC38" s="1192"/>
      <c r="AD38" s="1192"/>
      <c r="AE38" s="1192"/>
      <c r="AF38" s="1192"/>
      <c r="AG38" s="1192"/>
      <c r="AH38" s="1192"/>
      <c r="AI38" s="1192"/>
      <c r="AJ38" s="1192"/>
      <c r="AK38" s="1192"/>
      <c r="AL38" s="1192"/>
      <c r="AM38" s="1192"/>
      <c r="AN38" s="1192"/>
      <c r="AO38" s="1192"/>
      <c r="AP38" s="1192"/>
      <c r="AQ38" s="1192"/>
      <c r="AR38" s="1192"/>
      <c r="AS38" s="1192"/>
      <c r="AT38" s="1192"/>
      <c r="AU38" s="1192"/>
      <c r="AV38" s="1192"/>
      <c r="AW38" s="1192"/>
      <c r="AX38" s="1192"/>
      <c r="AY38" s="1192"/>
      <c r="AZ38" s="1192"/>
      <c r="BA38" s="1192"/>
      <c r="BB38" s="1192"/>
      <c r="BC38" s="1192"/>
      <c r="BD38" s="1192"/>
      <c r="BE38" s="1192"/>
      <c r="BF38" s="1192"/>
      <c r="BG38" s="1192"/>
      <c r="BH38" s="1192"/>
      <c r="BI38" s="1192"/>
      <c r="BJ38" s="1192"/>
      <c r="BK38" s="1192"/>
    </row>
    <row r="39" spans="2:63" ht="23.25" customHeight="1">
      <c r="B39" s="1342">
        <v>1988</v>
      </c>
      <c r="C39" s="1156">
        <v>23.009907805811658</v>
      </c>
      <c r="D39" s="4183">
        <v>42.860434465057281</v>
      </c>
      <c r="E39" s="4183">
        <v>43.236698565463868</v>
      </c>
      <c r="F39" s="4183">
        <v>45.545087869809471</v>
      </c>
      <c r="G39" s="4183">
        <v>47.385027658713994</v>
      </c>
      <c r="H39" s="4274">
        <v>41.658290406052409</v>
      </c>
      <c r="I39" s="4183">
        <v>42.71305333565801</v>
      </c>
      <c r="J39" s="4183">
        <v>42.253641204631194</v>
      </c>
      <c r="K39" s="4183">
        <v>59.301877118079048</v>
      </c>
      <c r="L39" s="4274">
        <v>50.508031009843776</v>
      </c>
      <c r="M39" s="4183">
        <v>31.174856479131407</v>
      </c>
      <c r="N39" s="4183">
        <v>28.667636803716935</v>
      </c>
      <c r="O39" s="4274">
        <v>28.841708339115847</v>
      </c>
      <c r="P39" s="4183">
        <v>39.083413195605303</v>
      </c>
      <c r="Q39" s="4183">
        <v>45.018900315781792</v>
      </c>
      <c r="R39" s="4183">
        <v>42.152768552823154</v>
      </c>
      <c r="S39" s="4183">
        <v>39.937783770234553</v>
      </c>
      <c r="T39" s="4183">
        <v>31.041371017556656</v>
      </c>
      <c r="U39" s="4183">
        <v>38.278584465735314</v>
      </c>
      <c r="V39" s="4183">
        <v>37.116388736712366</v>
      </c>
      <c r="W39" s="4274">
        <v>38.249496241702488</v>
      </c>
      <c r="X39" s="4050">
        <v>40.569412103608038</v>
      </c>
      <c r="Y39" s="4156">
        <v>1988</v>
      </c>
      <c r="Z39" s="4033">
        <f t="shared" si="0"/>
        <v>6.7368421052631788</v>
      </c>
      <c r="AA39" s="1843"/>
      <c r="AB39" s="1192"/>
      <c r="AC39" s="1192"/>
      <c r="AD39" s="1192"/>
      <c r="AE39" s="1192"/>
      <c r="AF39" s="1192"/>
      <c r="AG39" s="1192"/>
      <c r="AH39" s="1192"/>
      <c r="AI39" s="1192"/>
      <c r="AJ39" s="1192"/>
      <c r="AK39" s="1192"/>
      <c r="AL39" s="1192"/>
      <c r="AM39" s="1192"/>
      <c r="AN39" s="1192"/>
      <c r="AO39" s="1192"/>
      <c r="AP39" s="1192"/>
      <c r="AQ39" s="1192"/>
      <c r="AR39" s="1192"/>
      <c r="AS39" s="1192"/>
      <c r="AT39" s="1192"/>
      <c r="AU39" s="1192"/>
      <c r="AV39" s="1192"/>
      <c r="AW39" s="1192"/>
      <c r="AX39" s="1192"/>
      <c r="AY39" s="1192"/>
      <c r="AZ39" s="1192"/>
      <c r="BA39" s="1192"/>
      <c r="BB39" s="1192"/>
      <c r="BC39" s="1192"/>
      <c r="BD39" s="1192"/>
      <c r="BE39" s="1192"/>
      <c r="BF39" s="1192"/>
      <c r="BG39" s="1192"/>
      <c r="BH39" s="1192"/>
      <c r="BI39" s="1192"/>
      <c r="BJ39" s="1192"/>
      <c r="BK39" s="1192"/>
    </row>
    <row r="40" spans="2:63" ht="23.25" customHeight="1">
      <c r="B40" s="1340">
        <v>1989</v>
      </c>
      <c r="C40" s="1141">
        <v>40.972831116480663</v>
      </c>
      <c r="D40" s="4184">
        <v>47.158306918315084</v>
      </c>
      <c r="E40" s="4184">
        <v>66.34027795158957</v>
      </c>
      <c r="F40" s="4184">
        <v>57.032123306000337</v>
      </c>
      <c r="G40" s="4184">
        <v>64.276348572188724</v>
      </c>
      <c r="H40" s="4276">
        <v>56.251493103168215</v>
      </c>
      <c r="I40" s="4184">
        <v>60.370723718069918</v>
      </c>
      <c r="J40" s="4184">
        <v>43.459657467352578</v>
      </c>
      <c r="K40" s="4184">
        <v>63.140742593355661</v>
      </c>
      <c r="L40" s="4276">
        <v>57.333440605768601</v>
      </c>
      <c r="M40" s="4184">
        <v>46.795239112438288</v>
      </c>
      <c r="N40" s="4184">
        <v>47.839602730955178</v>
      </c>
      <c r="O40" s="4276">
        <v>47.328414338225173</v>
      </c>
      <c r="P40" s="4184">
        <v>45.083389064546743</v>
      </c>
      <c r="Q40" s="4184">
        <v>57.222573202834162</v>
      </c>
      <c r="R40" s="4184">
        <v>49.085789696379607</v>
      </c>
      <c r="S40" s="4184">
        <v>56.952943730678243</v>
      </c>
      <c r="T40" s="4184">
        <v>42.764834180956932</v>
      </c>
      <c r="U40" s="4184">
        <v>45.578749289734247</v>
      </c>
      <c r="V40" s="4184">
        <v>38.565949653459604</v>
      </c>
      <c r="W40" s="4276">
        <v>46.17365799918705</v>
      </c>
      <c r="X40" s="4051">
        <v>50.971825463507535</v>
      </c>
      <c r="Y40" s="4155">
        <v>1989</v>
      </c>
      <c r="Z40" s="4033">
        <f t="shared" si="0"/>
        <v>25.641025641025635</v>
      </c>
      <c r="AA40" s="1843"/>
      <c r="AB40" s="1192"/>
      <c r="AC40" s="1192"/>
      <c r="AD40" s="1192"/>
      <c r="AE40" s="1192"/>
      <c r="AF40" s="1192"/>
      <c r="AG40" s="1192"/>
      <c r="AH40" s="1192"/>
      <c r="AI40" s="1192"/>
      <c r="AJ40" s="1192"/>
      <c r="AK40" s="1192"/>
      <c r="AL40" s="1192"/>
      <c r="AM40" s="1192"/>
      <c r="AN40" s="1192"/>
      <c r="AO40" s="1192"/>
      <c r="AP40" s="1192"/>
      <c r="AQ40" s="1192"/>
      <c r="AR40" s="1192"/>
      <c r="AS40" s="1192"/>
      <c r="AT40" s="1192"/>
      <c r="AU40" s="1192"/>
      <c r="AV40" s="1192"/>
      <c r="AW40" s="1192"/>
      <c r="AX40" s="1192"/>
      <c r="AY40" s="1192"/>
      <c r="AZ40" s="1192"/>
      <c r="BA40" s="1192"/>
      <c r="BB40" s="1192"/>
      <c r="BC40" s="1192"/>
      <c r="BD40" s="1192"/>
      <c r="BE40" s="1192"/>
      <c r="BF40" s="1192"/>
      <c r="BG40" s="1192"/>
      <c r="BH40" s="1192"/>
      <c r="BI40" s="1192"/>
      <c r="BJ40" s="1192"/>
      <c r="BK40" s="1192"/>
    </row>
    <row r="41" spans="2:63" ht="23.25" customHeight="1">
      <c r="B41" s="1342">
        <v>1990</v>
      </c>
      <c r="C41" s="1156">
        <v>50.903994155309761</v>
      </c>
      <c r="D41" s="4183">
        <v>48.814367863607096</v>
      </c>
      <c r="E41" s="4183">
        <v>80.20242558326504</v>
      </c>
      <c r="F41" s="4183">
        <v>59.531057330715534</v>
      </c>
      <c r="G41" s="4183">
        <v>66.631388507240487</v>
      </c>
      <c r="H41" s="4274">
        <v>61.408489545006127</v>
      </c>
      <c r="I41" s="4183">
        <v>74.637236532620463</v>
      </c>
      <c r="J41" s="4183">
        <v>45.52711391773208</v>
      </c>
      <c r="K41" s="4183">
        <v>67.781759063466211</v>
      </c>
      <c r="L41" s="4274">
        <v>63.817579721897197</v>
      </c>
      <c r="M41" s="4183">
        <v>58.098596165653994</v>
      </c>
      <c r="N41" s="4183">
        <v>63.063640277483543</v>
      </c>
      <c r="O41" s="4274">
        <v>61.854031066168034</v>
      </c>
      <c r="P41" s="4183">
        <v>54.959408859625256</v>
      </c>
      <c r="Q41" s="4183">
        <v>63.630521842523876</v>
      </c>
      <c r="R41" s="4183">
        <v>60.931351535941744</v>
      </c>
      <c r="S41" s="4183">
        <v>54.540035961226565</v>
      </c>
      <c r="T41" s="4183">
        <v>45.025963344547741</v>
      </c>
      <c r="U41" s="4183">
        <v>62.599858982996004</v>
      </c>
      <c r="V41" s="4183">
        <v>42.075412925584523</v>
      </c>
      <c r="W41" s="4274">
        <v>55.663140815571687</v>
      </c>
      <c r="X41" s="4050">
        <v>59.213737587120221</v>
      </c>
      <c r="Y41" s="4156">
        <v>1990</v>
      </c>
      <c r="Z41" s="4033">
        <f t="shared" si="0"/>
        <v>16.169544740973322</v>
      </c>
      <c r="AA41" s="1843"/>
      <c r="AB41" s="1192"/>
      <c r="AC41" s="1192"/>
      <c r="AD41" s="1192"/>
      <c r="AE41" s="1192"/>
      <c r="AF41" s="1192"/>
      <c r="AG41" s="1192"/>
      <c r="AH41" s="1192"/>
      <c r="AI41" s="1192"/>
      <c r="AJ41" s="1192"/>
      <c r="AK41" s="1192"/>
      <c r="AL41" s="1192"/>
      <c r="AM41" s="1192"/>
      <c r="AN41" s="1192"/>
      <c r="AO41" s="1192"/>
      <c r="AP41" s="1192"/>
      <c r="AQ41" s="1192"/>
      <c r="AR41" s="1192"/>
      <c r="AS41" s="1192"/>
      <c r="AT41" s="1192"/>
      <c r="AU41" s="1192"/>
      <c r="AV41" s="1192"/>
      <c r="AW41" s="1192"/>
      <c r="AX41" s="1192"/>
      <c r="AY41" s="1192"/>
      <c r="AZ41" s="1192"/>
      <c r="BA41" s="1192"/>
      <c r="BB41" s="1192"/>
      <c r="BC41" s="1192"/>
      <c r="BD41" s="1192"/>
      <c r="BE41" s="1192"/>
      <c r="BF41" s="1192"/>
      <c r="BG41" s="1192"/>
      <c r="BH41" s="1192"/>
      <c r="BI41" s="1192"/>
      <c r="BJ41" s="1192"/>
      <c r="BK41" s="1192"/>
    </row>
    <row r="42" spans="2:63" ht="23.25" customHeight="1">
      <c r="B42" s="1340">
        <v>1991</v>
      </c>
      <c r="C42" s="1141">
        <v>54.214381834919458</v>
      </c>
      <c r="D42" s="4184">
        <v>51.732189529121563</v>
      </c>
      <c r="E42" s="4184">
        <v>79.872374449177542</v>
      </c>
      <c r="F42" s="4184">
        <v>64.811063092613807</v>
      </c>
      <c r="G42" s="4184">
        <v>69.676698768083284</v>
      </c>
      <c r="H42" s="4276">
        <v>64.261296087299442</v>
      </c>
      <c r="I42" s="4184">
        <v>78.445718194189823</v>
      </c>
      <c r="J42" s="4184">
        <v>49.40359476219367</v>
      </c>
      <c r="K42" s="4184">
        <v>71.162252541694869</v>
      </c>
      <c r="L42" s="4276">
        <v>67.376543296915145</v>
      </c>
      <c r="M42" s="4184">
        <v>61.789488264663191</v>
      </c>
      <c r="N42" s="4184">
        <v>70.727265957685091</v>
      </c>
      <c r="O42" s="4276">
        <v>68.867608865330524</v>
      </c>
      <c r="P42" s="4184">
        <v>62.334358706599481</v>
      </c>
      <c r="Q42" s="4184">
        <v>65.059045424620308</v>
      </c>
      <c r="R42" s="4184">
        <v>65.447719595172785</v>
      </c>
      <c r="S42" s="4184">
        <v>65.190111633289106</v>
      </c>
      <c r="T42" s="4184">
        <v>54.955269671620499</v>
      </c>
      <c r="U42" s="4184">
        <v>67.970964708425242</v>
      </c>
      <c r="V42" s="4184">
        <v>47.339607833771872</v>
      </c>
      <c r="W42" s="4276">
        <v>61.840857816842231</v>
      </c>
      <c r="X42" s="4051">
        <v>64.094870009842282</v>
      </c>
      <c r="Y42" s="4155">
        <v>1991</v>
      </c>
      <c r="Z42" s="4033">
        <f t="shared" si="0"/>
        <v>8.2432432432432137</v>
      </c>
      <c r="AA42" s="1843"/>
      <c r="AB42" s="1192"/>
      <c r="AC42" s="1192"/>
      <c r="AD42" s="1192"/>
      <c r="AE42" s="1192"/>
      <c r="AF42" s="1192"/>
      <c r="AG42" s="1192"/>
      <c r="AH42" s="1192"/>
      <c r="AI42" s="1192"/>
      <c r="AJ42" s="1192"/>
      <c r="AK42" s="1192"/>
      <c r="AL42" s="1192"/>
      <c r="AM42" s="1192"/>
      <c r="AN42" s="1192"/>
      <c r="AO42" s="1192"/>
      <c r="AP42" s="1192"/>
      <c r="AQ42" s="1192"/>
      <c r="AR42" s="1192"/>
      <c r="AS42" s="1192"/>
      <c r="AT42" s="1192"/>
      <c r="AU42" s="1192"/>
      <c r="AV42" s="1192"/>
      <c r="AW42" s="1192"/>
      <c r="AX42" s="1192"/>
      <c r="AY42" s="1192"/>
      <c r="AZ42" s="1192"/>
      <c r="BA42" s="1192"/>
      <c r="BB42" s="1192"/>
      <c r="BC42" s="1192"/>
      <c r="BD42" s="1192"/>
      <c r="BE42" s="1192"/>
      <c r="BF42" s="1192"/>
      <c r="BG42" s="1192"/>
      <c r="BH42" s="1192"/>
      <c r="BI42" s="1192"/>
      <c r="BJ42" s="1192"/>
      <c r="BK42" s="1192"/>
    </row>
    <row r="43" spans="2:63" ht="23.25" customHeight="1">
      <c r="B43" s="1342">
        <v>1992</v>
      </c>
      <c r="C43" s="1156">
        <v>54.268650485404855</v>
      </c>
      <c r="D43" s="4183">
        <v>54.413431059594352</v>
      </c>
      <c r="E43" s="4183">
        <v>80.349114976192809</v>
      </c>
      <c r="F43" s="4183">
        <v>70.131374242007496</v>
      </c>
      <c r="G43" s="4183">
        <v>72.397175934436206</v>
      </c>
      <c r="H43" s="4274">
        <v>66.455762658294304</v>
      </c>
      <c r="I43" s="4183">
        <v>80.601767313845002</v>
      </c>
      <c r="J43" s="4183">
        <v>50.911115090595395</v>
      </c>
      <c r="K43" s="4183">
        <v>75.099999999999994</v>
      </c>
      <c r="L43" s="4274">
        <v>70.057954209599899</v>
      </c>
      <c r="M43" s="4183">
        <v>66.271285813460125</v>
      </c>
      <c r="N43" s="4183">
        <v>77</v>
      </c>
      <c r="O43" s="4274">
        <v>74.758988682888599</v>
      </c>
      <c r="P43" s="4183">
        <v>64.12999866934102</v>
      </c>
      <c r="Q43" s="4183">
        <v>69.834395684771238</v>
      </c>
      <c r="R43" s="4183">
        <v>70.003704918081311</v>
      </c>
      <c r="S43" s="4183">
        <v>67.395010112270796</v>
      </c>
      <c r="T43" s="4183">
        <v>52.448365598943724</v>
      </c>
      <c r="U43" s="4183">
        <v>69.370478172093442</v>
      </c>
      <c r="V43" s="4183">
        <v>43.2</v>
      </c>
      <c r="W43" s="4274">
        <v>63.687804136809724</v>
      </c>
      <c r="X43" s="4050">
        <v>66.599999999999994</v>
      </c>
      <c r="Y43" s="4156">
        <v>1992</v>
      </c>
      <c r="Z43" s="4033">
        <f t="shared" si="0"/>
        <v>3.9084719101123397</v>
      </c>
      <c r="AA43" s="1843"/>
      <c r="AB43" s="1192"/>
      <c r="AC43" s="1192"/>
      <c r="AD43" s="1192"/>
      <c r="AE43" s="1192"/>
      <c r="AF43" s="1192"/>
      <c r="AG43" s="1192"/>
      <c r="AH43" s="1192"/>
      <c r="AI43" s="1192"/>
      <c r="AJ43" s="1192"/>
      <c r="AK43" s="1192"/>
      <c r="AL43" s="1192"/>
      <c r="AM43" s="1192"/>
      <c r="AN43" s="1192"/>
      <c r="AO43" s="1192"/>
      <c r="AP43" s="1192"/>
      <c r="AQ43" s="1192"/>
      <c r="AR43" s="1192"/>
      <c r="AS43" s="1192"/>
      <c r="AT43" s="1192"/>
      <c r="AU43" s="1192"/>
      <c r="AV43" s="1192"/>
      <c r="AW43" s="1192"/>
      <c r="AX43" s="1192"/>
      <c r="AY43" s="1192"/>
      <c r="AZ43" s="1192"/>
      <c r="BA43" s="1192"/>
      <c r="BB43" s="1192"/>
      <c r="BC43" s="1192"/>
      <c r="BD43" s="1192"/>
      <c r="BE43" s="1192"/>
      <c r="BF43" s="1192"/>
      <c r="BG43" s="1192"/>
      <c r="BH43" s="1192"/>
      <c r="BI43" s="1192"/>
      <c r="BJ43" s="1192"/>
      <c r="BK43" s="1192"/>
    </row>
    <row r="44" spans="2:63" ht="23.25" customHeight="1">
      <c r="B44" s="1340">
        <v>1993</v>
      </c>
      <c r="C44" s="1141">
        <v>55.571098097054573</v>
      </c>
      <c r="D44" s="4184">
        <v>55.556113111845818</v>
      </c>
      <c r="E44" s="4184">
        <v>81.313304355907135</v>
      </c>
      <c r="F44" s="4184">
        <v>71.393738978363615</v>
      </c>
      <c r="G44" s="4184">
        <v>73.121147693780571</v>
      </c>
      <c r="H44" s="4276">
        <v>67.452599098168704</v>
      </c>
      <c r="I44" s="4184">
        <v>86.969306931638755</v>
      </c>
      <c r="J44" s="4184">
        <v>53.965781996031112</v>
      </c>
      <c r="K44" s="4184">
        <v>79.099999999999994</v>
      </c>
      <c r="L44" s="4276">
        <v>74.471605324804685</v>
      </c>
      <c r="M44" s="4184">
        <v>71.705531250163844</v>
      </c>
      <c r="N44" s="4184">
        <v>81.099999999999994</v>
      </c>
      <c r="O44" s="4276">
        <v>79.095010026496169</v>
      </c>
      <c r="P44" s="4184">
        <v>64.963688652042435</v>
      </c>
      <c r="Q44" s="4184">
        <v>69.904230080455989</v>
      </c>
      <c r="R44" s="4184">
        <v>69.583682688572807</v>
      </c>
      <c r="S44" s="4184">
        <v>63.688284556095923</v>
      </c>
      <c r="T44" s="4184">
        <v>59.214204761207469</v>
      </c>
      <c r="U44" s="4184">
        <v>72.075926820805094</v>
      </c>
      <c r="V44" s="4184">
        <v>45.9</v>
      </c>
      <c r="W44" s="4276">
        <v>64.897872415409125</v>
      </c>
      <c r="X44" s="4051">
        <v>68.815965303950506</v>
      </c>
      <c r="Y44" s="4155">
        <v>1993</v>
      </c>
      <c r="Z44" s="4033">
        <f t="shared" si="0"/>
        <v>3.3272752311569178</v>
      </c>
      <c r="AA44" s="1843"/>
      <c r="AB44" s="1192"/>
      <c r="AC44" s="1192"/>
      <c r="AD44" s="1192"/>
      <c r="AE44" s="1192"/>
      <c r="AF44" s="1192"/>
      <c r="AG44" s="1192"/>
      <c r="AH44" s="1192"/>
      <c r="AI44" s="1192"/>
      <c r="AJ44" s="1192"/>
      <c r="AK44" s="1192"/>
      <c r="AL44" s="1192"/>
      <c r="AM44" s="1192"/>
      <c r="AN44" s="1192"/>
      <c r="AO44" s="1192"/>
      <c r="AP44" s="1192"/>
      <c r="AQ44" s="1192"/>
      <c r="AR44" s="1192"/>
      <c r="AS44" s="1192"/>
      <c r="AT44" s="1192"/>
      <c r="AU44" s="1192"/>
      <c r="AV44" s="1192"/>
      <c r="AW44" s="1192"/>
      <c r="AX44" s="1192"/>
      <c r="AY44" s="1192"/>
      <c r="AZ44" s="1192"/>
      <c r="BA44" s="1192"/>
      <c r="BB44" s="1192"/>
      <c r="BC44" s="1192"/>
      <c r="BD44" s="1192"/>
      <c r="BE44" s="1192"/>
      <c r="BF44" s="1192"/>
      <c r="BG44" s="1192"/>
      <c r="BH44" s="1192"/>
      <c r="BI44" s="1192"/>
      <c r="BJ44" s="1192"/>
      <c r="BK44" s="1192"/>
    </row>
    <row r="45" spans="2:63" ht="23.25" customHeight="1">
      <c r="B45" s="1342">
        <v>1994</v>
      </c>
      <c r="C45" s="1156">
        <v>56.222321902879443</v>
      </c>
      <c r="D45" s="4183">
        <v>59.256226423898241</v>
      </c>
      <c r="E45" s="4183">
        <v>82.839937540454784</v>
      </c>
      <c r="F45" s="4183">
        <v>72.8</v>
      </c>
      <c r="G45" s="4183">
        <v>72.324778758501779</v>
      </c>
      <c r="H45" s="4274">
        <v>68.183612487409945</v>
      </c>
      <c r="I45" s="4183">
        <v>91.72481120315561</v>
      </c>
      <c r="J45" s="4183">
        <v>55.696759909111357</v>
      </c>
      <c r="K45" s="4183">
        <v>79.5</v>
      </c>
      <c r="L45" s="4274">
        <v>76.082938271625494</v>
      </c>
      <c r="M45" s="4183">
        <v>74.886552969209916</v>
      </c>
      <c r="N45" s="4183">
        <v>84</v>
      </c>
      <c r="O45" s="4274">
        <v>82.1</v>
      </c>
      <c r="P45" s="4183">
        <v>68.426708580186855</v>
      </c>
      <c r="Q45" s="4183">
        <v>71.370752389836213</v>
      </c>
      <c r="R45" s="4183">
        <v>70.14371232791747</v>
      </c>
      <c r="S45" s="4183">
        <v>76.900000000000006</v>
      </c>
      <c r="T45" s="4183">
        <v>64.2</v>
      </c>
      <c r="U45" s="4183">
        <v>79.247342413059712</v>
      </c>
      <c r="V45" s="4183">
        <v>47.2</v>
      </c>
      <c r="W45" s="4274">
        <v>68.719140663617694</v>
      </c>
      <c r="X45" s="4050">
        <v>71.296540797464999</v>
      </c>
      <c r="Y45" s="4156">
        <v>1994</v>
      </c>
      <c r="Z45" s="4033">
        <f t="shared" si="0"/>
        <v>3.6046511627907023</v>
      </c>
      <c r="AA45" s="1843"/>
      <c r="AB45" s="1192"/>
      <c r="AC45" s="1192"/>
      <c r="AD45" s="1192"/>
      <c r="AE45" s="1192"/>
      <c r="AF45" s="1192"/>
      <c r="AG45" s="1192"/>
      <c r="AH45" s="1192"/>
      <c r="AI45" s="1192"/>
      <c r="AJ45" s="1192"/>
      <c r="AK45" s="1192"/>
      <c r="AL45" s="1192"/>
      <c r="AM45" s="1192"/>
      <c r="AN45" s="1192"/>
      <c r="AO45" s="1192"/>
      <c r="AP45" s="1192"/>
      <c r="AQ45" s="1192"/>
      <c r="AR45" s="1192"/>
      <c r="AS45" s="1192"/>
      <c r="AT45" s="1192"/>
      <c r="AU45" s="1192"/>
      <c r="AV45" s="1192"/>
      <c r="AW45" s="1192"/>
      <c r="AX45" s="1192"/>
      <c r="AY45" s="1192"/>
      <c r="AZ45" s="1192"/>
      <c r="BA45" s="1192"/>
      <c r="BB45" s="1192"/>
      <c r="BC45" s="1192"/>
      <c r="BD45" s="1192"/>
      <c r="BE45" s="1192"/>
      <c r="BF45" s="1192"/>
      <c r="BG45" s="1192"/>
      <c r="BH45" s="1192"/>
      <c r="BI45" s="1192"/>
      <c r="BJ45" s="1192"/>
      <c r="BK45" s="1192"/>
    </row>
    <row r="46" spans="2:63" ht="23.25" customHeight="1">
      <c r="B46" s="1340">
        <v>1995</v>
      </c>
      <c r="C46" s="1141">
        <v>56.338330302837257</v>
      </c>
      <c r="D46" s="4184">
        <v>63.115045576541107</v>
      </c>
      <c r="E46" s="4184">
        <v>85.303977066391383</v>
      </c>
      <c r="F46" s="4184">
        <v>74.789266347914136</v>
      </c>
      <c r="G46" s="4184">
        <v>70.044267716567035</v>
      </c>
      <c r="H46" s="4276">
        <v>68.394055735827905</v>
      </c>
      <c r="I46" s="4184">
        <v>93.976708601448095</v>
      </c>
      <c r="J46" s="4184">
        <v>55.696759909111357</v>
      </c>
      <c r="K46" s="4184">
        <v>82.254587486590438</v>
      </c>
      <c r="L46" s="4276">
        <v>78.067913640897473</v>
      </c>
      <c r="M46" s="4184">
        <v>80.734993942247797</v>
      </c>
      <c r="N46" s="4184">
        <v>90.1</v>
      </c>
      <c r="O46" s="4276">
        <v>88.147077572849255</v>
      </c>
      <c r="P46" s="4184">
        <v>72.825251039004328</v>
      </c>
      <c r="Q46" s="4184">
        <v>71.382391455783662</v>
      </c>
      <c r="R46" s="4184">
        <v>72.518004653055712</v>
      </c>
      <c r="S46" s="4184">
        <v>64.900000000000006</v>
      </c>
      <c r="T46" s="4184">
        <v>76.032647329935415</v>
      </c>
      <c r="U46" s="4184">
        <v>77.926170479984975</v>
      </c>
      <c r="V46" s="4184">
        <v>47.9</v>
      </c>
      <c r="W46" s="4276">
        <v>70.284799181980944</v>
      </c>
      <c r="X46" s="4051">
        <v>72.896912083603397</v>
      </c>
      <c r="Y46" s="4155">
        <v>1995</v>
      </c>
      <c r="Z46" s="4033">
        <f t="shared" si="0"/>
        <v>2.2446689113355944</v>
      </c>
      <c r="AA46" s="1843"/>
      <c r="AB46" s="1192"/>
      <c r="AC46" s="1192"/>
      <c r="AD46" s="1192"/>
      <c r="AE46" s="1192"/>
      <c r="AF46" s="1192"/>
      <c r="AG46" s="1192"/>
      <c r="AH46" s="1192"/>
      <c r="AI46" s="1192"/>
      <c r="AJ46" s="1192"/>
      <c r="AK46" s="1192"/>
      <c r="AL46" s="1192"/>
      <c r="AM46" s="1192"/>
      <c r="AN46" s="1192"/>
      <c r="AO46" s="1192"/>
      <c r="AP46" s="1192"/>
      <c r="AQ46" s="1192"/>
      <c r="AR46" s="1192"/>
      <c r="AS46" s="1192"/>
      <c r="AT46" s="1192"/>
      <c r="AU46" s="1192"/>
      <c r="AV46" s="1192"/>
      <c r="AW46" s="1192"/>
      <c r="AX46" s="1192"/>
      <c r="AY46" s="1192"/>
      <c r="AZ46" s="1192"/>
      <c r="BA46" s="1192"/>
      <c r="BB46" s="1192"/>
      <c r="BC46" s="1192"/>
      <c r="BD46" s="1192"/>
      <c r="BE46" s="1192"/>
      <c r="BF46" s="1192"/>
      <c r="BG46" s="1192"/>
      <c r="BH46" s="1192"/>
      <c r="BI46" s="1192"/>
      <c r="BJ46" s="1192"/>
      <c r="BK46" s="1192"/>
    </row>
    <row r="47" spans="2:63" ht="23.25" customHeight="1">
      <c r="B47" s="1342">
        <v>1996</v>
      </c>
      <c r="C47" s="1156">
        <v>60.672351242682623</v>
      </c>
      <c r="D47" s="4183">
        <v>67.635894807075772</v>
      </c>
      <c r="E47" s="4183">
        <v>92.642529567550298</v>
      </c>
      <c r="F47" s="4183">
        <v>81.492656869212709</v>
      </c>
      <c r="G47" s="4183">
        <v>72.2</v>
      </c>
      <c r="H47" s="4274">
        <v>72.43678129754079</v>
      </c>
      <c r="I47" s="4183">
        <v>102.84785509246623</v>
      </c>
      <c r="J47" s="4183">
        <v>57.325915592010411</v>
      </c>
      <c r="K47" s="4183">
        <v>85.622972304563731</v>
      </c>
      <c r="L47" s="4274">
        <v>82.107922333651089</v>
      </c>
      <c r="M47" s="4183">
        <v>94.10522585511336</v>
      </c>
      <c r="N47" s="4183">
        <v>97.688520383517414</v>
      </c>
      <c r="O47" s="4274">
        <v>97.037167310389421</v>
      </c>
      <c r="P47" s="4183">
        <v>77.725558387241321</v>
      </c>
      <c r="Q47" s="4183">
        <v>72.767440303531615</v>
      </c>
      <c r="R47" s="4183">
        <v>78.754168032841463</v>
      </c>
      <c r="S47" s="4183">
        <v>59.846768979696478</v>
      </c>
      <c r="T47" s="4183">
        <v>79.616618979196602</v>
      </c>
      <c r="U47" s="4183">
        <v>80.469754679628394</v>
      </c>
      <c r="V47" s="4183">
        <v>66.8</v>
      </c>
      <c r="W47" s="4274">
        <v>75.21529668557227</v>
      </c>
      <c r="X47" s="4050">
        <v>77.698025942018532</v>
      </c>
      <c r="Y47" s="4156">
        <v>1996</v>
      </c>
      <c r="Z47" s="4033">
        <f t="shared" si="0"/>
        <v>6.5861690450054624</v>
      </c>
      <c r="AA47" s="1843"/>
      <c r="AB47" s="1192"/>
      <c r="AC47" s="1192"/>
      <c r="AD47" s="1192"/>
      <c r="AE47" s="1192"/>
      <c r="AF47" s="1192"/>
      <c r="AG47" s="1192"/>
      <c r="AH47" s="1192"/>
      <c r="AI47" s="1192"/>
      <c r="AJ47" s="1192"/>
      <c r="AK47" s="1192"/>
      <c r="AL47" s="1192"/>
      <c r="AM47" s="1192"/>
      <c r="AN47" s="1192"/>
      <c r="AO47" s="1192"/>
      <c r="AP47" s="1192"/>
      <c r="AQ47" s="1192"/>
      <c r="AR47" s="1192"/>
      <c r="AS47" s="1192"/>
      <c r="AT47" s="1192"/>
      <c r="AU47" s="1192"/>
      <c r="AV47" s="1192"/>
      <c r="AW47" s="1192"/>
      <c r="AX47" s="1192"/>
      <c r="AY47" s="1192"/>
      <c r="AZ47" s="1192"/>
      <c r="BA47" s="1192"/>
      <c r="BB47" s="1192"/>
      <c r="BC47" s="1192"/>
      <c r="BD47" s="1192"/>
      <c r="BE47" s="1192"/>
      <c r="BF47" s="1192"/>
      <c r="BG47" s="1192"/>
      <c r="BH47" s="1192"/>
      <c r="BI47" s="1192"/>
      <c r="BJ47" s="1192"/>
      <c r="BK47" s="1192"/>
    </row>
    <row r="48" spans="2:63" ht="23.25" customHeight="1">
      <c r="B48" s="1340">
        <v>1997</v>
      </c>
      <c r="C48" s="1141">
        <v>67.618738504814445</v>
      </c>
      <c r="D48" s="4184">
        <v>70.574220084293842</v>
      </c>
      <c r="E48" s="4184">
        <v>87.178789749169198</v>
      </c>
      <c r="F48" s="4184">
        <v>81.632919617696714</v>
      </c>
      <c r="G48" s="4184">
        <v>72.324778758501779</v>
      </c>
      <c r="H48" s="4276">
        <v>73.765896550706671</v>
      </c>
      <c r="I48" s="4184">
        <v>102.44484625589698</v>
      </c>
      <c r="J48" s="4184">
        <v>59.158715735271848</v>
      </c>
      <c r="K48" s="4184">
        <v>86.071260117676616</v>
      </c>
      <c r="L48" s="4276">
        <v>82.738443921537481</v>
      </c>
      <c r="M48" s="4184">
        <v>90.659118992813433</v>
      </c>
      <c r="N48" s="4184">
        <v>94.4</v>
      </c>
      <c r="O48" s="4276">
        <v>93.598253830976532</v>
      </c>
      <c r="P48" s="4184">
        <v>80.996188319377694</v>
      </c>
      <c r="Q48" s="4184">
        <v>73.814956238803191</v>
      </c>
      <c r="R48" s="4184">
        <v>84.074449606615644</v>
      </c>
      <c r="S48" s="4184">
        <v>76.291151447090542</v>
      </c>
      <c r="T48" s="4184">
        <v>70.385706633782476</v>
      </c>
      <c r="U48" s="4184">
        <v>79.706679419735366</v>
      </c>
      <c r="V48" s="4184">
        <v>88.9</v>
      </c>
      <c r="W48" s="4276">
        <v>80.182945408243441</v>
      </c>
      <c r="X48" s="4051">
        <v>80.018564306919188</v>
      </c>
      <c r="Y48" s="4155">
        <v>1997</v>
      </c>
      <c r="Z48" s="4033">
        <f t="shared" si="0"/>
        <v>2.986611740473748</v>
      </c>
      <c r="AA48" s="1843"/>
      <c r="AB48" s="1192"/>
      <c r="AC48" s="1192"/>
      <c r="AD48" s="1192"/>
      <c r="AE48" s="1192"/>
      <c r="AF48" s="1192"/>
      <c r="AG48" s="1192"/>
      <c r="AH48" s="1192"/>
      <c r="AI48" s="1192"/>
      <c r="AJ48" s="1192"/>
      <c r="AK48" s="1192"/>
      <c r="AL48" s="1192"/>
      <c r="AM48" s="1192"/>
      <c r="AN48" s="1192"/>
      <c r="AO48" s="1192"/>
      <c r="AP48" s="1192"/>
      <c r="AQ48" s="1192"/>
      <c r="AR48" s="1192"/>
      <c r="AS48" s="1192"/>
      <c r="AT48" s="1192"/>
      <c r="AU48" s="1192"/>
      <c r="AV48" s="1192"/>
      <c r="AW48" s="1192"/>
      <c r="AX48" s="1192"/>
      <c r="AY48" s="1192"/>
      <c r="AZ48" s="1192"/>
      <c r="BA48" s="1192"/>
      <c r="BB48" s="1192"/>
      <c r="BC48" s="1192"/>
      <c r="BD48" s="1192"/>
      <c r="BE48" s="1192"/>
      <c r="BF48" s="1192"/>
      <c r="BG48" s="1192"/>
      <c r="BH48" s="1192"/>
      <c r="BI48" s="1192"/>
      <c r="BJ48" s="1192"/>
      <c r="BK48" s="1192"/>
    </row>
    <row r="49" spans="2:63" ht="23.25" customHeight="1">
      <c r="B49" s="1342">
        <v>1998</v>
      </c>
      <c r="C49" s="1156">
        <v>79.722492697176236</v>
      </c>
      <c r="D49" s="4183">
        <v>72.691446686822658</v>
      </c>
      <c r="E49" s="4183">
        <v>85.522392743934972</v>
      </c>
      <c r="F49" s="4183">
        <v>84.000274286609923</v>
      </c>
      <c r="G49" s="4183">
        <v>71.384556634641257</v>
      </c>
      <c r="H49" s="4274">
        <v>75.68380986102504</v>
      </c>
      <c r="I49" s="4183">
        <v>104.90352256603852</v>
      </c>
      <c r="J49" s="4183">
        <v>59.80946160835984</v>
      </c>
      <c r="K49" s="4183">
        <v>88.2</v>
      </c>
      <c r="L49" s="4274">
        <v>84.3</v>
      </c>
      <c r="M49" s="4183">
        <v>92.4</v>
      </c>
      <c r="N49" s="4183">
        <v>98.35910976989814</v>
      </c>
      <c r="O49" s="4274">
        <v>97.154987476553643</v>
      </c>
      <c r="P49" s="4183">
        <v>85.936955806859729</v>
      </c>
      <c r="Q49" s="4183">
        <v>74.110216063758415</v>
      </c>
      <c r="R49" s="4183">
        <v>86.428534195600875</v>
      </c>
      <c r="S49" s="4183">
        <v>81.78411435128109</v>
      </c>
      <c r="T49" s="4183">
        <v>77.635434417062058</v>
      </c>
      <c r="U49" s="4183">
        <v>81.141399649290619</v>
      </c>
      <c r="V49" s="4183">
        <v>92.7</v>
      </c>
      <c r="W49" s="4274">
        <v>83.390263224573175</v>
      </c>
      <c r="X49" s="4050">
        <v>82.499139800433696</v>
      </c>
      <c r="Y49" s="4156">
        <v>1998</v>
      </c>
      <c r="Z49" s="4033">
        <f t="shared" si="0"/>
        <v>3.1000000000000085</v>
      </c>
      <c r="AA49" s="1843"/>
      <c r="AB49" s="1192"/>
      <c r="AC49" s="1192"/>
      <c r="AD49" s="1192"/>
      <c r="AE49" s="1192"/>
      <c r="AF49" s="1192"/>
      <c r="AG49" s="1192"/>
      <c r="AH49" s="1192"/>
      <c r="AI49" s="1192"/>
      <c r="AJ49" s="1192"/>
      <c r="AK49" s="1192"/>
      <c r="AL49" s="1192"/>
      <c r="AM49" s="1192"/>
      <c r="AN49" s="1192"/>
      <c r="AO49" s="1192"/>
      <c r="AP49" s="1192"/>
      <c r="AQ49" s="1192"/>
      <c r="AR49" s="1192"/>
      <c r="AS49" s="1192"/>
      <c r="AT49" s="1192"/>
      <c r="AU49" s="1192"/>
      <c r="AV49" s="1192"/>
      <c r="AW49" s="1192"/>
      <c r="AX49" s="1192"/>
      <c r="AY49" s="1192"/>
      <c r="AZ49" s="1192"/>
      <c r="BA49" s="1192"/>
      <c r="BB49" s="1192"/>
      <c r="BC49" s="1192"/>
      <c r="BD49" s="1192"/>
      <c r="BE49" s="1192"/>
      <c r="BF49" s="1192"/>
      <c r="BG49" s="1192"/>
      <c r="BH49" s="1192"/>
      <c r="BI49" s="1192"/>
      <c r="BJ49" s="1192"/>
      <c r="BK49" s="1192"/>
    </row>
    <row r="50" spans="2:63" ht="23.25" customHeight="1">
      <c r="B50" s="1340">
        <v>1999</v>
      </c>
      <c r="C50" s="1141">
        <v>86.687222763172116</v>
      </c>
      <c r="D50" s="4184">
        <v>74.3</v>
      </c>
      <c r="E50" s="4184">
        <v>84.8</v>
      </c>
      <c r="F50" s="4184">
        <v>87.020692312464689</v>
      </c>
      <c r="G50" s="4184">
        <v>71.239907077124244</v>
      </c>
      <c r="H50" s="4276">
        <v>77.232893688589897</v>
      </c>
      <c r="I50" s="4184">
        <v>103.05951533343239</v>
      </c>
      <c r="J50" s="4184">
        <v>59.868620324095104</v>
      </c>
      <c r="K50" s="4184">
        <v>88.997682961677626</v>
      </c>
      <c r="L50" s="4276">
        <v>84.88964346349745</v>
      </c>
      <c r="M50" s="4184">
        <v>98.999757940152278</v>
      </c>
      <c r="N50" s="4184">
        <v>103.07431158053564</v>
      </c>
      <c r="O50" s="4276">
        <v>102.30289143725734</v>
      </c>
      <c r="P50" s="4184">
        <v>85.288986300304714</v>
      </c>
      <c r="Q50" s="4184">
        <v>75.660330144773269</v>
      </c>
      <c r="R50" s="4184">
        <v>86.680757544420743</v>
      </c>
      <c r="S50" s="4184">
        <v>84.7</v>
      </c>
      <c r="T50" s="4184">
        <v>85.448247853411914</v>
      </c>
      <c r="U50" s="4184">
        <v>79.387852702056421</v>
      </c>
      <c r="V50" s="4184">
        <v>83.4</v>
      </c>
      <c r="W50" s="4276">
        <v>82.668616715898978</v>
      </c>
      <c r="X50" s="4051">
        <v>82.979251186275221</v>
      </c>
      <c r="Y50" s="4155">
        <v>1999</v>
      </c>
      <c r="Z50" s="4033">
        <f t="shared" si="0"/>
        <v>0.58195926285161192</v>
      </c>
      <c r="AA50" s="1843"/>
      <c r="AB50" s="1192"/>
      <c r="AC50" s="1192"/>
      <c r="AD50" s="1192"/>
      <c r="AE50" s="1192"/>
      <c r="AF50" s="1192"/>
      <c r="AG50" s="1192"/>
      <c r="AI50" s="4052"/>
      <c r="AJ50" s="1192"/>
      <c r="AK50" s="1192"/>
      <c r="AL50" s="1192"/>
      <c r="AM50" s="1192"/>
      <c r="AN50" s="1192"/>
      <c r="AO50" s="1192"/>
      <c r="AP50" s="1192"/>
      <c r="AQ50" s="1192"/>
      <c r="AR50" s="1192"/>
      <c r="AS50" s="1192"/>
      <c r="AT50" s="1192"/>
      <c r="AU50" s="1192"/>
      <c r="AV50" s="1192"/>
      <c r="AW50" s="1192"/>
      <c r="AX50" s="1192"/>
      <c r="AY50" s="1192"/>
      <c r="AZ50" s="1192"/>
      <c r="BA50" s="1192"/>
      <c r="BB50" s="1192"/>
      <c r="BC50" s="1192"/>
      <c r="BD50" s="1192"/>
      <c r="BE50" s="1192"/>
      <c r="BF50" s="1192"/>
      <c r="BG50" s="1192"/>
      <c r="BH50" s="1192"/>
      <c r="BI50" s="1192"/>
      <c r="BJ50" s="1192"/>
      <c r="BK50" s="1192"/>
    </row>
    <row r="51" spans="2:63" ht="23.25" customHeight="1">
      <c r="B51" s="1342">
        <v>2000</v>
      </c>
      <c r="C51" s="1156">
        <v>91.488153197013972</v>
      </c>
      <c r="D51" s="4183">
        <v>76.900000000000006</v>
      </c>
      <c r="E51" s="4183">
        <v>85.1</v>
      </c>
      <c r="F51" s="4183">
        <v>89.2</v>
      </c>
      <c r="G51" s="4183">
        <v>72.75872743105279</v>
      </c>
      <c r="H51" s="4274">
        <v>79.3</v>
      </c>
      <c r="I51" s="4183">
        <v>102.54729110215288</v>
      </c>
      <c r="J51" s="4183">
        <v>59.868620324095104</v>
      </c>
      <c r="K51" s="4183">
        <v>90.89125068426651</v>
      </c>
      <c r="L51" s="4274">
        <v>86.1</v>
      </c>
      <c r="M51" s="4183">
        <v>100.54096296303013</v>
      </c>
      <c r="N51" s="4183">
        <v>103.6</v>
      </c>
      <c r="O51" s="4274">
        <v>102.9580792140742</v>
      </c>
      <c r="P51" s="4183">
        <v>85.288986300304714</v>
      </c>
      <c r="Q51" s="4183">
        <v>77.136629269549346</v>
      </c>
      <c r="R51" s="4183">
        <v>87.857799838913365</v>
      </c>
      <c r="S51" s="4183">
        <v>78.80875944484454</v>
      </c>
      <c r="T51" s="4183">
        <v>83.407062361032231</v>
      </c>
      <c r="U51" s="4183">
        <v>78.590785907859072</v>
      </c>
      <c r="V51" s="4183">
        <v>84</v>
      </c>
      <c r="W51" s="4274">
        <v>82.107336098041287</v>
      </c>
      <c r="X51" s="4050">
        <v>83.539381136423657</v>
      </c>
      <c r="Y51" s="4156">
        <v>2000</v>
      </c>
      <c r="Z51" s="4033">
        <f t="shared" si="0"/>
        <v>0.6750241080038677</v>
      </c>
      <c r="AA51" s="1843"/>
      <c r="AB51" s="1192"/>
      <c r="AC51" s="1192"/>
      <c r="AD51" s="1192"/>
      <c r="AE51" s="1192"/>
      <c r="AF51" s="1192"/>
      <c r="AG51" s="1192"/>
      <c r="AH51" s="1192"/>
      <c r="AI51" s="1192"/>
      <c r="AJ51" s="1192"/>
      <c r="AK51" s="1192"/>
      <c r="AL51" s="1192"/>
      <c r="AM51" s="1192"/>
      <c r="AN51" s="1192"/>
      <c r="AO51" s="1192"/>
      <c r="AP51" s="1192"/>
      <c r="AQ51" s="1192"/>
      <c r="AR51" s="1192"/>
      <c r="AS51" s="1192"/>
      <c r="AT51" s="1192"/>
      <c r="AU51" s="1192"/>
      <c r="AV51" s="1192"/>
      <c r="AW51" s="1192"/>
      <c r="AX51" s="1192"/>
      <c r="AY51" s="1192"/>
      <c r="AZ51" s="1192"/>
      <c r="BA51" s="1192"/>
      <c r="BB51" s="1192"/>
      <c r="BC51" s="1192"/>
      <c r="BD51" s="1192"/>
      <c r="BE51" s="1192"/>
      <c r="BF51" s="1192"/>
      <c r="BG51" s="1192"/>
      <c r="BH51" s="1192"/>
      <c r="BI51" s="1192"/>
      <c r="BJ51" s="1192"/>
      <c r="BK51" s="1192"/>
    </row>
    <row r="52" spans="2:63" ht="23.25" customHeight="1">
      <c r="B52" s="1340">
        <v>2001</v>
      </c>
      <c r="C52" s="1141">
        <v>96.762414800389479</v>
      </c>
      <c r="D52" s="4184">
        <v>80.099999999999994</v>
      </c>
      <c r="E52" s="4184">
        <v>84.476247266944952</v>
      </c>
      <c r="F52" s="4184">
        <v>88.000287347877034</v>
      </c>
      <c r="G52" s="4184">
        <v>79</v>
      </c>
      <c r="H52" s="4276">
        <v>83.134165412646425</v>
      </c>
      <c r="I52" s="4184">
        <v>102.1375117171293</v>
      </c>
      <c r="J52" s="4184">
        <v>61.939175374829617</v>
      </c>
      <c r="K52" s="4184">
        <v>92.69874714673773</v>
      </c>
      <c r="L52" s="4276">
        <v>87.7</v>
      </c>
      <c r="M52" s="4184">
        <v>103.71403212777859</v>
      </c>
      <c r="N52" s="4184">
        <v>104.20596001508866</v>
      </c>
      <c r="O52" s="4276">
        <v>104.1</v>
      </c>
      <c r="P52" s="4184">
        <v>85.774963430220978</v>
      </c>
      <c r="Q52" s="4184">
        <v>77.727148919459765</v>
      </c>
      <c r="R52" s="4184">
        <v>87.101129792453804</v>
      </c>
      <c r="S52" s="4184">
        <v>80.56345592812761</v>
      </c>
      <c r="T52" s="4184">
        <v>84.181305134003821</v>
      </c>
      <c r="U52" s="4184">
        <v>78.750199266698544</v>
      </c>
      <c r="V52" s="4184">
        <v>83.5</v>
      </c>
      <c r="W52" s="4276">
        <v>82.34788493426602</v>
      </c>
      <c r="X52" s="4051">
        <v>85</v>
      </c>
      <c r="Y52" s="4155">
        <v>2001</v>
      </c>
      <c r="Z52" s="4033">
        <f t="shared" si="0"/>
        <v>1.7484195402298894</v>
      </c>
      <c r="AA52" s="1843"/>
      <c r="AB52" s="1192"/>
      <c r="AC52" s="1192"/>
      <c r="AD52" s="1192"/>
      <c r="AE52" s="1192"/>
      <c r="AF52" s="1192"/>
      <c r="AG52" s="1192"/>
      <c r="AH52" s="1192"/>
      <c r="AI52" s="1192"/>
      <c r="AJ52" s="1192"/>
      <c r="AK52" s="1192"/>
      <c r="AL52" s="1192"/>
      <c r="AM52" s="1192"/>
      <c r="AN52" s="1192"/>
      <c r="AO52" s="1192"/>
      <c r="AP52" s="1192"/>
      <c r="AQ52" s="1192"/>
      <c r="AR52" s="1192"/>
      <c r="AS52" s="1192"/>
      <c r="AT52" s="1192"/>
      <c r="AU52" s="1192"/>
      <c r="AV52" s="1192"/>
      <c r="AW52" s="1192"/>
      <c r="AX52" s="1192"/>
      <c r="AY52" s="1192"/>
      <c r="AZ52" s="1192"/>
      <c r="BA52" s="1192"/>
      <c r="BB52" s="1192"/>
      <c r="BC52" s="1192"/>
      <c r="BD52" s="1192"/>
      <c r="BE52" s="1192"/>
      <c r="BF52" s="1192"/>
      <c r="BG52" s="1192"/>
      <c r="BH52" s="1192"/>
      <c r="BI52" s="1192"/>
      <c r="BJ52" s="1192"/>
      <c r="BK52" s="1192"/>
    </row>
    <row r="53" spans="2:63" ht="23.25" customHeight="1">
      <c r="B53" s="1342">
        <v>2002</v>
      </c>
      <c r="C53" s="1156">
        <v>97.370983446932811</v>
      </c>
      <c r="D53" s="4183">
        <v>85.4</v>
      </c>
      <c r="E53" s="4183">
        <v>86.132644272179164</v>
      </c>
      <c r="F53" s="4183">
        <v>87.183958151700082</v>
      </c>
      <c r="G53" s="4183">
        <v>86.3</v>
      </c>
      <c r="H53" s="4274">
        <v>87.412587412587399</v>
      </c>
      <c r="I53" s="4183">
        <v>101.5228426395939</v>
      </c>
      <c r="J53" s="4183">
        <v>67.204301075268816</v>
      </c>
      <c r="K53" s="4183">
        <v>94.161958568738228</v>
      </c>
      <c r="L53" s="4274">
        <v>89.605734767025098</v>
      </c>
      <c r="M53" s="4183">
        <v>102.35414534288638</v>
      </c>
      <c r="N53" s="4183">
        <v>103.8</v>
      </c>
      <c r="O53" s="4274">
        <v>103.51966873706004</v>
      </c>
      <c r="P53" s="4183">
        <v>84.317032040472185</v>
      </c>
      <c r="Q53" s="4183">
        <v>77.579519006982153</v>
      </c>
      <c r="R53" s="4183">
        <v>85.251491901108267</v>
      </c>
      <c r="S53" s="4183">
        <v>79.113924050632917</v>
      </c>
      <c r="T53" s="4183">
        <v>83.125519534497101</v>
      </c>
      <c r="U53" s="4183">
        <v>81.300813008130078</v>
      </c>
      <c r="V53" s="4183">
        <v>85.5</v>
      </c>
      <c r="W53" s="4274">
        <v>82.508250825082513</v>
      </c>
      <c r="X53" s="4050">
        <v>86.580086580086572</v>
      </c>
      <c r="Y53" s="4156">
        <v>2002</v>
      </c>
      <c r="Z53" s="4033">
        <f t="shared" si="0"/>
        <v>1.8589253883371413</v>
      </c>
      <c r="AA53" s="1843"/>
      <c r="AB53" s="1192"/>
      <c r="AC53" s="1192"/>
      <c r="AD53" s="1192"/>
      <c r="AE53" s="1192"/>
      <c r="AF53" s="1192"/>
      <c r="AG53" s="1192"/>
      <c r="AH53" s="1192"/>
      <c r="AI53" s="1192"/>
      <c r="AJ53" s="1192"/>
      <c r="AK53" s="1192"/>
      <c r="AL53" s="1192"/>
      <c r="AM53" s="1192"/>
      <c r="AN53" s="1192"/>
      <c r="AO53" s="1192"/>
      <c r="AP53" s="1192"/>
      <c r="AQ53" s="1192"/>
      <c r="AR53" s="1192"/>
      <c r="AS53" s="1192"/>
      <c r="AT53" s="1192"/>
      <c r="AU53" s="1192"/>
      <c r="AV53" s="1192"/>
      <c r="AW53" s="1192"/>
      <c r="AX53" s="1192"/>
      <c r="AY53" s="1192"/>
      <c r="AZ53" s="1192"/>
      <c r="BA53" s="1192"/>
      <c r="BB53" s="1192"/>
      <c r="BC53" s="1192"/>
      <c r="BD53" s="1192"/>
      <c r="BE53" s="1192"/>
      <c r="BF53" s="1192"/>
      <c r="BG53" s="1192"/>
      <c r="BH53" s="1192"/>
      <c r="BI53" s="1192"/>
      <c r="BJ53" s="1192"/>
      <c r="BK53" s="1192"/>
    </row>
    <row r="54" spans="2:63" ht="23.25" customHeight="1">
      <c r="B54" s="1340">
        <v>2003</v>
      </c>
      <c r="C54" s="1141">
        <v>101.36319376825705</v>
      </c>
      <c r="D54" s="4184">
        <v>90.9</v>
      </c>
      <c r="E54" s="4184">
        <v>87.6</v>
      </c>
      <c r="F54" s="4184">
        <v>91</v>
      </c>
      <c r="G54" s="4184">
        <v>91.8</v>
      </c>
      <c r="H54" s="4276">
        <v>91.7</v>
      </c>
      <c r="I54" s="4184">
        <v>99.898477157360404</v>
      </c>
      <c r="J54" s="4184">
        <v>72</v>
      </c>
      <c r="K54" s="4184">
        <v>96.4</v>
      </c>
      <c r="L54" s="4276">
        <v>91.8</v>
      </c>
      <c r="M54" s="4184">
        <v>95.6</v>
      </c>
      <c r="N54" s="4184">
        <v>100.3</v>
      </c>
      <c r="O54" s="4276">
        <v>99.4</v>
      </c>
      <c r="P54" s="4184">
        <v>85.244519392917368</v>
      </c>
      <c r="Q54" s="4184">
        <v>78.743211792086882</v>
      </c>
      <c r="R54" s="4184">
        <v>84.569479965899404</v>
      </c>
      <c r="S54" s="4184">
        <v>82.4</v>
      </c>
      <c r="T54" s="4184">
        <v>82.5</v>
      </c>
      <c r="U54" s="4184">
        <v>84.9</v>
      </c>
      <c r="V54" s="4184">
        <v>90.1</v>
      </c>
      <c r="W54" s="4276">
        <v>84</v>
      </c>
      <c r="X54" s="4051">
        <v>88.64</v>
      </c>
      <c r="Y54" s="4155">
        <v>2003</v>
      </c>
      <c r="Z54" s="4033">
        <f t="shared" si="0"/>
        <v>2.3791999999999973</v>
      </c>
      <c r="AA54" s="1843"/>
      <c r="AB54" s="1192"/>
      <c r="AC54" s="1192"/>
      <c r="AD54" s="1192"/>
      <c r="AE54" s="1192"/>
      <c r="AF54" s="1192"/>
      <c r="AG54" s="1192"/>
      <c r="AH54" s="1192"/>
      <c r="AI54" s="1192"/>
      <c r="AJ54" s="1192"/>
      <c r="AK54" s="1192"/>
      <c r="AL54" s="1192"/>
      <c r="AM54" s="1192"/>
      <c r="AN54" s="1192"/>
      <c r="AO54" s="1192"/>
      <c r="AP54" s="1192"/>
      <c r="AQ54" s="1192"/>
      <c r="AR54" s="1192"/>
      <c r="AS54" s="1192"/>
      <c r="AT54" s="1192"/>
      <c r="AU54" s="1192"/>
      <c r="AV54" s="1192"/>
      <c r="AW54" s="1192"/>
      <c r="AX54" s="1192"/>
      <c r="AY54" s="1192"/>
      <c r="AZ54" s="1192"/>
      <c r="BA54" s="1192"/>
      <c r="BB54" s="1192"/>
      <c r="BC54" s="1192"/>
      <c r="BD54" s="1192"/>
      <c r="BE54" s="1192"/>
      <c r="BF54" s="1192"/>
      <c r="BG54" s="1192"/>
      <c r="BH54" s="1192"/>
      <c r="BI54" s="1192"/>
      <c r="BJ54" s="1192"/>
      <c r="BK54" s="1192"/>
    </row>
    <row r="55" spans="2:63" ht="23.25" customHeight="1">
      <c r="B55" s="1342">
        <v>2004</v>
      </c>
      <c r="C55" s="1156">
        <v>101.26582278481013</v>
      </c>
      <c r="D55" s="4183">
        <v>97.8</v>
      </c>
      <c r="E55" s="4183">
        <v>88.630490956072364</v>
      </c>
      <c r="F55" s="4183">
        <v>98.4</v>
      </c>
      <c r="G55" s="4183">
        <v>86.442141623488766</v>
      </c>
      <c r="H55" s="4274">
        <v>92.132867132867133</v>
      </c>
      <c r="I55" s="4183">
        <v>99.898477157360404</v>
      </c>
      <c r="J55" s="4183">
        <v>73.790322580645153</v>
      </c>
      <c r="K55" s="4183">
        <v>97.4</v>
      </c>
      <c r="L55" s="4274">
        <v>92.741935483870975</v>
      </c>
      <c r="M55" s="4183">
        <v>95.496417604912992</v>
      </c>
      <c r="N55" s="4183">
        <v>98.2</v>
      </c>
      <c r="O55" s="4274">
        <v>97.722567287784685</v>
      </c>
      <c r="P55" s="4183">
        <v>85.834738617200685</v>
      </c>
      <c r="Q55" s="4183">
        <v>85.492629945694333</v>
      </c>
      <c r="R55" s="4183">
        <v>88.661551577152593</v>
      </c>
      <c r="S55" s="4183">
        <v>85.205696202531641</v>
      </c>
      <c r="T55" s="4183">
        <v>87.946799667497928</v>
      </c>
      <c r="U55" s="4183">
        <v>90</v>
      </c>
      <c r="V55" s="4183">
        <v>95.5</v>
      </c>
      <c r="W55" s="4274">
        <v>88.531353135313523</v>
      </c>
      <c r="X55" s="4050">
        <v>90.909090909090907</v>
      </c>
      <c r="Y55" s="4156">
        <v>2004</v>
      </c>
      <c r="Z55" s="4033">
        <f t="shared" si="0"/>
        <v>2.5598949786675291</v>
      </c>
      <c r="AA55" s="1843"/>
      <c r="AB55" s="1192"/>
      <c r="AC55" s="1192"/>
      <c r="AD55" s="1192"/>
      <c r="AE55" s="1192"/>
      <c r="AF55" s="1192"/>
      <c r="AG55" s="1192"/>
      <c r="AH55" s="1192"/>
      <c r="AI55" s="1192"/>
      <c r="AJ55" s="1192"/>
      <c r="AK55" s="1192"/>
      <c r="AL55" s="1192"/>
      <c r="AM55" s="1192"/>
      <c r="AN55" s="1192"/>
      <c r="AO55" s="1192"/>
      <c r="AP55" s="1192"/>
      <c r="AQ55" s="1192"/>
      <c r="AR55" s="1192"/>
      <c r="AS55" s="1192"/>
      <c r="AT55" s="1192"/>
      <c r="AU55" s="1192"/>
      <c r="AV55" s="1192"/>
      <c r="AW55" s="1192"/>
      <c r="AX55" s="1192"/>
      <c r="AY55" s="1192"/>
      <c r="AZ55" s="1192"/>
      <c r="BA55" s="1192"/>
      <c r="BB55" s="1192"/>
      <c r="BC55" s="1192"/>
      <c r="BD55" s="1192"/>
      <c r="BE55" s="1192"/>
      <c r="BF55" s="1192"/>
      <c r="BG55" s="1192"/>
      <c r="BH55" s="1192"/>
      <c r="BI55" s="1192"/>
      <c r="BJ55" s="1192"/>
      <c r="BK55" s="1192"/>
    </row>
    <row r="56" spans="2:63" ht="23.25" customHeight="1">
      <c r="B56" s="1340">
        <v>2005</v>
      </c>
      <c r="C56" s="1141">
        <v>98.734177215189874</v>
      </c>
      <c r="D56" s="4184">
        <v>99.4</v>
      </c>
      <c r="E56" s="4184">
        <v>91.386735572782086</v>
      </c>
      <c r="F56" s="4184">
        <v>99.128160418483006</v>
      </c>
      <c r="G56" s="4184">
        <v>91.4</v>
      </c>
      <c r="H56" s="4276">
        <v>94.7</v>
      </c>
      <c r="I56" s="4184">
        <v>98.781725888324871</v>
      </c>
      <c r="J56" s="4184">
        <v>80.443548387096769</v>
      </c>
      <c r="K56" s="4184">
        <v>98.49340866290018</v>
      </c>
      <c r="L56" s="4276">
        <v>94.713261648745529</v>
      </c>
      <c r="M56" s="4184">
        <v>96.417604912998982</v>
      </c>
      <c r="N56" s="4184">
        <v>97.5</v>
      </c>
      <c r="O56" s="4276">
        <v>97.308488612836442</v>
      </c>
      <c r="P56" s="4184">
        <v>91.905564924114685</v>
      </c>
      <c r="Q56" s="4184">
        <v>89.216446858029471</v>
      </c>
      <c r="R56" s="4184">
        <v>92.92412617220802</v>
      </c>
      <c r="S56" s="4184">
        <v>90.189873417721515</v>
      </c>
      <c r="T56" s="4184">
        <v>89.858686616791346</v>
      </c>
      <c r="U56" s="4184">
        <v>95.77235772357723</v>
      </c>
      <c r="V56" s="4184">
        <v>97.5</v>
      </c>
      <c r="W56" s="4276">
        <v>93.06930693069306</v>
      </c>
      <c r="X56" s="4051">
        <v>94.112554112554108</v>
      </c>
      <c r="Y56" s="4155">
        <v>2005</v>
      </c>
      <c r="Z56" s="4033">
        <f t="shared" si="0"/>
        <v>3.5238095238095326</v>
      </c>
      <c r="AA56" s="1843"/>
      <c r="AB56" s="1192"/>
      <c r="AC56" s="1192"/>
      <c r="AD56" s="1192"/>
      <c r="AE56" s="1192"/>
      <c r="AF56" s="1192"/>
      <c r="AG56" s="1192"/>
      <c r="AH56" s="1192"/>
      <c r="AI56" s="1192"/>
      <c r="AJ56" s="1192"/>
      <c r="AK56" s="1192"/>
      <c r="AL56" s="1192"/>
      <c r="AM56" s="1192"/>
      <c r="AN56" s="1192"/>
      <c r="AO56" s="1192"/>
      <c r="AP56" s="1192"/>
      <c r="AQ56" s="1192"/>
      <c r="AR56" s="1192"/>
      <c r="AS56" s="1192"/>
      <c r="AT56" s="1192"/>
      <c r="AU56" s="1192"/>
      <c r="AV56" s="1192"/>
      <c r="AW56" s="1192"/>
      <c r="AX56" s="1192"/>
      <c r="AY56" s="1192"/>
      <c r="AZ56" s="1192"/>
      <c r="BA56" s="1192"/>
      <c r="BB56" s="1192"/>
      <c r="BC56" s="1192"/>
      <c r="BD56" s="1192"/>
      <c r="BE56" s="1192"/>
      <c r="BF56" s="1192"/>
      <c r="BG56" s="1192"/>
      <c r="BH56" s="1192"/>
      <c r="BI56" s="1192"/>
      <c r="BJ56" s="1192"/>
      <c r="BK56" s="1192"/>
    </row>
    <row r="57" spans="2:63" ht="23.25" customHeight="1">
      <c r="B57" s="1342">
        <v>2006</v>
      </c>
      <c r="C57" s="1156">
        <v>100</v>
      </c>
      <c r="D57" s="4183">
        <v>100</v>
      </c>
      <c r="E57" s="4183">
        <v>100</v>
      </c>
      <c r="F57" s="4183">
        <v>100</v>
      </c>
      <c r="G57" s="4183">
        <v>100</v>
      </c>
      <c r="H57" s="4274">
        <v>100</v>
      </c>
      <c r="I57" s="4183">
        <v>100</v>
      </c>
      <c r="J57" s="4183">
        <v>100</v>
      </c>
      <c r="K57" s="4183">
        <v>100</v>
      </c>
      <c r="L57" s="4274">
        <v>100</v>
      </c>
      <c r="M57" s="4183">
        <v>100</v>
      </c>
      <c r="N57" s="4183">
        <v>100</v>
      </c>
      <c r="O57" s="4274">
        <v>100</v>
      </c>
      <c r="P57" s="4183">
        <v>100</v>
      </c>
      <c r="Q57" s="4183">
        <v>100</v>
      </c>
      <c r="R57" s="4183">
        <v>100</v>
      </c>
      <c r="S57" s="4183">
        <v>100</v>
      </c>
      <c r="T57" s="4183">
        <v>100</v>
      </c>
      <c r="U57" s="4183">
        <v>100</v>
      </c>
      <c r="V57" s="4183">
        <v>99.996153994077162</v>
      </c>
      <c r="W57" s="4274">
        <v>100</v>
      </c>
      <c r="X57" s="4050">
        <v>100</v>
      </c>
      <c r="Y57" s="4156">
        <v>2006</v>
      </c>
      <c r="Z57" s="4033">
        <f t="shared" si="0"/>
        <v>6.2557497700092028</v>
      </c>
      <c r="AA57" s="1843"/>
      <c r="AB57" s="1192"/>
      <c r="AC57" s="1192"/>
      <c r="AD57" s="1192"/>
      <c r="AE57" s="1192"/>
      <c r="AF57" s="1192"/>
      <c r="AG57" s="1192"/>
      <c r="AH57" s="1192"/>
      <c r="AI57" s="1192"/>
      <c r="AJ57" s="1192"/>
      <c r="AK57" s="1192"/>
      <c r="AL57" s="1192"/>
      <c r="AM57" s="1192"/>
      <c r="AN57" s="1192"/>
      <c r="AO57" s="1192"/>
      <c r="AP57" s="1192"/>
      <c r="AQ57" s="1192"/>
      <c r="AR57" s="1192"/>
      <c r="AS57" s="1192"/>
      <c r="AT57" s="1192"/>
      <c r="AU57" s="1192"/>
      <c r="AV57" s="1192"/>
      <c r="AW57" s="1192"/>
      <c r="AX57" s="1192"/>
      <c r="AY57" s="1192"/>
      <c r="AZ57" s="1192"/>
      <c r="BA57" s="1192"/>
      <c r="BB57" s="1192"/>
      <c r="BC57" s="1192"/>
      <c r="BD57" s="1192"/>
      <c r="BE57" s="1192"/>
      <c r="BF57" s="1192"/>
      <c r="BG57" s="1192"/>
      <c r="BH57" s="1192"/>
      <c r="BI57" s="1192"/>
      <c r="BJ57" s="1192"/>
      <c r="BK57" s="1192"/>
    </row>
    <row r="58" spans="2:63" ht="23.25" customHeight="1">
      <c r="B58" s="1340">
        <v>2007</v>
      </c>
      <c r="C58" s="1141">
        <v>99.6</v>
      </c>
      <c r="D58" s="4184">
        <v>102.1</v>
      </c>
      <c r="E58" s="4184">
        <v>106</v>
      </c>
      <c r="F58" s="4184">
        <v>102.4</v>
      </c>
      <c r="G58" s="4184">
        <v>101.6</v>
      </c>
      <c r="H58" s="4276">
        <v>102</v>
      </c>
      <c r="I58" s="4184">
        <v>102</v>
      </c>
      <c r="J58" s="4184">
        <v>102.9</v>
      </c>
      <c r="K58" s="4184">
        <v>101.6</v>
      </c>
      <c r="L58" s="4276">
        <v>102</v>
      </c>
      <c r="M58" s="4184">
        <v>105.8</v>
      </c>
      <c r="N58" s="4184">
        <v>106.3</v>
      </c>
      <c r="O58" s="4276">
        <v>106.2</v>
      </c>
      <c r="P58" s="4184">
        <v>104.1</v>
      </c>
      <c r="Q58" s="4184">
        <v>102.7</v>
      </c>
      <c r="R58" s="4184">
        <v>113.8</v>
      </c>
      <c r="S58" s="4184">
        <v>119.5</v>
      </c>
      <c r="T58" s="4184">
        <v>108.9</v>
      </c>
      <c r="U58" s="4184">
        <v>110</v>
      </c>
      <c r="V58" s="4184">
        <v>107</v>
      </c>
      <c r="W58" s="4276">
        <v>108.9</v>
      </c>
      <c r="X58" s="4051">
        <v>104.7</v>
      </c>
      <c r="Y58" s="4155">
        <v>2007</v>
      </c>
      <c r="Z58" s="4033">
        <f t="shared" si="0"/>
        <v>4.6999999999999886</v>
      </c>
      <c r="AA58" s="1843"/>
      <c r="AB58" s="1192"/>
      <c r="AC58" s="1192"/>
      <c r="AD58" s="1192"/>
      <c r="AE58" s="1192"/>
      <c r="AF58" s="1192"/>
      <c r="AG58" s="1192"/>
      <c r="AH58" s="1192"/>
      <c r="AI58" s="1192"/>
      <c r="AJ58" s="1192"/>
      <c r="AK58" s="1192"/>
      <c r="AL58" s="1192"/>
      <c r="AM58" s="1192"/>
      <c r="AN58" s="1192"/>
      <c r="AO58" s="1192"/>
      <c r="AP58" s="1192"/>
      <c r="AQ58" s="1192"/>
      <c r="AR58" s="1192"/>
      <c r="AS58" s="1192"/>
      <c r="AT58" s="1192"/>
      <c r="AU58" s="1192"/>
      <c r="AV58" s="1192"/>
      <c r="AW58" s="1192"/>
      <c r="AX58" s="1192"/>
      <c r="AY58" s="1192"/>
      <c r="AZ58" s="1192"/>
      <c r="BA58" s="1192"/>
      <c r="BB58" s="1192"/>
      <c r="BC58" s="1192"/>
      <c r="BD58" s="1192"/>
      <c r="BE58" s="1192"/>
      <c r="BF58" s="1192"/>
      <c r="BG58" s="1192"/>
      <c r="BH58" s="1192"/>
      <c r="BI58" s="1192"/>
      <c r="BJ58" s="1192"/>
      <c r="BK58" s="1192"/>
    </row>
    <row r="59" spans="2:63" s="1307" customFormat="1" ht="23.25" customHeight="1">
      <c r="B59" s="1342">
        <v>2008</v>
      </c>
      <c r="C59" s="1156">
        <v>103.2</v>
      </c>
      <c r="D59" s="4183">
        <v>107.7</v>
      </c>
      <c r="E59" s="4183">
        <v>113.4</v>
      </c>
      <c r="F59" s="4183">
        <v>106</v>
      </c>
      <c r="G59" s="4183">
        <v>116.3</v>
      </c>
      <c r="H59" s="4274">
        <v>112</v>
      </c>
      <c r="I59" s="4183">
        <v>109.3</v>
      </c>
      <c r="J59" s="4183">
        <v>152.80000000000001</v>
      </c>
      <c r="K59" s="4183">
        <v>103.7</v>
      </c>
      <c r="L59" s="4274">
        <v>115.8</v>
      </c>
      <c r="M59" s="4183">
        <v>113.2</v>
      </c>
      <c r="N59" s="4183">
        <v>114.2</v>
      </c>
      <c r="O59" s="4274">
        <v>114</v>
      </c>
      <c r="P59" s="4183">
        <v>114.4</v>
      </c>
      <c r="Q59" s="4183">
        <v>110.7</v>
      </c>
      <c r="R59" s="4183">
        <v>153.5</v>
      </c>
      <c r="S59" s="4183">
        <v>137.5</v>
      </c>
      <c r="T59" s="4183">
        <v>136.9</v>
      </c>
      <c r="U59" s="4183">
        <v>128.30000000000001</v>
      </c>
      <c r="V59" s="4183">
        <v>135.1</v>
      </c>
      <c r="W59" s="4274">
        <v>128.9</v>
      </c>
      <c r="X59" s="4050">
        <v>119.3</v>
      </c>
      <c r="Y59" s="4156">
        <v>2008</v>
      </c>
      <c r="Z59" s="4038">
        <f>X59/X58*100-100</f>
        <v>13.944603629417387</v>
      </c>
      <c r="AA59" s="1843"/>
      <c r="AB59" s="1793"/>
      <c r="AC59" s="1793"/>
      <c r="AD59" s="1793"/>
      <c r="AE59" s="1793"/>
      <c r="AF59" s="1793"/>
      <c r="AG59" s="1793"/>
      <c r="AH59" s="1793"/>
      <c r="AI59" s="1793"/>
      <c r="AJ59" s="1793"/>
      <c r="AK59" s="1793"/>
      <c r="AL59" s="1793"/>
      <c r="AM59" s="1793"/>
      <c r="AN59" s="1793"/>
      <c r="AO59" s="1793"/>
      <c r="AP59" s="1793"/>
      <c r="AQ59" s="1793"/>
      <c r="AR59" s="1793"/>
      <c r="AS59" s="1793"/>
      <c r="AT59" s="1793"/>
      <c r="AU59" s="1793"/>
      <c r="AV59" s="1793"/>
      <c r="AW59" s="1793"/>
      <c r="AX59" s="1793"/>
      <c r="AY59" s="1793"/>
      <c r="AZ59" s="1793"/>
      <c r="BA59" s="1793"/>
      <c r="BB59" s="1793"/>
      <c r="BC59" s="1793"/>
      <c r="BD59" s="1793"/>
      <c r="BE59" s="1793"/>
      <c r="BF59" s="1793"/>
      <c r="BG59" s="1793"/>
      <c r="BH59" s="1793"/>
      <c r="BI59" s="1793"/>
      <c r="BJ59" s="1793"/>
      <c r="BK59" s="1793"/>
    </row>
    <row r="60" spans="2:63" ht="23.25" customHeight="1">
      <c r="B60" s="1340">
        <v>2009</v>
      </c>
      <c r="C60" s="1141">
        <v>105.3</v>
      </c>
      <c r="D60" s="4184">
        <v>114.9</v>
      </c>
      <c r="E60" s="4184">
        <v>116.8</v>
      </c>
      <c r="F60" s="4184">
        <v>103.5</v>
      </c>
      <c r="G60" s="4184">
        <v>103.8</v>
      </c>
      <c r="H60" s="4276">
        <v>107.6</v>
      </c>
      <c r="I60" s="4184">
        <v>114.1</v>
      </c>
      <c r="J60" s="4184">
        <v>135.80000000000001</v>
      </c>
      <c r="K60" s="4184">
        <v>105.4</v>
      </c>
      <c r="L60" s="4276">
        <v>113.9</v>
      </c>
      <c r="M60" s="4184">
        <v>123</v>
      </c>
      <c r="N60" s="4184">
        <v>120</v>
      </c>
      <c r="O60" s="4276">
        <v>120.6</v>
      </c>
      <c r="P60" s="4184">
        <v>117.9</v>
      </c>
      <c r="Q60" s="4184">
        <v>111.5</v>
      </c>
      <c r="R60" s="4184">
        <v>150.4</v>
      </c>
      <c r="S60" s="4184">
        <v>129.6</v>
      </c>
      <c r="T60" s="4184">
        <v>129</v>
      </c>
      <c r="U60" s="4184">
        <v>134.30000000000001</v>
      </c>
      <c r="V60" s="4184">
        <v>149.19999999999999</v>
      </c>
      <c r="W60" s="4276">
        <v>131.1</v>
      </c>
      <c r="X60" s="4051">
        <v>118.5</v>
      </c>
      <c r="Y60" s="4155">
        <v>2009</v>
      </c>
      <c r="Z60" s="4033">
        <f>X60/X59*100-100</f>
        <v>-0.67057837384744801</v>
      </c>
      <c r="AA60" s="1843"/>
      <c r="AB60" s="1192"/>
      <c r="AC60" s="1192"/>
      <c r="AD60" s="1192"/>
      <c r="AE60" s="1192"/>
      <c r="AF60" s="1192"/>
      <c r="AG60" s="1192"/>
      <c r="AH60" s="1192"/>
      <c r="AI60" s="1192"/>
      <c r="AJ60" s="1192"/>
      <c r="AK60" s="1192"/>
      <c r="AL60" s="1192"/>
      <c r="AM60" s="1192"/>
      <c r="AN60" s="1192"/>
      <c r="AO60" s="1192"/>
      <c r="AP60" s="1192"/>
      <c r="AQ60" s="1192"/>
      <c r="AR60" s="1192"/>
      <c r="AS60" s="1192"/>
      <c r="AT60" s="1192"/>
      <c r="AU60" s="1192"/>
      <c r="AV60" s="1192"/>
      <c r="AW60" s="1192"/>
      <c r="AX60" s="1192"/>
      <c r="AY60" s="1192"/>
      <c r="AZ60" s="1192"/>
      <c r="BA60" s="1192"/>
      <c r="BB60" s="1192"/>
      <c r="BC60" s="1192"/>
      <c r="BD60" s="1192"/>
      <c r="BE60" s="1192"/>
      <c r="BF60" s="1192"/>
      <c r="BG60" s="1192"/>
      <c r="BH60" s="1192"/>
      <c r="BI60" s="1192"/>
      <c r="BJ60" s="1192"/>
      <c r="BK60" s="1192"/>
    </row>
    <row r="61" spans="2:63" ht="23.25" customHeight="1">
      <c r="B61" s="1342">
        <v>2010</v>
      </c>
      <c r="C61" s="1156">
        <v>105.5</v>
      </c>
      <c r="D61" s="4183">
        <v>121.8</v>
      </c>
      <c r="E61" s="4183">
        <v>124.2</v>
      </c>
      <c r="F61" s="4183">
        <v>106.4</v>
      </c>
      <c r="G61" s="4183">
        <v>112.2</v>
      </c>
      <c r="H61" s="4274">
        <v>114.4</v>
      </c>
      <c r="I61" s="4183">
        <v>116.7</v>
      </c>
      <c r="J61" s="4183">
        <v>144.80000000000001</v>
      </c>
      <c r="K61" s="4183">
        <v>109.2</v>
      </c>
      <c r="L61" s="4274">
        <v>118.6</v>
      </c>
      <c r="M61" s="4183">
        <v>126</v>
      </c>
      <c r="N61" s="4183">
        <v>122.1</v>
      </c>
      <c r="O61" s="4274">
        <v>122.9</v>
      </c>
      <c r="P61" s="4183">
        <v>126.4</v>
      </c>
      <c r="Q61" s="4183">
        <v>125</v>
      </c>
      <c r="R61" s="4183">
        <v>148.30000000000001</v>
      </c>
      <c r="S61" s="4183">
        <v>146.30000000000001</v>
      </c>
      <c r="T61" s="4183">
        <v>131</v>
      </c>
      <c r="U61" s="4183">
        <v>141.69999999999999</v>
      </c>
      <c r="V61" s="4183">
        <v>148.69999999999999</v>
      </c>
      <c r="W61" s="4274">
        <v>137.69999999999999</v>
      </c>
      <c r="X61" s="4050">
        <v>124.5</v>
      </c>
      <c r="Y61" s="4156">
        <v>2010</v>
      </c>
      <c r="Z61" s="4033">
        <f>X61/X60*100-100</f>
        <v>5.0632911392405049</v>
      </c>
      <c r="AA61" s="1843"/>
      <c r="AB61" s="1192"/>
      <c r="AC61" s="1192"/>
      <c r="AD61" s="1192"/>
      <c r="AE61" s="1192"/>
      <c r="AF61" s="1192"/>
      <c r="AG61" s="1192"/>
      <c r="AH61" s="1192"/>
      <c r="AI61" s="1192"/>
      <c r="AJ61" s="1192"/>
      <c r="AK61" s="1192"/>
      <c r="AL61" s="1192"/>
      <c r="AM61" s="1192"/>
      <c r="AN61" s="1192"/>
      <c r="AO61" s="1192"/>
      <c r="AP61" s="1192"/>
      <c r="AQ61" s="1192"/>
      <c r="AR61" s="1192"/>
      <c r="AS61" s="1192"/>
      <c r="AT61" s="1192"/>
      <c r="AU61" s="1192"/>
      <c r="AV61" s="1192"/>
      <c r="AW61" s="1192"/>
      <c r="AX61" s="1192"/>
      <c r="AY61" s="1192"/>
      <c r="AZ61" s="1192"/>
      <c r="BA61" s="1192"/>
      <c r="BB61" s="1192"/>
      <c r="BC61" s="1192"/>
      <c r="BD61" s="1192"/>
      <c r="BE61" s="1192"/>
      <c r="BF61" s="1192"/>
      <c r="BG61" s="1192"/>
      <c r="BH61" s="1192"/>
      <c r="BI61" s="1192"/>
      <c r="BJ61" s="1192"/>
      <c r="BK61" s="1192"/>
    </row>
    <row r="62" spans="2:63" ht="23.25" customHeight="1">
      <c r="B62" s="1340">
        <v>2011</v>
      </c>
      <c r="C62" s="1141">
        <v>108.07551460521755</v>
      </c>
      <c r="D62" s="4184">
        <v>127.94132887876997</v>
      </c>
      <c r="E62" s="4184">
        <v>135.92114641854724</v>
      </c>
      <c r="F62" s="4184">
        <v>110.26597878267421</v>
      </c>
      <c r="G62" s="4184">
        <v>117.63532174091277</v>
      </c>
      <c r="H62" s="4276">
        <v>120.15695902327127</v>
      </c>
      <c r="I62" s="4184">
        <v>120.49016262443655</v>
      </c>
      <c r="J62" s="4184">
        <v>148.83130149567904</v>
      </c>
      <c r="K62" s="4184">
        <v>114.06039322707119</v>
      </c>
      <c r="L62" s="4276">
        <v>123.1</v>
      </c>
      <c r="M62" s="4184">
        <v>133.69595094402231</v>
      </c>
      <c r="N62" s="4184">
        <v>129.65117063731103</v>
      </c>
      <c r="O62" s="4276">
        <v>130.48858281852753</v>
      </c>
      <c r="P62" s="4184">
        <v>139</v>
      </c>
      <c r="Q62" s="4184">
        <v>125.50157199748482</v>
      </c>
      <c r="R62" s="4184">
        <v>155.69999999999999</v>
      </c>
      <c r="S62" s="4184">
        <v>139.19999999999999</v>
      </c>
      <c r="T62" s="4184">
        <v>134</v>
      </c>
      <c r="U62" s="4184">
        <v>152.64617863720071</v>
      </c>
      <c r="V62" s="4184">
        <v>145.1</v>
      </c>
      <c r="W62" s="4276">
        <v>143.4</v>
      </c>
      <c r="X62" s="4051">
        <v>129.95766502787009</v>
      </c>
      <c r="Y62" s="4155">
        <v>2011</v>
      </c>
      <c r="Z62" s="4033">
        <f>X62/X61*100-100</f>
        <v>4.3836666890522764</v>
      </c>
      <c r="AA62" s="1843"/>
      <c r="AB62" s="1192"/>
      <c r="AC62" s="1192"/>
      <c r="AD62" s="1192"/>
      <c r="AE62" s="1192"/>
      <c r="AF62" s="1192"/>
      <c r="AG62" s="1192"/>
      <c r="AH62" s="1192"/>
      <c r="AI62" s="1192"/>
      <c r="AJ62" s="1192"/>
      <c r="AK62" s="1192"/>
      <c r="AL62" s="1192"/>
      <c r="AM62" s="1192"/>
      <c r="AN62" s="1192"/>
      <c r="AO62" s="1192"/>
      <c r="AP62" s="1192"/>
      <c r="AQ62" s="1192"/>
      <c r="AR62" s="1192"/>
      <c r="AS62" s="1192"/>
      <c r="AT62" s="1192"/>
      <c r="AU62" s="1192"/>
      <c r="AV62" s="1192"/>
      <c r="AW62" s="1192"/>
      <c r="AX62" s="1192"/>
      <c r="AY62" s="1192"/>
      <c r="AZ62" s="1192"/>
      <c r="BA62" s="1192"/>
      <c r="BB62" s="1192"/>
      <c r="BC62" s="1192"/>
      <c r="BD62" s="1192"/>
      <c r="BE62" s="1192"/>
      <c r="BF62" s="1192"/>
      <c r="BG62" s="1192"/>
      <c r="BH62" s="1192"/>
      <c r="BI62" s="1192"/>
      <c r="BJ62" s="1192"/>
      <c r="BK62" s="1192"/>
    </row>
    <row r="63" spans="2:63" ht="23.25" customHeight="1">
      <c r="B63" s="1342">
        <v>2012</v>
      </c>
      <c r="C63" s="1156">
        <v>111.50114076311961</v>
      </c>
      <c r="D63" s="4183">
        <v>132.095</v>
      </c>
      <c r="E63" s="4183">
        <v>143.67916666666667</v>
      </c>
      <c r="F63" s="4183">
        <v>118.16666666666667</v>
      </c>
      <c r="G63" s="4183">
        <v>125.95666666666666</v>
      </c>
      <c r="H63" s="4274">
        <v>126.99916666666668</v>
      </c>
      <c r="I63" s="4183">
        <v>123.87453025256728</v>
      </c>
      <c r="J63" s="4183">
        <v>154.98500000000004</v>
      </c>
      <c r="K63" s="4183">
        <v>117.88166666666666</v>
      </c>
      <c r="L63" s="4274">
        <v>127.35833333333335</v>
      </c>
      <c r="M63" s="4183">
        <v>142.01833333333335</v>
      </c>
      <c r="N63" s="4183">
        <v>135.30000000000001</v>
      </c>
      <c r="O63" s="4274">
        <v>136.66974999999999</v>
      </c>
      <c r="P63" s="4183">
        <v>133.20188636517622</v>
      </c>
      <c r="Q63" s="4183">
        <v>129.18190649089044</v>
      </c>
      <c r="R63" s="4183">
        <v>169.98151758478377</v>
      </c>
      <c r="S63" s="4183">
        <v>146.1</v>
      </c>
      <c r="T63" s="4183">
        <v>136.86416666666668</v>
      </c>
      <c r="U63" s="4183">
        <v>162.38858032151629</v>
      </c>
      <c r="V63" s="4183">
        <v>143.17916666666667</v>
      </c>
      <c r="W63" s="4274">
        <v>150</v>
      </c>
      <c r="X63" s="4050">
        <v>136</v>
      </c>
      <c r="Y63" s="4156">
        <v>2012</v>
      </c>
      <c r="Z63" s="4033">
        <f>X63/X62*100-100</f>
        <v>4.6494640934292732</v>
      </c>
      <c r="AA63" s="1843"/>
      <c r="AB63" s="1192"/>
      <c r="AC63" s="1192"/>
      <c r="AD63" s="1192"/>
      <c r="AE63" s="1192"/>
      <c r="AF63" s="1192"/>
      <c r="AG63" s="1192"/>
      <c r="AH63" s="1192"/>
      <c r="AI63" s="1192"/>
      <c r="AJ63" s="1192"/>
      <c r="AK63" s="1192"/>
      <c r="AL63" s="1192"/>
      <c r="AM63" s="1192"/>
      <c r="AN63" s="1192"/>
      <c r="AO63" s="1192"/>
      <c r="AP63" s="1192"/>
      <c r="AQ63" s="1192"/>
      <c r="AR63" s="1192"/>
      <c r="AS63" s="1192"/>
      <c r="AT63" s="1192"/>
      <c r="AU63" s="1192"/>
      <c r="AV63" s="1192"/>
      <c r="AW63" s="1192"/>
      <c r="AX63" s="1192"/>
      <c r="AY63" s="1192"/>
      <c r="AZ63" s="1192"/>
      <c r="BA63" s="1192"/>
      <c r="BB63" s="1192"/>
      <c r="BC63" s="1192"/>
      <c r="BD63" s="1192"/>
      <c r="BE63" s="1192"/>
      <c r="BF63" s="1192"/>
      <c r="BG63" s="1192"/>
      <c r="BH63" s="1192"/>
      <c r="BI63" s="1192"/>
      <c r="BJ63" s="1192"/>
      <c r="BK63" s="1192"/>
    </row>
    <row r="64" spans="2:63" ht="23.25" customHeight="1">
      <c r="B64" s="1693">
        <v>2013</v>
      </c>
      <c r="C64" s="1144">
        <v>113.1</v>
      </c>
      <c r="D64" s="4195">
        <v>138.69999999999999</v>
      </c>
      <c r="E64" s="4195">
        <v>145.9</v>
      </c>
      <c r="F64" s="4195">
        <v>116.4</v>
      </c>
      <c r="G64" s="4195">
        <v>137.30000000000001</v>
      </c>
      <c r="H64" s="4273">
        <v>134.4</v>
      </c>
      <c r="I64" s="4195">
        <v>127.9</v>
      </c>
      <c r="J64" s="4195">
        <v>185.6</v>
      </c>
      <c r="K64" s="4195">
        <v>122.9</v>
      </c>
      <c r="L64" s="4273">
        <v>138</v>
      </c>
      <c r="M64" s="4195">
        <v>154.5</v>
      </c>
      <c r="N64" s="4195">
        <v>141.9</v>
      </c>
      <c r="O64" s="4273">
        <v>144.5</v>
      </c>
      <c r="P64" s="4195">
        <v>138.11373536672909</v>
      </c>
      <c r="Q64" s="4195">
        <v>118.3198070886384</v>
      </c>
      <c r="R64" s="4195">
        <v>174.6</v>
      </c>
      <c r="S64" s="4195">
        <v>167.1</v>
      </c>
      <c r="T64" s="4195">
        <v>160.1</v>
      </c>
      <c r="U64" s="4195">
        <v>168.7</v>
      </c>
      <c r="V64" s="4195">
        <v>141.80000000000001</v>
      </c>
      <c r="W64" s="4273">
        <v>155.6</v>
      </c>
      <c r="X64" s="4053">
        <v>143.6</v>
      </c>
      <c r="Y64" s="4286">
        <v>2013</v>
      </c>
      <c r="AA64" s="1843"/>
    </row>
    <row r="65" spans="2:63" ht="6.95" customHeight="1">
      <c r="B65" s="1315"/>
      <c r="C65" s="1221"/>
      <c r="D65" s="1322"/>
      <c r="E65" s="1277"/>
      <c r="F65" s="1277"/>
      <c r="G65" s="1277"/>
      <c r="H65" s="1277"/>
      <c r="I65" s="1277"/>
      <c r="J65" s="1277"/>
      <c r="K65" s="1277"/>
      <c r="L65" s="1277"/>
      <c r="M65" s="1277"/>
      <c r="N65" s="1277"/>
      <c r="O65" s="1277"/>
      <c r="P65" s="1277"/>
      <c r="Q65" s="1277"/>
      <c r="R65" s="1277"/>
      <c r="S65" s="1277"/>
      <c r="T65" s="1322"/>
      <c r="U65" s="1277"/>
      <c r="V65" s="1277"/>
      <c r="W65" s="1277"/>
      <c r="X65" s="1277"/>
      <c r="Y65" s="1320"/>
    </row>
    <row r="66" spans="2:63" ht="22.5">
      <c r="B66" s="1347" t="s">
        <v>2215</v>
      </c>
      <c r="C66" s="4192"/>
      <c r="D66" s="1389"/>
      <c r="E66" s="1351"/>
      <c r="F66" s="1351"/>
      <c r="G66" s="1351"/>
      <c r="H66" s="1351"/>
      <c r="I66" s="1351"/>
      <c r="J66" s="1351"/>
      <c r="K66" s="1351"/>
      <c r="L66" s="1351"/>
      <c r="M66" s="1351"/>
      <c r="N66" s="1351"/>
      <c r="O66" s="1351"/>
      <c r="P66" s="1351"/>
      <c r="Q66" s="1351"/>
      <c r="R66" s="1351"/>
      <c r="S66" s="1351"/>
      <c r="T66" s="1389"/>
      <c r="U66" s="1351"/>
      <c r="V66" s="1351"/>
      <c r="W66" s="1351"/>
      <c r="X66" s="1351"/>
      <c r="Y66" s="1349" t="s">
        <v>1457</v>
      </c>
    </row>
    <row r="67" spans="2:63">
      <c r="P67" s="1390"/>
      <c r="Q67" s="1390"/>
      <c r="R67" s="1390"/>
      <c r="S67" s="1390"/>
      <c r="T67" s="4280"/>
      <c r="U67" s="1390"/>
      <c r="V67" s="1390"/>
      <c r="W67" s="1390"/>
      <c r="X67" s="5291"/>
      <c r="Y67" s="5291"/>
      <c r="AA67" s="1390"/>
    </row>
    <row r="68" spans="2:63" s="3948" customFormat="1" ht="35.1" customHeight="1">
      <c r="B68" s="4602" t="s">
        <v>2168</v>
      </c>
      <c r="C68" s="4602"/>
      <c r="D68" s="4602"/>
      <c r="E68" s="4602"/>
      <c r="F68" s="4602"/>
      <c r="G68" s="4602"/>
      <c r="H68" s="4602"/>
      <c r="I68" s="4602"/>
      <c r="J68" s="4602"/>
      <c r="K68" s="4602"/>
      <c r="L68" s="4602"/>
      <c r="M68" s="4602"/>
      <c r="N68" s="4602" t="s">
        <v>2169</v>
      </c>
      <c r="O68" s="4602"/>
      <c r="P68" s="4602"/>
      <c r="Q68" s="4602"/>
      <c r="R68" s="4602"/>
      <c r="S68" s="4602"/>
      <c r="T68" s="4602"/>
      <c r="U68" s="4602"/>
      <c r="V68" s="4602"/>
      <c r="W68" s="4602"/>
      <c r="X68" s="4602"/>
      <c r="Y68" s="4602"/>
      <c r="Z68" s="4034"/>
      <c r="AA68" s="1761"/>
      <c r="AB68" s="1761"/>
      <c r="AC68" s="1761"/>
      <c r="AD68" s="1761"/>
      <c r="AE68" s="1761"/>
      <c r="AF68" s="1761"/>
      <c r="AG68" s="1761"/>
      <c r="AH68" s="1761"/>
      <c r="AI68" s="1761"/>
      <c r="AJ68" s="1761"/>
      <c r="AK68" s="1761"/>
      <c r="AL68" s="1761"/>
      <c r="AM68" s="1761"/>
      <c r="AN68" s="1761"/>
      <c r="AO68" s="1761"/>
      <c r="AP68" s="1761"/>
      <c r="AQ68" s="1761"/>
      <c r="AR68" s="1761"/>
      <c r="AS68" s="1761"/>
      <c r="AT68" s="1761"/>
      <c r="AU68" s="1761"/>
      <c r="AV68" s="1761"/>
      <c r="AW68" s="1761"/>
      <c r="AX68" s="1761"/>
      <c r="AY68" s="1761"/>
      <c r="AZ68" s="1761"/>
      <c r="BA68" s="1761"/>
      <c r="BB68" s="1761"/>
      <c r="BC68" s="1761"/>
      <c r="BD68" s="1761"/>
      <c r="BE68" s="1761"/>
      <c r="BF68" s="1761"/>
      <c r="BG68" s="1761"/>
      <c r="BH68" s="1761"/>
      <c r="BI68" s="1761"/>
      <c r="BJ68" s="1761"/>
      <c r="BK68" s="1761"/>
    </row>
    <row r="69" spans="2:63" s="1814" customFormat="1" ht="35.1" customHeight="1">
      <c r="B69" s="4713" t="s">
        <v>2170</v>
      </c>
      <c r="C69" s="4713"/>
      <c r="D69" s="4713"/>
      <c r="E69" s="4713"/>
      <c r="F69" s="4713"/>
      <c r="G69" s="4713"/>
      <c r="H69" s="4713"/>
      <c r="I69" s="4713"/>
      <c r="J69" s="4713"/>
      <c r="K69" s="4713"/>
      <c r="L69" s="4713"/>
      <c r="M69" s="4713"/>
      <c r="N69" s="4713" t="s">
        <v>2171</v>
      </c>
      <c r="O69" s="4713"/>
      <c r="P69" s="4713"/>
      <c r="Q69" s="4713"/>
      <c r="R69" s="4713"/>
      <c r="S69" s="4713"/>
      <c r="T69" s="4713"/>
      <c r="U69" s="4713"/>
      <c r="V69" s="4713"/>
      <c r="W69" s="4713"/>
      <c r="X69" s="4713"/>
      <c r="Y69" s="4713"/>
      <c r="Z69" s="4035"/>
      <c r="AA69" s="2664"/>
      <c r="AB69" s="2664"/>
      <c r="AC69" s="2664"/>
      <c r="AD69" s="2664"/>
      <c r="AE69" s="2664"/>
      <c r="AF69" s="2664"/>
      <c r="AG69" s="2664"/>
      <c r="AH69" s="2664"/>
      <c r="AI69" s="2664"/>
      <c r="AJ69" s="2664"/>
      <c r="AK69" s="2664"/>
      <c r="AL69" s="2664"/>
      <c r="AM69" s="2664"/>
      <c r="AN69" s="2664"/>
      <c r="AO69" s="2664"/>
      <c r="AP69" s="2664"/>
      <c r="AQ69" s="2664"/>
      <c r="AR69" s="2664"/>
      <c r="AS69" s="2664"/>
      <c r="AT69" s="2664"/>
      <c r="AU69" s="2664"/>
      <c r="AV69" s="2664"/>
      <c r="AW69" s="2664"/>
      <c r="AX69" s="2664"/>
      <c r="AY69" s="2664"/>
      <c r="AZ69" s="2664"/>
      <c r="BA69" s="2664"/>
      <c r="BB69" s="2664"/>
      <c r="BC69" s="2664"/>
      <c r="BD69" s="2664"/>
      <c r="BE69" s="2664"/>
      <c r="BF69" s="2664"/>
      <c r="BG69" s="2664"/>
      <c r="BH69" s="2664"/>
      <c r="BI69" s="2664"/>
      <c r="BJ69" s="2664"/>
      <c r="BK69" s="2664"/>
    </row>
    <row r="70" spans="2:63" s="3335" customFormat="1" ht="18" customHeight="1">
      <c r="B70" s="1315" t="s">
        <v>2575</v>
      </c>
      <c r="C70" s="4159"/>
      <c r="D70" s="1275"/>
      <c r="E70" s="1275"/>
      <c r="F70" s="1275"/>
      <c r="G70" s="1317"/>
      <c r="H70" s="1318"/>
      <c r="I70" s="1274"/>
      <c r="J70" s="1317"/>
      <c r="K70" s="1274"/>
      <c r="L70" s="1274"/>
      <c r="M70" s="1274"/>
      <c r="N70" s="4159"/>
      <c r="O70" s="1274"/>
      <c r="P70" s="1275"/>
      <c r="Q70" s="1275"/>
      <c r="R70" s="1275"/>
      <c r="S70" s="1319"/>
      <c r="T70" s="1318"/>
      <c r="U70" s="1318"/>
      <c r="V70" s="1274"/>
      <c r="W70" s="1274"/>
      <c r="X70" s="1274"/>
      <c r="Y70" s="1320" t="s">
        <v>2574</v>
      </c>
      <c r="Z70" s="4036"/>
      <c r="AA70" s="2264"/>
      <c r="AB70" s="2264"/>
      <c r="AC70" s="2264"/>
      <c r="AD70" s="2264"/>
      <c r="AE70" s="2264"/>
      <c r="AF70" s="2264"/>
      <c r="AG70" s="2264"/>
      <c r="AH70" s="2264"/>
      <c r="AI70" s="2264"/>
      <c r="AJ70" s="2264"/>
      <c r="AK70" s="2264"/>
      <c r="AL70" s="2264"/>
      <c r="AM70" s="2264"/>
      <c r="AN70" s="2264"/>
      <c r="AO70" s="2264"/>
      <c r="AP70" s="2264"/>
      <c r="AQ70" s="2264"/>
      <c r="AR70" s="2264"/>
      <c r="AS70" s="2264"/>
      <c r="AT70" s="2264"/>
      <c r="AU70" s="2264"/>
      <c r="AV70" s="2264"/>
      <c r="AW70" s="2264"/>
      <c r="AX70" s="2264"/>
      <c r="AY70" s="2264"/>
      <c r="AZ70" s="2264"/>
      <c r="BA70" s="2264"/>
      <c r="BB70" s="2264"/>
      <c r="BC70" s="2264"/>
      <c r="BD70" s="2264"/>
      <c r="BE70" s="2264"/>
      <c r="BF70" s="2264"/>
      <c r="BG70" s="2264"/>
      <c r="BH70" s="2264"/>
      <c r="BI70" s="2264"/>
      <c r="BJ70" s="2264"/>
      <c r="BK70" s="2264"/>
    </row>
    <row r="71" spans="2:63" ht="6" customHeight="1">
      <c r="B71" s="1221"/>
      <c r="C71" s="1221"/>
      <c r="D71" s="1221"/>
      <c r="E71" s="1221"/>
      <c r="F71" s="1221"/>
      <c r="G71" s="1220"/>
      <c r="H71" s="1321"/>
      <c r="I71" s="1277"/>
      <c r="J71" s="1321"/>
      <c r="K71" s="1220"/>
      <c r="L71" s="1220"/>
      <c r="M71" s="1220"/>
      <c r="N71" s="1221"/>
      <c r="O71" s="1220"/>
      <c r="P71" s="1221"/>
      <c r="Q71" s="1221"/>
      <c r="R71" s="1322"/>
      <c r="S71" s="1220"/>
      <c r="T71" s="1323"/>
      <c r="U71" s="1323"/>
      <c r="V71" s="1220"/>
      <c r="W71" s="1324"/>
      <c r="X71" s="1220"/>
      <c r="Y71" s="1221"/>
      <c r="AA71" s="1192"/>
      <c r="AB71" s="1192"/>
      <c r="AC71" s="1192"/>
      <c r="AD71" s="1192"/>
      <c r="AE71" s="1192"/>
      <c r="AF71" s="1192"/>
      <c r="AG71" s="1192"/>
      <c r="AH71" s="1192"/>
      <c r="AI71" s="1192"/>
      <c r="AJ71" s="1192"/>
      <c r="AK71" s="1192"/>
      <c r="AL71" s="1192"/>
      <c r="AM71" s="1192"/>
      <c r="AN71" s="1192"/>
      <c r="AO71" s="1192"/>
      <c r="AP71" s="1192"/>
      <c r="AQ71" s="1192"/>
      <c r="AR71" s="1192"/>
      <c r="AS71" s="1192"/>
      <c r="AT71" s="1192"/>
      <c r="AU71" s="1192"/>
      <c r="AV71" s="1192"/>
      <c r="AW71" s="1192"/>
      <c r="AX71" s="1192"/>
      <c r="AY71" s="1192"/>
      <c r="AZ71" s="1192"/>
      <c r="BA71" s="1192"/>
      <c r="BB71" s="1192"/>
      <c r="BC71" s="1192"/>
      <c r="BD71" s="1192"/>
      <c r="BE71" s="1192"/>
      <c r="BF71" s="1192"/>
      <c r="BG71" s="1192"/>
      <c r="BH71" s="1192"/>
      <c r="BI71" s="1192"/>
      <c r="BJ71" s="1192"/>
      <c r="BK71" s="1192"/>
    </row>
    <row r="72" spans="2:63" ht="25.5">
      <c r="B72" s="1325"/>
      <c r="C72" s="4823"/>
      <c r="D72" s="4809"/>
      <c r="E72" s="4823"/>
      <c r="F72" s="4809"/>
      <c r="G72" s="1326"/>
      <c r="H72" s="1327"/>
      <c r="I72" s="4823"/>
      <c r="J72" s="4809"/>
      <c r="K72" s="1328"/>
      <c r="L72" s="5292"/>
      <c r="M72" s="5293"/>
      <c r="N72" s="1226"/>
      <c r="O72" s="1227"/>
      <c r="P72" s="1328"/>
      <c r="Q72" s="1329"/>
      <c r="R72" s="4216"/>
      <c r="S72" s="4216"/>
      <c r="T72" s="4770"/>
      <c r="U72" s="4686"/>
      <c r="V72" s="4823"/>
      <c r="W72" s="4809"/>
      <c r="X72" s="1330"/>
      <c r="Y72" s="4037"/>
      <c r="Z72" s="4038"/>
      <c r="AA72" s="1192"/>
      <c r="AB72" s="1192"/>
      <c r="AC72" s="1192"/>
      <c r="AD72" s="1192"/>
      <c r="AE72" s="1192"/>
      <c r="AF72" s="1192"/>
      <c r="AG72" s="1192"/>
      <c r="AH72" s="1192"/>
      <c r="AI72" s="1192"/>
      <c r="AJ72" s="1192"/>
      <c r="AK72" s="1192"/>
      <c r="AL72" s="1192"/>
      <c r="AM72" s="1192"/>
      <c r="AN72" s="1192"/>
      <c r="AO72" s="1192"/>
      <c r="AP72" s="1192"/>
      <c r="AQ72" s="1192"/>
      <c r="AR72" s="1192"/>
      <c r="AS72" s="1192"/>
      <c r="AT72" s="1192"/>
      <c r="AU72" s="1192"/>
      <c r="AV72" s="1192"/>
      <c r="AW72" s="1192"/>
      <c r="AX72" s="1192"/>
      <c r="AY72" s="1192"/>
      <c r="AZ72" s="1192"/>
      <c r="BA72" s="1192"/>
      <c r="BB72" s="1192"/>
      <c r="BC72" s="1192"/>
      <c r="BD72" s="1192"/>
      <c r="BE72" s="1192"/>
      <c r="BF72" s="1192"/>
      <c r="BG72" s="1192"/>
      <c r="BH72" s="1192"/>
      <c r="BI72" s="1192"/>
      <c r="BJ72" s="1192"/>
      <c r="BK72" s="1192"/>
    </row>
    <row r="73" spans="2:63" ht="25.5">
      <c r="B73" s="1331"/>
      <c r="C73" s="5286" t="s">
        <v>2220</v>
      </c>
      <c r="D73" s="5287"/>
      <c r="E73" s="5286"/>
      <c r="F73" s="5287"/>
      <c r="G73" s="1332"/>
      <c r="H73" s="1332"/>
      <c r="I73" s="5286"/>
      <c r="J73" s="5287"/>
      <c r="K73" s="1333"/>
      <c r="L73" s="5286"/>
      <c r="M73" s="5288"/>
      <c r="N73" s="5288" t="s">
        <v>2576</v>
      </c>
      <c r="O73" s="5287"/>
      <c r="P73" s="1332"/>
      <c r="Q73" s="1332"/>
      <c r="R73" s="1332" t="s">
        <v>2176</v>
      </c>
      <c r="S73" s="1332"/>
      <c r="T73" s="5286"/>
      <c r="U73" s="5287"/>
      <c r="V73" s="5286" t="s">
        <v>2577</v>
      </c>
      <c r="W73" s="5287"/>
      <c r="X73" s="1334" t="s">
        <v>1487</v>
      </c>
      <c r="Y73" s="4039"/>
      <c r="Z73" s="4043"/>
      <c r="AA73" s="1192"/>
      <c r="AB73" s="1192"/>
      <c r="AC73" s="1192"/>
      <c r="AD73" s="1192"/>
      <c r="AE73" s="1192"/>
      <c r="AF73" s="1192"/>
      <c r="AG73" s="1192"/>
      <c r="AH73" s="1192"/>
      <c r="AI73" s="1192"/>
      <c r="AJ73" s="1192"/>
      <c r="AK73" s="1192"/>
      <c r="AL73" s="1192"/>
      <c r="AM73" s="1192"/>
      <c r="AN73" s="1192"/>
      <c r="AO73" s="1192"/>
      <c r="AP73" s="1192"/>
      <c r="AQ73" s="1192"/>
      <c r="AR73" s="1192"/>
      <c r="AS73" s="1192"/>
      <c r="AT73" s="1192"/>
      <c r="AU73" s="1192"/>
      <c r="AV73" s="1192"/>
      <c r="AW73" s="1192"/>
      <c r="AX73" s="1192"/>
      <c r="AY73" s="1192"/>
      <c r="AZ73" s="1192"/>
      <c r="BA73" s="1192"/>
      <c r="BB73" s="1192"/>
      <c r="BC73" s="1192"/>
      <c r="BD73" s="1192"/>
      <c r="BE73" s="1192"/>
      <c r="BF73" s="1192"/>
      <c r="BG73" s="1192"/>
      <c r="BH73" s="1192"/>
      <c r="BI73" s="1192"/>
      <c r="BJ73" s="1192"/>
      <c r="BK73" s="1192"/>
    </row>
    <row r="74" spans="2:63" ht="25.5">
      <c r="B74" s="1331"/>
      <c r="C74" s="5286" t="s">
        <v>2578</v>
      </c>
      <c r="D74" s="5287"/>
      <c r="E74" s="5286" t="s">
        <v>2579</v>
      </c>
      <c r="F74" s="5287"/>
      <c r="G74" s="1332"/>
      <c r="H74" s="1332" t="s">
        <v>2580</v>
      </c>
      <c r="I74" s="5286"/>
      <c r="J74" s="5287"/>
      <c r="K74" s="1332"/>
      <c r="L74" s="5286"/>
      <c r="M74" s="5288"/>
      <c r="N74" s="5288" t="s">
        <v>2581</v>
      </c>
      <c r="O74" s="5287"/>
      <c r="P74" s="1332"/>
      <c r="Q74" s="1332" t="s">
        <v>2226</v>
      </c>
      <c r="R74" s="1332" t="s">
        <v>2181</v>
      </c>
      <c r="S74" s="4263" t="s">
        <v>2582</v>
      </c>
      <c r="T74" s="5286"/>
      <c r="U74" s="5287"/>
      <c r="V74" s="5286" t="s">
        <v>2583</v>
      </c>
      <c r="W74" s="5287"/>
      <c r="X74" s="1334" t="s">
        <v>2125</v>
      </c>
      <c r="Y74" s="4039"/>
      <c r="Z74" s="4043"/>
      <c r="AA74" s="1192"/>
      <c r="AB74" s="1192"/>
      <c r="AC74" s="1192"/>
      <c r="AD74" s="1192"/>
      <c r="AE74" s="1192"/>
      <c r="AF74" s="1192"/>
      <c r="AG74" s="1192"/>
      <c r="AH74" s="1192"/>
      <c r="AI74" s="1192"/>
      <c r="AJ74" s="1192"/>
      <c r="AK74" s="1192"/>
      <c r="AL74" s="1192"/>
      <c r="AM74" s="1192"/>
      <c r="AN74" s="1192"/>
      <c r="AO74" s="1192"/>
      <c r="AP74" s="1192"/>
      <c r="AQ74" s="1192"/>
      <c r="AR74" s="1192"/>
      <c r="AS74" s="1192"/>
      <c r="AT74" s="1192"/>
      <c r="AU74" s="1192"/>
      <c r="AV74" s="1192"/>
      <c r="AW74" s="1192"/>
      <c r="AX74" s="1192"/>
      <c r="AY74" s="1192"/>
      <c r="AZ74" s="1192"/>
      <c r="BA74" s="1192"/>
      <c r="BB74" s="1192"/>
      <c r="BC74" s="1192"/>
      <c r="BD74" s="1192"/>
      <c r="BE74" s="1192"/>
      <c r="BF74" s="1192"/>
      <c r="BG74" s="1192"/>
      <c r="BH74" s="1192"/>
      <c r="BI74" s="1192"/>
      <c r="BJ74" s="1192"/>
      <c r="BK74" s="1192"/>
    </row>
    <row r="75" spans="2:63" ht="25.5">
      <c r="B75" s="1331"/>
      <c r="C75" s="5286" t="s">
        <v>98</v>
      </c>
      <c r="D75" s="5287"/>
      <c r="E75" s="5286" t="s">
        <v>662</v>
      </c>
      <c r="F75" s="5287"/>
      <c r="G75" s="1332" t="s">
        <v>2584</v>
      </c>
      <c r="H75" s="1332" t="s">
        <v>2585</v>
      </c>
      <c r="I75" s="5286" t="s">
        <v>2586</v>
      </c>
      <c r="J75" s="5287"/>
      <c r="K75" s="1332" t="s">
        <v>668</v>
      </c>
      <c r="L75" s="5286" t="s">
        <v>2587</v>
      </c>
      <c r="M75" s="5288"/>
      <c r="N75" s="5288" t="s">
        <v>2588</v>
      </c>
      <c r="O75" s="5287"/>
      <c r="P75" s="1332" t="s">
        <v>2589</v>
      </c>
      <c r="Q75" s="1332" t="s">
        <v>2266</v>
      </c>
      <c r="R75" s="1332" t="s">
        <v>2590</v>
      </c>
      <c r="S75" s="4263" t="s">
        <v>2181</v>
      </c>
      <c r="T75" s="5289" t="s">
        <v>2591</v>
      </c>
      <c r="U75" s="5290"/>
      <c r="V75" s="5286" t="s">
        <v>2592</v>
      </c>
      <c r="W75" s="5287"/>
      <c r="X75" s="1334" t="s">
        <v>2130</v>
      </c>
      <c r="Y75" s="4045"/>
      <c r="Z75" s="4043"/>
      <c r="AA75" s="1192"/>
      <c r="AB75" s="1192"/>
      <c r="AC75" s="1192"/>
      <c r="AD75" s="1192"/>
      <c r="AE75" s="1192"/>
      <c r="AF75" s="1192"/>
      <c r="AG75" s="4046"/>
      <c r="AH75" s="1192"/>
      <c r="AI75" s="1192"/>
      <c r="AJ75" s="1192"/>
      <c r="AK75" s="1192"/>
      <c r="AL75" s="1192"/>
      <c r="AM75" s="1192"/>
      <c r="AN75" s="1192"/>
      <c r="AO75" s="1192"/>
      <c r="AP75" s="1192"/>
      <c r="AQ75" s="1192"/>
      <c r="AR75" s="1192"/>
      <c r="AS75" s="1192"/>
      <c r="AT75" s="1192"/>
      <c r="AU75" s="1192"/>
      <c r="AV75" s="1192"/>
      <c r="AW75" s="1192"/>
      <c r="AX75" s="1192"/>
      <c r="AY75" s="1192"/>
      <c r="AZ75" s="1192"/>
      <c r="BA75" s="1192"/>
      <c r="BB75" s="1192"/>
      <c r="BC75" s="1192"/>
      <c r="BD75" s="1192"/>
      <c r="BE75" s="1192"/>
      <c r="BF75" s="1192"/>
      <c r="BG75" s="1192"/>
      <c r="BH75" s="1192"/>
      <c r="BI75" s="1192"/>
      <c r="BJ75" s="1192"/>
      <c r="BK75" s="1192"/>
    </row>
    <row r="76" spans="2:63" ht="25.5">
      <c r="B76" s="1336"/>
      <c r="C76" s="5286" t="s">
        <v>119</v>
      </c>
      <c r="D76" s="5287"/>
      <c r="E76" s="5286" t="s">
        <v>1646</v>
      </c>
      <c r="F76" s="5287"/>
      <c r="G76" s="4170"/>
      <c r="H76" s="1332" t="s">
        <v>2593</v>
      </c>
      <c r="I76" s="4683"/>
      <c r="J76" s="4685"/>
      <c r="K76" s="4170"/>
      <c r="L76" s="5286"/>
      <c r="M76" s="5288"/>
      <c r="N76" s="5288" t="s">
        <v>2594</v>
      </c>
      <c r="O76" s="5287"/>
      <c r="P76" s="4170"/>
      <c r="Q76" s="4170"/>
      <c r="R76" s="1332" t="s">
        <v>2595</v>
      </c>
      <c r="S76" s="4263" t="s">
        <v>2596</v>
      </c>
      <c r="T76" s="4683"/>
      <c r="U76" s="4685"/>
      <c r="V76" s="5286" t="s">
        <v>2597</v>
      </c>
      <c r="W76" s="5287"/>
      <c r="X76" s="1332" t="s">
        <v>1327</v>
      </c>
      <c r="Y76" s="4045"/>
      <c r="Z76" s="4043"/>
      <c r="AA76" s="1192"/>
      <c r="AB76" s="1192"/>
      <c r="AC76" s="1192"/>
      <c r="AD76" s="1192"/>
      <c r="AF76" s="1192"/>
      <c r="AG76" s="1192"/>
      <c r="AH76" s="1192"/>
      <c r="AI76" s="1192"/>
      <c r="AJ76" s="1192"/>
      <c r="AK76" s="1192"/>
      <c r="AL76" s="1192"/>
      <c r="AM76" s="1192"/>
      <c r="AN76" s="1192"/>
      <c r="AO76" s="1192"/>
      <c r="AP76" s="1192"/>
      <c r="AQ76" s="1192"/>
      <c r="AR76" s="1192"/>
      <c r="AS76" s="1192"/>
      <c r="AT76" s="1192"/>
      <c r="AU76" s="1192"/>
      <c r="AV76" s="1192"/>
      <c r="AW76" s="1192"/>
      <c r="AX76" s="1192"/>
      <c r="AY76" s="1192"/>
      <c r="AZ76" s="1192"/>
      <c r="BA76" s="1192"/>
      <c r="BB76" s="1192"/>
      <c r="BC76" s="1192"/>
      <c r="BD76" s="1192"/>
      <c r="BE76" s="1192"/>
      <c r="BF76" s="1192"/>
      <c r="BG76" s="1192"/>
      <c r="BH76" s="1192"/>
      <c r="BI76" s="1192"/>
      <c r="BJ76" s="1192"/>
      <c r="BK76" s="1192"/>
    </row>
    <row r="77" spans="2:63" ht="25.5">
      <c r="B77" s="1331"/>
      <c r="C77" s="5286" t="s">
        <v>2598</v>
      </c>
      <c r="D77" s="5287"/>
      <c r="E77" s="5286" t="s">
        <v>2201</v>
      </c>
      <c r="F77" s="5287"/>
      <c r="G77" s="4170"/>
      <c r="H77" s="1332" t="s">
        <v>2201</v>
      </c>
      <c r="I77" s="4683"/>
      <c r="J77" s="4685"/>
      <c r="K77" s="4170"/>
      <c r="L77" s="5286"/>
      <c r="M77" s="5288"/>
      <c r="N77" s="5288" t="s">
        <v>2599</v>
      </c>
      <c r="O77" s="5287"/>
      <c r="P77" s="4170"/>
      <c r="Q77" s="1332" t="s">
        <v>2172</v>
      </c>
      <c r="R77" s="1332" t="s">
        <v>2600</v>
      </c>
      <c r="S77" s="4263" t="s">
        <v>1868</v>
      </c>
      <c r="T77" s="5289" t="s">
        <v>1870</v>
      </c>
      <c r="U77" s="5290"/>
      <c r="V77" s="5286" t="s">
        <v>2601</v>
      </c>
      <c r="W77" s="5287"/>
      <c r="X77" s="1332" t="s">
        <v>2132</v>
      </c>
      <c r="Y77" s="4039"/>
      <c r="Z77" s="4043"/>
      <c r="AA77" s="1192"/>
      <c r="AB77" s="1192"/>
      <c r="AC77" s="1192"/>
      <c r="AD77" s="1192"/>
      <c r="AE77" s="1192"/>
      <c r="AF77" s="1192"/>
      <c r="AG77" s="1192"/>
      <c r="AH77" s="1192"/>
      <c r="AI77" s="1192"/>
      <c r="AJ77" s="1192"/>
      <c r="AK77" s="1192"/>
      <c r="AL77" s="1192"/>
      <c r="AM77" s="1192"/>
      <c r="AN77" s="1192"/>
      <c r="AO77" s="1192"/>
      <c r="AP77" s="1192"/>
      <c r="AQ77" s="1192"/>
      <c r="AR77" s="1192"/>
      <c r="AS77" s="1192"/>
      <c r="AT77" s="1192"/>
      <c r="AU77" s="1192"/>
      <c r="AV77" s="1192"/>
      <c r="AW77" s="1192"/>
      <c r="AX77" s="1192"/>
      <c r="AY77" s="1192"/>
      <c r="AZ77" s="1192"/>
      <c r="BA77" s="1192"/>
      <c r="BB77" s="1192"/>
      <c r="BC77" s="1192"/>
      <c r="BD77" s="1192"/>
      <c r="BE77" s="1192"/>
      <c r="BF77" s="1192"/>
      <c r="BG77" s="1192"/>
      <c r="BH77" s="1192"/>
      <c r="BI77" s="1192"/>
      <c r="BJ77" s="1192"/>
      <c r="BK77" s="1192"/>
    </row>
    <row r="78" spans="2:63" ht="25.5">
      <c r="B78" s="1337"/>
      <c r="C78" s="5294" t="s">
        <v>703</v>
      </c>
      <c r="D78" s="5295"/>
      <c r="E78" s="5294" t="s">
        <v>678</v>
      </c>
      <c r="F78" s="5295"/>
      <c r="G78" s="1338" t="s">
        <v>2205</v>
      </c>
      <c r="H78" s="1338" t="s">
        <v>2602</v>
      </c>
      <c r="I78" s="5294" t="s">
        <v>2603</v>
      </c>
      <c r="J78" s="5295"/>
      <c r="K78" s="1338" t="s">
        <v>2196</v>
      </c>
      <c r="L78" s="5294" t="s">
        <v>2604</v>
      </c>
      <c r="M78" s="5296"/>
      <c r="N78" s="5296" t="s">
        <v>1504</v>
      </c>
      <c r="O78" s="5295"/>
      <c r="P78" s="1338" t="s">
        <v>2197</v>
      </c>
      <c r="Q78" s="1338" t="s">
        <v>1859</v>
      </c>
      <c r="R78" s="1338" t="s">
        <v>1861</v>
      </c>
      <c r="S78" s="1339" t="s">
        <v>2605</v>
      </c>
      <c r="T78" s="5297" t="s">
        <v>2606</v>
      </c>
      <c r="U78" s="5298"/>
      <c r="V78" s="5294" t="s">
        <v>2605</v>
      </c>
      <c r="W78" s="5295"/>
      <c r="X78" s="1338" t="s">
        <v>1495</v>
      </c>
      <c r="Y78" s="4048"/>
      <c r="Z78" s="4043"/>
      <c r="AA78" s="1192"/>
      <c r="AB78" s="1192"/>
      <c r="AC78" s="1192"/>
      <c r="AD78" s="1192"/>
      <c r="AE78" s="1192"/>
      <c r="AF78" s="1192"/>
      <c r="AG78" s="1192"/>
      <c r="AH78" s="1192"/>
      <c r="AI78" s="1192"/>
      <c r="AJ78" s="1192"/>
      <c r="AK78" s="1192"/>
      <c r="AL78" s="1192"/>
      <c r="AM78" s="1192"/>
      <c r="AN78" s="1192"/>
      <c r="AO78" s="1192"/>
      <c r="AP78" s="1192"/>
      <c r="AQ78" s="1192"/>
      <c r="AR78" s="1192"/>
      <c r="AS78" s="1192"/>
      <c r="AT78" s="1192"/>
      <c r="AU78" s="1192"/>
      <c r="AV78" s="1192"/>
      <c r="AW78" s="1192"/>
      <c r="AX78" s="1192"/>
      <c r="AY78" s="1192"/>
      <c r="AZ78" s="1192"/>
      <c r="BA78" s="1192"/>
      <c r="BB78" s="1192"/>
      <c r="BC78" s="1192"/>
      <c r="BD78" s="1192"/>
      <c r="BE78" s="1192"/>
      <c r="BF78" s="1192"/>
      <c r="BG78" s="1192"/>
      <c r="BH78" s="1192"/>
      <c r="BI78" s="1192"/>
      <c r="BJ78" s="1192"/>
      <c r="BK78" s="1192"/>
    </row>
    <row r="79" spans="2:63" ht="23.25" customHeight="1">
      <c r="B79" s="1340">
        <v>2006</v>
      </c>
      <c r="C79" s="5282">
        <v>81.900000000000006</v>
      </c>
      <c r="D79" s="5283"/>
      <c r="E79" s="5283">
        <v>78.400000000000006</v>
      </c>
      <c r="F79" s="5283"/>
      <c r="G79" s="4276">
        <v>81.8</v>
      </c>
      <c r="H79" s="4276">
        <v>91.7</v>
      </c>
      <c r="I79" s="5283">
        <v>114.7</v>
      </c>
      <c r="J79" s="5283"/>
      <c r="K79" s="4276">
        <v>83.5</v>
      </c>
      <c r="L79" s="5283">
        <v>94</v>
      </c>
      <c r="M79" s="5283"/>
      <c r="N79" s="5283">
        <v>86.6</v>
      </c>
      <c r="O79" s="5283"/>
      <c r="P79" s="4276">
        <v>84</v>
      </c>
      <c r="Q79" s="4276">
        <v>81.3</v>
      </c>
      <c r="R79" s="4276">
        <v>80</v>
      </c>
      <c r="S79" s="4184">
        <v>87.6</v>
      </c>
      <c r="T79" s="4830">
        <v>70.599999999999994</v>
      </c>
      <c r="U79" s="4830"/>
      <c r="V79" s="5283">
        <v>71.7</v>
      </c>
      <c r="W79" s="5283"/>
      <c r="X79" s="1341">
        <v>80.5</v>
      </c>
      <c r="Y79" s="4054">
        <v>2006</v>
      </c>
      <c r="AA79" s="1192"/>
      <c r="AB79" s="1192"/>
      <c r="AC79" s="1192"/>
      <c r="AD79" s="1192"/>
      <c r="AE79" s="1192"/>
      <c r="AF79" s="1192"/>
      <c r="AG79" s="1192"/>
      <c r="AH79" s="1192"/>
      <c r="AI79" s="1192"/>
      <c r="AJ79" s="1192"/>
      <c r="AK79" s="1192"/>
      <c r="AL79" s="1192"/>
      <c r="AM79" s="1192"/>
      <c r="AN79" s="1192"/>
      <c r="AO79" s="1192"/>
      <c r="AP79" s="1192"/>
      <c r="AQ79" s="1192"/>
      <c r="AR79" s="1192"/>
      <c r="AS79" s="1192"/>
      <c r="AT79" s="1192"/>
      <c r="AU79" s="1192"/>
      <c r="AV79" s="1192"/>
      <c r="AW79" s="1192"/>
      <c r="AX79" s="1192"/>
      <c r="AY79" s="1192"/>
      <c r="AZ79" s="1192"/>
      <c r="BA79" s="1192"/>
      <c r="BB79" s="1192"/>
      <c r="BC79" s="1192"/>
      <c r="BD79" s="1192"/>
      <c r="BE79" s="1192"/>
      <c r="BF79" s="1192"/>
      <c r="BG79" s="1192"/>
      <c r="BH79" s="1192"/>
      <c r="BI79" s="1192"/>
      <c r="BJ79" s="1192"/>
      <c r="BK79" s="1192"/>
    </row>
    <row r="80" spans="2:63" ht="23.25" customHeight="1">
      <c r="B80" s="1342">
        <v>2007</v>
      </c>
      <c r="C80" s="5280">
        <v>86.1</v>
      </c>
      <c r="D80" s="5281"/>
      <c r="E80" s="5281">
        <v>86.2</v>
      </c>
      <c r="F80" s="5281"/>
      <c r="G80" s="4274">
        <v>83.2</v>
      </c>
      <c r="H80" s="4274">
        <v>91.5</v>
      </c>
      <c r="I80" s="5281">
        <v>113.2</v>
      </c>
      <c r="J80" s="5281"/>
      <c r="K80" s="4274">
        <v>85.9</v>
      </c>
      <c r="L80" s="5281">
        <v>96.2</v>
      </c>
      <c r="M80" s="5281"/>
      <c r="N80" s="5285">
        <v>88.4</v>
      </c>
      <c r="O80" s="5285"/>
      <c r="P80" s="4274">
        <v>85.7</v>
      </c>
      <c r="Q80" s="4274">
        <v>86.3</v>
      </c>
      <c r="R80" s="4274">
        <v>82.2</v>
      </c>
      <c r="S80" s="4183">
        <v>90.4</v>
      </c>
      <c r="T80" s="4726">
        <v>77.7</v>
      </c>
      <c r="U80" s="4726"/>
      <c r="V80" s="5281">
        <v>78.5</v>
      </c>
      <c r="W80" s="5281"/>
      <c r="X80" s="1343">
        <v>84.3</v>
      </c>
      <c r="Y80" s="4156">
        <v>2007</v>
      </c>
      <c r="Z80" s="4033">
        <f t="shared" ref="Z80:Z87" si="1">X80/X79*100-100</f>
        <v>4.7204968944099477</v>
      </c>
      <c r="AA80" s="1192"/>
      <c r="AB80" s="1192"/>
      <c r="AC80" s="1192"/>
      <c r="AD80" s="1192"/>
      <c r="AE80" s="1192"/>
      <c r="AF80" s="1192"/>
      <c r="AG80" s="1192"/>
      <c r="AH80" s="1192"/>
      <c r="AI80" s="1192"/>
      <c r="AJ80" s="1192"/>
      <c r="AK80" s="1192"/>
      <c r="AL80" s="1192"/>
      <c r="AM80" s="1192"/>
      <c r="AN80" s="1192"/>
      <c r="AO80" s="1192"/>
      <c r="AP80" s="1192"/>
      <c r="AQ80" s="1192"/>
      <c r="AR80" s="1192"/>
      <c r="AS80" s="1192"/>
      <c r="AT80" s="1192"/>
      <c r="AU80" s="1192"/>
      <c r="AV80" s="1192"/>
      <c r="AW80" s="1192"/>
      <c r="AX80" s="1192"/>
      <c r="AY80" s="1192"/>
      <c r="AZ80" s="1192"/>
      <c r="BA80" s="1192"/>
      <c r="BB80" s="1192"/>
      <c r="BC80" s="1192"/>
      <c r="BD80" s="1192"/>
      <c r="BE80" s="1192"/>
      <c r="BF80" s="1192"/>
      <c r="BG80" s="1192"/>
      <c r="BH80" s="1192"/>
      <c r="BI80" s="1192"/>
      <c r="BJ80" s="1192"/>
      <c r="BK80" s="1192"/>
    </row>
    <row r="81" spans="2:63" ht="23.25" customHeight="1">
      <c r="B81" s="1340">
        <v>2008</v>
      </c>
      <c r="C81" s="5282">
        <v>91.1</v>
      </c>
      <c r="D81" s="5283"/>
      <c r="E81" s="5283">
        <v>96.8</v>
      </c>
      <c r="F81" s="5283"/>
      <c r="G81" s="4276">
        <v>87.7</v>
      </c>
      <c r="H81" s="4276">
        <v>97.1</v>
      </c>
      <c r="I81" s="5283">
        <v>111.5</v>
      </c>
      <c r="J81" s="5283"/>
      <c r="K81" s="4276">
        <v>103.7</v>
      </c>
      <c r="L81" s="5279">
        <v>99.6</v>
      </c>
      <c r="M81" s="5279"/>
      <c r="N81" s="1344">
        <v>94.1</v>
      </c>
      <c r="O81" s="1344"/>
      <c r="P81" s="4276">
        <v>98.5</v>
      </c>
      <c r="Q81" s="4276">
        <v>92.8</v>
      </c>
      <c r="R81" s="4276">
        <v>88.6</v>
      </c>
      <c r="S81" s="4184">
        <v>94.7</v>
      </c>
      <c r="T81" s="4830">
        <v>94</v>
      </c>
      <c r="U81" s="4830"/>
      <c r="V81" s="5283">
        <v>94.1</v>
      </c>
      <c r="W81" s="5283"/>
      <c r="X81" s="1345">
        <v>96.1</v>
      </c>
      <c r="Y81" s="4155">
        <v>2008</v>
      </c>
      <c r="Z81" s="4033">
        <f t="shared" si="1"/>
        <v>13.997627520759195</v>
      </c>
      <c r="AA81" s="1192"/>
      <c r="AB81" s="1192"/>
      <c r="AC81" s="1192"/>
      <c r="AD81" s="1192"/>
      <c r="AE81" s="1192"/>
      <c r="AF81" s="1192"/>
      <c r="AG81" s="1192"/>
      <c r="AH81" s="1192"/>
      <c r="AI81" s="1192"/>
      <c r="AJ81" s="1192"/>
      <c r="AK81" s="1192"/>
      <c r="AL81" s="1192"/>
      <c r="AM81" s="1192"/>
      <c r="AN81" s="1192"/>
      <c r="AO81" s="1192"/>
      <c r="AP81" s="1192"/>
      <c r="AQ81" s="1192"/>
      <c r="AR81" s="1192"/>
      <c r="AS81" s="1192"/>
      <c r="AT81" s="1192"/>
      <c r="AU81" s="1192"/>
      <c r="AV81" s="1192"/>
      <c r="AW81" s="1192"/>
      <c r="AX81" s="1192"/>
      <c r="AY81" s="1192"/>
      <c r="AZ81" s="1192"/>
      <c r="BA81" s="1192"/>
      <c r="BB81" s="1192"/>
      <c r="BC81" s="1192"/>
      <c r="BD81" s="1192"/>
      <c r="BE81" s="1192"/>
      <c r="BF81" s="1192"/>
      <c r="BG81" s="1192"/>
      <c r="BH81" s="1192"/>
      <c r="BI81" s="1192"/>
      <c r="BJ81" s="1192"/>
      <c r="BK81" s="1192"/>
    </row>
    <row r="82" spans="2:63" ht="23.25" customHeight="1">
      <c r="B82" s="1342">
        <v>2009</v>
      </c>
      <c r="C82" s="5280">
        <v>93.7</v>
      </c>
      <c r="D82" s="5281"/>
      <c r="E82" s="5281">
        <v>98.8</v>
      </c>
      <c r="F82" s="5281"/>
      <c r="G82" s="4274">
        <v>93.9</v>
      </c>
      <c r="H82" s="4274">
        <v>99.1</v>
      </c>
      <c r="I82" s="5281">
        <v>111</v>
      </c>
      <c r="J82" s="5281"/>
      <c r="K82" s="4274">
        <v>89</v>
      </c>
      <c r="L82" s="5281">
        <v>97.3</v>
      </c>
      <c r="M82" s="5281"/>
      <c r="N82" s="5285">
        <v>97.9</v>
      </c>
      <c r="O82" s="5285"/>
      <c r="P82" s="4274">
        <v>95.6</v>
      </c>
      <c r="Q82" s="4274">
        <v>98.2</v>
      </c>
      <c r="R82" s="4274">
        <v>89.2</v>
      </c>
      <c r="S82" s="4183">
        <v>94.3</v>
      </c>
      <c r="T82" s="4726">
        <v>95.8</v>
      </c>
      <c r="U82" s="4726"/>
      <c r="V82" s="5281">
        <v>95.7</v>
      </c>
      <c r="W82" s="5281"/>
      <c r="X82" s="1343">
        <v>95.4</v>
      </c>
      <c r="Y82" s="4156">
        <v>2009</v>
      </c>
      <c r="Z82" s="4033">
        <f t="shared" si="1"/>
        <v>-0.72840790842870717</v>
      </c>
      <c r="AA82" s="1192"/>
      <c r="AB82" s="1192"/>
      <c r="AC82" s="1192"/>
      <c r="AD82" s="1192"/>
      <c r="AE82" s="1192"/>
      <c r="AF82" s="1192"/>
      <c r="AG82" s="1192"/>
      <c r="AH82" s="1192"/>
      <c r="AI82" s="1192"/>
      <c r="AJ82" s="1192"/>
      <c r="AK82" s="1192"/>
      <c r="AL82" s="1192"/>
      <c r="AM82" s="1192"/>
      <c r="AN82" s="1192"/>
      <c r="AO82" s="1192"/>
      <c r="AP82" s="1192"/>
      <c r="AQ82" s="1192"/>
      <c r="AR82" s="1192"/>
      <c r="AS82" s="1192"/>
      <c r="AT82" s="1192"/>
      <c r="AU82" s="1192"/>
      <c r="AV82" s="1192"/>
      <c r="AW82" s="1192"/>
      <c r="AX82" s="1192"/>
      <c r="AY82" s="1192"/>
      <c r="AZ82" s="1192"/>
      <c r="BA82" s="1192"/>
      <c r="BB82" s="1192"/>
      <c r="BC82" s="1192"/>
      <c r="BD82" s="1192"/>
      <c r="BE82" s="1192"/>
      <c r="BF82" s="1192"/>
      <c r="BG82" s="1192"/>
      <c r="BH82" s="1192"/>
      <c r="BI82" s="1192"/>
      <c r="BJ82" s="1192"/>
      <c r="BK82" s="1192"/>
    </row>
    <row r="83" spans="2:63" ht="23.25" customHeight="1">
      <c r="B83" s="1340">
        <v>2010</v>
      </c>
      <c r="C83" s="5282">
        <v>100</v>
      </c>
      <c r="D83" s="5283"/>
      <c r="E83" s="5283">
        <v>100</v>
      </c>
      <c r="F83" s="5283"/>
      <c r="G83" s="4276">
        <v>100</v>
      </c>
      <c r="H83" s="4276">
        <v>100</v>
      </c>
      <c r="I83" s="5283">
        <v>100</v>
      </c>
      <c r="J83" s="5283"/>
      <c r="K83" s="4276">
        <v>100</v>
      </c>
      <c r="L83" s="5279">
        <v>100</v>
      </c>
      <c r="M83" s="5279"/>
      <c r="N83" s="5283">
        <v>100</v>
      </c>
      <c r="O83" s="5283"/>
      <c r="P83" s="4276">
        <v>100</v>
      </c>
      <c r="Q83" s="4276">
        <v>100</v>
      </c>
      <c r="R83" s="4276">
        <v>100</v>
      </c>
      <c r="S83" s="4184">
        <v>100</v>
      </c>
      <c r="T83" s="4830">
        <v>100</v>
      </c>
      <c r="U83" s="4830"/>
      <c r="V83" s="5283">
        <v>100</v>
      </c>
      <c r="W83" s="5283"/>
      <c r="X83" s="1345">
        <v>100</v>
      </c>
      <c r="Y83" s="4155">
        <v>2010</v>
      </c>
      <c r="Z83" s="4033">
        <f t="shared" si="1"/>
        <v>4.8218029350104672</v>
      </c>
      <c r="AA83" s="1192"/>
      <c r="AB83" s="1192"/>
      <c r="AC83" s="1192"/>
      <c r="AD83" s="1192"/>
      <c r="AE83" s="1192"/>
      <c r="AF83" s="1192"/>
      <c r="AG83" s="1192"/>
      <c r="AH83" s="1192"/>
      <c r="AI83" s="1192"/>
      <c r="AJ83" s="1192"/>
      <c r="AK83" s="1192"/>
      <c r="AL83" s="1192"/>
      <c r="AM83" s="1192"/>
      <c r="AN83" s="1192"/>
      <c r="AO83" s="1192"/>
      <c r="AP83" s="1192"/>
      <c r="AQ83" s="1192"/>
      <c r="AR83" s="1192"/>
      <c r="AS83" s="1192"/>
      <c r="AT83" s="1192"/>
      <c r="AU83" s="1192"/>
      <c r="AV83" s="1192"/>
      <c r="AW83" s="1192"/>
      <c r="AX83" s="1192"/>
      <c r="AY83" s="1192"/>
      <c r="AZ83" s="1192"/>
      <c r="BA83" s="1192"/>
      <c r="BB83" s="1192"/>
      <c r="BC83" s="1192"/>
      <c r="BD83" s="1192"/>
      <c r="BE83" s="1192"/>
      <c r="BF83" s="1192"/>
      <c r="BG83" s="1192"/>
      <c r="BH83" s="1192"/>
      <c r="BI83" s="1192"/>
      <c r="BJ83" s="1192"/>
      <c r="BK83" s="1192"/>
    </row>
    <row r="84" spans="2:63" ht="23.25" customHeight="1">
      <c r="B84" s="1342">
        <v>2011</v>
      </c>
      <c r="C84" s="5280">
        <v>104.7</v>
      </c>
      <c r="D84" s="5281"/>
      <c r="E84" s="5281">
        <v>106.4</v>
      </c>
      <c r="F84" s="5281"/>
      <c r="G84" s="4274">
        <v>104.3</v>
      </c>
      <c r="H84" s="4274">
        <v>102.1</v>
      </c>
      <c r="I84" s="5281">
        <v>95.2</v>
      </c>
      <c r="J84" s="5281"/>
      <c r="K84" s="4274">
        <v>107.1</v>
      </c>
      <c r="L84" s="5281">
        <v>104.1</v>
      </c>
      <c r="M84" s="5281"/>
      <c r="N84" s="5285">
        <v>102.8</v>
      </c>
      <c r="O84" s="5285"/>
      <c r="P84" s="4274">
        <v>103.9</v>
      </c>
      <c r="Q84" s="4274">
        <v>105.7</v>
      </c>
      <c r="R84" s="4274">
        <v>102.9</v>
      </c>
      <c r="S84" s="4183">
        <v>109.3</v>
      </c>
      <c r="T84" s="4726">
        <v>103.8</v>
      </c>
      <c r="U84" s="4726"/>
      <c r="V84" s="5281">
        <v>104.2</v>
      </c>
      <c r="W84" s="5281"/>
      <c r="X84" s="1343">
        <v>104.2</v>
      </c>
      <c r="Y84" s="4156">
        <v>2011</v>
      </c>
      <c r="Z84" s="4033">
        <f t="shared" si="1"/>
        <v>4.2000000000000028</v>
      </c>
      <c r="AA84" s="1192"/>
      <c r="AB84" s="1192"/>
      <c r="AC84" s="1192"/>
      <c r="AD84" s="1192"/>
      <c r="AE84" s="1192"/>
      <c r="AF84" s="1192"/>
      <c r="AG84" s="1192"/>
      <c r="AH84" s="1192"/>
      <c r="AI84" s="1192"/>
      <c r="AJ84" s="1192"/>
      <c r="AK84" s="1192"/>
      <c r="AL84" s="1192"/>
      <c r="AM84" s="1192"/>
      <c r="AN84" s="1192"/>
      <c r="AO84" s="1192"/>
      <c r="AP84" s="1192"/>
      <c r="AQ84" s="1192"/>
      <c r="AR84" s="1192"/>
      <c r="AS84" s="1192"/>
      <c r="AT84" s="1192"/>
      <c r="AU84" s="1192"/>
      <c r="AV84" s="1192"/>
      <c r="AW84" s="1192"/>
      <c r="AX84" s="1192"/>
      <c r="AY84" s="1192"/>
      <c r="AZ84" s="1192"/>
      <c r="BA84" s="1192"/>
      <c r="BB84" s="1192"/>
      <c r="BC84" s="1192"/>
      <c r="BD84" s="1192"/>
      <c r="BE84" s="1192"/>
      <c r="BF84" s="1192"/>
      <c r="BG84" s="1192"/>
      <c r="BH84" s="1192"/>
      <c r="BI84" s="1192"/>
      <c r="BJ84" s="1192"/>
      <c r="BK84" s="1192"/>
    </row>
    <row r="85" spans="2:63" ht="23.25" customHeight="1">
      <c r="B85" s="1340">
        <v>2012</v>
      </c>
      <c r="C85" s="5282">
        <v>108.8</v>
      </c>
      <c r="D85" s="5283"/>
      <c r="E85" s="5283">
        <v>114.2</v>
      </c>
      <c r="F85" s="5283"/>
      <c r="G85" s="4276">
        <v>107.1</v>
      </c>
      <c r="H85" s="4276">
        <v>103.9</v>
      </c>
      <c r="I85" s="5283">
        <v>95.2</v>
      </c>
      <c r="J85" s="5283"/>
      <c r="K85" s="4276">
        <v>116.9</v>
      </c>
      <c r="L85" s="5279">
        <v>112.3</v>
      </c>
      <c r="M85" s="5279"/>
      <c r="N85" s="1344">
        <v>105.8</v>
      </c>
      <c r="O85" s="1344"/>
      <c r="P85" s="4276">
        <v>107.4</v>
      </c>
      <c r="Q85" s="4276">
        <v>110.1</v>
      </c>
      <c r="R85" s="4276">
        <v>104.4</v>
      </c>
      <c r="S85" s="4184">
        <v>112</v>
      </c>
      <c r="T85" s="4830">
        <v>108.7</v>
      </c>
      <c r="U85" s="4830"/>
      <c r="V85" s="5283">
        <v>109</v>
      </c>
      <c r="W85" s="5283"/>
      <c r="X85" s="1345">
        <v>108.9</v>
      </c>
      <c r="Y85" s="4155">
        <v>2012</v>
      </c>
      <c r="Z85" s="4033">
        <f t="shared" si="1"/>
        <v>4.510556621880994</v>
      </c>
      <c r="AA85" s="1192"/>
      <c r="AB85" s="1192"/>
      <c r="AC85" s="1192"/>
      <c r="AD85" s="1192"/>
      <c r="AE85" s="1192"/>
      <c r="AF85" s="1192"/>
      <c r="AG85" s="1192"/>
      <c r="AH85" s="1192"/>
      <c r="AI85" s="1192"/>
      <c r="AJ85" s="1192"/>
      <c r="AK85" s="1192"/>
      <c r="AL85" s="1192"/>
      <c r="AM85" s="1192"/>
      <c r="AN85" s="1192"/>
      <c r="AO85" s="1192"/>
      <c r="AP85" s="1192"/>
      <c r="AQ85" s="1192"/>
      <c r="AR85" s="1192"/>
      <c r="AS85" s="1192"/>
      <c r="AT85" s="1192"/>
      <c r="AU85" s="1192"/>
      <c r="AV85" s="1192"/>
      <c r="AW85" s="1192"/>
      <c r="AX85" s="1192"/>
      <c r="AY85" s="1192"/>
      <c r="AZ85" s="1192"/>
      <c r="BA85" s="1192"/>
      <c r="BB85" s="1192"/>
      <c r="BC85" s="1192"/>
      <c r="BD85" s="1192"/>
      <c r="BE85" s="1192"/>
      <c r="BF85" s="1192"/>
      <c r="BG85" s="1192"/>
      <c r="BH85" s="1192"/>
      <c r="BI85" s="1192"/>
      <c r="BJ85" s="1192"/>
      <c r="BK85" s="1192"/>
    </row>
    <row r="86" spans="2:63" ht="23.25" customHeight="1">
      <c r="B86" s="1342">
        <v>2013</v>
      </c>
      <c r="C86" s="5280">
        <v>115.1</v>
      </c>
      <c r="D86" s="5281"/>
      <c r="E86" s="5281">
        <v>126</v>
      </c>
      <c r="F86" s="5281"/>
      <c r="G86" s="4274">
        <v>111.1</v>
      </c>
      <c r="H86" s="4274">
        <v>103.7</v>
      </c>
      <c r="I86" s="5281">
        <v>95.2</v>
      </c>
      <c r="J86" s="5281"/>
      <c r="K86" s="4274">
        <v>129.5</v>
      </c>
      <c r="L86" s="5281">
        <v>107.8</v>
      </c>
      <c r="M86" s="5281"/>
      <c r="N86" s="5281">
        <v>108.3</v>
      </c>
      <c r="O86" s="5281"/>
      <c r="P86" s="4274">
        <v>114.7</v>
      </c>
      <c r="Q86" s="4274">
        <v>114.5</v>
      </c>
      <c r="R86" s="4274">
        <v>94.4</v>
      </c>
      <c r="S86" s="4183">
        <v>115.4</v>
      </c>
      <c r="T86" s="4726">
        <v>113.4</v>
      </c>
      <c r="U86" s="4726"/>
      <c r="V86" s="5281">
        <v>113.6</v>
      </c>
      <c r="W86" s="5281"/>
      <c r="X86" s="1343">
        <v>114.1</v>
      </c>
      <c r="Y86" s="4156">
        <v>2013</v>
      </c>
      <c r="Z86" s="4033">
        <f t="shared" si="1"/>
        <v>4.7750229568411413</v>
      </c>
      <c r="AA86" s="1192"/>
      <c r="AB86" s="1192"/>
      <c r="AC86" s="1192"/>
      <c r="AD86" s="1192"/>
      <c r="AE86" s="1192"/>
      <c r="AF86" s="1192"/>
      <c r="AG86" s="1192"/>
      <c r="AH86" s="1192"/>
      <c r="AI86" s="1192"/>
      <c r="AJ86" s="1192"/>
      <c r="AK86" s="1192"/>
      <c r="AL86" s="1192"/>
      <c r="AM86" s="1192"/>
      <c r="AN86" s="1192"/>
      <c r="AO86" s="1192"/>
      <c r="AP86" s="1192"/>
      <c r="AQ86" s="1192"/>
      <c r="AR86" s="1192"/>
      <c r="AS86" s="1192"/>
      <c r="AT86" s="1192"/>
      <c r="AU86" s="1192"/>
      <c r="AV86" s="1192"/>
      <c r="AW86" s="1192"/>
      <c r="AX86" s="1192"/>
      <c r="AY86" s="1192"/>
      <c r="AZ86" s="1192"/>
      <c r="BA86" s="1192"/>
      <c r="BB86" s="1192"/>
      <c r="BC86" s="1192"/>
      <c r="BD86" s="1192"/>
      <c r="BE86" s="1192"/>
      <c r="BF86" s="1192"/>
      <c r="BG86" s="1192"/>
      <c r="BH86" s="1192"/>
      <c r="BI86" s="1192"/>
      <c r="BJ86" s="1192"/>
      <c r="BK86" s="1192"/>
    </row>
    <row r="87" spans="2:63" ht="23.25" customHeight="1">
      <c r="B87" s="1340">
        <v>2014</v>
      </c>
      <c r="C87" s="5278">
        <v>116.6</v>
      </c>
      <c r="D87" s="5279"/>
      <c r="E87" s="5279">
        <v>128.6</v>
      </c>
      <c r="F87" s="5279"/>
      <c r="G87" s="4276">
        <v>114.8</v>
      </c>
      <c r="H87" s="4276">
        <v>106.4</v>
      </c>
      <c r="I87" s="5279">
        <v>95.2</v>
      </c>
      <c r="J87" s="5279"/>
      <c r="K87" s="4276">
        <v>132.30000000000001</v>
      </c>
      <c r="L87" s="5279">
        <v>114.6</v>
      </c>
      <c r="M87" s="5279"/>
      <c r="N87" s="5279">
        <v>110.8</v>
      </c>
      <c r="O87" s="5279"/>
      <c r="P87" s="4276">
        <v>120.2</v>
      </c>
      <c r="Q87" s="4276">
        <v>125.2</v>
      </c>
      <c r="R87" s="4276">
        <v>108.5</v>
      </c>
      <c r="S87" s="4184">
        <v>116.8</v>
      </c>
      <c r="T87" s="4725">
        <v>113.7</v>
      </c>
      <c r="U87" s="4725"/>
      <c r="V87" s="5279">
        <v>114</v>
      </c>
      <c r="W87" s="5279"/>
      <c r="X87" s="1345">
        <v>117.4</v>
      </c>
      <c r="Y87" s="4155">
        <v>2014</v>
      </c>
      <c r="Z87" s="4033">
        <f t="shared" si="1"/>
        <v>2.8921998247151777</v>
      </c>
      <c r="AA87" s="1192"/>
      <c r="AB87" s="1192"/>
      <c r="AC87" s="1192"/>
      <c r="AD87" s="1192"/>
      <c r="AE87" s="1192"/>
      <c r="AF87" s="1192"/>
      <c r="AG87" s="1192"/>
      <c r="AH87" s="1192"/>
      <c r="AI87" s="1192"/>
      <c r="AJ87" s="1192"/>
      <c r="AK87" s="1192"/>
      <c r="AL87" s="1192"/>
      <c r="AM87" s="1192"/>
      <c r="AN87" s="1192"/>
      <c r="AO87" s="1192"/>
      <c r="AP87" s="1192"/>
      <c r="AQ87" s="1192"/>
      <c r="AR87" s="1192"/>
      <c r="AS87" s="1192"/>
      <c r="AT87" s="1192"/>
      <c r="AU87" s="1192"/>
      <c r="AV87" s="1192"/>
      <c r="AW87" s="1192"/>
      <c r="AX87" s="1192"/>
      <c r="AY87" s="1192"/>
      <c r="AZ87" s="1192"/>
      <c r="BA87" s="1192"/>
      <c r="BB87" s="1192"/>
      <c r="BC87" s="1192"/>
      <c r="BD87" s="1192"/>
      <c r="BE87" s="1192"/>
      <c r="BF87" s="1192"/>
      <c r="BG87" s="1192"/>
      <c r="BH87" s="1192"/>
      <c r="BI87" s="1192"/>
      <c r="BJ87" s="1192"/>
      <c r="BK87" s="1192"/>
    </row>
    <row r="88" spans="2:63" ht="23.25" customHeight="1">
      <c r="B88" s="1342">
        <v>2015</v>
      </c>
      <c r="C88" s="5280">
        <v>117.6</v>
      </c>
      <c r="D88" s="5281"/>
      <c r="E88" s="5281">
        <v>130.30000000000001</v>
      </c>
      <c r="F88" s="5281"/>
      <c r="G88" s="4274">
        <v>118.3</v>
      </c>
      <c r="H88" s="4274">
        <v>112.2</v>
      </c>
      <c r="I88" s="5281">
        <v>95.2</v>
      </c>
      <c r="J88" s="5281"/>
      <c r="K88" s="4274">
        <v>113.5</v>
      </c>
      <c r="L88" s="5281">
        <v>117.5</v>
      </c>
      <c r="M88" s="5281"/>
      <c r="N88" s="5281">
        <v>112.9</v>
      </c>
      <c r="O88" s="5281"/>
      <c r="P88" s="4274">
        <v>120.9</v>
      </c>
      <c r="Q88" s="4274">
        <v>131.30000000000001</v>
      </c>
      <c r="R88" s="4274">
        <v>112.3</v>
      </c>
      <c r="S88" s="4183">
        <v>116.5</v>
      </c>
      <c r="T88" s="4726">
        <v>115.1</v>
      </c>
      <c r="U88" s="4726"/>
      <c r="V88" s="5281">
        <v>115.2</v>
      </c>
      <c r="W88" s="5281"/>
      <c r="X88" s="1343">
        <v>116.40106666666668</v>
      </c>
      <c r="Y88" s="4156">
        <v>2015</v>
      </c>
      <c r="AA88" s="1192"/>
      <c r="AB88" s="1192"/>
      <c r="AC88" s="1192"/>
      <c r="AD88" s="1192"/>
      <c r="AE88" s="1192"/>
      <c r="AF88" s="1192"/>
      <c r="AG88" s="1192"/>
      <c r="AH88" s="1192"/>
      <c r="AI88" s="1192"/>
      <c r="AJ88" s="1192"/>
      <c r="AK88" s="1192"/>
      <c r="AL88" s="1192"/>
      <c r="AM88" s="1192"/>
      <c r="AN88" s="1192"/>
      <c r="AO88" s="1192"/>
      <c r="AP88" s="1192"/>
      <c r="AQ88" s="1192"/>
      <c r="AR88" s="1192"/>
      <c r="AS88" s="1192"/>
      <c r="AT88" s="1192"/>
      <c r="AU88" s="1192"/>
      <c r="AV88" s="1192"/>
      <c r="AW88" s="1192"/>
      <c r="AX88" s="1192"/>
      <c r="AY88" s="1192"/>
      <c r="AZ88" s="1192"/>
      <c r="BA88" s="1192"/>
      <c r="BB88" s="1192"/>
      <c r="BC88" s="1192"/>
      <c r="BD88" s="1192"/>
      <c r="BE88" s="1192"/>
      <c r="BF88" s="1192"/>
      <c r="BG88" s="1192"/>
      <c r="BH88" s="1192"/>
      <c r="BI88" s="1192"/>
      <c r="BJ88" s="1192"/>
      <c r="BK88" s="1192"/>
    </row>
    <row r="89" spans="2:63" ht="23.25" customHeight="1">
      <c r="B89" s="1340">
        <v>2016</v>
      </c>
      <c r="C89" s="5278">
        <v>120.2</v>
      </c>
      <c r="D89" s="5279"/>
      <c r="E89" s="5279">
        <v>131.80000000000001</v>
      </c>
      <c r="F89" s="5279"/>
      <c r="G89" s="4276">
        <v>120.6</v>
      </c>
      <c r="H89" s="4276">
        <v>117.4</v>
      </c>
      <c r="I89" s="5279">
        <v>95</v>
      </c>
      <c r="J89" s="5279"/>
      <c r="K89" s="4276">
        <v>109.1</v>
      </c>
      <c r="L89" s="5279">
        <v>121.9</v>
      </c>
      <c r="M89" s="5279"/>
      <c r="N89" s="5279">
        <v>114</v>
      </c>
      <c r="O89" s="5279"/>
      <c r="P89" s="4276">
        <v>122.3</v>
      </c>
      <c r="Q89" s="4276">
        <v>133.30000000000001</v>
      </c>
      <c r="R89" s="4276">
        <v>115.9</v>
      </c>
      <c r="S89" s="4184">
        <v>117</v>
      </c>
      <c r="T89" s="4725">
        <v>110.7</v>
      </c>
      <c r="U89" s="4725"/>
      <c r="V89" s="5279">
        <v>111.2</v>
      </c>
      <c r="W89" s="5279"/>
      <c r="X89" s="1345">
        <v>115.5</v>
      </c>
      <c r="Y89" s="4155">
        <v>2016</v>
      </c>
      <c r="AA89" s="1192"/>
      <c r="AB89" s="1192"/>
      <c r="AC89" s="1192"/>
      <c r="AD89" s="1192"/>
      <c r="AE89" s="1192"/>
      <c r="AF89" s="1192"/>
      <c r="AG89" s="1192"/>
      <c r="AH89" s="1192"/>
      <c r="AI89" s="1192"/>
      <c r="AJ89" s="1192"/>
      <c r="AK89" s="1192"/>
      <c r="AL89" s="1192"/>
      <c r="AM89" s="1192"/>
      <c r="AN89" s="1192"/>
      <c r="AO89" s="1192"/>
      <c r="AP89" s="1192"/>
      <c r="AQ89" s="1192"/>
      <c r="AR89" s="1192"/>
      <c r="AS89" s="1192"/>
      <c r="AT89" s="1192"/>
      <c r="AU89" s="1192"/>
      <c r="AV89" s="1192"/>
      <c r="AW89" s="1192"/>
      <c r="AX89" s="1192"/>
      <c r="AY89" s="1192"/>
      <c r="AZ89" s="1192"/>
      <c r="BA89" s="1192"/>
      <c r="BB89" s="1192"/>
      <c r="BC89" s="1192"/>
      <c r="BD89" s="1192"/>
      <c r="BE89" s="1192"/>
      <c r="BF89" s="1192"/>
      <c r="BG89" s="1192"/>
      <c r="BH89" s="1192"/>
      <c r="BI89" s="1192"/>
      <c r="BJ89" s="1192"/>
      <c r="BK89" s="1192"/>
    </row>
    <row r="90" spans="2:63" ht="23.25" customHeight="1">
      <c r="B90" s="1342">
        <v>2017</v>
      </c>
      <c r="C90" s="5280">
        <v>127.7</v>
      </c>
      <c r="D90" s="5281"/>
      <c r="E90" s="5281">
        <v>132.1</v>
      </c>
      <c r="F90" s="5281"/>
      <c r="G90" s="4274">
        <v>124</v>
      </c>
      <c r="H90" s="4274">
        <v>126.1</v>
      </c>
      <c r="I90" s="5281">
        <v>96.7</v>
      </c>
      <c r="J90" s="5281"/>
      <c r="K90" s="4274">
        <v>123.2</v>
      </c>
      <c r="L90" s="5281">
        <v>132.19999999999999</v>
      </c>
      <c r="M90" s="5281"/>
      <c r="N90" s="5281">
        <v>115.8</v>
      </c>
      <c r="O90" s="5281"/>
      <c r="P90" s="4274">
        <v>125.7</v>
      </c>
      <c r="Q90" s="4274">
        <v>130.19999999999999</v>
      </c>
      <c r="R90" s="4274">
        <v>125</v>
      </c>
      <c r="S90" s="4183">
        <v>118.4</v>
      </c>
      <c r="T90" s="4726">
        <v>110.1</v>
      </c>
      <c r="U90" s="4726"/>
      <c r="V90" s="5281">
        <v>110.8</v>
      </c>
      <c r="W90" s="5281"/>
      <c r="X90" s="1343">
        <v>119.3</v>
      </c>
      <c r="Y90" s="4156">
        <v>2017</v>
      </c>
      <c r="AA90" s="1192"/>
      <c r="AB90" s="1192"/>
      <c r="AC90" s="1192"/>
      <c r="AD90" s="1192"/>
      <c r="AE90" s="1192"/>
      <c r="AF90" s="1192"/>
      <c r="AG90" s="1192"/>
      <c r="AH90" s="1192"/>
      <c r="AI90" s="1192"/>
      <c r="AJ90" s="1192"/>
      <c r="AK90" s="1192"/>
      <c r="AL90" s="1192"/>
      <c r="AM90" s="1192"/>
      <c r="AN90" s="1192"/>
      <c r="AO90" s="1192"/>
      <c r="AP90" s="1192"/>
      <c r="AQ90" s="1192"/>
      <c r="AR90" s="1192"/>
      <c r="AS90" s="1192"/>
      <c r="AT90" s="1192"/>
      <c r="AU90" s="1192"/>
      <c r="AV90" s="1192"/>
      <c r="AW90" s="1192"/>
      <c r="AX90" s="1192"/>
      <c r="AY90" s="1192"/>
      <c r="AZ90" s="1192"/>
      <c r="BA90" s="1192"/>
      <c r="BB90" s="1192"/>
      <c r="BC90" s="1192"/>
      <c r="BD90" s="1192"/>
      <c r="BE90" s="1192"/>
      <c r="BF90" s="1192"/>
      <c r="BG90" s="1192"/>
      <c r="BH90" s="1192"/>
      <c r="BI90" s="1192"/>
      <c r="BJ90" s="1192"/>
      <c r="BK90" s="1192"/>
    </row>
    <row r="91" spans="2:63" ht="23.25" customHeight="1">
      <c r="B91" s="1693">
        <v>2018</v>
      </c>
      <c r="C91" s="5299">
        <v>130</v>
      </c>
      <c r="D91" s="5300"/>
      <c r="E91" s="5300">
        <v>141.69999999999999</v>
      </c>
      <c r="F91" s="5300"/>
      <c r="G91" s="4273">
        <v>127.3</v>
      </c>
      <c r="H91" s="4273">
        <v>128.80000000000001</v>
      </c>
      <c r="I91" s="5300">
        <v>96.8</v>
      </c>
      <c r="J91" s="5300"/>
      <c r="K91" s="4273">
        <v>135.4</v>
      </c>
      <c r="L91" s="5300">
        <v>139.6</v>
      </c>
      <c r="M91" s="5300"/>
      <c r="N91" s="5300">
        <v>117.8</v>
      </c>
      <c r="O91" s="5300"/>
      <c r="P91" s="4273">
        <v>130.1</v>
      </c>
      <c r="Q91" s="4273">
        <v>128.30000000000001</v>
      </c>
      <c r="R91" s="4273">
        <v>143.30000000000001</v>
      </c>
      <c r="S91" s="4195">
        <v>120.9</v>
      </c>
      <c r="T91" s="4985">
        <v>113.7</v>
      </c>
      <c r="U91" s="4985"/>
      <c r="V91" s="5300">
        <v>114.4</v>
      </c>
      <c r="W91" s="5300"/>
      <c r="X91" s="1346">
        <v>124.7</v>
      </c>
      <c r="Y91" s="4286">
        <v>2018</v>
      </c>
      <c r="AA91" s="1192"/>
      <c r="AB91" s="1192"/>
      <c r="AC91" s="1192"/>
      <c r="AD91" s="1192"/>
      <c r="AE91" s="1192"/>
      <c r="AF91" s="1192"/>
      <c r="AG91" s="1192"/>
      <c r="AH91" s="1192"/>
      <c r="AI91" s="1192"/>
      <c r="AJ91" s="1192"/>
      <c r="AK91" s="1192"/>
      <c r="AL91" s="1192"/>
      <c r="AM91" s="1192"/>
      <c r="AN91" s="1192"/>
      <c r="AO91" s="1192"/>
      <c r="AP91" s="1192"/>
      <c r="AQ91" s="1192"/>
      <c r="AR91" s="1192"/>
      <c r="AS91" s="1192"/>
      <c r="AT91" s="1192"/>
      <c r="AU91" s="1192"/>
      <c r="AV91" s="1192"/>
      <c r="AW91" s="1192"/>
      <c r="AX91" s="1192"/>
      <c r="AY91" s="1192"/>
      <c r="AZ91" s="1192"/>
      <c r="BA91" s="1192"/>
      <c r="BB91" s="1192"/>
      <c r="BC91" s="1192"/>
      <c r="BD91" s="1192"/>
      <c r="BE91" s="1192"/>
      <c r="BF91" s="1192"/>
      <c r="BG91" s="1192"/>
      <c r="BH91" s="1192"/>
      <c r="BI91" s="1192"/>
      <c r="BJ91" s="1192"/>
      <c r="BK91" s="1192"/>
    </row>
    <row r="92" spans="2:63" ht="22.5">
      <c r="B92" s="1347" t="s">
        <v>2215</v>
      </c>
      <c r="Y92" s="1349" t="s">
        <v>1457</v>
      </c>
    </row>
    <row r="95" spans="2:63" ht="25.5">
      <c r="B95" s="4602" t="s">
        <v>2168</v>
      </c>
      <c r="C95" s="4602"/>
      <c r="D95" s="4602"/>
      <c r="E95" s="4602"/>
      <c r="F95" s="4602"/>
      <c r="G95" s="4602"/>
      <c r="H95" s="4602"/>
      <c r="I95" s="4602"/>
      <c r="J95" s="4602"/>
      <c r="K95" s="4602"/>
      <c r="L95" s="4602"/>
      <c r="M95" s="4602"/>
      <c r="N95" s="4602" t="s">
        <v>2169</v>
      </c>
      <c r="O95" s="4602"/>
      <c r="P95" s="4602"/>
      <c r="Q95" s="4602"/>
      <c r="R95" s="4602"/>
      <c r="S95" s="4602"/>
      <c r="T95" s="4602"/>
      <c r="U95" s="4602"/>
      <c r="V95" s="4602"/>
      <c r="W95" s="4602"/>
      <c r="X95" s="4602"/>
      <c r="Y95" s="4602"/>
    </row>
    <row r="96" spans="2:63" ht="22.5">
      <c r="B96" s="4713" t="s">
        <v>2170</v>
      </c>
      <c r="C96" s="4713"/>
      <c r="D96" s="4713"/>
      <c r="E96" s="4713"/>
      <c r="F96" s="4713"/>
      <c r="G96" s="4713"/>
      <c r="H96" s="4713"/>
      <c r="I96" s="4713"/>
      <c r="J96" s="4713"/>
      <c r="K96" s="4713"/>
      <c r="L96" s="4713"/>
      <c r="M96" s="4713"/>
      <c r="N96" s="4713" t="s">
        <v>2171</v>
      </c>
      <c r="O96" s="4713"/>
      <c r="P96" s="4713"/>
      <c r="Q96" s="4713"/>
      <c r="R96" s="4713"/>
      <c r="S96" s="4713"/>
      <c r="T96" s="4713"/>
      <c r="U96" s="4713"/>
      <c r="V96" s="4713"/>
      <c r="W96" s="4713"/>
      <c r="X96" s="4713"/>
      <c r="Y96" s="4713"/>
    </row>
    <row r="97" spans="2:43">
      <c r="B97" s="1315" t="s">
        <v>3036</v>
      </c>
      <c r="C97" s="4159"/>
      <c r="D97" s="1275"/>
      <c r="E97" s="1275"/>
      <c r="F97" s="1275"/>
      <c r="G97" s="1317"/>
      <c r="H97" s="1318"/>
      <c r="I97" s="1274"/>
      <c r="J97" s="1317"/>
      <c r="K97" s="1274"/>
      <c r="L97" s="1274"/>
      <c r="M97" s="1274"/>
      <c r="N97" s="4159"/>
      <c r="O97" s="1274"/>
      <c r="P97" s="1275"/>
      <c r="Q97" s="1275"/>
      <c r="R97" s="1275"/>
      <c r="S97" s="1319"/>
      <c r="T97" s="1318"/>
      <c r="U97" s="1318"/>
      <c r="V97" s="1274"/>
      <c r="W97" s="1274"/>
      <c r="X97" s="1274"/>
      <c r="Y97" s="1320" t="s">
        <v>3035</v>
      </c>
    </row>
    <row r="98" spans="2:43">
      <c r="B98" s="1221"/>
      <c r="C98" s="1221"/>
      <c r="D98" s="1221"/>
      <c r="E98" s="1221"/>
      <c r="F98" s="1221"/>
      <c r="G98" s="1220"/>
      <c r="H98" s="1321"/>
      <c r="I98" s="1277"/>
      <c r="J98" s="1321"/>
      <c r="K98" s="1220"/>
      <c r="L98" s="1220"/>
      <c r="M98" s="1220"/>
      <c r="N98" s="1221"/>
      <c r="O98" s="1220"/>
      <c r="P98" s="1221"/>
      <c r="Q98" s="1221"/>
      <c r="R98" s="1322"/>
      <c r="S98" s="1220"/>
      <c r="T98" s="1323"/>
      <c r="U98" s="1323"/>
      <c r="V98" s="1220"/>
      <c r="W98" s="1324"/>
      <c r="X98" s="1220"/>
      <c r="Y98" s="1221"/>
    </row>
    <row r="99" spans="2:43" ht="25.5">
      <c r="B99" s="1325"/>
      <c r="C99" s="4823"/>
      <c r="D99" s="4809"/>
      <c r="E99" s="4823"/>
      <c r="F99" s="4809"/>
      <c r="G99" s="1326"/>
      <c r="H99" s="1327"/>
      <c r="I99" s="4823"/>
      <c r="J99" s="4809"/>
      <c r="K99" s="1328"/>
      <c r="L99" s="5292"/>
      <c r="M99" s="5293"/>
      <c r="N99" s="1226"/>
      <c r="O99" s="1227"/>
      <c r="P99" s="1328"/>
      <c r="Q99" s="1329"/>
      <c r="R99" s="4216"/>
      <c r="S99" s="4216"/>
      <c r="T99" s="4770"/>
      <c r="U99" s="4686"/>
      <c r="V99" s="4823"/>
      <c r="W99" s="4809"/>
      <c r="X99" s="1330"/>
      <c r="Y99" s="4037"/>
    </row>
    <row r="100" spans="2:43" ht="25.5">
      <c r="B100" s="1331"/>
      <c r="C100" s="5286" t="s">
        <v>2220</v>
      </c>
      <c r="D100" s="5287"/>
      <c r="E100" s="5286"/>
      <c r="F100" s="5287"/>
      <c r="G100" s="1332"/>
      <c r="H100" s="1332"/>
      <c r="I100" s="5286"/>
      <c r="J100" s="5287"/>
      <c r="K100" s="1333"/>
      <c r="L100" s="5286"/>
      <c r="M100" s="5288"/>
      <c r="N100" s="5288" t="s">
        <v>2576</v>
      </c>
      <c r="O100" s="5287"/>
      <c r="P100" s="1332"/>
      <c r="Q100" s="1332"/>
      <c r="R100" s="1332" t="s">
        <v>2176</v>
      </c>
      <c r="S100" s="1332"/>
      <c r="T100" s="5286"/>
      <c r="U100" s="5287"/>
      <c r="V100" s="5286" t="s">
        <v>2577</v>
      </c>
      <c r="W100" s="5287"/>
      <c r="X100" s="1334" t="s">
        <v>1487</v>
      </c>
      <c r="Y100" s="4039"/>
    </row>
    <row r="101" spans="2:43" ht="25.5">
      <c r="B101" s="1331"/>
      <c r="C101" s="5286" t="s">
        <v>2578</v>
      </c>
      <c r="D101" s="5287"/>
      <c r="E101" s="5286" t="s">
        <v>2579</v>
      </c>
      <c r="F101" s="5287"/>
      <c r="G101" s="1332"/>
      <c r="H101" s="1332" t="s">
        <v>2580</v>
      </c>
      <c r="I101" s="5286"/>
      <c r="J101" s="5287"/>
      <c r="K101" s="1332"/>
      <c r="L101" s="5286"/>
      <c r="M101" s="5288"/>
      <c r="N101" s="5288" t="s">
        <v>2581</v>
      </c>
      <c r="O101" s="5287"/>
      <c r="P101" s="1332"/>
      <c r="Q101" s="1332" t="s">
        <v>2226</v>
      </c>
      <c r="R101" s="1332" t="s">
        <v>2181</v>
      </c>
      <c r="S101" s="4263" t="s">
        <v>2582</v>
      </c>
      <c r="T101" s="5286"/>
      <c r="U101" s="5287"/>
      <c r="V101" s="5286" t="s">
        <v>2583</v>
      </c>
      <c r="W101" s="5287"/>
      <c r="X101" s="1334" t="s">
        <v>2125</v>
      </c>
      <c r="Y101" s="4039"/>
    </row>
    <row r="102" spans="2:43" ht="25.5">
      <c r="B102" s="1331"/>
      <c r="C102" s="5286" t="s">
        <v>98</v>
      </c>
      <c r="D102" s="5287"/>
      <c r="E102" s="5286" t="s">
        <v>662</v>
      </c>
      <c r="F102" s="5287"/>
      <c r="G102" s="1332" t="s">
        <v>2584</v>
      </c>
      <c r="H102" s="1332" t="s">
        <v>2585</v>
      </c>
      <c r="I102" s="5286" t="s">
        <v>2586</v>
      </c>
      <c r="J102" s="5287"/>
      <c r="K102" s="1332" t="s">
        <v>668</v>
      </c>
      <c r="L102" s="5286" t="s">
        <v>2587</v>
      </c>
      <c r="M102" s="5288"/>
      <c r="N102" s="5288" t="s">
        <v>2588</v>
      </c>
      <c r="O102" s="5287"/>
      <c r="P102" s="1332" t="s">
        <v>2589</v>
      </c>
      <c r="Q102" s="1332" t="s">
        <v>2266</v>
      </c>
      <c r="R102" s="1332" t="s">
        <v>2590</v>
      </c>
      <c r="S102" s="4263" t="s">
        <v>2181</v>
      </c>
      <c r="T102" s="5289" t="s">
        <v>2591</v>
      </c>
      <c r="U102" s="5290"/>
      <c r="V102" s="5286" t="s">
        <v>2592</v>
      </c>
      <c r="W102" s="5287"/>
      <c r="X102" s="1334" t="s">
        <v>2130</v>
      </c>
      <c r="Y102" s="4045"/>
    </row>
    <row r="103" spans="2:43" ht="25.5">
      <c r="B103" s="1336"/>
      <c r="C103" s="5286" t="s">
        <v>119</v>
      </c>
      <c r="D103" s="5287"/>
      <c r="E103" s="5286" t="s">
        <v>1646</v>
      </c>
      <c r="F103" s="5287"/>
      <c r="G103" s="4170"/>
      <c r="H103" s="1332" t="s">
        <v>2593</v>
      </c>
      <c r="I103" s="4683"/>
      <c r="J103" s="4685"/>
      <c r="K103" s="4170"/>
      <c r="L103" s="5286"/>
      <c r="M103" s="5288"/>
      <c r="N103" s="5288" t="s">
        <v>2594</v>
      </c>
      <c r="O103" s="5287"/>
      <c r="P103" s="4170"/>
      <c r="Q103" s="4170"/>
      <c r="R103" s="1332" t="s">
        <v>2595</v>
      </c>
      <c r="S103" s="4263" t="s">
        <v>2596</v>
      </c>
      <c r="T103" s="4683"/>
      <c r="U103" s="4685"/>
      <c r="V103" s="5286" t="s">
        <v>2597</v>
      </c>
      <c r="W103" s="5287"/>
      <c r="X103" s="1332" t="s">
        <v>1327</v>
      </c>
      <c r="Y103" s="4045"/>
    </row>
    <row r="104" spans="2:43" ht="25.5">
      <c r="B104" s="1331"/>
      <c r="C104" s="5286" t="s">
        <v>2598</v>
      </c>
      <c r="D104" s="5287"/>
      <c r="E104" s="5286" t="s">
        <v>2201</v>
      </c>
      <c r="F104" s="5287"/>
      <c r="G104" s="4170"/>
      <c r="H104" s="1332" t="s">
        <v>2201</v>
      </c>
      <c r="I104" s="4683"/>
      <c r="J104" s="4685"/>
      <c r="K104" s="4170"/>
      <c r="L104" s="5286"/>
      <c r="M104" s="5288"/>
      <c r="N104" s="5288" t="s">
        <v>2599</v>
      </c>
      <c r="O104" s="5287"/>
      <c r="P104" s="4170"/>
      <c r="Q104" s="1332" t="s">
        <v>2172</v>
      </c>
      <c r="R104" s="1332" t="s">
        <v>2600</v>
      </c>
      <c r="S104" s="4263" t="s">
        <v>1868</v>
      </c>
      <c r="T104" s="5289" t="s">
        <v>1870</v>
      </c>
      <c r="U104" s="5290"/>
      <c r="V104" s="5286" t="s">
        <v>2601</v>
      </c>
      <c r="W104" s="5287"/>
      <c r="X104" s="1332" t="s">
        <v>2132</v>
      </c>
      <c r="Y104" s="4039"/>
    </row>
    <row r="105" spans="2:43" ht="25.5">
      <c r="B105" s="1337"/>
      <c r="C105" s="5294" t="s">
        <v>703</v>
      </c>
      <c r="D105" s="5295"/>
      <c r="E105" s="5294" t="s">
        <v>678</v>
      </c>
      <c r="F105" s="5295"/>
      <c r="G105" s="1338" t="s">
        <v>2205</v>
      </c>
      <c r="H105" s="1338" t="s">
        <v>2602</v>
      </c>
      <c r="I105" s="5294" t="s">
        <v>2603</v>
      </c>
      <c r="J105" s="5295"/>
      <c r="K105" s="1338" t="s">
        <v>2196</v>
      </c>
      <c r="L105" s="5294" t="s">
        <v>2604</v>
      </c>
      <c r="M105" s="5296"/>
      <c r="N105" s="5296" t="s">
        <v>1504</v>
      </c>
      <c r="O105" s="5295"/>
      <c r="P105" s="1338" t="s">
        <v>2197</v>
      </c>
      <c r="Q105" s="1338" t="s">
        <v>1859</v>
      </c>
      <c r="R105" s="1338" t="s">
        <v>1861</v>
      </c>
      <c r="S105" s="1339" t="s">
        <v>2605</v>
      </c>
      <c r="T105" s="5297" t="s">
        <v>2606</v>
      </c>
      <c r="U105" s="5298"/>
      <c r="V105" s="5294" t="s">
        <v>2605</v>
      </c>
      <c r="W105" s="5295"/>
      <c r="X105" s="1338" t="s">
        <v>1495</v>
      </c>
      <c r="Y105" s="4048"/>
    </row>
    <row r="106" spans="2:43">
      <c r="B106" s="1340">
        <v>2006</v>
      </c>
      <c r="C106" s="5282">
        <v>62.943317597525443</v>
      </c>
      <c r="D106" s="5283"/>
      <c r="E106" s="5283">
        <v>55.346217332982718</v>
      </c>
      <c r="F106" s="5283"/>
      <c r="G106" s="4276">
        <v>64.231304592410638</v>
      </c>
      <c r="H106" s="4276">
        <v>71.14736747313988</v>
      </c>
      <c r="I106" s="5283">
        <v>118.43673780777125</v>
      </c>
      <c r="J106" s="5283"/>
      <c r="K106" s="4276">
        <v>61.688043603875947</v>
      </c>
      <c r="L106" s="5283">
        <v>67.3</v>
      </c>
      <c r="M106" s="5283"/>
      <c r="N106" s="5283">
        <v>73.5</v>
      </c>
      <c r="O106" s="5283"/>
      <c r="P106" s="4276">
        <v>64.566800121736293</v>
      </c>
      <c r="Q106" s="4276">
        <v>63.380815784223046</v>
      </c>
      <c r="R106" s="4276">
        <v>55.818137643432827</v>
      </c>
      <c r="S106" s="4184">
        <v>72.427740773434664</v>
      </c>
      <c r="T106" s="4830">
        <v>62.1</v>
      </c>
      <c r="U106" s="4830"/>
      <c r="V106" s="5283">
        <v>62.7</v>
      </c>
      <c r="W106" s="5283"/>
      <c r="X106" s="1341">
        <v>64.571219059200075</v>
      </c>
      <c r="Y106" s="4054">
        <v>2006</v>
      </c>
      <c r="AK106" s="4280"/>
      <c r="AL106" s="4280"/>
      <c r="AM106" s="4280"/>
    </row>
    <row r="107" spans="2:43">
      <c r="B107" s="1342">
        <v>2007</v>
      </c>
      <c r="C107" s="5284">
        <v>66.231009076462257</v>
      </c>
      <c r="D107" s="5285"/>
      <c r="E107" s="5285">
        <v>60.865941436986382</v>
      </c>
      <c r="F107" s="5285"/>
      <c r="G107" s="4274">
        <v>65.362108997137909</v>
      </c>
      <c r="H107" s="4274">
        <v>71.020973154153651</v>
      </c>
      <c r="I107" s="5285">
        <v>116.88231561042846</v>
      </c>
      <c r="J107" s="5285"/>
      <c r="K107" s="4274">
        <v>63.429456224384474</v>
      </c>
      <c r="L107" s="5281">
        <v>68.900000000000006</v>
      </c>
      <c r="M107" s="5281"/>
      <c r="N107" s="5285">
        <v>75</v>
      </c>
      <c r="O107" s="5285"/>
      <c r="P107" s="4274">
        <v>65.872793611467998</v>
      </c>
      <c r="Q107" s="4274">
        <v>67.306217075034908</v>
      </c>
      <c r="R107" s="4274">
        <v>57.362475221182486</v>
      </c>
      <c r="S107" s="4183">
        <v>74.762040803466036</v>
      </c>
      <c r="T107" s="4726">
        <v>68.3</v>
      </c>
      <c r="U107" s="4726"/>
      <c r="V107" s="5281">
        <v>68.7</v>
      </c>
      <c r="W107" s="5281"/>
      <c r="X107" s="1343">
        <v>67.634417246390157</v>
      </c>
      <c r="Y107" s="4156">
        <v>2007</v>
      </c>
      <c r="AD107" s="4280"/>
      <c r="AE107" s="4280"/>
      <c r="AF107" s="4280"/>
      <c r="AG107" s="4280"/>
      <c r="AH107" s="4280"/>
      <c r="AI107" s="4280"/>
      <c r="AJ107" s="4014"/>
      <c r="AK107" s="4280"/>
      <c r="AL107" s="4280"/>
      <c r="AM107" s="4280"/>
      <c r="AN107" s="4014"/>
      <c r="AO107" s="4280"/>
      <c r="AP107" s="4280"/>
      <c r="AQ107" s="4014"/>
    </row>
    <row r="108" spans="2:43">
      <c r="B108" s="1340">
        <v>2008</v>
      </c>
      <c r="C108" s="5282">
        <v>70.079861349187738</v>
      </c>
      <c r="D108" s="5283"/>
      <c r="E108" s="5283">
        <v>68.311708361959077</v>
      </c>
      <c r="F108" s="5283"/>
      <c r="G108" s="4276">
        <v>68.89096218956864</v>
      </c>
      <c r="H108" s="4276">
        <v>75.376359857474412</v>
      </c>
      <c r="I108" s="5283">
        <v>115.12189630814305</v>
      </c>
      <c r="J108" s="5283"/>
      <c r="K108" s="4276">
        <v>76.613949334480765</v>
      </c>
      <c r="L108" s="5279">
        <v>71.3</v>
      </c>
      <c r="M108" s="5279"/>
      <c r="N108" s="5283">
        <v>79.900000000000006</v>
      </c>
      <c r="O108" s="5283"/>
      <c r="P108" s="4276">
        <v>75.737950185783873</v>
      </c>
      <c r="Q108" s="4276">
        <v>72.337323912752154</v>
      </c>
      <c r="R108" s="4276">
        <v>61.818208362201801</v>
      </c>
      <c r="S108" s="4184">
        <v>78.352716048406947</v>
      </c>
      <c r="T108" s="4830">
        <v>82.7</v>
      </c>
      <c r="U108" s="4830"/>
      <c r="V108" s="5283">
        <v>82.3</v>
      </c>
      <c r="W108" s="5283"/>
      <c r="X108" s="1345">
        <v>77.083777916248067</v>
      </c>
      <c r="Y108" s="4155">
        <v>2008</v>
      </c>
      <c r="AD108" s="4280"/>
      <c r="AE108" s="4280"/>
      <c r="AF108" s="4280"/>
      <c r="AG108" s="4280"/>
      <c r="AH108" s="4280"/>
      <c r="AI108" s="4280"/>
      <c r="AJ108" s="4014"/>
      <c r="AK108" s="4280"/>
      <c r="AL108" s="4280"/>
      <c r="AM108" s="4280"/>
      <c r="AN108" s="4014"/>
      <c r="AO108" s="4280"/>
      <c r="AP108" s="4280"/>
      <c r="AQ108" s="4014"/>
    </row>
    <row r="109" spans="2:43">
      <c r="B109" s="1342">
        <v>2009</v>
      </c>
      <c r="C109" s="5284">
        <v>72.083676094458923</v>
      </c>
      <c r="D109" s="5285"/>
      <c r="E109" s="5285">
        <v>69.698484964802503</v>
      </c>
      <c r="F109" s="5285"/>
      <c r="G109" s="4274">
        <v>73.755306906526855</v>
      </c>
      <c r="H109" s="4274">
        <v>76.924117258105653</v>
      </c>
      <c r="I109" s="5285">
        <v>114.5775914463174</v>
      </c>
      <c r="J109" s="5285"/>
      <c r="K109" s="4274">
        <v>65.757188837139509</v>
      </c>
      <c r="L109" s="5281">
        <v>69.7</v>
      </c>
      <c r="M109" s="5281"/>
      <c r="N109" s="5285">
        <v>83.1</v>
      </c>
      <c r="O109" s="5285"/>
      <c r="P109" s="4274">
        <v>73.49361934234436</v>
      </c>
      <c r="Q109" s="4274">
        <v>76.541813546652932</v>
      </c>
      <c r="R109" s="4274">
        <v>62.249144357639558</v>
      </c>
      <c r="S109" s="4183">
        <v>77.974186345174672</v>
      </c>
      <c r="T109" s="4726">
        <v>84.2</v>
      </c>
      <c r="U109" s="4726"/>
      <c r="V109" s="5285">
        <v>83.7</v>
      </c>
      <c r="W109" s="5285"/>
      <c r="X109" s="1343">
        <v>76.514075036796172</v>
      </c>
      <c r="Y109" s="4156">
        <v>2009</v>
      </c>
      <c r="AD109" s="4280"/>
      <c r="AE109" s="4280"/>
      <c r="AF109" s="4280"/>
      <c r="AG109" s="4280"/>
      <c r="AH109" s="4280"/>
      <c r="AI109" s="4280"/>
      <c r="AK109" s="4280"/>
      <c r="AL109" s="4280"/>
      <c r="AM109" s="4280"/>
      <c r="AN109" s="4014"/>
      <c r="AO109" s="4280"/>
      <c r="AP109" s="4280"/>
      <c r="AQ109" s="4014"/>
    </row>
    <row r="110" spans="2:43">
      <c r="B110" s="1340">
        <v>2010</v>
      </c>
      <c r="C110" s="5282">
        <v>76.900587148809436</v>
      </c>
      <c r="D110" s="5283"/>
      <c r="E110" s="5283">
        <v>70.578523965351096</v>
      </c>
      <c r="F110" s="5283"/>
      <c r="G110" s="4276">
        <v>78.527050313659984</v>
      </c>
      <c r="H110" s="4276">
        <v>77.62307850539348</v>
      </c>
      <c r="I110" s="5283">
        <v>103.26066433466239</v>
      </c>
      <c r="J110" s="5283"/>
      <c r="K110" s="4276">
        <v>73.867573547014146</v>
      </c>
      <c r="L110" s="5279">
        <v>71.599999999999994</v>
      </c>
      <c r="M110" s="5279"/>
      <c r="N110" s="5283">
        <v>84.9</v>
      </c>
      <c r="O110" s="5283"/>
      <c r="P110" s="4276">
        <v>76.852214256112362</v>
      </c>
      <c r="Q110" s="4276">
        <v>77.972243572537209</v>
      </c>
      <c r="R110" s="4276">
        <v>69.791575561986562</v>
      </c>
      <c r="S110" s="4184">
        <v>82.715336277815439</v>
      </c>
      <c r="T110" s="4830">
        <v>87.9</v>
      </c>
      <c r="U110" s="4830"/>
      <c r="V110" s="5283">
        <v>87.5</v>
      </c>
      <c r="W110" s="5283"/>
      <c r="X110" s="1345">
        <v>80.221578895613092</v>
      </c>
      <c r="Y110" s="4155">
        <v>2010</v>
      </c>
      <c r="AD110" s="4280"/>
      <c r="AE110" s="4280"/>
      <c r="AF110" s="4280"/>
      <c r="AG110" s="4280"/>
      <c r="AH110" s="4280"/>
      <c r="AI110" s="4280"/>
      <c r="AJ110" s="4014"/>
      <c r="AK110" s="4280"/>
      <c r="AL110" s="4280"/>
      <c r="AM110" s="4280"/>
      <c r="AN110" s="4014"/>
      <c r="AO110" s="4280"/>
      <c r="AP110" s="4280"/>
      <c r="AQ110" s="4014"/>
    </row>
    <row r="111" spans="2:43">
      <c r="B111" s="1342">
        <v>2011</v>
      </c>
      <c r="C111" s="5284">
        <v>80.528405731605929</v>
      </c>
      <c r="D111" s="5285"/>
      <c r="E111" s="5285">
        <v>75.112634509442159</v>
      </c>
      <c r="F111" s="5285"/>
      <c r="G111" s="4274">
        <v>81.931454124133083</v>
      </c>
      <c r="H111" s="4274">
        <v>79.249363490761553</v>
      </c>
      <c r="I111" s="5285">
        <v>98.266021239374638</v>
      </c>
      <c r="J111" s="5285"/>
      <c r="K111" s="4274">
        <v>79.111575054158763</v>
      </c>
      <c r="L111" s="5281">
        <v>74.599999999999994</v>
      </c>
      <c r="M111" s="5281"/>
      <c r="N111" s="5285">
        <v>87.3</v>
      </c>
      <c r="O111" s="5285"/>
      <c r="P111" s="4274">
        <v>79.81137980783177</v>
      </c>
      <c r="Q111" s="4274">
        <v>82.387858215021836</v>
      </c>
      <c r="R111" s="4274">
        <v>71.815847448149057</v>
      </c>
      <c r="S111" s="4183">
        <v>90.440506030361476</v>
      </c>
      <c r="T111" s="4726">
        <v>91.2</v>
      </c>
      <c r="U111" s="4726"/>
      <c r="V111" s="5285">
        <v>91.1</v>
      </c>
      <c r="W111" s="5285"/>
      <c r="X111" s="1343">
        <v>83.560755291228048</v>
      </c>
      <c r="Y111" s="4156">
        <v>2011</v>
      </c>
      <c r="AD111" s="4280"/>
      <c r="AE111" s="4280"/>
      <c r="AF111" s="4280"/>
      <c r="AG111" s="4280"/>
      <c r="AH111" s="4280"/>
      <c r="AI111" s="4280"/>
      <c r="AJ111" s="4014"/>
      <c r="AK111" s="4280"/>
      <c r="AL111" s="4280"/>
      <c r="AM111" s="4280"/>
      <c r="AN111" s="4014"/>
      <c r="AO111" s="4280"/>
      <c r="AP111" s="4280"/>
      <c r="AQ111" s="4014"/>
    </row>
    <row r="112" spans="2:43">
      <c r="B112" s="1340">
        <v>2012</v>
      </c>
      <c r="C112" s="5282">
        <v>83.668141406340027</v>
      </c>
      <c r="D112" s="5283"/>
      <c r="E112" s="5283">
        <v>80.570719156388947</v>
      </c>
      <c r="F112" s="5283"/>
      <c r="G112" s="4276">
        <v>84.136480811226377</v>
      </c>
      <c r="H112" s="4276">
        <v>80.628649901806796</v>
      </c>
      <c r="I112" s="5283">
        <v>98.277582130385341</v>
      </c>
      <c r="J112" s="5283"/>
      <c r="K112" s="4276">
        <v>86.319547777820375</v>
      </c>
      <c r="L112" s="5279">
        <v>80.400000000000006</v>
      </c>
      <c r="M112" s="5279"/>
      <c r="N112" s="5283">
        <v>89.8</v>
      </c>
      <c r="O112" s="5283"/>
      <c r="P112" s="4276">
        <v>82.536092941738588</v>
      </c>
      <c r="Q112" s="4276">
        <v>85.811957081740829</v>
      </c>
      <c r="R112" s="4276">
        <v>72.844098559914528</v>
      </c>
      <c r="S112" s="4184">
        <v>92.610267123659696</v>
      </c>
      <c r="T112" s="4830">
        <v>95.6</v>
      </c>
      <c r="U112" s="4830"/>
      <c r="V112" s="5283">
        <v>95.3</v>
      </c>
      <c r="W112" s="5283"/>
      <c r="X112" s="1345">
        <v>87.333715220303759</v>
      </c>
      <c r="Y112" s="4155">
        <v>2012</v>
      </c>
      <c r="AD112" s="4280"/>
      <c r="AE112" s="4280"/>
      <c r="AF112" s="4280"/>
      <c r="AG112" s="4280"/>
      <c r="AH112" s="4280"/>
      <c r="AI112" s="4280"/>
      <c r="AJ112" s="4014"/>
      <c r="AK112" s="4280"/>
      <c r="AL112" s="4280"/>
      <c r="AM112" s="4280"/>
      <c r="AN112" s="4014"/>
      <c r="AO112" s="4280"/>
      <c r="AP112" s="4280"/>
      <c r="AQ112" s="4014"/>
    </row>
    <row r="113" spans="2:43">
      <c r="B113" s="1342">
        <v>2013</v>
      </c>
      <c r="C113" s="5280">
        <v>88.515999359674467</v>
      </c>
      <c r="D113" s="5281"/>
      <c r="E113" s="5281">
        <v>88.91811232078787</v>
      </c>
      <c r="F113" s="5281"/>
      <c r="G113" s="4274">
        <v>87.208164824629122</v>
      </c>
      <c r="H113" s="4274">
        <v>80.498476000238043</v>
      </c>
      <c r="I113" s="5281">
        <v>98.328121337742459</v>
      </c>
      <c r="J113" s="5281"/>
      <c r="K113" s="4274">
        <v>95.691415523601918</v>
      </c>
      <c r="L113" s="5281">
        <v>77.2</v>
      </c>
      <c r="M113" s="5281"/>
      <c r="N113" s="5281">
        <v>91.9</v>
      </c>
      <c r="O113" s="5281"/>
      <c r="P113" s="4274">
        <v>88.174883589387434</v>
      </c>
      <c r="Q113" s="4274">
        <v>89.293644944185829</v>
      </c>
      <c r="R113" s="4274">
        <v>65.861516970202857</v>
      </c>
      <c r="S113" s="4183">
        <v>95.416088463499236</v>
      </c>
      <c r="T113" s="4726">
        <v>99.7</v>
      </c>
      <c r="U113" s="4726"/>
      <c r="V113" s="5281">
        <v>99.3</v>
      </c>
      <c r="W113" s="5281"/>
      <c r="X113" s="1343">
        <v>91.547237856198237</v>
      </c>
      <c r="Y113" s="4156">
        <v>2013</v>
      </c>
      <c r="AD113" s="4280"/>
      <c r="AE113" s="4280"/>
      <c r="AF113" s="4280"/>
      <c r="AG113" s="4280"/>
      <c r="AH113" s="4280"/>
      <c r="AI113" s="4280"/>
      <c r="AJ113" s="4014"/>
      <c r="AK113" s="4280"/>
      <c r="AL113" s="4280"/>
      <c r="AM113" s="4280"/>
      <c r="AN113" s="4014"/>
      <c r="AO113" s="4280"/>
      <c r="AP113" s="4280"/>
      <c r="AQ113" s="4014"/>
    </row>
    <row r="114" spans="2:43">
      <c r="B114" s="1340">
        <v>2014</v>
      </c>
      <c r="C114" s="5278">
        <v>89.68054342057151</v>
      </c>
      <c r="D114" s="5279"/>
      <c r="E114" s="5279">
        <v>90.762752746122317</v>
      </c>
      <c r="F114" s="5279"/>
      <c r="G114" s="4276">
        <v>90.160252129441133</v>
      </c>
      <c r="H114" s="4276">
        <v>82.569906050201425</v>
      </c>
      <c r="I114" s="5279">
        <v>98.262405395383041</v>
      </c>
      <c r="J114" s="5279"/>
      <c r="K114" s="4276">
        <v>97.69125683144199</v>
      </c>
      <c r="L114" s="5279">
        <v>82</v>
      </c>
      <c r="M114" s="5279"/>
      <c r="N114" s="5279">
        <v>94</v>
      </c>
      <c r="O114" s="5279"/>
      <c r="P114" s="4276">
        <v>92.363500963633371</v>
      </c>
      <c r="Q114" s="4276">
        <v>97.633399616233646</v>
      </c>
      <c r="R114" s="4276">
        <v>75.714369547277627</v>
      </c>
      <c r="S114" s="4184">
        <v>96.625676163398069</v>
      </c>
      <c r="T114" s="4725">
        <v>100</v>
      </c>
      <c r="U114" s="4725"/>
      <c r="V114" s="5279">
        <v>99.7</v>
      </c>
      <c r="W114" s="5279"/>
      <c r="X114" s="1345">
        <v>94.201630838747732</v>
      </c>
      <c r="Y114" s="4155">
        <v>2014</v>
      </c>
      <c r="AD114" s="4280"/>
      <c r="AE114" s="4280"/>
      <c r="AF114" s="4280"/>
      <c r="AG114" s="4280"/>
      <c r="AH114" s="4280"/>
      <c r="AI114" s="4280"/>
      <c r="AJ114" s="4014"/>
      <c r="AK114" s="4280"/>
      <c r="AL114" s="4280"/>
      <c r="AM114" s="4280"/>
      <c r="AN114" s="4014"/>
      <c r="AO114" s="4280"/>
      <c r="AP114" s="4280"/>
      <c r="AQ114" s="4014"/>
    </row>
    <row r="115" spans="2:43">
      <c r="B115" s="1342">
        <v>2015</v>
      </c>
      <c r="C115" s="5280">
        <v>90.403517894318341</v>
      </c>
      <c r="D115" s="5281"/>
      <c r="E115" s="5281">
        <v>91.982931994411601</v>
      </c>
      <c r="F115" s="5281"/>
      <c r="G115" s="4274">
        <v>92.925726425997382</v>
      </c>
      <c r="H115" s="4274">
        <v>87.128877596168522</v>
      </c>
      <c r="I115" s="5281">
        <v>98.317790969556086</v>
      </c>
      <c r="J115" s="5281"/>
      <c r="K115" s="4274">
        <v>83.871865868314174</v>
      </c>
      <c r="L115" s="5281">
        <v>84.2</v>
      </c>
      <c r="M115" s="5281"/>
      <c r="N115" s="5281">
        <v>95.8</v>
      </c>
      <c r="O115" s="5281"/>
      <c r="P115" s="4274">
        <v>92.894070905714159</v>
      </c>
      <c r="Q115" s="4274">
        <v>102.37979718511126</v>
      </c>
      <c r="R115" s="4274">
        <v>78.379263662677701</v>
      </c>
      <c r="S115" s="4183">
        <v>96.36662552038284</v>
      </c>
      <c r="T115" s="4726">
        <v>101.2</v>
      </c>
      <c r="U115" s="4726"/>
      <c r="V115" s="5281">
        <v>100.8</v>
      </c>
      <c r="W115" s="5281"/>
      <c r="X115" s="1343">
        <v>93.37562255787482</v>
      </c>
      <c r="Y115" s="4156">
        <v>2015</v>
      </c>
      <c r="AD115" s="4280"/>
      <c r="AE115" s="4280"/>
      <c r="AF115" s="4280"/>
      <c r="AG115" s="4280"/>
      <c r="AH115" s="4280"/>
      <c r="AI115" s="4280"/>
      <c r="AJ115" s="4014"/>
      <c r="AK115" s="4280"/>
      <c r="AL115" s="4280"/>
      <c r="AM115" s="4280"/>
      <c r="AN115" s="4014"/>
      <c r="AO115" s="4280"/>
      <c r="AP115" s="4280"/>
      <c r="AQ115" s="4014"/>
    </row>
    <row r="116" spans="2:43">
      <c r="B116" s="1340">
        <v>2016</v>
      </c>
      <c r="C116" s="5278">
        <v>92.408899397496711</v>
      </c>
      <c r="D116" s="5279"/>
      <c r="E116" s="5279">
        <v>93.0536964975052</v>
      </c>
      <c r="F116" s="5279"/>
      <c r="G116" s="4276">
        <v>94.66496987145841</v>
      </c>
      <c r="H116" s="4276">
        <v>91.162897203757993</v>
      </c>
      <c r="I116" s="5279">
        <v>98.107202907517149</v>
      </c>
      <c r="J116" s="5279"/>
      <c r="K116" s="4276">
        <v>80.567812613244357</v>
      </c>
      <c r="L116" s="5279">
        <v>87.3</v>
      </c>
      <c r="M116" s="5279"/>
      <c r="N116" s="5279">
        <v>96.8</v>
      </c>
      <c r="O116" s="5279"/>
      <c r="P116" s="4276">
        <v>93.967110107304521</v>
      </c>
      <c r="Q116" s="4276">
        <v>103.94646738002167</v>
      </c>
      <c r="R116" s="4276">
        <v>80.878721469271099</v>
      </c>
      <c r="S116" s="4184">
        <v>96.755428952076656</v>
      </c>
      <c r="T116" s="4725">
        <v>97.3</v>
      </c>
      <c r="U116" s="4725"/>
      <c r="V116" s="5279">
        <v>97.3</v>
      </c>
      <c r="W116" s="5279"/>
      <c r="X116" s="1345">
        <v>92.648758266817879</v>
      </c>
      <c r="Y116" s="4155">
        <v>2016</v>
      </c>
      <c r="AD116" s="4280"/>
      <c r="AE116" s="4280"/>
      <c r="AF116" s="4280"/>
      <c r="AG116" s="4280"/>
      <c r="AH116" s="4280"/>
      <c r="AI116" s="4280"/>
      <c r="AJ116" s="4014"/>
      <c r="AK116" s="4280"/>
      <c r="AL116" s="4280"/>
      <c r="AM116" s="4280"/>
      <c r="AN116" s="4014"/>
      <c r="AO116" s="4280"/>
      <c r="AP116" s="4280"/>
      <c r="AQ116" s="4014"/>
    </row>
    <row r="117" spans="2:43">
      <c r="B117" s="1342">
        <v>2017</v>
      </c>
      <c r="C117" s="5280">
        <v>98.205704203680966</v>
      </c>
      <c r="D117" s="5281"/>
      <c r="E117" s="5281">
        <v>93.255251130756236</v>
      </c>
      <c r="F117" s="5281"/>
      <c r="G117" s="4274">
        <v>97.364317841668154</v>
      </c>
      <c r="H117" s="4274">
        <v>97.894985031683134</v>
      </c>
      <c r="I117" s="5281">
        <v>99.841391631477563</v>
      </c>
      <c r="J117" s="5281"/>
      <c r="K117" s="4274">
        <v>90.976448618427142</v>
      </c>
      <c r="L117" s="5281">
        <v>94.7</v>
      </c>
      <c r="M117" s="5281"/>
      <c r="N117" s="5281">
        <v>98.3</v>
      </c>
      <c r="O117" s="5281"/>
      <c r="P117" s="4274">
        <v>96.592837315388465</v>
      </c>
      <c r="Q117" s="4274">
        <v>101.49587140246651</v>
      </c>
      <c r="R117" s="4274">
        <v>87.253950480192273</v>
      </c>
      <c r="S117" s="4183">
        <v>97.972302494391215</v>
      </c>
      <c r="T117" s="4726">
        <v>96.8</v>
      </c>
      <c r="U117" s="4726"/>
      <c r="V117" s="5281">
        <v>96.9</v>
      </c>
      <c r="W117" s="5281"/>
      <c r="X117" s="1343">
        <v>95.728305224709786</v>
      </c>
      <c r="Y117" s="4156">
        <v>2017</v>
      </c>
      <c r="AD117" s="4280"/>
      <c r="AE117" s="4280"/>
      <c r="AF117" s="4280"/>
      <c r="AG117" s="4280"/>
      <c r="AH117" s="4280"/>
      <c r="AI117" s="4280"/>
      <c r="AJ117" s="4014"/>
      <c r="AK117" s="4280"/>
      <c r="AL117" s="4280"/>
      <c r="AM117" s="4280"/>
      <c r="AN117" s="4014"/>
      <c r="AO117" s="4280"/>
      <c r="AP117" s="4280"/>
      <c r="AQ117" s="4014"/>
    </row>
    <row r="118" spans="2:43">
      <c r="B118" s="1340">
        <v>2018</v>
      </c>
      <c r="C118" s="5278">
        <v>100</v>
      </c>
      <c r="D118" s="5279"/>
      <c r="E118" s="5279">
        <v>100</v>
      </c>
      <c r="F118" s="5279"/>
      <c r="G118" s="4276">
        <v>100.00000000000001</v>
      </c>
      <c r="H118" s="4276">
        <v>100.00000000000001</v>
      </c>
      <c r="I118" s="5279">
        <v>100</v>
      </c>
      <c r="J118" s="5279"/>
      <c r="K118" s="4276">
        <v>100.00000000000001</v>
      </c>
      <c r="L118" s="5279">
        <v>100</v>
      </c>
      <c r="M118" s="5279"/>
      <c r="N118" s="5279">
        <v>100</v>
      </c>
      <c r="O118" s="5279"/>
      <c r="P118" s="4276">
        <v>100</v>
      </c>
      <c r="Q118" s="4276">
        <v>100.00000000000001</v>
      </c>
      <c r="R118" s="4276">
        <v>100</v>
      </c>
      <c r="S118" s="4184">
        <v>99.999999999999986</v>
      </c>
      <c r="T118" s="4725">
        <v>100</v>
      </c>
      <c r="U118" s="4725"/>
      <c r="V118" s="5279">
        <v>100</v>
      </c>
      <c r="W118" s="5279"/>
      <c r="X118" s="1345">
        <v>100</v>
      </c>
      <c r="Y118" s="4155">
        <v>2018</v>
      </c>
      <c r="AD118" s="4280"/>
      <c r="AE118" s="4280"/>
      <c r="AF118" s="4280"/>
      <c r="AG118" s="4280"/>
      <c r="AH118" s="4280"/>
      <c r="AI118" s="4280"/>
      <c r="AJ118" s="4014"/>
      <c r="AK118" s="4280"/>
      <c r="AL118" s="4280"/>
      <c r="AM118" s="4280"/>
      <c r="AN118" s="4014"/>
      <c r="AO118" s="4280"/>
      <c r="AP118" s="4280"/>
      <c r="AQ118" s="4014"/>
    </row>
    <row r="119" spans="2:43">
      <c r="B119" s="1342">
        <v>2019</v>
      </c>
      <c r="C119" s="5280">
        <v>101.35858161715562</v>
      </c>
      <c r="D119" s="5281"/>
      <c r="E119" s="5281">
        <v>102.5819192985503</v>
      </c>
      <c r="F119" s="5281"/>
      <c r="G119" s="4274">
        <v>102.57481941152618</v>
      </c>
      <c r="H119" s="4274">
        <v>97.556953207866783</v>
      </c>
      <c r="I119" s="5281">
        <v>100.0094947782739</v>
      </c>
      <c r="J119" s="5281"/>
      <c r="K119" s="4274">
        <v>100.59161341832855</v>
      </c>
      <c r="L119" s="5281">
        <v>101.9</v>
      </c>
      <c r="M119" s="5281"/>
      <c r="N119" s="5281">
        <v>101</v>
      </c>
      <c r="O119" s="5281"/>
      <c r="P119" s="4274">
        <v>101.54929666749656</v>
      </c>
      <c r="Q119" s="4274">
        <v>98.344751615197438</v>
      </c>
      <c r="R119" s="4274">
        <v>98.410416872234421</v>
      </c>
      <c r="S119" s="4183">
        <v>99.668662330417945</v>
      </c>
      <c r="T119" s="4726">
        <v>100.3</v>
      </c>
      <c r="U119" s="4726"/>
      <c r="V119" s="5281">
        <v>100.3</v>
      </c>
      <c r="W119" s="5281"/>
      <c r="X119" s="1343">
        <v>100.76151404726555</v>
      </c>
      <c r="Y119" s="4156">
        <v>2019</v>
      </c>
      <c r="AD119" s="4280"/>
      <c r="AE119" s="4280"/>
      <c r="AF119" s="4280"/>
      <c r="AG119" s="4280"/>
      <c r="AH119" s="4280"/>
      <c r="AI119" s="4280"/>
      <c r="AJ119" s="4014"/>
      <c r="AK119" s="4280"/>
      <c r="AL119" s="4280"/>
      <c r="AM119" s="4280"/>
      <c r="AN119" s="4014"/>
      <c r="AO119" s="4280"/>
      <c r="AP119" s="4280"/>
      <c r="AQ119" s="4014"/>
    </row>
    <row r="120" spans="2:43">
      <c r="B120" s="1693">
        <v>2020</v>
      </c>
      <c r="C120" s="5299">
        <v>103.6</v>
      </c>
      <c r="D120" s="5300"/>
      <c r="E120" s="5300">
        <v>104.8</v>
      </c>
      <c r="F120" s="5300"/>
      <c r="G120" s="4273">
        <v>104.39081475037159</v>
      </c>
      <c r="H120" s="4273">
        <v>98.514619333347397</v>
      </c>
      <c r="I120" s="5300">
        <v>100.9</v>
      </c>
      <c r="J120" s="5300"/>
      <c r="K120" s="4273">
        <v>98.609520755711117</v>
      </c>
      <c r="L120" s="5300">
        <v>104.6</v>
      </c>
      <c r="M120" s="5300"/>
      <c r="N120" s="5300">
        <v>101.5</v>
      </c>
      <c r="O120" s="5300"/>
      <c r="P120" s="4273">
        <v>99.702749505425672</v>
      </c>
      <c r="Q120" s="4273">
        <v>97.47664029257902</v>
      </c>
      <c r="R120" s="4273">
        <v>101.36824567484605</v>
      </c>
      <c r="S120" s="4195">
        <v>100.44545224410301</v>
      </c>
      <c r="T120" s="4985">
        <v>102.9</v>
      </c>
      <c r="U120" s="4985"/>
      <c r="V120" s="5300">
        <v>102.6</v>
      </c>
      <c r="W120" s="5300"/>
      <c r="X120" s="1346">
        <v>101.0973464811927</v>
      </c>
      <c r="Y120" s="4286">
        <v>2020</v>
      </c>
      <c r="AD120" s="4280"/>
      <c r="AE120" s="4280"/>
      <c r="AF120" s="4280"/>
      <c r="AG120" s="4280"/>
      <c r="AH120" s="4280"/>
      <c r="AI120" s="4280"/>
      <c r="AJ120" s="4014"/>
      <c r="AK120" s="4280"/>
      <c r="AL120" s="4280"/>
      <c r="AM120" s="4280"/>
      <c r="AN120" s="4014"/>
      <c r="AO120" s="4280"/>
      <c r="AP120" s="4280"/>
      <c r="AQ120" s="4014"/>
    </row>
    <row r="121" spans="2:43" ht="22.5">
      <c r="B121" s="1347" t="s">
        <v>2215</v>
      </c>
      <c r="Y121" s="1349" t="s">
        <v>1457</v>
      </c>
      <c r="AD121" s="4280"/>
      <c r="AE121" s="4280"/>
      <c r="AF121" s="4280"/>
      <c r="AG121" s="4280"/>
      <c r="AH121" s="4280"/>
      <c r="AI121" s="4280"/>
      <c r="AJ121" s="4014"/>
      <c r="AK121" s="4280"/>
      <c r="AL121" s="4280"/>
      <c r="AM121" s="4280"/>
      <c r="AN121" s="4014"/>
      <c r="AO121" s="4280"/>
      <c r="AP121" s="4280"/>
      <c r="AQ121" s="4014"/>
    </row>
    <row r="126" spans="2:43">
      <c r="AD126" s="4280"/>
    </row>
    <row r="127" spans="2:43">
      <c r="AD127" s="4280"/>
    </row>
    <row r="128" spans="2:43">
      <c r="AD128" s="4280"/>
    </row>
    <row r="129" spans="30:30">
      <c r="AD129" s="4280"/>
    </row>
    <row r="130" spans="30:30">
      <c r="AD130" s="4280"/>
    </row>
    <row r="131" spans="30:30">
      <c r="AD131" s="4280"/>
    </row>
    <row r="132" spans="30:30">
      <c r="AD132" s="4280"/>
    </row>
    <row r="133" spans="30:30">
      <c r="AD133" s="4280"/>
    </row>
    <row r="134" spans="30:30">
      <c r="AD134" s="4280"/>
    </row>
    <row r="135" spans="30:30">
      <c r="AD135" s="4280"/>
    </row>
    <row r="136" spans="30:30">
      <c r="AD136" s="4280"/>
    </row>
    <row r="137" spans="30:30">
      <c r="AD137" s="4280"/>
    </row>
    <row r="138" spans="30:30">
      <c r="AD138" s="4280"/>
    </row>
    <row r="139" spans="30:30">
      <c r="AD139" s="4280"/>
    </row>
  </sheetData>
  <mergeCells count="303">
    <mergeCell ref="C120:D120"/>
    <mergeCell ref="E120:F120"/>
    <mergeCell ref="I120:J120"/>
    <mergeCell ref="L120:M120"/>
    <mergeCell ref="N120:O120"/>
    <mergeCell ref="T120:U120"/>
    <mergeCell ref="V120:W120"/>
    <mergeCell ref="C118:D118"/>
    <mergeCell ref="E118:F118"/>
    <mergeCell ref="I118:J118"/>
    <mergeCell ref="L118:M118"/>
    <mergeCell ref="N118:O118"/>
    <mergeCell ref="T118:U118"/>
    <mergeCell ref="V118:W118"/>
    <mergeCell ref="C119:D119"/>
    <mergeCell ref="E119:F119"/>
    <mergeCell ref="I119:J119"/>
    <mergeCell ref="L119:M119"/>
    <mergeCell ref="N119:O119"/>
    <mergeCell ref="T119:U119"/>
    <mergeCell ref="V119:W119"/>
    <mergeCell ref="C116:D116"/>
    <mergeCell ref="E116:F116"/>
    <mergeCell ref="I116:J116"/>
    <mergeCell ref="L116:M116"/>
    <mergeCell ref="N116:O116"/>
    <mergeCell ref="T116:U116"/>
    <mergeCell ref="V116:W116"/>
    <mergeCell ref="C117:D117"/>
    <mergeCell ref="E117:F117"/>
    <mergeCell ref="I117:J117"/>
    <mergeCell ref="L117:M117"/>
    <mergeCell ref="N117:O117"/>
    <mergeCell ref="T117:U117"/>
    <mergeCell ref="V117:W117"/>
    <mergeCell ref="L112:M112"/>
    <mergeCell ref="N112:O112"/>
    <mergeCell ref="T112:U112"/>
    <mergeCell ref="V112:W112"/>
    <mergeCell ref="C113:D113"/>
    <mergeCell ref="E113:F113"/>
    <mergeCell ref="I113:J113"/>
    <mergeCell ref="L113:M113"/>
    <mergeCell ref="N113:O113"/>
    <mergeCell ref="T113:U113"/>
    <mergeCell ref="V113:W113"/>
    <mergeCell ref="C112:D112"/>
    <mergeCell ref="E112:F112"/>
    <mergeCell ref="I112:J112"/>
    <mergeCell ref="L108:M108"/>
    <mergeCell ref="N108:O108"/>
    <mergeCell ref="T108:U108"/>
    <mergeCell ref="V108:W108"/>
    <mergeCell ref="C109:D109"/>
    <mergeCell ref="E109:F109"/>
    <mergeCell ref="I109:J109"/>
    <mergeCell ref="L109:M109"/>
    <mergeCell ref="N109:O109"/>
    <mergeCell ref="T109:U109"/>
    <mergeCell ref="V109:W109"/>
    <mergeCell ref="C108:D108"/>
    <mergeCell ref="E108:F108"/>
    <mergeCell ref="I108:J108"/>
    <mergeCell ref="L104:M104"/>
    <mergeCell ref="N104:O104"/>
    <mergeCell ref="T104:U104"/>
    <mergeCell ref="V104:W104"/>
    <mergeCell ref="C105:D105"/>
    <mergeCell ref="E105:F105"/>
    <mergeCell ref="I105:J105"/>
    <mergeCell ref="L105:M105"/>
    <mergeCell ref="N105:O105"/>
    <mergeCell ref="T105:U105"/>
    <mergeCell ref="V105:W105"/>
    <mergeCell ref="C104:D104"/>
    <mergeCell ref="E104:F104"/>
    <mergeCell ref="I104:J104"/>
    <mergeCell ref="B95:M95"/>
    <mergeCell ref="N95:Y95"/>
    <mergeCell ref="N100:O100"/>
    <mergeCell ref="T100:U100"/>
    <mergeCell ref="V100:W100"/>
    <mergeCell ref="C101:D101"/>
    <mergeCell ref="E101:F101"/>
    <mergeCell ref="I101:J101"/>
    <mergeCell ref="L101:M101"/>
    <mergeCell ref="N101:O101"/>
    <mergeCell ref="T101:U101"/>
    <mergeCell ref="V101:W101"/>
    <mergeCell ref="B96:M96"/>
    <mergeCell ref="N96:Y96"/>
    <mergeCell ref="C99:D99"/>
    <mergeCell ref="E99:F99"/>
    <mergeCell ref="I99:J99"/>
    <mergeCell ref="L99:M99"/>
    <mergeCell ref="T99:U99"/>
    <mergeCell ref="V99:W99"/>
    <mergeCell ref="C100:D100"/>
    <mergeCell ref="E100:F100"/>
    <mergeCell ref="I100:J100"/>
    <mergeCell ref="L100:M100"/>
    <mergeCell ref="C90:D90"/>
    <mergeCell ref="E90:F90"/>
    <mergeCell ref="I90:J90"/>
    <mergeCell ref="L90:M90"/>
    <mergeCell ref="N90:O90"/>
    <mergeCell ref="T90:U90"/>
    <mergeCell ref="V90:W90"/>
    <mergeCell ref="C91:D91"/>
    <mergeCell ref="E91:F91"/>
    <mergeCell ref="I91:J91"/>
    <mergeCell ref="L91:M91"/>
    <mergeCell ref="N91:O91"/>
    <mergeCell ref="T91:U91"/>
    <mergeCell ref="V91:W91"/>
    <mergeCell ref="C86:D86"/>
    <mergeCell ref="E86:F86"/>
    <mergeCell ref="I86:J86"/>
    <mergeCell ref="L86:M86"/>
    <mergeCell ref="N86:O86"/>
    <mergeCell ref="T86:U86"/>
    <mergeCell ref="V86:W86"/>
    <mergeCell ref="C87:D87"/>
    <mergeCell ref="E87:F87"/>
    <mergeCell ref="I87:J87"/>
    <mergeCell ref="L87:M87"/>
    <mergeCell ref="N87:O87"/>
    <mergeCell ref="T87:U87"/>
    <mergeCell ref="V87:W87"/>
    <mergeCell ref="C80:D80"/>
    <mergeCell ref="E80:F80"/>
    <mergeCell ref="I80:J80"/>
    <mergeCell ref="L80:M80"/>
    <mergeCell ref="N80:O80"/>
    <mergeCell ref="T80:U80"/>
    <mergeCell ref="V80:W80"/>
    <mergeCell ref="C81:D81"/>
    <mergeCell ref="E81:F81"/>
    <mergeCell ref="I81:J81"/>
    <mergeCell ref="L81:M81"/>
    <mergeCell ref="T81:U81"/>
    <mergeCell ref="V81:W81"/>
    <mergeCell ref="C74:D74"/>
    <mergeCell ref="E74:F74"/>
    <mergeCell ref="I74:J74"/>
    <mergeCell ref="L74:M74"/>
    <mergeCell ref="N74:O74"/>
    <mergeCell ref="T74:U74"/>
    <mergeCell ref="V74:W74"/>
    <mergeCell ref="C75:D75"/>
    <mergeCell ref="E75:F75"/>
    <mergeCell ref="I75:J75"/>
    <mergeCell ref="L75:M75"/>
    <mergeCell ref="N75:O75"/>
    <mergeCell ref="T75:U75"/>
    <mergeCell ref="V75:W75"/>
    <mergeCell ref="C88:D88"/>
    <mergeCell ref="E88:F88"/>
    <mergeCell ref="I88:J88"/>
    <mergeCell ref="L88:M88"/>
    <mergeCell ref="N88:O88"/>
    <mergeCell ref="T88:U88"/>
    <mergeCell ref="V88:W88"/>
    <mergeCell ref="C89:D89"/>
    <mergeCell ref="E89:F89"/>
    <mergeCell ref="I89:J89"/>
    <mergeCell ref="L89:M89"/>
    <mergeCell ref="N89:O89"/>
    <mergeCell ref="T89:U89"/>
    <mergeCell ref="V89:W89"/>
    <mergeCell ref="C84:D84"/>
    <mergeCell ref="E84:F84"/>
    <mergeCell ref="I84:J84"/>
    <mergeCell ref="L84:M84"/>
    <mergeCell ref="N84:O84"/>
    <mergeCell ref="T84:U84"/>
    <mergeCell ref="V84:W84"/>
    <mergeCell ref="C85:D85"/>
    <mergeCell ref="E85:F85"/>
    <mergeCell ref="I85:J85"/>
    <mergeCell ref="L85:M85"/>
    <mergeCell ref="T85:U85"/>
    <mergeCell ref="V85:W85"/>
    <mergeCell ref="C82:D82"/>
    <mergeCell ref="E82:F82"/>
    <mergeCell ref="I82:J82"/>
    <mergeCell ref="L82:M82"/>
    <mergeCell ref="N82:O82"/>
    <mergeCell ref="T82:U82"/>
    <mergeCell ref="V82:W82"/>
    <mergeCell ref="C83:D83"/>
    <mergeCell ref="E83:F83"/>
    <mergeCell ref="I83:J83"/>
    <mergeCell ref="L83:M83"/>
    <mergeCell ref="N83:O83"/>
    <mergeCell ref="T83:U83"/>
    <mergeCell ref="V83:W83"/>
    <mergeCell ref="C78:D78"/>
    <mergeCell ref="E78:F78"/>
    <mergeCell ref="I78:J78"/>
    <mergeCell ref="L78:M78"/>
    <mergeCell ref="N78:O78"/>
    <mergeCell ref="T78:U78"/>
    <mergeCell ref="V78:W78"/>
    <mergeCell ref="C79:D79"/>
    <mergeCell ref="E79:F79"/>
    <mergeCell ref="I79:J79"/>
    <mergeCell ref="L79:M79"/>
    <mergeCell ref="N79:O79"/>
    <mergeCell ref="T79:U79"/>
    <mergeCell ref="V79:W79"/>
    <mergeCell ref="C76:D76"/>
    <mergeCell ref="E76:F76"/>
    <mergeCell ref="I76:J76"/>
    <mergeCell ref="L76:M76"/>
    <mergeCell ref="N76:O76"/>
    <mergeCell ref="T76:U76"/>
    <mergeCell ref="V76:W76"/>
    <mergeCell ref="C77:D77"/>
    <mergeCell ref="E77:F77"/>
    <mergeCell ref="I77:J77"/>
    <mergeCell ref="L77:M77"/>
    <mergeCell ref="N77:O77"/>
    <mergeCell ref="T77:U77"/>
    <mergeCell ref="V77:W77"/>
    <mergeCell ref="C72:D72"/>
    <mergeCell ref="E72:F72"/>
    <mergeCell ref="I72:J72"/>
    <mergeCell ref="L72:M72"/>
    <mergeCell ref="T72:U72"/>
    <mergeCell ref="V72:W72"/>
    <mergeCell ref="C73:D73"/>
    <mergeCell ref="E73:F73"/>
    <mergeCell ref="I73:J73"/>
    <mergeCell ref="L73:M73"/>
    <mergeCell ref="N73:O73"/>
    <mergeCell ref="T73:U73"/>
    <mergeCell ref="V73:W73"/>
    <mergeCell ref="B3:M3"/>
    <mergeCell ref="N3:Y3"/>
    <mergeCell ref="B4:M4"/>
    <mergeCell ref="N4:Y4"/>
    <mergeCell ref="X67:Y67"/>
    <mergeCell ref="B68:M68"/>
    <mergeCell ref="N68:Y68"/>
    <mergeCell ref="B69:M69"/>
    <mergeCell ref="N69:Y69"/>
    <mergeCell ref="C102:D102"/>
    <mergeCell ref="E102:F102"/>
    <mergeCell ref="I102:J102"/>
    <mergeCell ref="L102:M102"/>
    <mergeCell ref="N102:O102"/>
    <mergeCell ref="T102:U102"/>
    <mergeCell ref="V102:W102"/>
    <mergeCell ref="C103:D103"/>
    <mergeCell ref="E103:F103"/>
    <mergeCell ref="I103:J103"/>
    <mergeCell ref="L103:M103"/>
    <mergeCell ref="N103:O103"/>
    <mergeCell ref="T103:U103"/>
    <mergeCell ref="V103:W103"/>
    <mergeCell ref="C106:D106"/>
    <mergeCell ref="E106:F106"/>
    <mergeCell ref="I106:J106"/>
    <mergeCell ref="L106:M106"/>
    <mergeCell ref="N106:O106"/>
    <mergeCell ref="T106:U106"/>
    <mergeCell ref="V106:W106"/>
    <mergeCell ref="C107:D107"/>
    <mergeCell ref="E107:F107"/>
    <mergeCell ref="I107:J107"/>
    <mergeCell ref="L107:M107"/>
    <mergeCell ref="N107:O107"/>
    <mergeCell ref="T107:U107"/>
    <mergeCell ref="V107:W107"/>
    <mergeCell ref="C110:D110"/>
    <mergeCell ref="E110:F110"/>
    <mergeCell ref="I110:J110"/>
    <mergeCell ref="L110:M110"/>
    <mergeCell ref="N110:O110"/>
    <mergeCell ref="T110:U110"/>
    <mergeCell ref="V110:W110"/>
    <mergeCell ref="C111:D111"/>
    <mergeCell ref="E111:F111"/>
    <mergeCell ref="I111:J111"/>
    <mergeCell ref="L111:M111"/>
    <mergeCell ref="N111:O111"/>
    <mergeCell ref="T111:U111"/>
    <mergeCell ref="V111:W111"/>
    <mergeCell ref="C114:D114"/>
    <mergeCell ref="E114:F114"/>
    <mergeCell ref="I114:J114"/>
    <mergeCell ref="L114:M114"/>
    <mergeCell ref="N114:O114"/>
    <mergeCell ref="T114:U114"/>
    <mergeCell ref="V114:W114"/>
    <mergeCell ref="C115:D115"/>
    <mergeCell ref="E115:F115"/>
    <mergeCell ref="I115:J115"/>
    <mergeCell ref="L115:M115"/>
    <mergeCell ref="N115:O115"/>
    <mergeCell ref="T115:U115"/>
    <mergeCell ref="V115:W115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5" orientation="portrait" r:id="rId1"/>
  <headerFooter alignWithMargins="0">
    <oddFooter>&amp;C&amp;"Times,Regular"&amp;22-79-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P113"/>
  <sheetViews>
    <sheetView topLeftCell="A40" zoomScale="75" zoomScaleNormal="75" workbookViewId="0"/>
  </sheetViews>
  <sheetFormatPr defaultColWidth="9.42578125" defaultRowHeight="20.25"/>
  <cols>
    <col min="1" max="3" width="9.85546875" style="1" customWidth="1"/>
    <col min="4" max="4" width="1.42578125" style="1" customWidth="1"/>
    <col min="5" max="5" width="7.7109375" style="18" customWidth="1"/>
    <col min="6" max="6" width="1.42578125" style="18" customWidth="1"/>
    <col min="7" max="7" width="13.5703125" style="18" customWidth="1"/>
    <col min="8" max="8" width="13.5703125" style="1" customWidth="1"/>
    <col min="9" max="9" width="13.5703125" style="18" customWidth="1"/>
    <col min="10" max="10" width="13.5703125" style="1" customWidth="1"/>
    <col min="11" max="12" width="14.140625" style="1" customWidth="1"/>
    <col min="13" max="13" width="13.5703125" style="1" customWidth="1"/>
    <col min="14" max="14" width="10.5703125" style="1" customWidth="1"/>
    <col min="15" max="15" width="11.85546875" style="1" customWidth="1"/>
    <col min="16" max="16" width="13.5703125" style="1" customWidth="1"/>
    <col min="17" max="17" width="14.140625" style="1" customWidth="1"/>
    <col min="18" max="18" width="12.5703125" style="1" customWidth="1"/>
    <col min="19" max="19" width="13.5703125" style="1" customWidth="1"/>
    <col min="20" max="22" width="12" style="1" customWidth="1"/>
    <col min="23" max="23" width="12.42578125" style="214" customWidth="1"/>
    <col min="24" max="24" width="14.140625" style="1" customWidth="1"/>
    <col min="25" max="25" width="11.42578125" style="1" bestFit="1" customWidth="1"/>
    <col min="26" max="26" width="11.85546875" style="18" customWidth="1"/>
    <col min="27" max="27" width="11.5703125" style="18" customWidth="1"/>
    <col min="28" max="28" width="1.42578125" style="18" customWidth="1"/>
    <col min="29" max="29" width="7.7109375" style="18" customWidth="1"/>
    <col min="30" max="30" width="1.42578125" style="1" customWidth="1"/>
    <col min="31" max="33" width="9.42578125" style="1" customWidth="1"/>
    <col min="34" max="34" width="1" style="1" customWidth="1"/>
    <col min="35" max="39" width="9.42578125" style="1" customWidth="1"/>
    <col min="40" max="41" width="9.42578125" style="18" customWidth="1"/>
    <col min="42" max="257" width="9.42578125" style="1"/>
    <col min="258" max="258" width="9.140625" style="1" customWidth="1"/>
    <col min="259" max="259" width="13.42578125" style="1" customWidth="1"/>
    <col min="260" max="260" width="1.42578125" style="1" customWidth="1"/>
    <col min="261" max="261" width="7.7109375" style="1" customWidth="1"/>
    <col min="262" max="262" width="1.42578125" style="1" customWidth="1"/>
    <col min="263" max="266" width="13.5703125" style="1" customWidth="1"/>
    <col min="267" max="268" width="14.140625" style="1" customWidth="1"/>
    <col min="269" max="269" width="13.5703125" style="1" customWidth="1"/>
    <col min="270" max="270" width="10.5703125" style="1" customWidth="1"/>
    <col min="271" max="271" width="11.85546875" style="1" customWidth="1"/>
    <col min="272" max="272" width="13.5703125" style="1" customWidth="1"/>
    <col min="273" max="273" width="14.140625" style="1" customWidth="1"/>
    <col min="274" max="274" width="12.5703125" style="1" customWidth="1"/>
    <col min="275" max="275" width="13.5703125" style="1" customWidth="1"/>
    <col min="276" max="278" width="12" style="1" customWidth="1"/>
    <col min="279" max="279" width="12.42578125" style="1" customWidth="1"/>
    <col min="280" max="280" width="14.140625" style="1" customWidth="1"/>
    <col min="281" max="281" width="11.42578125" style="1" bestFit="1" customWidth="1"/>
    <col min="282" max="282" width="11.85546875" style="1" customWidth="1"/>
    <col min="283" max="283" width="11.5703125" style="1" customWidth="1"/>
    <col min="284" max="284" width="1.42578125" style="1" customWidth="1"/>
    <col min="285" max="285" width="7.7109375" style="1" customWidth="1"/>
    <col min="286" max="286" width="1.42578125" style="1" customWidth="1"/>
    <col min="287" max="289" width="9.42578125" style="1" customWidth="1"/>
    <col min="290" max="290" width="1" style="1" customWidth="1"/>
    <col min="291" max="297" width="9.42578125" style="1" customWidth="1"/>
    <col min="298" max="513" width="9.42578125" style="1"/>
    <col min="514" max="514" width="9.140625" style="1" customWidth="1"/>
    <col min="515" max="515" width="13.42578125" style="1" customWidth="1"/>
    <col min="516" max="516" width="1.42578125" style="1" customWidth="1"/>
    <col min="517" max="517" width="7.7109375" style="1" customWidth="1"/>
    <col min="518" max="518" width="1.42578125" style="1" customWidth="1"/>
    <col min="519" max="522" width="13.5703125" style="1" customWidth="1"/>
    <col min="523" max="524" width="14.140625" style="1" customWidth="1"/>
    <col min="525" max="525" width="13.5703125" style="1" customWidth="1"/>
    <col min="526" max="526" width="10.5703125" style="1" customWidth="1"/>
    <col min="527" max="527" width="11.85546875" style="1" customWidth="1"/>
    <col min="528" max="528" width="13.5703125" style="1" customWidth="1"/>
    <col min="529" max="529" width="14.140625" style="1" customWidth="1"/>
    <col min="530" max="530" width="12.5703125" style="1" customWidth="1"/>
    <col min="531" max="531" width="13.5703125" style="1" customWidth="1"/>
    <col min="532" max="534" width="12" style="1" customWidth="1"/>
    <col min="535" max="535" width="12.42578125" style="1" customWidth="1"/>
    <col min="536" max="536" width="14.140625" style="1" customWidth="1"/>
    <col min="537" max="537" width="11.42578125" style="1" bestFit="1" customWidth="1"/>
    <col min="538" max="538" width="11.85546875" style="1" customWidth="1"/>
    <col min="539" max="539" width="11.5703125" style="1" customWidth="1"/>
    <col min="540" max="540" width="1.42578125" style="1" customWidth="1"/>
    <col min="541" max="541" width="7.7109375" style="1" customWidth="1"/>
    <col min="542" max="542" width="1.42578125" style="1" customWidth="1"/>
    <col min="543" max="545" width="9.42578125" style="1" customWidth="1"/>
    <col min="546" max="546" width="1" style="1" customWidth="1"/>
    <col min="547" max="553" width="9.42578125" style="1" customWidth="1"/>
    <col min="554" max="769" width="9.42578125" style="1"/>
    <col min="770" max="770" width="9.140625" style="1" customWidth="1"/>
    <col min="771" max="771" width="13.42578125" style="1" customWidth="1"/>
    <col min="772" max="772" width="1.42578125" style="1" customWidth="1"/>
    <col min="773" max="773" width="7.7109375" style="1" customWidth="1"/>
    <col min="774" max="774" width="1.42578125" style="1" customWidth="1"/>
    <col min="775" max="778" width="13.5703125" style="1" customWidth="1"/>
    <col min="779" max="780" width="14.140625" style="1" customWidth="1"/>
    <col min="781" max="781" width="13.5703125" style="1" customWidth="1"/>
    <col min="782" max="782" width="10.5703125" style="1" customWidth="1"/>
    <col min="783" max="783" width="11.85546875" style="1" customWidth="1"/>
    <col min="784" max="784" width="13.5703125" style="1" customWidth="1"/>
    <col min="785" max="785" width="14.140625" style="1" customWidth="1"/>
    <col min="786" max="786" width="12.5703125" style="1" customWidth="1"/>
    <col min="787" max="787" width="13.5703125" style="1" customWidth="1"/>
    <col min="788" max="790" width="12" style="1" customWidth="1"/>
    <col min="791" max="791" width="12.42578125" style="1" customWidth="1"/>
    <col min="792" max="792" width="14.140625" style="1" customWidth="1"/>
    <col min="793" max="793" width="11.42578125" style="1" bestFit="1" customWidth="1"/>
    <col min="794" max="794" width="11.85546875" style="1" customWidth="1"/>
    <col min="795" max="795" width="11.5703125" style="1" customWidth="1"/>
    <col min="796" max="796" width="1.42578125" style="1" customWidth="1"/>
    <col min="797" max="797" width="7.7109375" style="1" customWidth="1"/>
    <col min="798" max="798" width="1.42578125" style="1" customWidth="1"/>
    <col min="799" max="801" width="9.42578125" style="1" customWidth="1"/>
    <col min="802" max="802" width="1" style="1" customWidth="1"/>
    <col min="803" max="809" width="9.42578125" style="1" customWidth="1"/>
    <col min="810" max="1025" width="9.42578125" style="1"/>
    <col min="1026" max="1026" width="9.140625" style="1" customWidth="1"/>
    <col min="1027" max="1027" width="13.42578125" style="1" customWidth="1"/>
    <col min="1028" max="1028" width="1.42578125" style="1" customWidth="1"/>
    <col min="1029" max="1029" width="7.7109375" style="1" customWidth="1"/>
    <col min="1030" max="1030" width="1.42578125" style="1" customWidth="1"/>
    <col min="1031" max="1034" width="13.5703125" style="1" customWidth="1"/>
    <col min="1035" max="1036" width="14.140625" style="1" customWidth="1"/>
    <col min="1037" max="1037" width="13.5703125" style="1" customWidth="1"/>
    <col min="1038" max="1038" width="10.5703125" style="1" customWidth="1"/>
    <col min="1039" max="1039" width="11.85546875" style="1" customWidth="1"/>
    <col min="1040" max="1040" width="13.5703125" style="1" customWidth="1"/>
    <col min="1041" max="1041" width="14.140625" style="1" customWidth="1"/>
    <col min="1042" max="1042" width="12.5703125" style="1" customWidth="1"/>
    <col min="1043" max="1043" width="13.5703125" style="1" customWidth="1"/>
    <col min="1044" max="1046" width="12" style="1" customWidth="1"/>
    <col min="1047" max="1047" width="12.42578125" style="1" customWidth="1"/>
    <col min="1048" max="1048" width="14.140625" style="1" customWidth="1"/>
    <col min="1049" max="1049" width="11.42578125" style="1" bestFit="1" customWidth="1"/>
    <col min="1050" max="1050" width="11.85546875" style="1" customWidth="1"/>
    <col min="1051" max="1051" width="11.5703125" style="1" customWidth="1"/>
    <col min="1052" max="1052" width="1.42578125" style="1" customWidth="1"/>
    <col min="1053" max="1053" width="7.7109375" style="1" customWidth="1"/>
    <col min="1054" max="1054" width="1.42578125" style="1" customWidth="1"/>
    <col min="1055" max="1057" width="9.42578125" style="1" customWidth="1"/>
    <col min="1058" max="1058" width="1" style="1" customWidth="1"/>
    <col min="1059" max="1065" width="9.42578125" style="1" customWidth="1"/>
    <col min="1066" max="1281" width="9.42578125" style="1"/>
    <col min="1282" max="1282" width="9.140625" style="1" customWidth="1"/>
    <col min="1283" max="1283" width="13.42578125" style="1" customWidth="1"/>
    <col min="1284" max="1284" width="1.42578125" style="1" customWidth="1"/>
    <col min="1285" max="1285" width="7.7109375" style="1" customWidth="1"/>
    <col min="1286" max="1286" width="1.42578125" style="1" customWidth="1"/>
    <col min="1287" max="1290" width="13.5703125" style="1" customWidth="1"/>
    <col min="1291" max="1292" width="14.140625" style="1" customWidth="1"/>
    <col min="1293" max="1293" width="13.5703125" style="1" customWidth="1"/>
    <col min="1294" max="1294" width="10.5703125" style="1" customWidth="1"/>
    <col min="1295" max="1295" width="11.85546875" style="1" customWidth="1"/>
    <col min="1296" max="1296" width="13.5703125" style="1" customWidth="1"/>
    <col min="1297" max="1297" width="14.140625" style="1" customWidth="1"/>
    <col min="1298" max="1298" width="12.5703125" style="1" customWidth="1"/>
    <col min="1299" max="1299" width="13.5703125" style="1" customWidth="1"/>
    <col min="1300" max="1302" width="12" style="1" customWidth="1"/>
    <col min="1303" max="1303" width="12.42578125" style="1" customWidth="1"/>
    <col min="1304" max="1304" width="14.140625" style="1" customWidth="1"/>
    <col min="1305" max="1305" width="11.42578125" style="1" bestFit="1" customWidth="1"/>
    <col min="1306" max="1306" width="11.85546875" style="1" customWidth="1"/>
    <col min="1307" max="1307" width="11.5703125" style="1" customWidth="1"/>
    <col min="1308" max="1308" width="1.42578125" style="1" customWidth="1"/>
    <col min="1309" max="1309" width="7.7109375" style="1" customWidth="1"/>
    <col min="1310" max="1310" width="1.42578125" style="1" customWidth="1"/>
    <col min="1311" max="1313" width="9.42578125" style="1" customWidth="1"/>
    <col min="1314" max="1314" width="1" style="1" customWidth="1"/>
    <col min="1315" max="1321" width="9.42578125" style="1" customWidth="1"/>
    <col min="1322" max="1537" width="9.42578125" style="1"/>
    <col min="1538" max="1538" width="9.140625" style="1" customWidth="1"/>
    <col min="1539" max="1539" width="13.42578125" style="1" customWidth="1"/>
    <col min="1540" max="1540" width="1.42578125" style="1" customWidth="1"/>
    <col min="1541" max="1541" width="7.7109375" style="1" customWidth="1"/>
    <col min="1542" max="1542" width="1.42578125" style="1" customWidth="1"/>
    <col min="1543" max="1546" width="13.5703125" style="1" customWidth="1"/>
    <col min="1547" max="1548" width="14.140625" style="1" customWidth="1"/>
    <col min="1549" max="1549" width="13.5703125" style="1" customWidth="1"/>
    <col min="1550" max="1550" width="10.5703125" style="1" customWidth="1"/>
    <col min="1551" max="1551" width="11.85546875" style="1" customWidth="1"/>
    <col min="1552" max="1552" width="13.5703125" style="1" customWidth="1"/>
    <col min="1553" max="1553" width="14.140625" style="1" customWidth="1"/>
    <col min="1554" max="1554" width="12.5703125" style="1" customWidth="1"/>
    <col min="1555" max="1555" width="13.5703125" style="1" customWidth="1"/>
    <col min="1556" max="1558" width="12" style="1" customWidth="1"/>
    <col min="1559" max="1559" width="12.42578125" style="1" customWidth="1"/>
    <col min="1560" max="1560" width="14.140625" style="1" customWidth="1"/>
    <col min="1561" max="1561" width="11.42578125" style="1" bestFit="1" customWidth="1"/>
    <col min="1562" max="1562" width="11.85546875" style="1" customWidth="1"/>
    <col min="1563" max="1563" width="11.5703125" style="1" customWidth="1"/>
    <col min="1564" max="1564" width="1.42578125" style="1" customWidth="1"/>
    <col min="1565" max="1565" width="7.7109375" style="1" customWidth="1"/>
    <col min="1566" max="1566" width="1.42578125" style="1" customWidth="1"/>
    <col min="1567" max="1569" width="9.42578125" style="1" customWidth="1"/>
    <col min="1570" max="1570" width="1" style="1" customWidth="1"/>
    <col min="1571" max="1577" width="9.42578125" style="1" customWidth="1"/>
    <col min="1578" max="1793" width="9.42578125" style="1"/>
    <col min="1794" max="1794" width="9.140625" style="1" customWidth="1"/>
    <col min="1795" max="1795" width="13.42578125" style="1" customWidth="1"/>
    <col min="1796" max="1796" width="1.42578125" style="1" customWidth="1"/>
    <col min="1797" max="1797" width="7.7109375" style="1" customWidth="1"/>
    <col min="1798" max="1798" width="1.42578125" style="1" customWidth="1"/>
    <col min="1799" max="1802" width="13.5703125" style="1" customWidth="1"/>
    <col min="1803" max="1804" width="14.140625" style="1" customWidth="1"/>
    <col min="1805" max="1805" width="13.5703125" style="1" customWidth="1"/>
    <col min="1806" max="1806" width="10.5703125" style="1" customWidth="1"/>
    <col min="1807" max="1807" width="11.85546875" style="1" customWidth="1"/>
    <col min="1808" max="1808" width="13.5703125" style="1" customWidth="1"/>
    <col min="1809" max="1809" width="14.140625" style="1" customWidth="1"/>
    <col min="1810" max="1810" width="12.5703125" style="1" customWidth="1"/>
    <col min="1811" max="1811" width="13.5703125" style="1" customWidth="1"/>
    <col min="1812" max="1814" width="12" style="1" customWidth="1"/>
    <col min="1815" max="1815" width="12.42578125" style="1" customWidth="1"/>
    <col min="1816" max="1816" width="14.140625" style="1" customWidth="1"/>
    <col min="1817" max="1817" width="11.42578125" style="1" bestFit="1" customWidth="1"/>
    <col min="1818" max="1818" width="11.85546875" style="1" customWidth="1"/>
    <col min="1819" max="1819" width="11.5703125" style="1" customWidth="1"/>
    <col min="1820" max="1820" width="1.42578125" style="1" customWidth="1"/>
    <col min="1821" max="1821" width="7.7109375" style="1" customWidth="1"/>
    <col min="1822" max="1822" width="1.42578125" style="1" customWidth="1"/>
    <col min="1823" max="1825" width="9.42578125" style="1" customWidth="1"/>
    <col min="1826" max="1826" width="1" style="1" customWidth="1"/>
    <col min="1827" max="1833" width="9.42578125" style="1" customWidth="1"/>
    <col min="1834" max="2049" width="9.42578125" style="1"/>
    <col min="2050" max="2050" width="9.140625" style="1" customWidth="1"/>
    <col min="2051" max="2051" width="13.42578125" style="1" customWidth="1"/>
    <col min="2052" max="2052" width="1.42578125" style="1" customWidth="1"/>
    <col min="2053" max="2053" width="7.7109375" style="1" customWidth="1"/>
    <col min="2054" max="2054" width="1.42578125" style="1" customWidth="1"/>
    <col min="2055" max="2058" width="13.5703125" style="1" customWidth="1"/>
    <col min="2059" max="2060" width="14.140625" style="1" customWidth="1"/>
    <col min="2061" max="2061" width="13.5703125" style="1" customWidth="1"/>
    <col min="2062" max="2062" width="10.5703125" style="1" customWidth="1"/>
    <col min="2063" max="2063" width="11.85546875" style="1" customWidth="1"/>
    <col min="2064" max="2064" width="13.5703125" style="1" customWidth="1"/>
    <col min="2065" max="2065" width="14.140625" style="1" customWidth="1"/>
    <col min="2066" max="2066" width="12.5703125" style="1" customWidth="1"/>
    <col min="2067" max="2067" width="13.5703125" style="1" customWidth="1"/>
    <col min="2068" max="2070" width="12" style="1" customWidth="1"/>
    <col min="2071" max="2071" width="12.42578125" style="1" customWidth="1"/>
    <col min="2072" max="2072" width="14.140625" style="1" customWidth="1"/>
    <col min="2073" max="2073" width="11.42578125" style="1" bestFit="1" customWidth="1"/>
    <col min="2074" max="2074" width="11.85546875" style="1" customWidth="1"/>
    <col min="2075" max="2075" width="11.5703125" style="1" customWidth="1"/>
    <col min="2076" max="2076" width="1.42578125" style="1" customWidth="1"/>
    <col min="2077" max="2077" width="7.7109375" style="1" customWidth="1"/>
    <col min="2078" max="2078" width="1.42578125" style="1" customWidth="1"/>
    <col min="2079" max="2081" width="9.42578125" style="1" customWidth="1"/>
    <col min="2082" max="2082" width="1" style="1" customWidth="1"/>
    <col min="2083" max="2089" width="9.42578125" style="1" customWidth="1"/>
    <col min="2090" max="2305" width="9.42578125" style="1"/>
    <col min="2306" max="2306" width="9.140625" style="1" customWidth="1"/>
    <col min="2307" max="2307" width="13.42578125" style="1" customWidth="1"/>
    <col min="2308" max="2308" width="1.42578125" style="1" customWidth="1"/>
    <col min="2309" max="2309" width="7.7109375" style="1" customWidth="1"/>
    <col min="2310" max="2310" width="1.42578125" style="1" customWidth="1"/>
    <col min="2311" max="2314" width="13.5703125" style="1" customWidth="1"/>
    <col min="2315" max="2316" width="14.140625" style="1" customWidth="1"/>
    <col min="2317" max="2317" width="13.5703125" style="1" customWidth="1"/>
    <col min="2318" max="2318" width="10.5703125" style="1" customWidth="1"/>
    <col min="2319" max="2319" width="11.85546875" style="1" customWidth="1"/>
    <col min="2320" max="2320" width="13.5703125" style="1" customWidth="1"/>
    <col min="2321" max="2321" width="14.140625" style="1" customWidth="1"/>
    <col min="2322" max="2322" width="12.5703125" style="1" customWidth="1"/>
    <col min="2323" max="2323" width="13.5703125" style="1" customWidth="1"/>
    <col min="2324" max="2326" width="12" style="1" customWidth="1"/>
    <col min="2327" max="2327" width="12.42578125" style="1" customWidth="1"/>
    <col min="2328" max="2328" width="14.140625" style="1" customWidth="1"/>
    <col min="2329" max="2329" width="11.42578125" style="1" bestFit="1" customWidth="1"/>
    <col min="2330" max="2330" width="11.85546875" style="1" customWidth="1"/>
    <col min="2331" max="2331" width="11.5703125" style="1" customWidth="1"/>
    <col min="2332" max="2332" width="1.42578125" style="1" customWidth="1"/>
    <col min="2333" max="2333" width="7.7109375" style="1" customWidth="1"/>
    <col min="2334" max="2334" width="1.42578125" style="1" customWidth="1"/>
    <col min="2335" max="2337" width="9.42578125" style="1" customWidth="1"/>
    <col min="2338" max="2338" width="1" style="1" customWidth="1"/>
    <col min="2339" max="2345" width="9.42578125" style="1" customWidth="1"/>
    <col min="2346" max="2561" width="9.42578125" style="1"/>
    <col min="2562" max="2562" width="9.140625" style="1" customWidth="1"/>
    <col min="2563" max="2563" width="13.42578125" style="1" customWidth="1"/>
    <col min="2564" max="2564" width="1.42578125" style="1" customWidth="1"/>
    <col min="2565" max="2565" width="7.7109375" style="1" customWidth="1"/>
    <col min="2566" max="2566" width="1.42578125" style="1" customWidth="1"/>
    <col min="2567" max="2570" width="13.5703125" style="1" customWidth="1"/>
    <col min="2571" max="2572" width="14.140625" style="1" customWidth="1"/>
    <col min="2573" max="2573" width="13.5703125" style="1" customWidth="1"/>
    <col min="2574" max="2574" width="10.5703125" style="1" customWidth="1"/>
    <col min="2575" max="2575" width="11.85546875" style="1" customWidth="1"/>
    <col min="2576" max="2576" width="13.5703125" style="1" customWidth="1"/>
    <col min="2577" max="2577" width="14.140625" style="1" customWidth="1"/>
    <col min="2578" max="2578" width="12.5703125" style="1" customWidth="1"/>
    <col min="2579" max="2579" width="13.5703125" style="1" customWidth="1"/>
    <col min="2580" max="2582" width="12" style="1" customWidth="1"/>
    <col min="2583" max="2583" width="12.42578125" style="1" customWidth="1"/>
    <col min="2584" max="2584" width="14.140625" style="1" customWidth="1"/>
    <col min="2585" max="2585" width="11.42578125" style="1" bestFit="1" customWidth="1"/>
    <col min="2586" max="2586" width="11.85546875" style="1" customWidth="1"/>
    <col min="2587" max="2587" width="11.5703125" style="1" customWidth="1"/>
    <col min="2588" max="2588" width="1.42578125" style="1" customWidth="1"/>
    <col min="2589" max="2589" width="7.7109375" style="1" customWidth="1"/>
    <col min="2590" max="2590" width="1.42578125" style="1" customWidth="1"/>
    <col min="2591" max="2593" width="9.42578125" style="1" customWidth="1"/>
    <col min="2594" max="2594" width="1" style="1" customWidth="1"/>
    <col min="2595" max="2601" width="9.42578125" style="1" customWidth="1"/>
    <col min="2602" max="2817" width="9.42578125" style="1"/>
    <col min="2818" max="2818" width="9.140625" style="1" customWidth="1"/>
    <col min="2819" max="2819" width="13.42578125" style="1" customWidth="1"/>
    <col min="2820" max="2820" width="1.42578125" style="1" customWidth="1"/>
    <col min="2821" max="2821" width="7.7109375" style="1" customWidth="1"/>
    <col min="2822" max="2822" width="1.42578125" style="1" customWidth="1"/>
    <col min="2823" max="2826" width="13.5703125" style="1" customWidth="1"/>
    <col min="2827" max="2828" width="14.140625" style="1" customWidth="1"/>
    <col min="2829" max="2829" width="13.5703125" style="1" customWidth="1"/>
    <col min="2830" max="2830" width="10.5703125" style="1" customWidth="1"/>
    <col min="2831" max="2831" width="11.85546875" style="1" customWidth="1"/>
    <col min="2832" max="2832" width="13.5703125" style="1" customWidth="1"/>
    <col min="2833" max="2833" width="14.140625" style="1" customWidth="1"/>
    <col min="2834" max="2834" width="12.5703125" style="1" customWidth="1"/>
    <col min="2835" max="2835" width="13.5703125" style="1" customWidth="1"/>
    <col min="2836" max="2838" width="12" style="1" customWidth="1"/>
    <col min="2839" max="2839" width="12.42578125" style="1" customWidth="1"/>
    <col min="2840" max="2840" width="14.140625" style="1" customWidth="1"/>
    <col min="2841" max="2841" width="11.42578125" style="1" bestFit="1" customWidth="1"/>
    <col min="2842" max="2842" width="11.85546875" style="1" customWidth="1"/>
    <col min="2843" max="2843" width="11.5703125" style="1" customWidth="1"/>
    <col min="2844" max="2844" width="1.42578125" style="1" customWidth="1"/>
    <col min="2845" max="2845" width="7.7109375" style="1" customWidth="1"/>
    <col min="2846" max="2846" width="1.42578125" style="1" customWidth="1"/>
    <col min="2847" max="2849" width="9.42578125" style="1" customWidth="1"/>
    <col min="2850" max="2850" width="1" style="1" customWidth="1"/>
    <col min="2851" max="2857" width="9.42578125" style="1" customWidth="1"/>
    <col min="2858" max="3073" width="9.42578125" style="1"/>
    <col min="3074" max="3074" width="9.140625" style="1" customWidth="1"/>
    <col min="3075" max="3075" width="13.42578125" style="1" customWidth="1"/>
    <col min="3076" max="3076" width="1.42578125" style="1" customWidth="1"/>
    <col min="3077" max="3077" width="7.7109375" style="1" customWidth="1"/>
    <col min="3078" max="3078" width="1.42578125" style="1" customWidth="1"/>
    <col min="3079" max="3082" width="13.5703125" style="1" customWidth="1"/>
    <col min="3083" max="3084" width="14.140625" style="1" customWidth="1"/>
    <col min="3085" max="3085" width="13.5703125" style="1" customWidth="1"/>
    <col min="3086" max="3086" width="10.5703125" style="1" customWidth="1"/>
    <col min="3087" max="3087" width="11.85546875" style="1" customWidth="1"/>
    <col min="3088" max="3088" width="13.5703125" style="1" customWidth="1"/>
    <col min="3089" max="3089" width="14.140625" style="1" customWidth="1"/>
    <col min="3090" max="3090" width="12.5703125" style="1" customWidth="1"/>
    <col min="3091" max="3091" width="13.5703125" style="1" customWidth="1"/>
    <col min="3092" max="3094" width="12" style="1" customWidth="1"/>
    <col min="3095" max="3095" width="12.42578125" style="1" customWidth="1"/>
    <col min="3096" max="3096" width="14.140625" style="1" customWidth="1"/>
    <col min="3097" max="3097" width="11.42578125" style="1" bestFit="1" customWidth="1"/>
    <col min="3098" max="3098" width="11.85546875" style="1" customWidth="1"/>
    <col min="3099" max="3099" width="11.5703125" style="1" customWidth="1"/>
    <col min="3100" max="3100" width="1.42578125" style="1" customWidth="1"/>
    <col min="3101" max="3101" width="7.7109375" style="1" customWidth="1"/>
    <col min="3102" max="3102" width="1.42578125" style="1" customWidth="1"/>
    <col min="3103" max="3105" width="9.42578125" style="1" customWidth="1"/>
    <col min="3106" max="3106" width="1" style="1" customWidth="1"/>
    <col min="3107" max="3113" width="9.42578125" style="1" customWidth="1"/>
    <col min="3114" max="3329" width="9.42578125" style="1"/>
    <col min="3330" max="3330" width="9.140625" style="1" customWidth="1"/>
    <col min="3331" max="3331" width="13.42578125" style="1" customWidth="1"/>
    <col min="3332" max="3332" width="1.42578125" style="1" customWidth="1"/>
    <col min="3333" max="3333" width="7.7109375" style="1" customWidth="1"/>
    <col min="3334" max="3334" width="1.42578125" style="1" customWidth="1"/>
    <col min="3335" max="3338" width="13.5703125" style="1" customWidth="1"/>
    <col min="3339" max="3340" width="14.140625" style="1" customWidth="1"/>
    <col min="3341" max="3341" width="13.5703125" style="1" customWidth="1"/>
    <col min="3342" max="3342" width="10.5703125" style="1" customWidth="1"/>
    <col min="3343" max="3343" width="11.85546875" style="1" customWidth="1"/>
    <col min="3344" max="3344" width="13.5703125" style="1" customWidth="1"/>
    <col min="3345" max="3345" width="14.140625" style="1" customWidth="1"/>
    <col min="3346" max="3346" width="12.5703125" style="1" customWidth="1"/>
    <col min="3347" max="3347" width="13.5703125" style="1" customWidth="1"/>
    <col min="3348" max="3350" width="12" style="1" customWidth="1"/>
    <col min="3351" max="3351" width="12.42578125" style="1" customWidth="1"/>
    <col min="3352" max="3352" width="14.140625" style="1" customWidth="1"/>
    <col min="3353" max="3353" width="11.42578125" style="1" bestFit="1" customWidth="1"/>
    <col min="3354" max="3354" width="11.85546875" style="1" customWidth="1"/>
    <col min="3355" max="3355" width="11.5703125" style="1" customWidth="1"/>
    <col min="3356" max="3356" width="1.42578125" style="1" customWidth="1"/>
    <col min="3357" max="3357" width="7.7109375" style="1" customWidth="1"/>
    <col min="3358" max="3358" width="1.42578125" style="1" customWidth="1"/>
    <col min="3359" max="3361" width="9.42578125" style="1" customWidth="1"/>
    <col min="3362" max="3362" width="1" style="1" customWidth="1"/>
    <col min="3363" max="3369" width="9.42578125" style="1" customWidth="1"/>
    <col min="3370" max="3585" width="9.42578125" style="1"/>
    <col min="3586" max="3586" width="9.140625" style="1" customWidth="1"/>
    <col min="3587" max="3587" width="13.42578125" style="1" customWidth="1"/>
    <col min="3588" max="3588" width="1.42578125" style="1" customWidth="1"/>
    <col min="3589" max="3589" width="7.7109375" style="1" customWidth="1"/>
    <col min="3590" max="3590" width="1.42578125" style="1" customWidth="1"/>
    <col min="3591" max="3594" width="13.5703125" style="1" customWidth="1"/>
    <col min="3595" max="3596" width="14.140625" style="1" customWidth="1"/>
    <col min="3597" max="3597" width="13.5703125" style="1" customWidth="1"/>
    <col min="3598" max="3598" width="10.5703125" style="1" customWidth="1"/>
    <col min="3599" max="3599" width="11.85546875" style="1" customWidth="1"/>
    <col min="3600" max="3600" width="13.5703125" style="1" customWidth="1"/>
    <col min="3601" max="3601" width="14.140625" style="1" customWidth="1"/>
    <col min="3602" max="3602" width="12.5703125" style="1" customWidth="1"/>
    <col min="3603" max="3603" width="13.5703125" style="1" customWidth="1"/>
    <col min="3604" max="3606" width="12" style="1" customWidth="1"/>
    <col min="3607" max="3607" width="12.42578125" style="1" customWidth="1"/>
    <col min="3608" max="3608" width="14.140625" style="1" customWidth="1"/>
    <col min="3609" max="3609" width="11.42578125" style="1" bestFit="1" customWidth="1"/>
    <col min="3610" max="3610" width="11.85546875" style="1" customWidth="1"/>
    <col min="3611" max="3611" width="11.5703125" style="1" customWidth="1"/>
    <col min="3612" max="3612" width="1.42578125" style="1" customWidth="1"/>
    <col min="3613" max="3613" width="7.7109375" style="1" customWidth="1"/>
    <col min="3614" max="3614" width="1.42578125" style="1" customWidth="1"/>
    <col min="3615" max="3617" width="9.42578125" style="1" customWidth="1"/>
    <col min="3618" max="3618" width="1" style="1" customWidth="1"/>
    <col min="3619" max="3625" width="9.42578125" style="1" customWidth="1"/>
    <col min="3626" max="3841" width="9.42578125" style="1"/>
    <col min="3842" max="3842" width="9.140625" style="1" customWidth="1"/>
    <col min="3843" max="3843" width="13.42578125" style="1" customWidth="1"/>
    <col min="3844" max="3844" width="1.42578125" style="1" customWidth="1"/>
    <col min="3845" max="3845" width="7.7109375" style="1" customWidth="1"/>
    <col min="3846" max="3846" width="1.42578125" style="1" customWidth="1"/>
    <col min="3847" max="3850" width="13.5703125" style="1" customWidth="1"/>
    <col min="3851" max="3852" width="14.140625" style="1" customWidth="1"/>
    <col min="3853" max="3853" width="13.5703125" style="1" customWidth="1"/>
    <col min="3854" max="3854" width="10.5703125" style="1" customWidth="1"/>
    <col min="3855" max="3855" width="11.85546875" style="1" customWidth="1"/>
    <col min="3856" max="3856" width="13.5703125" style="1" customWidth="1"/>
    <col min="3857" max="3857" width="14.140625" style="1" customWidth="1"/>
    <col min="3858" max="3858" width="12.5703125" style="1" customWidth="1"/>
    <col min="3859" max="3859" width="13.5703125" style="1" customWidth="1"/>
    <col min="3860" max="3862" width="12" style="1" customWidth="1"/>
    <col min="3863" max="3863" width="12.42578125" style="1" customWidth="1"/>
    <col min="3864" max="3864" width="14.140625" style="1" customWidth="1"/>
    <col min="3865" max="3865" width="11.42578125" style="1" bestFit="1" customWidth="1"/>
    <col min="3866" max="3866" width="11.85546875" style="1" customWidth="1"/>
    <col min="3867" max="3867" width="11.5703125" style="1" customWidth="1"/>
    <col min="3868" max="3868" width="1.42578125" style="1" customWidth="1"/>
    <col min="3869" max="3869" width="7.7109375" style="1" customWidth="1"/>
    <col min="3870" max="3870" width="1.42578125" style="1" customWidth="1"/>
    <col min="3871" max="3873" width="9.42578125" style="1" customWidth="1"/>
    <col min="3874" max="3874" width="1" style="1" customWidth="1"/>
    <col min="3875" max="3881" width="9.42578125" style="1" customWidth="1"/>
    <col min="3882" max="4097" width="9.42578125" style="1"/>
    <col min="4098" max="4098" width="9.140625" style="1" customWidth="1"/>
    <col min="4099" max="4099" width="13.42578125" style="1" customWidth="1"/>
    <col min="4100" max="4100" width="1.42578125" style="1" customWidth="1"/>
    <col min="4101" max="4101" width="7.7109375" style="1" customWidth="1"/>
    <col min="4102" max="4102" width="1.42578125" style="1" customWidth="1"/>
    <col min="4103" max="4106" width="13.5703125" style="1" customWidth="1"/>
    <col min="4107" max="4108" width="14.140625" style="1" customWidth="1"/>
    <col min="4109" max="4109" width="13.5703125" style="1" customWidth="1"/>
    <col min="4110" max="4110" width="10.5703125" style="1" customWidth="1"/>
    <col min="4111" max="4111" width="11.85546875" style="1" customWidth="1"/>
    <col min="4112" max="4112" width="13.5703125" style="1" customWidth="1"/>
    <col min="4113" max="4113" width="14.140625" style="1" customWidth="1"/>
    <col min="4114" max="4114" width="12.5703125" style="1" customWidth="1"/>
    <col min="4115" max="4115" width="13.5703125" style="1" customWidth="1"/>
    <col min="4116" max="4118" width="12" style="1" customWidth="1"/>
    <col min="4119" max="4119" width="12.42578125" style="1" customWidth="1"/>
    <col min="4120" max="4120" width="14.140625" style="1" customWidth="1"/>
    <col min="4121" max="4121" width="11.42578125" style="1" bestFit="1" customWidth="1"/>
    <col min="4122" max="4122" width="11.85546875" style="1" customWidth="1"/>
    <col min="4123" max="4123" width="11.5703125" style="1" customWidth="1"/>
    <col min="4124" max="4124" width="1.42578125" style="1" customWidth="1"/>
    <col min="4125" max="4125" width="7.7109375" style="1" customWidth="1"/>
    <col min="4126" max="4126" width="1.42578125" style="1" customWidth="1"/>
    <col min="4127" max="4129" width="9.42578125" style="1" customWidth="1"/>
    <col min="4130" max="4130" width="1" style="1" customWidth="1"/>
    <col min="4131" max="4137" width="9.42578125" style="1" customWidth="1"/>
    <col min="4138" max="4353" width="9.42578125" style="1"/>
    <col min="4354" max="4354" width="9.140625" style="1" customWidth="1"/>
    <col min="4355" max="4355" width="13.42578125" style="1" customWidth="1"/>
    <col min="4356" max="4356" width="1.42578125" style="1" customWidth="1"/>
    <col min="4357" max="4357" width="7.7109375" style="1" customWidth="1"/>
    <col min="4358" max="4358" width="1.42578125" style="1" customWidth="1"/>
    <col min="4359" max="4362" width="13.5703125" style="1" customWidth="1"/>
    <col min="4363" max="4364" width="14.140625" style="1" customWidth="1"/>
    <col min="4365" max="4365" width="13.5703125" style="1" customWidth="1"/>
    <col min="4366" max="4366" width="10.5703125" style="1" customWidth="1"/>
    <col min="4367" max="4367" width="11.85546875" style="1" customWidth="1"/>
    <col min="4368" max="4368" width="13.5703125" style="1" customWidth="1"/>
    <col min="4369" max="4369" width="14.140625" style="1" customWidth="1"/>
    <col min="4370" max="4370" width="12.5703125" style="1" customWidth="1"/>
    <col min="4371" max="4371" width="13.5703125" style="1" customWidth="1"/>
    <col min="4372" max="4374" width="12" style="1" customWidth="1"/>
    <col min="4375" max="4375" width="12.42578125" style="1" customWidth="1"/>
    <col min="4376" max="4376" width="14.140625" style="1" customWidth="1"/>
    <col min="4377" max="4377" width="11.42578125" style="1" bestFit="1" customWidth="1"/>
    <col min="4378" max="4378" width="11.85546875" style="1" customWidth="1"/>
    <col min="4379" max="4379" width="11.5703125" style="1" customWidth="1"/>
    <col min="4380" max="4380" width="1.42578125" style="1" customWidth="1"/>
    <col min="4381" max="4381" width="7.7109375" style="1" customWidth="1"/>
    <col min="4382" max="4382" width="1.42578125" style="1" customWidth="1"/>
    <col min="4383" max="4385" width="9.42578125" style="1" customWidth="1"/>
    <col min="4386" max="4386" width="1" style="1" customWidth="1"/>
    <col min="4387" max="4393" width="9.42578125" style="1" customWidth="1"/>
    <col min="4394" max="4609" width="9.42578125" style="1"/>
    <col min="4610" max="4610" width="9.140625" style="1" customWidth="1"/>
    <col min="4611" max="4611" width="13.42578125" style="1" customWidth="1"/>
    <col min="4612" max="4612" width="1.42578125" style="1" customWidth="1"/>
    <col min="4613" max="4613" width="7.7109375" style="1" customWidth="1"/>
    <col min="4614" max="4614" width="1.42578125" style="1" customWidth="1"/>
    <col min="4615" max="4618" width="13.5703125" style="1" customWidth="1"/>
    <col min="4619" max="4620" width="14.140625" style="1" customWidth="1"/>
    <col min="4621" max="4621" width="13.5703125" style="1" customWidth="1"/>
    <col min="4622" max="4622" width="10.5703125" style="1" customWidth="1"/>
    <col min="4623" max="4623" width="11.85546875" style="1" customWidth="1"/>
    <col min="4624" max="4624" width="13.5703125" style="1" customWidth="1"/>
    <col min="4625" max="4625" width="14.140625" style="1" customWidth="1"/>
    <col min="4626" max="4626" width="12.5703125" style="1" customWidth="1"/>
    <col min="4627" max="4627" width="13.5703125" style="1" customWidth="1"/>
    <col min="4628" max="4630" width="12" style="1" customWidth="1"/>
    <col min="4631" max="4631" width="12.42578125" style="1" customWidth="1"/>
    <col min="4632" max="4632" width="14.140625" style="1" customWidth="1"/>
    <col min="4633" max="4633" width="11.42578125" style="1" bestFit="1" customWidth="1"/>
    <col min="4634" max="4634" width="11.85546875" style="1" customWidth="1"/>
    <col min="4635" max="4635" width="11.5703125" style="1" customWidth="1"/>
    <col min="4636" max="4636" width="1.42578125" style="1" customWidth="1"/>
    <col min="4637" max="4637" width="7.7109375" style="1" customWidth="1"/>
    <col min="4638" max="4638" width="1.42578125" style="1" customWidth="1"/>
    <col min="4639" max="4641" width="9.42578125" style="1" customWidth="1"/>
    <col min="4642" max="4642" width="1" style="1" customWidth="1"/>
    <col min="4643" max="4649" width="9.42578125" style="1" customWidth="1"/>
    <col min="4650" max="4865" width="9.42578125" style="1"/>
    <col min="4866" max="4866" width="9.140625" style="1" customWidth="1"/>
    <col min="4867" max="4867" width="13.42578125" style="1" customWidth="1"/>
    <col min="4868" max="4868" width="1.42578125" style="1" customWidth="1"/>
    <col min="4869" max="4869" width="7.7109375" style="1" customWidth="1"/>
    <col min="4870" max="4870" width="1.42578125" style="1" customWidth="1"/>
    <col min="4871" max="4874" width="13.5703125" style="1" customWidth="1"/>
    <col min="4875" max="4876" width="14.140625" style="1" customWidth="1"/>
    <col min="4877" max="4877" width="13.5703125" style="1" customWidth="1"/>
    <col min="4878" max="4878" width="10.5703125" style="1" customWidth="1"/>
    <col min="4879" max="4879" width="11.85546875" style="1" customWidth="1"/>
    <col min="4880" max="4880" width="13.5703125" style="1" customWidth="1"/>
    <col min="4881" max="4881" width="14.140625" style="1" customWidth="1"/>
    <col min="4882" max="4882" width="12.5703125" style="1" customWidth="1"/>
    <col min="4883" max="4883" width="13.5703125" style="1" customWidth="1"/>
    <col min="4884" max="4886" width="12" style="1" customWidth="1"/>
    <col min="4887" max="4887" width="12.42578125" style="1" customWidth="1"/>
    <col min="4888" max="4888" width="14.140625" style="1" customWidth="1"/>
    <col min="4889" max="4889" width="11.42578125" style="1" bestFit="1" customWidth="1"/>
    <col min="4890" max="4890" width="11.85546875" style="1" customWidth="1"/>
    <col min="4891" max="4891" width="11.5703125" style="1" customWidth="1"/>
    <col min="4892" max="4892" width="1.42578125" style="1" customWidth="1"/>
    <col min="4893" max="4893" width="7.7109375" style="1" customWidth="1"/>
    <col min="4894" max="4894" width="1.42578125" style="1" customWidth="1"/>
    <col min="4895" max="4897" width="9.42578125" style="1" customWidth="1"/>
    <col min="4898" max="4898" width="1" style="1" customWidth="1"/>
    <col min="4899" max="4905" width="9.42578125" style="1" customWidth="1"/>
    <col min="4906" max="5121" width="9.42578125" style="1"/>
    <col min="5122" max="5122" width="9.140625" style="1" customWidth="1"/>
    <col min="5123" max="5123" width="13.42578125" style="1" customWidth="1"/>
    <col min="5124" max="5124" width="1.42578125" style="1" customWidth="1"/>
    <col min="5125" max="5125" width="7.7109375" style="1" customWidth="1"/>
    <col min="5126" max="5126" width="1.42578125" style="1" customWidth="1"/>
    <col min="5127" max="5130" width="13.5703125" style="1" customWidth="1"/>
    <col min="5131" max="5132" width="14.140625" style="1" customWidth="1"/>
    <col min="5133" max="5133" width="13.5703125" style="1" customWidth="1"/>
    <col min="5134" max="5134" width="10.5703125" style="1" customWidth="1"/>
    <col min="5135" max="5135" width="11.85546875" style="1" customWidth="1"/>
    <col min="5136" max="5136" width="13.5703125" style="1" customWidth="1"/>
    <col min="5137" max="5137" width="14.140625" style="1" customWidth="1"/>
    <col min="5138" max="5138" width="12.5703125" style="1" customWidth="1"/>
    <col min="5139" max="5139" width="13.5703125" style="1" customWidth="1"/>
    <col min="5140" max="5142" width="12" style="1" customWidth="1"/>
    <col min="5143" max="5143" width="12.42578125" style="1" customWidth="1"/>
    <col min="5144" max="5144" width="14.140625" style="1" customWidth="1"/>
    <col min="5145" max="5145" width="11.42578125" style="1" bestFit="1" customWidth="1"/>
    <col min="5146" max="5146" width="11.85546875" style="1" customWidth="1"/>
    <col min="5147" max="5147" width="11.5703125" style="1" customWidth="1"/>
    <col min="5148" max="5148" width="1.42578125" style="1" customWidth="1"/>
    <col min="5149" max="5149" width="7.7109375" style="1" customWidth="1"/>
    <col min="5150" max="5150" width="1.42578125" style="1" customWidth="1"/>
    <col min="5151" max="5153" width="9.42578125" style="1" customWidth="1"/>
    <col min="5154" max="5154" width="1" style="1" customWidth="1"/>
    <col min="5155" max="5161" width="9.42578125" style="1" customWidth="1"/>
    <col min="5162" max="5377" width="9.42578125" style="1"/>
    <col min="5378" max="5378" width="9.140625" style="1" customWidth="1"/>
    <col min="5379" max="5379" width="13.42578125" style="1" customWidth="1"/>
    <col min="5380" max="5380" width="1.42578125" style="1" customWidth="1"/>
    <col min="5381" max="5381" width="7.7109375" style="1" customWidth="1"/>
    <col min="5382" max="5382" width="1.42578125" style="1" customWidth="1"/>
    <col min="5383" max="5386" width="13.5703125" style="1" customWidth="1"/>
    <col min="5387" max="5388" width="14.140625" style="1" customWidth="1"/>
    <col min="5389" max="5389" width="13.5703125" style="1" customWidth="1"/>
    <col min="5390" max="5390" width="10.5703125" style="1" customWidth="1"/>
    <col min="5391" max="5391" width="11.85546875" style="1" customWidth="1"/>
    <col min="5392" max="5392" width="13.5703125" style="1" customWidth="1"/>
    <col min="5393" max="5393" width="14.140625" style="1" customWidth="1"/>
    <col min="5394" max="5394" width="12.5703125" style="1" customWidth="1"/>
    <col min="5395" max="5395" width="13.5703125" style="1" customWidth="1"/>
    <col min="5396" max="5398" width="12" style="1" customWidth="1"/>
    <col min="5399" max="5399" width="12.42578125" style="1" customWidth="1"/>
    <col min="5400" max="5400" width="14.140625" style="1" customWidth="1"/>
    <col min="5401" max="5401" width="11.42578125" style="1" bestFit="1" customWidth="1"/>
    <col min="5402" max="5402" width="11.85546875" style="1" customWidth="1"/>
    <col min="5403" max="5403" width="11.5703125" style="1" customWidth="1"/>
    <col min="5404" max="5404" width="1.42578125" style="1" customWidth="1"/>
    <col min="5405" max="5405" width="7.7109375" style="1" customWidth="1"/>
    <col min="5406" max="5406" width="1.42578125" style="1" customWidth="1"/>
    <col min="5407" max="5409" width="9.42578125" style="1" customWidth="1"/>
    <col min="5410" max="5410" width="1" style="1" customWidth="1"/>
    <col min="5411" max="5417" width="9.42578125" style="1" customWidth="1"/>
    <col min="5418" max="5633" width="9.42578125" style="1"/>
    <col min="5634" max="5634" width="9.140625" style="1" customWidth="1"/>
    <col min="5635" max="5635" width="13.42578125" style="1" customWidth="1"/>
    <col min="5636" max="5636" width="1.42578125" style="1" customWidth="1"/>
    <col min="5637" max="5637" width="7.7109375" style="1" customWidth="1"/>
    <col min="5638" max="5638" width="1.42578125" style="1" customWidth="1"/>
    <col min="5639" max="5642" width="13.5703125" style="1" customWidth="1"/>
    <col min="5643" max="5644" width="14.140625" style="1" customWidth="1"/>
    <col min="5645" max="5645" width="13.5703125" style="1" customWidth="1"/>
    <col min="5646" max="5646" width="10.5703125" style="1" customWidth="1"/>
    <col min="5647" max="5647" width="11.85546875" style="1" customWidth="1"/>
    <col min="5648" max="5648" width="13.5703125" style="1" customWidth="1"/>
    <col min="5649" max="5649" width="14.140625" style="1" customWidth="1"/>
    <col min="5650" max="5650" width="12.5703125" style="1" customWidth="1"/>
    <col min="5651" max="5651" width="13.5703125" style="1" customWidth="1"/>
    <col min="5652" max="5654" width="12" style="1" customWidth="1"/>
    <col min="5655" max="5655" width="12.42578125" style="1" customWidth="1"/>
    <col min="5656" max="5656" width="14.140625" style="1" customWidth="1"/>
    <col min="5657" max="5657" width="11.42578125" style="1" bestFit="1" customWidth="1"/>
    <col min="5658" max="5658" width="11.85546875" style="1" customWidth="1"/>
    <col min="5659" max="5659" width="11.5703125" style="1" customWidth="1"/>
    <col min="5660" max="5660" width="1.42578125" style="1" customWidth="1"/>
    <col min="5661" max="5661" width="7.7109375" style="1" customWidth="1"/>
    <col min="5662" max="5662" width="1.42578125" style="1" customWidth="1"/>
    <col min="5663" max="5665" width="9.42578125" style="1" customWidth="1"/>
    <col min="5666" max="5666" width="1" style="1" customWidth="1"/>
    <col min="5667" max="5673" width="9.42578125" style="1" customWidth="1"/>
    <col min="5674" max="5889" width="9.42578125" style="1"/>
    <col min="5890" max="5890" width="9.140625" style="1" customWidth="1"/>
    <col min="5891" max="5891" width="13.42578125" style="1" customWidth="1"/>
    <col min="5892" max="5892" width="1.42578125" style="1" customWidth="1"/>
    <col min="5893" max="5893" width="7.7109375" style="1" customWidth="1"/>
    <col min="5894" max="5894" width="1.42578125" style="1" customWidth="1"/>
    <col min="5895" max="5898" width="13.5703125" style="1" customWidth="1"/>
    <col min="5899" max="5900" width="14.140625" style="1" customWidth="1"/>
    <col min="5901" max="5901" width="13.5703125" style="1" customWidth="1"/>
    <col min="5902" max="5902" width="10.5703125" style="1" customWidth="1"/>
    <col min="5903" max="5903" width="11.85546875" style="1" customWidth="1"/>
    <col min="5904" max="5904" width="13.5703125" style="1" customWidth="1"/>
    <col min="5905" max="5905" width="14.140625" style="1" customWidth="1"/>
    <col min="5906" max="5906" width="12.5703125" style="1" customWidth="1"/>
    <col min="5907" max="5907" width="13.5703125" style="1" customWidth="1"/>
    <col min="5908" max="5910" width="12" style="1" customWidth="1"/>
    <col min="5911" max="5911" width="12.42578125" style="1" customWidth="1"/>
    <col min="5912" max="5912" width="14.140625" style="1" customWidth="1"/>
    <col min="5913" max="5913" width="11.42578125" style="1" bestFit="1" customWidth="1"/>
    <col min="5914" max="5914" width="11.85546875" style="1" customWidth="1"/>
    <col min="5915" max="5915" width="11.5703125" style="1" customWidth="1"/>
    <col min="5916" max="5916" width="1.42578125" style="1" customWidth="1"/>
    <col min="5917" max="5917" width="7.7109375" style="1" customWidth="1"/>
    <col min="5918" max="5918" width="1.42578125" style="1" customWidth="1"/>
    <col min="5919" max="5921" width="9.42578125" style="1" customWidth="1"/>
    <col min="5922" max="5922" width="1" style="1" customWidth="1"/>
    <col min="5923" max="5929" width="9.42578125" style="1" customWidth="1"/>
    <col min="5930" max="6145" width="9.42578125" style="1"/>
    <col min="6146" max="6146" width="9.140625" style="1" customWidth="1"/>
    <col min="6147" max="6147" width="13.42578125" style="1" customWidth="1"/>
    <col min="6148" max="6148" width="1.42578125" style="1" customWidth="1"/>
    <col min="6149" max="6149" width="7.7109375" style="1" customWidth="1"/>
    <col min="6150" max="6150" width="1.42578125" style="1" customWidth="1"/>
    <col min="6151" max="6154" width="13.5703125" style="1" customWidth="1"/>
    <col min="6155" max="6156" width="14.140625" style="1" customWidth="1"/>
    <col min="6157" max="6157" width="13.5703125" style="1" customWidth="1"/>
    <col min="6158" max="6158" width="10.5703125" style="1" customWidth="1"/>
    <col min="6159" max="6159" width="11.85546875" style="1" customWidth="1"/>
    <col min="6160" max="6160" width="13.5703125" style="1" customWidth="1"/>
    <col min="6161" max="6161" width="14.140625" style="1" customWidth="1"/>
    <col min="6162" max="6162" width="12.5703125" style="1" customWidth="1"/>
    <col min="6163" max="6163" width="13.5703125" style="1" customWidth="1"/>
    <col min="6164" max="6166" width="12" style="1" customWidth="1"/>
    <col min="6167" max="6167" width="12.42578125" style="1" customWidth="1"/>
    <col min="6168" max="6168" width="14.140625" style="1" customWidth="1"/>
    <col min="6169" max="6169" width="11.42578125" style="1" bestFit="1" customWidth="1"/>
    <col min="6170" max="6170" width="11.85546875" style="1" customWidth="1"/>
    <col min="6171" max="6171" width="11.5703125" style="1" customWidth="1"/>
    <col min="6172" max="6172" width="1.42578125" style="1" customWidth="1"/>
    <col min="6173" max="6173" width="7.7109375" style="1" customWidth="1"/>
    <col min="6174" max="6174" width="1.42578125" style="1" customWidth="1"/>
    <col min="6175" max="6177" width="9.42578125" style="1" customWidth="1"/>
    <col min="6178" max="6178" width="1" style="1" customWidth="1"/>
    <col min="6179" max="6185" width="9.42578125" style="1" customWidth="1"/>
    <col min="6186" max="6401" width="9.42578125" style="1"/>
    <col min="6402" max="6402" width="9.140625" style="1" customWidth="1"/>
    <col min="6403" max="6403" width="13.42578125" style="1" customWidth="1"/>
    <col min="6404" max="6404" width="1.42578125" style="1" customWidth="1"/>
    <col min="6405" max="6405" width="7.7109375" style="1" customWidth="1"/>
    <col min="6406" max="6406" width="1.42578125" style="1" customWidth="1"/>
    <col min="6407" max="6410" width="13.5703125" style="1" customWidth="1"/>
    <col min="6411" max="6412" width="14.140625" style="1" customWidth="1"/>
    <col min="6413" max="6413" width="13.5703125" style="1" customWidth="1"/>
    <col min="6414" max="6414" width="10.5703125" style="1" customWidth="1"/>
    <col min="6415" max="6415" width="11.85546875" style="1" customWidth="1"/>
    <col min="6416" max="6416" width="13.5703125" style="1" customWidth="1"/>
    <col min="6417" max="6417" width="14.140625" style="1" customWidth="1"/>
    <col min="6418" max="6418" width="12.5703125" style="1" customWidth="1"/>
    <col min="6419" max="6419" width="13.5703125" style="1" customWidth="1"/>
    <col min="6420" max="6422" width="12" style="1" customWidth="1"/>
    <col min="6423" max="6423" width="12.42578125" style="1" customWidth="1"/>
    <col min="6424" max="6424" width="14.140625" style="1" customWidth="1"/>
    <col min="6425" max="6425" width="11.42578125" style="1" bestFit="1" customWidth="1"/>
    <col min="6426" max="6426" width="11.85546875" style="1" customWidth="1"/>
    <col min="6427" max="6427" width="11.5703125" style="1" customWidth="1"/>
    <col min="6428" max="6428" width="1.42578125" style="1" customWidth="1"/>
    <col min="6429" max="6429" width="7.7109375" style="1" customWidth="1"/>
    <col min="6430" max="6430" width="1.42578125" style="1" customWidth="1"/>
    <col min="6431" max="6433" width="9.42578125" style="1" customWidth="1"/>
    <col min="6434" max="6434" width="1" style="1" customWidth="1"/>
    <col min="6435" max="6441" width="9.42578125" style="1" customWidth="1"/>
    <col min="6442" max="6657" width="9.42578125" style="1"/>
    <col min="6658" max="6658" width="9.140625" style="1" customWidth="1"/>
    <col min="6659" max="6659" width="13.42578125" style="1" customWidth="1"/>
    <col min="6660" max="6660" width="1.42578125" style="1" customWidth="1"/>
    <col min="6661" max="6661" width="7.7109375" style="1" customWidth="1"/>
    <col min="6662" max="6662" width="1.42578125" style="1" customWidth="1"/>
    <col min="6663" max="6666" width="13.5703125" style="1" customWidth="1"/>
    <col min="6667" max="6668" width="14.140625" style="1" customWidth="1"/>
    <col min="6669" max="6669" width="13.5703125" style="1" customWidth="1"/>
    <col min="6670" max="6670" width="10.5703125" style="1" customWidth="1"/>
    <col min="6671" max="6671" width="11.85546875" style="1" customWidth="1"/>
    <col min="6672" max="6672" width="13.5703125" style="1" customWidth="1"/>
    <col min="6673" max="6673" width="14.140625" style="1" customWidth="1"/>
    <col min="6674" max="6674" width="12.5703125" style="1" customWidth="1"/>
    <col min="6675" max="6675" width="13.5703125" style="1" customWidth="1"/>
    <col min="6676" max="6678" width="12" style="1" customWidth="1"/>
    <col min="6679" max="6679" width="12.42578125" style="1" customWidth="1"/>
    <col min="6680" max="6680" width="14.140625" style="1" customWidth="1"/>
    <col min="6681" max="6681" width="11.42578125" style="1" bestFit="1" customWidth="1"/>
    <col min="6682" max="6682" width="11.85546875" style="1" customWidth="1"/>
    <col min="6683" max="6683" width="11.5703125" style="1" customWidth="1"/>
    <col min="6684" max="6684" width="1.42578125" style="1" customWidth="1"/>
    <col min="6685" max="6685" width="7.7109375" style="1" customWidth="1"/>
    <col min="6686" max="6686" width="1.42578125" style="1" customWidth="1"/>
    <col min="6687" max="6689" width="9.42578125" style="1" customWidth="1"/>
    <col min="6690" max="6690" width="1" style="1" customWidth="1"/>
    <col min="6691" max="6697" width="9.42578125" style="1" customWidth="1"/>
    <col min="6698" max="6913" width="9.42578125" style="1"/>
    <col min="6914" max="6914" width="9.140625" style="1" customWidth="1"/>
    <col min="6915" max="6915" width="13.42578125" style="1" customWidth="1"/>
    <col min="6916" max="6916" width="1.42578125" style="1" customWidth="1"/>
    <col min="6917" max="6917" width="7.7109375" style="1" customWidth="1"/>
    <col min="6918" max="6918" width="1.42578125" style="1" customWidth="1"/>
    <col min="6919" max="6922" width="13.5703125" style="1" customWidth="1"/>
    <col min="6923" max="6924" width="14.140625" style="1" customWidth="1"/>
    <col min="6925" max="6925" width="13.5703125" style="1" customWidth="1"/>
    <col min="6926" max="6926" width="10.5703125" style="1" customWidth="1"/>
    <col min="6927" max="6927" width="11.85546875" style="1" customWidth="1"/>
    <col min="6928" max="6928" width="13.5703125" style="1" customWidth="1"/>
    <col min="6929" max="6929" width="14.140625" style="1" customWidth="1"/>
    <col min="6930" max="6930" width="12.5703125" style="1" customWidth="1"/>
    <col min="6931" max="6931" width="13.5703125" style="1" customWidth="1"/>
    <col min="6932" max="6934" width="12" style="1" customWidth="1"/>
    <col min="6935" max="6935" width="12.42578125" style="1" customWidth="1"/>
    <col min="6936" max="6936" width="14.140625" style="1" customWidth="1"/>
    <col min="6937" max="6937" width="11.42578125" style="1" bestFit="1" customWidth="1"/>
    <col min="6938" max="6938" width="11.85546875" style="1" customWidth="1"/>
    <col min="6939" max="6939" width="11.5703125" style="1" customWidth="1"/>
    <col min="6940" max="6940" width="1.42578125" style="1" customWidth="1"/>
    <col min="6941" max="6941" width="7.7109375" style="1" customWidth="1"/>
    <col min="6942" max="6942" width="1.42578125" style="1" customWidth="1"/>
    <col min="6943" max="6945" width="9.42578125" style="1" customWidth="1"/>
    <col min="6946" max="6946" width="1" style="1" customWidth="1"/>
    <col min="6947" max="6953" width="9.42578125" style="1" customWidth="1"/>
    <col min="6954" max="7169" width="9.42578125" style="1"/>
    <col min="7170" max="7170" width="9.140625" style="1" customWidth="1"/>
    <col min="7171" max="7171" width="13.42578125" style="1" customWidth="1"/>
    <col min="7172" max="7172" width="1.42578125" style="1" customWidth="1"/>
    <col min="7173" max="7173" width="7.7109375" style="1" customWidth="1"/>
    <col min="7174" max="7174" width="1.42578125" style="1" customWidth="1"/>
    <col min="7175" max="7178" width="13.5703125" style="1" customWidth="1"/>
    <col min="7179" max="7180" width="14.140625" style="1" customWidth="1"/>
    <col min="7181" max="7181" width="13.5703125" style="1" customWidth="1"/>
    <col min="7182" max="7182" width="10.5703125" style="1" customWidth="1"/>
    <col min="7183" max="7183" width="11.85546875" style="1" customWidth="1"/>
    <col min="7184" max="7184" width="13.5703125" style="1" customWidth="1"/>
    <col min="7185" max="7185" width="14.140625" style="1" customWidth="1"/>
    <col min="7186" max="7186" width="12.5703125" style="1" customWidth="1"/>
    <col min="7187" max="7187" width="13.5703125" style="1" customWidth="1"/>
    <col min="7188" max="7190" width="12" style="1" customWidth="1"/>
    <col min="7191" max="7191" width="12.42578125" style="1" customWidth="1"/>
    <col min="7192" max="7192" width="14.140625" style="1" customWidth="1"/>
    <col min="7193" max="7193" width="11.42578125" style="1" bestFit="1" customWidth="1"/>
    <col min="7194" max="7194" width="11.85546875" style="1" customWidth="1"/>
    <col min="7195" max="7195" width="11.5703125" style="1" customWidth="1"/>
    <col min="7196" max="7196" width="1.42578125" style="1" customWidth="1"/>
    <col min="7197" max="7197" width="7.7109375" style="1" customWidth="1"/>
    <col min="7198" max="7198" width="1.42578125" style="1" customWidth="1"/>
    <col min="7199" max="7201" width="9.42578125" style="1" customWidth="1"/>
    <col min="7202" max="7202" width="1" style="1" customWidth="1"/>
    <col min="7203" max="7209" width="9.42578125" style="1" customWidth="1"/>
    <col min="7210" max="7425" width="9.42578125" style="1"/>
    <col min="7426" max="7426" width="9.140625" style="1" customWidth="1"/>
    <col min="7427" max="7427" width="13.42578125" style="1" customWidth="1"/>
    <col min="7428" max="7428" width="1.42578125" style="1" customWidth="1"/>
    <col min="7429" max="7429" width="7.7109375" style="1" customWidth="1"/>
    <col min="7430" max="7430" width="1.42578125" style="1" customWidth="1"/>
    <col min="7431" max="7434" width="13.5703125" style="1" customWidth="1"/>
    <col min="7435" max="7436" width="14.140625" style="1" customWidth="1"/>
    <col min="7437" max="7437" width="13.5703125" style="1" customWidth="1"/>
    <col min="7438" max="7438" width="10.5703125" style="1" customWidth="1"/>
    <col min="7439" max="7439" width="11.85546875" style="1" customWidth="1"/>
    <col min="7440" max="7440" width="13.5703125" style="1" customWidth="1"/>
    <col min="7441" max="7441" width="14.140625" style="1" customWidth="1"/>
    <col min="7442" max="7442" width="12.5703125" style="1" customWidth="1"/>
    <col min="7443" max="7443" width="13.5703125" style="1" customWidth="1"/>
    <col min="7444" max="7446" width="12" style="1" customWidth="1"/>
    <col min="7447" max="7447" width="12.42578125" style="1" customWidth="1"/>
    <col min="7448" max="7448" width="14.140625" style="1" customWidth="1"/>
    <col min="7449" max="7449" width="11.42578125" style="1" bestFit="1" customWidth="1"/>
    <col min="7450" max="7450" width="11.85546875" style="1" customWidth="1"/>
    <col min="7451" max="7451" width="11.5703125" style="1" customWidth="1"/>
    <col min="7452" max="7452" width="1.42578125" style="1" customWidth="1"/>
    <col min="7453" max="7453" width="7.7109375" style="1" customWidth="1"/>
    <col min="7454" max="7454" width="1.42578125" style="1" customWidth="1"/>
    <col min="7455" max="7457" width="9.42578125" style="1" customWidth="1"/>
    <col min="7458" max="7458" width="1" style="1" customWidth="1"/>
    <col min="7459" max="7465" width="9.42578125" style="1" customWidth="1"/>
    <col min="7466" max="7681" width="9.42578125" style="1"/>
    <col min="7682" max="7682" width="9.140625" style="1" customWidth="1"/>
    <col min="7683" max="7683" width="13.42578125" style="1" customWidth="1"/>
    <col min="7684" max="7684" width="1.42578125" style="1" customWidth="1"/>
    <col min="7685" max="7685" width="7.7109375" style="1" customWidth="1"/>
    <col min="7686" max="7686" width="1.42578125" style="1" customWidth="1"/>
    <col min="7687" max="7690" width="13.5703125" style="1" customWidth="1"/>
    <col min="7691" max="7692" width="14.140625" style="1" customWidth="1"/>
    <col min="7693" max="7693" width="13.5703125" style="1" customWidth="1"/>
    <col min="7694" max="7694" width="10.5703125" style="1" customWidth="1"/>
    <col min="7695" max="7695" width="11.85546875" style="1" customWidth="1"/>
    <col min="7696" max="7696" width="13.5703125" style="1" customWidth="1"/>
    <col min="7697" max="7697" width="14.140625" style="1" customWidth="1"/>
    <col min="7698" max="7698" width="12.5703125" style="1" customWidth="1"/>
    <col min="7699" max="7699" width="13.5703125" style="1" customWidth="1"/>
    <col min="7700" max="7702" width="12" style="1" customWidth="1"/>
    <col min="7703" max="7703" width="12.42578125" style="1" customWidth="1"/>
    <col min="7704" max="7704" width="14.140625" style="1" customWidth="1"/>
    <col min="7705" max="7705" width="11.42578125" style="1" bestFit="1" customWidth="1"/>
    <col min="7706" max="7706" width="11.85546875" style="1" customWidth="1"/>
    <col min="7707" max="7707" width="11.5703125" style="1" customWidth="1"/>
    <col min="7708" max="7708" width="1.42578125" style="1" customWidth="1"/>
    <col min="7709" max="7709" width="7.7109375" style="1" customWidth="1"/>
    <col min="7710" max="7710" width="1.42578125" style="1" customWidth="1"/>
    <col min="7711" max="7713" width="9.42578125" style="1" customWidth="1"/>
    <col min="7714" max="7714" width="1" style="1" customWidth="1"/>
    <col min="7715" max="7721" width="9.42578125" style="1" customWidth="1"/>
    <col min="7722" max="7937" width="9.42578125" style="1"/>
    <col min="7938" max="7938" width="9.140625" style="1" customWidth="1"/>
    <col min="7939" max="7939" width="13.42578125" style="1" customWidth="1"/>
    <col min="7940" max="7940" width="1.42578125" style="1" customWidth="1"/>
    <col min="7941" max="7941" width="7.7109375" style="1" customWidth="1"/>
    <col min="7942" max="7942" width="1.42578125" style="1" customWidth="1"/>
    <col min="7943" max="7946" width="13.5703125" style="1" customWidth="1"/>
    <col min="7947" max="7948" width="14.140625" style="1" customWidth="1"/>
    <col min="7949" max="7949" width="13.5703125" style="1" customWidth="1"/>
    <col min="7950" max="7950" width="10.5703125" style="1" customWidth="1"/>
    <col min="7951" max="7951" width="11.85546875" style="1" customWidth="1"/>
    <col min="7952" max="7952" width="13.5703125" style="1" customWidth="1"/>
    <col min="7953" max="7953" width="14.140625" style="1" customWidth="1"/>
    <col min="7954" max="7954" width="12.5703125" style="1" customWidth="1"/>
    <col min="7955" max="7955" width="13.5703125" style="1" customWidth="1"/>
    <col min="7956" max="7958" width="12" style="1" customWidth="1"/>
    <col min="7959" max="7959" width="12.42578125" style="1" customWidth="1"/>
    <col min="7960" max="7960" width="14.140625" style="1" customWidth="1"/>
    <col min="7961" max="7961" width="11.42578125" style="1" bestFit="1" customWidth="1"/>
    <col min="7962" max="7962" width="11.85546875" style="1" customWidth="1"/>
    <col min="7963" max="7963" width="11.5703125" style="1" customWidth="1"/>
    <col min="7964" max="7964" width="1.42578125" style="1" customWidth="1"/>
    <col min="7965" max="7965" width="7.7109375" style="1" customWidth="1"/>
    <col min="7966" max="7966" width="1.42578125" style="1" customWidth="1"/>
    <col min="7967" max="7969" width="9.42578125" style="1" customWidth="1"/>
    <col min="7970" max="7970" width="1" style="1" customWidth="1"/>
    <col min="7971" max="7977" width="9.42578125" style="1" customWidth="1"/>
    <col min="7978" max="8193" width="9.42578125" style="1"/>
    <col min="8194" max="8194" width="9.140625" style="1" customWidth="1"/>
    <col min="8195" max="8195" width="13.42578125" style="1" customWidth="1"/>
    <col min="8196" max="8196" width="1.42578125" style="1" customWidth="1"/>
    <col min="8197" max="8197" width="7.7109375" style="1" customWidth="1"/>
    <col min="8198" max="8198" width="1.42578125" style="1" customWidth="1"/>
    <col min="8199" max="8202" width="13.5703125" style="1" customWidth="1"/>
    <col min="8203" max="8204" width="14.140625" style="1" customWidth="1"/>
    <col min="8205" max="8205" width="13.5703125" style="1" customWidth="1"/>
    <col min="8206" max="8206" width="10.5703125" style="1" customWidth="1"/>
    <col min="8207" max="8207" width="11.85546875" style="1" customWidth="1"/>
    <col min="8208" max="8208" width="13.5703125" style="1" customWidth="1"/>
    <col min="8209" max="8209" width="14.140625" style="1" customWidth="1"/>
    <col min="8210" max="8210" width="12.5703125" style="1" customWidth="1"/>
    <col min="8211" max="8211" width="13.5703125" style="1" customWidth="1"/>
    <col min="8212" max="8214" width="12" style="1" customWidth="1"/>
    <col min="8215" max="8215" width="12.42578125" style="1" customWidth="1"/>
    <col min="8216" max="8216" width="14.140625" style="1" customWidth="1"/>
    <col min="8217" max="8217" width="11.42578125" style="1" bestFit="1" customWidth="1"/>
    <col min="8218" max="8218" width="11.85546875" style="1" customWidth="1"/>
    <col min="8219" max="8219" width="11.5703125" style="1" customWidth="1"/>
    <col min="8220" max="8220" width="1.42578125" style="1" customWidth="1"/>
    <col min="8221" max="8221" width="7.7109375" style="1" customWidth="1"/>
    <col min="8222" max="8222" width="1.42578125" style="1" customWidth="1"/>
    <col min="8223" max="8225" width="9.42578125" style="1" customWidth="1"/>
    <col min="8226" max="8226" width="1" style="1" customWidth="1"/>
    <col min="8227" max="8233" width="9.42578125" style="1" customWidth="1"/>
    <col min="8234" max="8449" width="9.42578125" style="1"/>
    <col min="8450" max="8450" width="9.140625" style="1" customWidth="1"/>
    <col min="8451" max="8451" width="13.42578125" style="1" customWidth="1"/>
    <col min="8452" max="8452" width="1.42578125" style="1" customWidth="1"/>
    <col min="8453" max="8453" width="7.7109375" style="1" customWidth="1"/>
    <col min="8454" max="8454" width="1.42578125" style="1" customWidth="1"/>
    <col min="8455" max="8458" width="13.5703125" style="1" customWidth="1"/>
    <col min="8459" max="8460" width="14.140625" style="1" customWidth="1"/>
    <col min="8461" max="8461" width="13.5703125" style="1" customWidth="1"/>
    <col min="8462" max="8462" width="10.5703125" style="1" customWidth="1"/>
    <col min="8463" max="8463" width="11.85546875" style="1" customWidth="1"/>
    <col min="8464" max="8464" width="13.5703125" style="1" customWidth="1"/>
    <col min="8465" max="8465" width="14.140625" style="1" customWidth="1"/>
    <col min="8466" max="8466" width="12.5703125" style="1" customWidth="1"/>
    <col min="8467" max="8467" width="13.5703125" style="1" customWidth="1"/>
    <col min="8468" max="8470" width="12" style="1" customWidth="1"/>
    <col min="8471" max="8471" width="12.42578125" style="1" customWidth="1"/>
    <col min="8472" max="8472" width="14.140625" style="1" customWidth="1"/>
    <col min="8473" max="8473" width="11.42578125" style="1" bestFit="1" customWidth="1"/>
    <col min="8474" max="8474" width="11.85546875" style="1" customWidth="1"/>
    <col min="8475" max="8475" width="11.5703125" style="1" customWidth="1"/>
    <col min="8476" max="8476" width="1.42578125" style="1" customWidth="1"/>
    <col min="8477" max="8477" width="7.7109375" style="1" customWidth="1"/>
    <col min="8478" max="8478" width="1.42578125" style="1" customWidth="1"/>
    <col min="8479" max="8481" width="9.42578125" style="1" customWidth="1"/>
    <col min="8482" max="8482" width="1" style="1" customWidth="1"/>
    <col min="8483" max="8489" width="9.42578125" style="1" customWidth="1"/>
    <col min="8490" max="8705" width="9.42578125" style="1"/>
    <col min="8706" max="8706" width="9.140625" style="1" customWidth="1"/>
    <col min="8707" max="8707" width="13.42578125" style="1" customWidth="1"/>
    <col min="8708" max="8708" width="1.42578125" style="1" customWidth="1"/>
    <col min="8709" max="8709" width="7.7109375" style="1" customWidth="1"/>
    <col min="8710" max="8710" width="1.42578125" style="1" customWidth="1"/>
    <col min="8711" max="8714" width="13.5703125" style="1" customWidth="1"/>
    <col min="8715" max="8716" width="14.140625" style="1" customWidth="1"/>
    <col min="8717" max="8717" width="13.5703125" style="1" customWidth="1"/>
    <col min="8718" max="8718" width="10.5703125" style="1" customWidth="1"/>
    <col min="8719" max="8719" width="11.85546875" style="1" customWidth="1"/>
    <col min="8720" max="8720" width="13.5703125" style="1" customWidth="1"/>
    <col min="8721" max="8721" width="14.140625" style="1" customWidth="1"/>
    <col min="8722" max="8722" width="12.5703125" style="1" customWidth="1"/>
    <col min="8723" max="8723" width="13.5703125" style="1" customWidth="1"/>
    <col min="8724" max="8726" width="12" style="1" customWidth="1"/>
    <col min="8727" max="8727" width="12.42578125" style="1" customWidth="1"/>
    <col min="8728" max="8728" width="14.140625" style="1" customWidth="1"/>
    <col min="8729" max="8729" width="11.42578125" style="1" bestFit="1" customWidth="1"/>
    <col min="8730" max="8730" width="11.85546875" style="1" customWidth="1"/>
    <col min="8731" max="8731" width="11.5703125" style="1" customWidth="1"/>
    <col min="8732" max="8732" width="1.42578125" style="1" customWidth="1"/>
    <col min="8733" max="8733" width="7.7109375" style="1" customWidth="1"/>
    <col min="8734" max="8734" width="1.42578125" style="1" customWidth="1"/>
    <col min="8735" max="8737" width="9.42578125" style="1" customWidth="1"/>
    <col min="8738" max="8738" width="1" style="1" customWidth="1"/>
    <col min="8739" max="8745" width="9.42578125" style="1" customWidth="1"/>
    <col min="8746" max="8961" width="9.42578125" style="1"/>
    <col min="8962" max="8962" width="9.140625" style="1" customWidth="1"/>
    <col min="8963" max="8963" width="13.42578125" style="1" customWidth="1"/>
    <col min="8964" max="8964" width="1.42578125" style="1" customWidth="1"/>
    <col min="8965" max="8965" width="7.7109375" style="1" customWidth="1"/>
    <col min="8966" max="8966" width="1.42578125" style="1" customWidth="1"/>
    <col min="8967" max="8970" width="13.5703125" style="1" customWidth="1"/>
    <col min="8971" max="8972" width="14.140625" style="1" customWidth="1"/>
    <col min="8973" max="8973" width="13.5703125" style="1" customWidth="1"/>
    <col min="8974" max="8974" width="10.5703125" style="1" customWidth="1"/>
    <col min="8975" max="8975" width="11.85546875" style="1" customWidth="1"/>
    <col min="8976" max="8976" width="13.5703125" style="1" customWidth="1"/>
    <col min="8977" max="8977" width="14.140625" style="1" customWidth="1"/>
    <col min="8978" max="8978" width="12.5703125" style="1" customWidth="1"/>
    <col min="8979" max="8979" width="13.5703125" style="1" customWidth="1"/>
    <col min="8980" max="8982" width="12" style="1" customWidth="1"/>
    <col min="8983" max="8983" width="12.42578125" style="1" customWidth="1"/>
    <col min="8984" max="8984" width="14.140625" style="1" customWidth="1"/>
    <col min="8985" max="8985" width="11.42578125" style="1" bestFit="1" customWidth="1"/>
    <col min="8986" max="8986" width="11.85546875" style="1" customWidth="1"/>
    <col min="8987" max="8987" width="11.5703125" style="1" customWidth="1"/>
    <col min="8988" max="8988" width="1.42578125" style="1" customWidth="1"/>
    <col min="8989" max="8989" width="7.7109375" style="1" customWidth="1"/>
    <col min="8990" max="8990" width="1.42578125" style="1" customWidth="1"/>
    <col min="8991" max="8993" width="9.42578125" style="1" customWidth="1"/>
    <col min="8994" max="8994" width="1" style="1" customWidth="1"/>
    <col min="8995" max="9001" width="9.42578125" style="1" customWidth="1"/>
    <col min="9002" max="9217" width="9.42578125" style="1"/>
    <col min="9218" max="9218" width="9.140625" style="1" customWidth="1"/>
    <col min="9219" max="9219" width="13.42578125" style="1" customWidth="1"/>
    <col min="9220" max="9220" width="1.42578125" style="1" customWidth="1"/>
    <col min="9221" max="9221" width="7.7109375" style="1" customWidth="1"/>
    <col min="9222" max="9222" width="1.42578125" style="1" customWidth="1"/>
    <col min="9223" max="9226" width="13.5703125" style="1" customWidth="1"/>
    <col min="9227" max="9228" width="14.140625" style="1" customWidth="1"/>
    <col min="9229" max="9229" width="13.5703125" style="1" customWidth="1"/>
    <col min="9230" max="9230" width="10.5703125" style="1" customWidth="1"/>
    <col min="9231" max="9231" width="11.85546875" style="1" customWidth="1"/>
    <col min="9232" max="9232" width="13.5703125" style="1" customWidth="1"/>
    <col min="9233" max="9233" width="14.140625" style="1" customWidth="1"/>
    <col min="9234" max="9234" width="12.5703125" style="1" customWidth="1"/>
    <col min="9235" max="9235" width="13.5703125" style="1" customWidth="1"/>
    <col min="9236" max="9238" width="12" style="1" customWidth="1"/>
    <col min="9239" max="9239" width="12.42578125" style="1" customWidth="1"/>
    <col min="9240" max="9240" width="14.140625" style="1" customWidth="1"/>
    <col min="9241" max="9241" width="11.42578125" style="1" bestFit="1" customWidth="1"/>
    <col min="9242" max="9242" width="11.85546875" style="1" customWidth="1"/>
    <col min="9243" max="9243" width="11.5703125" style="1" customWidth="1"/>
    <col min="9244" max="9244" width="1.42578125" style="1" customWidth="1"/>
    <col min="9245" max="9245" width="7.7109375" style="1" customWidth="1"/>
    <col min="9246" max="9246" width="1.42578125" style="1" customWidth="1"/>
    <col min="9247" max="9249" width="9.42578125" style="1" customWidth="1"/>
    <col min="9250" max="9250" width="1" style="1" customWidth="1"/>
    <col min="9251" max="9257" width="9.42578125" style="1" customWidth="1"/>
    <col min="9258" max="9473" width="9.42578125" style="1"/>
    <col min="9474" max="9474" width="9.140625" style="1" customWidth="1"/>
    <col min="9475" max="9475" width="13.42578125" style="1" customWidth="1"/>
    <col min="9476" max="9476" width="1.42578125" style="1" customWidth="1"/>
    <col min="9477" max="9477" width="7.7109375" style="1" customWidth="1"/>
    <col min="9478" max="9478" width="1.42578125" style="1" customWidth="1"/>
    <col min="9479" max="9482" width="13.5703125" style="1" customWidth="1"/>
    <col min="9483" max="9484" width="14.140625" style="1" customWidth="1"/>
    <col min="9485" max="9485" width="13.5703125" style="1" customWidth="1"/>
    <col min="9486" max="9486" width="10.5703125" style="1" customWidth="1"/>
    <col min="9487" max="9487" width="11.85546875" style="1" customWidth="1"/>
    <col min="9488" max="9488" width="13.5703125" style="1" customWidth="1"/>
    <col min="9489" max="9489" width="14.140625" style="1" customWidth="1"/>
    <col min="9490" max="9490" width="12.5703125" style="1" customWidth="1"/>
    <col min="9491" max="9491" width="13.5703125" style="1" customWidth="1"/>
    <col min="9492" max="9494" width="12" style="1" customWidth="1"/>
    <col min="9495" max="9495" width="12.42578125" style="1" customWidth="1"/>
    <col min="9496" max="9496" width="14.140625" style="1" customWidth="1"/>
    <col min="9497" max="9497" width="11.42578125" style="1" bestFit="1" customWidth="1"/>
    <col min="9498" max="9498" width="11.85546875" style="1" customWidth="1"/>
    <col min="9499" max="9499" width="11.5703125" style="1" customWidth="1"/>
    <col min="9500" max="9500" width="1.42578125" style="1" customWidth="1"/>
    <col min="9501" max="9501" width="7.7109375" style="1" customWidth="1"/>
    <col min="9502" max="9502" width="1.42578125" style="1" customWidth="1"/>
    <col min="9503" max="9505" width="9.42578125" style="1" customWidth="1"/>
    <col min="9506" max="9506" width="1" style="1" customWidth="1"/>
    <col min="9507" max="9513" width="9.42578125" style="1" customWidth="1"/>
    <col min="9514" max="9729" width="9.42578125" style="1"/>
    <col min="9730" max="9730" width="9.140625" style="1" customWidth="1"/>
    <col min="9731" max="9731" width="13.42578125" style="1" customWidth="1"/>
    <col min="9732" max="9732" width="1.42578125" style="1" customWidth="1"/>
    <col min="9733" max="9733" width="7.7109375" style="1" customWidth="1"/>
    <col min="9734" max="9734" width="1.42578125" style="1" customWidth="1"/>
    <col min="9735" max="9738" width="13.5703125" style="1" customWidth="1"/>
    <col min="9739" max="9740" width="14.140625" style="1" customWidth="1"/>
    <col min="9741" max="9741" width="13.5703125" style="1" customWidth="1"/>
    <col min="9742" max="9742" width="10.5703125" style="1" customWidth="1"/>
    <col min="9743" max="9743" width="11.85546875" style="1" customWidth="1"/>
    <col min="9744" max="9744" width="13.5703125" style="1" customWidth="1"/>
    <col min="9745" max="9745" width="14.140625" style="1" customWidth="1"/>
    <col min="9746" max="9746" width="12.5703125" style="1" customWidth="1"/>
    <col min="9747" max="9747" width="13.5703125" style="1" customWidth="1"/>
    <col min="9748" max="9750" width="12" style="1" customWidth="1"/>
    <col min="9751" max="9751" width="12.42578125" style="1" customWidth="1"/>
    <col min="9752" max="9752" width="14.140625" style="1" customWidth="1"/>
    <col min="9753" max="9753" width="11.42578125" style="1" bestFit="1" customWidth="1"/>
    <col min="9754" max="9754" width="11.85546875" style="1" customWidth="1"/>
    <col min="9755" max="9755" width="11.5703125" style="1" customWidth="1"/>
    <col min="9756" max="9756" width="1.42578125" style="1" customWidth="1"/>
    <col min="9757" max="9757" width="7.7109375" style="1" customWidth="1"/>
    <col min="9758" max="9758" width="1.42578125" style="1" customWidth="1"/>
    <col min="9759" max="9761" width="9.42578125" style="1" customWidth="1"/>
    <col min="9762" max="9762" width="1" style="1" customWidth="1"/>
    <col min="9763" max="9769" width="9.42578125" style="1" customWidth="1"/>
    <col min="9770" max="9985" width="9.42578125" style="1"/>
    <col min="9986" max="9986" width="9.140625" style="1" customWidth="1"/>
    <col min="9987" max="9987" width="13.42578125" style="1" customWidth="1"/>
    <col min="9988" max="9988" width="1.42578125" style="1" customWidth="1"/>
    <col min="9989" max="9989" width="7.7109375" style="1" customWidth="1"/>
    <col min="9990" max="9990" width="1.42578125" style="1" customWidth="1"/>
    <col min="9991" max="9994" width="13.5703125" style="1" customWidth="1"/>
    <col min="9995" max="9996" width="14.140625" style="1" customWidth="1"/>
    <col min="9997" max="9997" width="13.5703125" style="1" customWidth="1"/>
    <col min="9998" max="9998" width="10.5703125" style="1" customWidth="1"/>
    <col min="9999" max="9999" width="11.85546875" style="1" customWidth="1"/>
    <col min="10000" max="10000" width="13.5703125" style="1" customWidth="1"/>
    <col min="10001" max="10001" width="14.140625" style="1" customWidth="1"/>
    <col min="10002" max="10002" width="12.5703125" style="1" customWidth="1"/>
    <col min="10003" max="10003" width="13.5703125" style="1" customWidth="1"/>
    <col min="10004" max="10006" width="12" style="1" customWidth="1"/>
    <col min="10007" max="10007" width="12.42578125" style="1" customWidth="1"/>
    <col min="10008" max="10008" width="14.140625" style="1" customWidth="1"/>
    <col min="10009" max="10009" width="11.42578125" style="1" bestFit="1" customWidth="1"/>
    <col min="10010" max="10010" width="11.85546875" style="1" customWidth="1"/>
    <col min="10011" max="10011" width="11.5703125" style="1" customWidth="1"/>
    <col min="10012" max="10012" width="1.42578125" style="1" customWidth="1"/>
    <col min="10013" max="10013" width="7.7109375" style="1" customWidth="1"/>
    <col min="10014" max="10014" width="1.42578125" style="1" customWidth="1"/>
    <col min="10015" max="10017" width="9.42578125" style="1" customWidth="1"/>
    <col min="10018" max="10018" width="1" style="1" customWidth="1"/>
    <col min="10019" max="10025" width="9.42578125" style="1" customWidth="1"/>
    <col min="10026" max="10241" width="9.42578125" style="1"/>
    <col min="10242" max="10242" width="9.140625" style="1" customWidth="1"/>
    <col min="10243" max="10243" width="13.42578125" style="1" customWidth="1"/>
    <col min="10244" max="10244" width="1.42578125" style="1" customWidth="1"/>
    <col min="10245" max="10245" width="7.7109375" style="1" customWidth="1"/>
    <col min="10246" max="10246" width="1.42578125" style="1" customWidth="1"/>
    <col min="10247" max="10250" width="13.5703125" style="1" customWidth="1"/>
    <col min="10251" max="10252" width="14.140625" style="1" customWidth="1"/>
    <col min="10253" max="10253" width="13.5703125" style="1" customWidth="1"/>
    <col min="10254" max="10254" width="10.5703125" style="1" customWidth="1"/>
    <col min="10255" max="10255" width="11.85546875" style="1" customWidth="1"/>
    <col min="10256" max="10256" width="13.5703125" style="1" customWidth="1"/>
    <col min="10257" max="10257" width="14.140625" style="1" customWidth="1"/>
    <col min="10258" max="10258" width="12.5703125" style="1" customWidth="1"/>
    <col min="10259" max="10259" width="13.5703125" style="1" customWidth="1"/>
    <col min="10260" max="10262" width="12" style="1" customWidth="1"/>
    <col min="10263" max="10263" width="12.42578125" style="1" customWidth="1"/>
    <col min="10264" max="10264" width="14.140625" style="1" customWidth="1"/>
    <col min="10265" max="10265" width="11.42578125" style="1" bestFit="1" customWidth="1"/>
    <col min="10266" max="10266" width="11.85546875" style="1" customWidth="1"/>
    <col min="10267" max="10267" width="11.5703125" style="1" customWidth="1"/>
    <col min="10268" max="10268" width="1.42578125" style="1" customWidth="1"/>
    <col min="10269" max="10269" width="7.7109375" style="1" customWidth="1"/>
    <col min="10270" max="10270" width="1.42578125" style="1" customWidth="1"/>
    <col min="10271" max="10273" width="9.42578125" style="1" customWidth="1"/>
    <col min="10274" max="10274" width="1" style="1" customWidth="1"/>
    <col min="10275" max="10281" width="9.42578125" style="1" customWidth="1"/>
    <col min="10282" max="10497" width="9.42578125" style="1"/>
    <col min="10498" max="10498" width="9.140625" style="1" customWidth="1"/>
    <col min="10499" max="10499" width="13.42578125" style="1" customWidth="1"/>
    <col min="10500" max="10500" width="1.42578125" style="1" customWidth="1"/>
    <col min="10501" max="10501" width="7.7109375" style="1" customWidth="1"/>
    <col min="10502" max="10502" width="1.42578125" style="1" customWidth="1"/>
    <col min="10503" max="10506" width="13.5703125" style="1" customWidth="1"/>
    <col min="10507" max="10508" width="14.140625" style="1" customWidth="1"/>
    <col min="10509" max="10509" width="13.5703125" style="1" customWidth="1"/>
    <col min="10510" max="10510" width="10.5703125" style="1" customWidth="1"/>
    <col min="10511" max="10511" width="11.85546875" style="1" customWidth="1"/>
    <col min="10512" max="10512" width="13.5703125" style="1" customWidth="1"/>
    <col min="10513" max="10513" width="14.140625" style="1" customWidth="1"/>
    <col min="10514" max="10514" width="12.5703125" style="1" customWidth="1"/>
    <col min="10515" max="10515" width="13.5703125" style="1" customWidth="1"/>
    <col min="10516" max="10518" width="12" style="1" customWidth="1"/>
    <col min="10519" max="10519" width="12.42578125" style="1" customWidth="1"/>
    <col min="10520" max="10520" width="14.140625" style="1" customWidth="1"/>
    <col min="10521" max="10521" width="11.42578125" style="1" bestFit="1" customWidth="1"/>
    <col min="10522" max="10522" width="11.85546875" style="1" customWidth="1"/>
    <col min="10523" max="10523" width="11.5703125" style="1" customWidth="1"/>
    <col min="10524" max="10524" width="1.42578125" style="1" customWidth="1"/>
    <col min="10525" max="10525" width="7.7109375" style="1" customWidth="1"/>
    <col min="10526" max="10526" width="1.42578125" style="1" customWidth="1"/>
    <col min="10527" max="10529" width="9.42578125" style="1" customWidth="1"/>
    <col min="10530" max="10530" width="1" style="1" customWidth="1"/>
    <col min="10531" max="10537" width="9.42578125" style="1" customWidth="1"/>
    <col min="10538" max="10753" width="9.42578125" style="1"/>
    <col min="10754" max="10754" width="9.140625" style="1" customWidth="1"/>
    <col min="10755" max="10755" width="13.42578125" style="1" customWidth="1"/>
    <col min="10756" max="10756" width="1.42578125" style="1" customWidth="1"/>
    <col min="10757" max="10757" width="7.7109375" style="1" customWidth="1"/>
    <col min="10758" max="10758" width="1.42578125" style="1" customWidth="1"/>
    <col min="10759" max="10762" width="13.5703125" style="1" customWidth="1"/>
    <col min="10763" max="10764" width="14.140625" style="1" customWidth="1"/>
    <col min="10765" max="10765" width="13.5703125" style="1" customWidth="1"/>
    <col min="10766" max="10766" width="10.5703125" style="1" customWidth="1"/>
    <col min="10767" max="10767" width="11.85546875" style="1" customWidth="1"/>
    <col min="10768" max="10768" width="13.5703125" style="1" customWidth="1"/>
    <col min="10769" max="10769" width="14.140625" style="1" customWidth="1"/>
    <col min="10770" max="10770" width="12.5703125" style="1" customWidth="1"/>
    <col min="10771" max="10771" width="13.5703125" style="1" customWidth="1"/>
    <col min="10772" max="10774" width="12" style="1" customWidth="1"/>
    <col min="10775" max="10775" width="12.42578125" style="1" customWidth="1"/>
    <col min="10776" max="10776" width="14.140625" style="1" customWidth="1"/>
    <col min="10777" max="10777" width="11.42578125" style="1" bestFit="1" customWidth="1"/>
    <col min="10778" max="10778" width="11.85546875" style="1" customWidth="1"/>
    <col min="10779" max="10779" width="11.5703125" style="1" customWidth="1"/>
    <col min="10780" max="10780" width="1.42578125" style="1" customWidth="1"/>
    <col min="10781" max="10781" width="7.7109375" style="1" customWidth="1"/>
    <col min="10782" max="10782" width="1.42578125" style="1" customWidth="1"/>
    <col min="10783" max="10785" width="9.42578125" style="1" customWidth="1"/>
    <col min="10786" max="10786" width="1" style="1" customWidth="1"/>
    <col min="10787" max="10793" width="9.42578125" style="1" customWidth="1"/>
    <col min="10794" max="11009" width="9.42578125" style="1"/>
    <col min="11010" max="11010" width="9.140625" style="1" customWidth="1"/>
    <col min="11011" max="11011" width="13.42578125" style="1" customWidth="1"/>
    <col min="11012" max="11012" width="1.42578125" style="1" customWidth="1"/>
    <col min="11013" max="11013" width="7.7109375" style="1" customWidth="1"/>
    <col min="11014" max="11014" width="1.42578125" style="1" customWidth="1"/>
    <col min="11015" max="11018" width="13.5703125" style="1" customWidth="1"/>
    <col min="11019" max="11020" width="14.140625" style="1" customWidth="1"/>
    <col min="11021" max="11021" width="13.5703125" style="1" customWidth="1"/>
    <col min="11022" max="11022" width="10.5703125" style="1" customWidth="1"/>
    <col min="11023" max="11023" width="11.85546875" style="1" customWidth="1"/>
    <col min="11024" max="11024" width="13.5703125" style="1" customWidth="1"/>
    <col min="11025" max="11025" width="14.140625" style="1" customWidth="1"/>
    <col min="11026" max="11026" width="12.5703125" style="1" customWidth="1"/>
    <col min="11027" max="11027" width="13.5703125" style="1" customWidth="1"/>
    <col min="11028" max="11030" width="12" style="1" customWidth="1"/>
    <col min="11031" max="11031" width="12.42578125" style="1" customWidth="1"/>
    <col min="11032" max="11032" width="14.140625" style="1" customWidth="1"/>
    <col min="11033" max="11033" width="11.42578125" style="1" bestFit="1" customWidth="1"/>
    <col min="11034" max="11034" width="11.85546875" style="1" customWidth="1"/>
    <col min="11035" max="11035" width="11.5703125" style="1" customWidth="1"/>
    <col min="11036" max="11036" width="1.42578125" style="1" customWidth="1"/>
    <col min="11037" max="11037" width="7.7109375" style="1" customWidth="1"/>
    <col min="11038" max="11038" width="1.42578125" style="1" customWidth="1"/>
    <col min="11039" max="11041" width="9.42578125" style="1" customWidth="1"/>
    <col min="11042" max="11042" width="1" style="1" customWidth="1"/>
    <col min="11043" max="11049" width="9.42578125" style="1" customWidth="1"/>
    <col min="11050" max="11265" width="9.42578125" style="1"/>
    <col min="11266" max="11266" width="9.140625" style="1" customWidth="1"/>
    <col min="11267" max="11267" width="13.42578125" style="1" customWidth="1"/>
    <col min="11268" max="11268" width="1.42578125" style="1" customWidth="1"/>
    <col min="11269" max="11269" width="7.7109375" style="1" customWidth="1"/>
    <col min="11270" max="11270" width="1.42578125" style="1" customWidth="1"/>
    <col min="11271" max="11274" width="13.5703125" style="1" customWidth="1"/>
    <col min="11275" max="11276" width="14.140625" style="1" customWidth="1"/>
    <col min="11277" max="11277" width="13.5703125" style="1" customWidth="1"/>
    <col min="11278" max="11278" width="10.5703125" style="1" customWidth="1"/>
    <col min="11279" max="11279" width="11.85546875" style="1" customWidth="1"/>
    <col min="11280" max="11280" width="13.5703125" style="1" customWidth="1"/>
    <col min="11281" max="11281" width="14.140625" style="1" customWidth="1"/>
    <col min="11282" max="11282" width="12.5703125" style="1" customWidth="1"/>
    <col min="11283" max="11283" width="13.5703125" style="1" customWidth="1"/>
    <col min="11284" max="11286" width="12" style="1" customWidth="1"/>
    <col min="11287" max="11287" width="12.42578125" style="1" customWidth="1"/>
    <col min="11288" max="11288" width="14.140625" style="1" customWidth="1"/>
    <col min="11289" max="11289" width="11.42578125" style="1" bestFit="1" customWidth="1"/>
    <col min="11290" max="11290" width="11.85546875" style="1" customWidth="1"/>
    <col min="11291" max="11291" width="11.5703125" style="1" customWidth="1"/>
    <col min="11292" max="11292" width="1.42578125" style="1" customWidth="1"/>
    <col min="11293" max="11293" width="7.7109375" style="1" customWidth="1"/>
    <col min="11294" max="11294" width="1.42578125" style="1" customWidth="1"/>
    <col min="11295" max="11297" width="9.42578125" style="1" customWidth="1"/>
    <col min="11298" max="11298" width="1" style="1" customWidth="1"/>
    <col min="11299" max="11305" width="9.42578125" style="1" customWidth="1"/>
    <col min="11306" max="11521" width="9.42578125" style="1"/>
    <col min="11522" max="11522" width="9.140625" style="1" customWidth="1"/>
    <col min="11523" max="11523" width="13.42578125" style="1" customWidth="1"/>
    <col min="11524" max="11524" width="1.42578125" style="1" customWidth="1"/>
    <col min="11525" max="11525" width="7.7109375" style="1" customWidth="1"/>
    <col min="11526" max="11526" width="1.42578125" style="1" customWidth="1"/>
    <col min="11527" max="11530" width="13.5703125" style="1" customWidth="1"/>
    <col min="11531" max="11532" width="14.140625" style="1" customWidth="1"/>
    <col min="11533" max="11533" width="13.5703125" style="1" customWidth="1"/>
    <col min="11534" max="11534" width="10.5703125" style="1" customWidth="1"/>
    <col min="11535" max="11535" width="11.85546875" style="1" customWidth="1"/>
    <col min="11536" max="11536" width="13.5703125" style="1" customWidth="1"/>
    <col min="11537" max="11537" width="14.140625" style="1" customWidth="1"/>
    <col min="11538" max="11538" width="12.5703125" style="1" customWidth="1"/>
    <col min="11539" max="11539" width="13.5703125" style="1" customWidth="1"/>
    <col min="11540" max="11542" width="12" style="1" customWidth="1"/>
    <col min="11543" max="11543" width="12.42578125" style="1" customWidth="1"/>
    <col min="11544" max="11544" width="14.140625" style="1" customWidth="1"/>
    <col min="11545" max="11545" width="11.42578125" style="1" bestFit="1" customWidth="1"/>
    <col min="11546" max="11546" width="11.85546875" style="1" customWidth="1"/>
    <col min="11547" max="11547" width="11.5703125" style="1" customWidth="1"/>
    <col min="11548" max="11548" width="1.42578125" style="1" customWidth="1"/>
    <col min="11549" max="11549" width="7.7109375" style="1" customWidth="1"/>
    <col min="11550" max="11550" width="1.42578125" style="1" customWidth="1"/>
    <col min="11551" max="11553" width="9.42578125" style="1" customWidth="1"/>
    <col min="11554" max="11554" width="1" style="1" customWidth="1"/>
    <col min="11555" max="11561" width="9.42578125" style="1" customWidth="1"/>
    <col min="11562" max="11777" width="9.42578125" style="1"/>
    <col min="11778" max="11778" width="9.140625" style="1" customWidth="1"/>
    <col min="11779" max="11779" width="13.42578125" style="1" customWidth="1"/>
    <col min="11780" max="11780" width="1.42578125" style="1" customWidth="1"/>
    <col min="11781" max="11781" width="7.7109375" style="1" customWidth="1"/>
    <col min="11782" max="11782" width="1.42578125" style="1" customWidth="1"/>
    <col min="11783" max="11786" width="13.5703125" style="1" customWidth="1"/>
    <col min="11787" max="11788" width="14.140625" style="1" customWidth="1"/>
    <col min="11789" max="11789" width="13.5703125" style="1" customWidth="1"/>
    <col min="11790" max="11790" width="10.5703125" style="1" customWidth="1"/>
    <col min="11791" max="11791" width="11.85546875" style="1" customWidth="1"/>
    <col min="11792" max="11792" width="13.5703125" style="1" customWidth="1"/>
    <col min="11793" max="11793" width="14.140625" style="1" customWidth="1"/>
    <col min="11794" max="11794" width="12.5703125" style="1" customWidth="1"/>
    <col min="11795" max="11795" width="13.5703125" style="1" customWidth="1"/>
    <col min="11796" max="11798" width="12" style="1" customWidth="1"/>
    <col min="11799" max="11799" width="12.42578125" style="1" customWidth="1"/>
    <col min="11800" max="11800" width="14.140625" style="1" customWidth="1"/>
    <col min="11801" max="11801" width="11.42578125" style="1" bestFit="1" customWidth="1"/>
    <col min="11802" max="11802" width="11.85546875" style="1" customWidth="1"/>
    <col min="11803" max="11803" width="11.5703125" style="1" customWidth="1"/>
    <col min="11804" max="11804" width="1.42578125" style="1" customWidth="1"/>
    <col min="11805" max="11805" width="7.7109375" style="1" customWidth="1"/>
    <col min="11806" max="11806" width="1.42578125" style="1" customWidth="1"/>
    <col min="11807" max="11809" width="9.42578125" style="1" customWidth="1"/>
    <col min="11810" max="11810" width="1" style="1" customWidth="1"/>
    <col min="11811" max="11817" width="9.42578125" style="1" customWidth="1"/>
    <col min="11818" max="12033" width="9.42578125" style="1"/>
    <col min="12034" max="12034" width="9.140625" style="1" customWidth="1"/>
    <col min="12035" max="12035" width="13.42578125" style="1" customWidth="1"/>
    <col min="12036" max="12036" width="1.42578125" style="1" customWidth="1"/>
    <col min="12037" max="12037" width="7.7109375" style="1" customWidth="1"/>
    <col min="12038" max="12038" width="1.42578125" style="1" customWidth="1"/>
    <col min="12039" max="12042" width="13.5703125" style="1" customWidth="1"/>
    <col min="12043" max="12044" width="14.140625" style="1" customWidth="1"/>
    <col min="12045" max="12045" width="13.5703125" style="1" customWidth="1"/>
    <col min="12046" max="12046" width="10.5703125" style="1" customWidth="1"/>
    <col min="12047" max="12047" width="11.85546875" style="1" customWidth="1"/>
    <col min="12048" max="12048" width="13.5703125" style="1" customWidth="1"/>
    <col min="12049" max="12049" width="14.140625" style="1" customWidth="1"/>
    <col min="12050" max="12050" width="12.5703125" style="1" customWidth="1"/>
    <col min="12051" max="12051" width="13.5703125" style="1" customWidth="1"/>
    <col min="12052" max="12054" width="12" style="1" customWidth="1"/>
    <col min="12055" max="12055" width="12.42578125" style="1" customWidth="1"/>
    <col min="12056" max="12056" width="14.140625" style="1" customWidth="1"/>
    <col min="12057" max="12057" width="11.42578125" style="1" bestFit="1" customWidth="1"/>
    <col min="12058" max="12058" width="11.85546875" style="1" customWidth="1"/>
    <col min="12059" max="12059" width="11.5703125" style="1" customWidth="1"/>
    <col min="12060" max="12060" width="1.42578125" style="1" customWidth="1"/>
    <col min="12061" max="12061" width="7.7109375" style="1" customWidth="1"/>
    <col min="12062" max="12062" width="1.42578125" style="1" customWidth="1"/>
    <col min="12063" max="12065" width="9.42578125" style="1" customWidth="1"/>
    <col min="12066" max="12066" width="1" style="1" customWidth="1"/>
    <col min="12067" max="12073" width="9.42578125" style="1" customWidth="1"/>
    <col min="12074" max="12289" width="9.42578125" style="1"/>
    <col min="12290" max="12290" width="9.140625" style="1" customWidth="1"/>
    <col min="12291" max="12291" width="13.42578125" style="1" customWidth="1"/>
    <col min="12292" max="12292" width="1.42578125" style="1" customWidth="1"/>
    <col min="12293" max="12293" width="7.7109375" style="1" customWidth="1"/>
    <col min="12294" max="12294" width="1.42578125" style="1" customWidth="1"/>
    <col min="12295" max="12298" width="13.5703125" style="1" customWidth="1"/>
    <col min="12299" max="12300" width="14.140625" style="1" customWidth="1"/>
    <col min="12301" max="12301" width="13.5703125" style="1" customWidth="1"/>
    <col min="12302" max="12302" width="10.5703125" style="1" customWidth="1"/>
    <col min="12303" max="12303" width="11.85546875" style="1" customWidth="1"/>
    <col min="12304" max="12304" width="13.5703125" style="1" customWidth="1"/>
    <col min="12305" max="12305" width="14.140625" style="1" customWidth="1"/>
    <col min="12306" max="12306" width="12.5703125" style="1" customWidth="1"/>
    <col min="12307" max="12307" width="13.5703125" style="1" customWidth="1"/>
    <col min="12308" max="12310" width="12" style="1" customWidth="1"/>
    <col min="12311" max="12311" width="12.42578125" style="1" customWidth="1"/>
    <col min="12312" max="12312" width="14.140625" style="1" customWidth="1"/>
    <col min="12313" max="12313" width="11.42578125" style="1" bestFit="1" customWidth="1"/>
    <col min="12314" max="12314" width="11.85546875" style="1" customWidth="1"/>
    <col min="12315" max="12315" width="11.5703125" style="1" customWidth="1"/>
    <col min="12316" max="12316" width="1.42578125" style="1" customWidth="1"/>
    <col min="12317" max="12317" width="7.7109375" style="1" customWidth="1"/>
    <col min="12318" max="12318" width="1.42578125" style="1" customWidth="1"/>
    <col min="12319" max="12321" width="9.42578125" style="1" customWidth="1"/>
    <col min="12322" max="12322" width="1" style="1" customWidth="1"/>
    <col min="12323" max="12329" width="9.42578125" style="1" customWidth="1"/>
    <col min="12330" max="12545" width="9.42578125" style="1"/>
    <col min="12546" max="12546" width="9.140625" style="1" customWidth="1"/>
    <col min="12547" max="12547" width="13.42578125" style="1" customWidth="1"/>
    <col min="12548" max="12548" width="1.42578125" style="1" customWidth="1"/>
    <col min="12549" max="12549" width="7.7109375" style="1" customWidth="1"/>
    <col min="12550" max="12550" width="1.42578125" style="1" customWidth="1"/>
    <col min="12551" max="12554" width="13.5703125" style="1" customWidth="1"/>
    <col min="12555" max="12556" width="14.140625" style="1" customWidth="1"/>
    <col min="12557" max="12557" width="13.5703125" style="1" customWidth="1"/>
    <col min="12558" max="12558" width="10.5703125" style="1" customWidth="1"/>
    <col min="12559" max="12559" width="11.85546875" style="1" customWidth="1"/>
    <col min="12560" max="12560" width="13.5703125" style="1" customWidth="1"/>
    <col min="12561" max="12561" width="14.140625" style="1" customWidth="1"/>
    <col min="12562" max="12562" width="12.5703125" style="1" customWidth="1"/>
    <col min="12563" max="12563" width="13.5703125" style="1" customWidth="1"/>
    <col min="12564" max="12566" width="12" style="1" customWidth="1"/>
    <col min="12567" max="12567" width="12.42578125" style="1" customWidth="1"/>
    <col min="12568" max="12568" width="14.140625" style="1" customWidth="1"/>
    <col min="12569" max="12569" width="11.42578125" style="1" bestFit="1" customWidth="1"/>
    <col min="12570" max="12570" width="11.85546875" style="1" customWidth="1"/>
    <col min="12571" max="12571" width="11.5703125" style="1" customWidth="1"/>
    <col min="12572" max="12572" width="1.42578125" style="1" customWidth="1"/>
    <col min="12573" max="12573" width="7.7109375" style="1" customWidth="1"/>
    <col min="12574" max="12574" width="1.42578125" style="1" customWidth="1"/>
    <col min="12575" max="12577" width="9.42578125" style="1" customWidth="1"/>
    <col min="12578" max="12578" width="1" style="1" customWidth="1"/>
    <col min="12579" max="12585" width="9.42578125" style="1" customWidth="1"/>
    <col min="12586" max="12801" width="9.42578125" style="1"/>
    <col min="12802" max="12802" width="9.140625" style="1" customWidth="1"/>
    <col min="12803" max="12803" width="13.42578125" style="1" customWidth="1"/>
    <col min="12804" max="12804" width="1.42578125" style="1" customWidth="1"/>
    <col min="12805" max="12805" width="7.7109375" style="1" customWidth="1"/>
    <col min="12806" max="12806" width="1.42578125" style="1" customWidth="1"/>
    <col min="12807" max="12810" width="13.5703125" style="1" customWidth="1"/>
    <col min="12811" max="12812" width="14.140625" style="1" customWidth="1"/>
    <col min="12813" max="12813" width="13.5703125" style="1" customWidth="1"/>
    <col min="12814" max="12814" width="10.5703125" style="1" customWidth="1"/>
    <col min="12815" max="12815" width="11.85546875" style="1" customWidth="1"/>
    <col min="12816" max="12816" width="13.5703125" style="1" customWidth="1"/>
    <col min="12817" max="12817" width="14.140625" style="1" customWidth="1"/>
    <col min="12818" max="12818" width="12.5703125" style="1" customWidth="1"/>
    <col min="12819" max="12819" width="13.5703125" style="1" customWidth="1"/>
    <col min="12820" max="12822" width="12" style="1" customWidth="1"/>
    <col min="12823" max="12823" width="12.42578125" style="1" customWidth="1"/>
    <col min="12824" max="12824" width="14.140625" style="1" customWidth="1"/>
    <col min="12825" max="12825" width="11.42578125" style="1" bestFit="1" customWidth="1"/>
    <col min="12826" max="12826" width="11.85546875" style="1" customWidth="1"/>
    <col min="12827" max="12827" width="11.5703125" style="1" customWidth="1"/>
    <col min="12828" max="12828" width="1.42578125" style="1" customWidth="1"/>
    <col min="12829" max="12829" width="7.7109375" style="1" customWidth="1"/>
    <col min="12830" max="12830" width="1.42578125" style="1" customWidth="1"/>
    <col min="12831" max="12833" width="9.42578125" style="1" customWidth="1"/>
    <col min="12834" max="12834" width="1" style="1" customWidth="1"/>
    <col min="12835" max="12841" width="9.42578125" style="1" customWidth="1"/>
    <col min="12842" max="13057" width="9.42578125" style="1"/>
    <col min="13058" max="13058" width="9.140625" style="1" customWidth="1"/>
    <col min="13059" max="13059" width="13.42578125" style="1" customWidth="1"/>
    <col min="13060" max="13060" width="1.42578125" style="1" customWidth="1"/>
    <col min="13061" max="13061" width="7.7109375" style="1" customWidth="1"/>
    <col min="13062" max="13062" width="1.42578125" style="1" customWidth="1"/>
    <col min="13063" max="13066" width="13.5703125" style="1" customWidth="1"/>
    <col min="13067" max="13068" width="14.140625" style="1" customWidth="1"/>
    <col min="13069" max="13069" width="13.5703125" style="1" customWidth="1"/>
    <col min="13070" max="13070" width="10.5703125" style="1" customWidth="1"/>
    <col min="13071" max="13071" width="11.85546875" style="1" customWidth="1"/>
    <col min="13072" max="13072" width="13.5703125" style="1" customWidth="1"/>
    <col min="13073" max="13073" width="14.140625" style="1" customWidth="1"/>
    <col min="13074" max="13074" width="12.5703125" style="1" customWidth="1"/>
    <col min="13075" max="13075" width="13.5703125" style="1" customWidth="1"/>
    <col min="13076" max="13078" width="12" style="1" customWidth="1"/>
    <col min="13079" max="13079" width="12.42578125" style="1" customWidth="1"/>
    <col min="13080" max="13080" width="14.140625" style="1" customWidth="1"/>
    <col min="13081" max="13081" width="11.42578125" style="1" bestFit="1" customWidth="1"/>
    <col min="13082" max="13082" width="11.85546875" style="1" customWidth="1"/>
    <col min="13083" max="13083" width="11.5703125" style="1" customWidth="1"/>
    <col min="13084" max="13084" width="1.42578125" style="1" customWidth="1"/>
    <col min="13085" max="13085" width="7.7109375" style="1" customWidth="1"/>
    <col min="13086" max="13086" width="1.42578125" style="1" customWidth="1"/>
    <col min="13087" max="13089" width="9.42578125" style="1" customWidth="1"/>
    <col min="13090" max="13090" width="1" style="1" customWidth="1"/>
    <col min="13091" max="13097" width="9.42578125" style="1" customWidth="1"/>
    <col min="13098" max="13313" width="9.42578125" style="1"/>
    <col min="13314" max="13314" width="9.140625" style="1" customWidth="1"/>
    <col min="13315" max="13315" width="13.42578125" style="1" customWidth="1"/>
    <col min="13316" max="13316" width="1.42578125" style="1" customWidth="1"/>
    <col min="13317" max="13317" width="7.7109375" style="1" customWidth="1"/>
    <col min="13318" max="13318" width="1.42578125" style="1" customWidth="1"/>
    <col min="13319" max="13322" width="13.5703125" style="1" customWidth="1"/>
    <col min="13323" max="13324" width="14.140625" style="1" customWidth="1"/>
    <col min="13325" max="13325" width="13.5703125" style="1" customWidth="1"/>
    <col min="13326" max="13326" width="10.5703125" style="1" customWidth="1"/>
    <col min="13327" max="13327" width="11.85546875" style="1" customWidth="1"/>
    <col min="13328" max="13328" width="13.5703125" style="1" customWidth="1"/>
    <col min="13329" max="13329" width="14.140625" style="1" customWidth="1"/>
    <col min="13330" max="13330" width="12.5703125" style="1" customWidth="1"/>
    <col min="13331" max="13331" width="13.5703125" style="1" customWidth="1"/>
    <col min="13332" max="13334" width="12" style="1" customWidth="1"/>
    <col min="13335" max="13335" width="12.42578125" style="1" customWidth="1"/>
    <col min="13336" max="13336" width="14.140625" style="1" customWidth="1"/>
    <col min="13337" max="13337" width="11.42578125" style="1" bestFit="1" customWidth="1"/>
    <col min="13338" max="13338" width="11.85546875" style="1" customWidth="1"/>
    <col min="13339" max="13339" width="11.5703125" style="1" customWidth="1"/>
    <col min="13340" max="13340" width="1.42578125" style="1" customWidth="1"/>
    <col min="13341" max="13341" width="7.7109375" style="1" customWidth="1"/>
    <col min="13342" max="13342" width="1.42578125" style="1" customWidth="1"/>
    <col min="13343" max="13345" width="9.42578125" style="1" customWidth="1"/>
    <col min="13346" max="13346" width="1" style="1" customWidth="1"/>
    <col min="13347" max="13353" width="9.42578125" style="1" customWidth="1"/>
    <col min="13354" max="13569" width="9.42578125" style="1"/>
    <col min="13570" max="13570" width="9.140625" style="1" customWidth="1"/>
    <col min="13571" max="13571" width="13.42578125" style="1" customWidth="1"/>
    <col min="13572" max="13572" width="1.42578125" style="1" customWidth="1"/>
    <col min="13573" max="13573" width="7.7109375" style="1" customWidth="1"/>
    <col min="13574" max="13574" width="1.42578125" style="1" customWidth="1"/>
    <col min="13575" max="13578" width="13.5703125" style="1" customWidth="1"/>
    <col min="13579" max="13580" width="14.140625" style="1" customWidth="1"/>
    <col min="13581" max="13581" width="13.5703125" style="1" customWidth="1"/>
    <col min="13582" max="13582" width="10.5703125" style="1" customWidth="1"/>
    <col min="13583" max="13583" width="11.85546875" style="1" customWidth="1"/>
    <col min="13584" max="13584" width="13.5703125" style="1" customWidth="1"/>
    <col min="13585" max="13585" width="14.140625" style="1" customWidth="1"/>
    <col min="13586" max="13586" width="12.5703125" style="1" customWidth="1"/>
    <col min="13587" max="13587" width="13.5703125" style="1" customWidth="1"/>
    <col min="13588" max="13590" width="12" style="1" customWidth="1"/>
    <col min="13591" max="13591" width="12.42578125" style="1" customWidth="1"/>
    <col min="13592" max="13592" width="14.140625" style="1" customWidth="1"/>
    <col min="13593" max="13593" width="11.42578125" style="1" bestFit="1" customWidth="1"/>
    <col min="13594" max="13594" width="11.85546875" style="1" customWidth="1"/>
    <col min="13595" max="13595" width="11.5703125" style="1" customWidth="1"/>
    <col min="13596" max="13596" width="1.42578125" style="1" customWidth="1"/>
    <col min="13597" max="13597" width="7.7109375" style="1" customWidth="1"/>
    <col min="13598" max="13598" width="1.42578125" style="1" customWidth="1"/>
    <col min="13599" max="13601" width="9.42578125" style="1" customWidth="1"/>
    <col min="13602" max="13602" width="1" style="1" customWidth="1"/>
    <col min="13603" max="13609" width="9.42578125" style="1" customWidth="1"/>
    <col min="13610" max="13825" width="9.42578125" style="1"/>
    <col min="13826" max="13826" width="9.140625" style="1" customWidth="1"/>
    <col min="13827" max="13827" width="13.42578125" style="1" customWidth="1"/>
    <col min="13828" max="13828" width="1.42578125" style="1" customWidth="1"/>
    <col min="13829" max="13829" width="7.7109375" style="1" customWidth="1"/>
    <col min="13830" max="13830" width="1.42578125" style="1" customWidth="1"/>
    <col min="13831" max="13834" width="13.5703125" style="1" customWidth="1"/>
    <col min="13835" max="13836" width="14.140625" style="1" customWidth="1"/>
    <col min="13837" max="13837" width="13.5703125" style="1" customWidth="1"/>
    <col min="13838" max="13838" width="10.5703125" style="1" customWidth="1"/>
    <col min="13839" max="13839" width="11.85546875" style="1" customWidth="1"/>
    <col min="13840" max="13840" width="13.5703125" style="1" customWidth="1"/>
    <col min="13841" max="13841" width="14.140625" style="1" customWidth="1"/>
    <col min="13842" max="13842" width="12.5703125" style="1" customWidth="1"/>
    <col min="13843" max="13843" width="13.5703125" style="1" customWidth="1"/>
    <col min="13844" max="13846" width="12" style="1" customWidth="1"/>
    <col min="13847" max="13847" width="12.42578125" style="1" customWidth="1"/>
    <col min="13848" max="13848" width="14.140625" style="1" customWidth="1"/>
    <col min="13849" max="13849" width="11.42578125" style="1" bestFit="1" customWidth="1"/>
    <col min="13850" max="13850" width="11.85546875" style="1" customWidth="1"/>
    <col min="13851" max="13851" width="11.5703125" style="1" customWidth="1"/>
    <col min="13852" max="13852" width="1.42578125" style="1" customWidth="1"/>
    <col min="13853" max="13853" width="7.7109375" style="1" customWidth="1"/>
    <col min="13854" max="13854" width="1.42578125" style="1" customWidth="1"/>
    <col min="13855" max="13857" width="9.42578125" style="1" customWidth="1"/>
    <col min="13858" max="13858" width="1" style="1" customWidth="1"/>
    <col min="13859" max="13865" width="9.42578125" style="1" customWidth="1"/>
    <col min="13866" max="14081" width="9.42578125" style="1"/>
    <col min="14082" max="14082" width="9.140625" style="1" customWidth="1"/>
    <col min="14083" max="14083" width="13.42578125" style="1" customWidth="1"/>
    <col min="14084" max="14084" width="1.42578125" style="1" customWidth="1"/>
    <col min="14085" max="14085" width="7.7109375" style="1" customWidth="1"/>
    <col min="14086" max="14086" width="1.42578125" style="1" customWidth="1"/>
    <col min="14087" max="14090" width="13.5703125" style="1" customWidth="1"/>
    <col min="14091" max="14092" width="14.140625" style="1" customWidth="1"/>
    <col min="14093" max="14093" width="13.5703125" style="1" customWidth="1"/>
    <col min="14094" max="14094" width="10.5703125" style="1" customWidth="1"/>
    <col min="14095" max="14095" width="11.85546875" style="1" customWidth="1"/>
    <col min="14096" max="14096" width="13.5703125" style="1" customWidth="1"/>
    <col min="14097" max="14097" width="14.140625" style="1" customWidth="1"/>
    <col min="14098" max="14098" width="12.5703125" style="1" customWidth="1"/>
    <col min="14099" max="14099" width="13.5703125" style="1" customWidth="1"/>
    <col min="14100" max="14102" width="12" style="1" customWidth="1"/>
    <col min="14103" max="14103" width="12.42578125" style="1" customWidth="1"/>
    <col min="14104" max="14104" width="14.140625" style="1" customWidth="1"/>
    <col min="14105" max="14105" width="11.42578125" style="1" bestFit="1" customWidth="1"/>
    <col min="14106" max="14106" width="11.85546875" style="1" customWidth="1"/>
    <col min="14107" max="14107" width="11.5703125" style="1" customWidth="1"/>
    <col min="14108" max="14108" width="1.42578125" style="1" customWidth="1"/>
    <col min="14109" max="14109" width="7.7109375" style="1" customWidth="1"/>
    <col min="14110" max="14110" width="1.42578125" style="1" customWidth="1"/>
    <col min="14111" max="14113" width="9.42578125" style="1" customWidth="1"/>
    <col min="14114" max="14114" width="1" style="1" customWidth="1"/>
    <col min="14115" max="14121" width="9.42578125" style="1" customWidth="1"/>
    <col min="14122" max="14337" width="9.42578125" style="1"/>
    <col min="14338" max="14338" width="9.140625" style="1" customWidth="1"/>
    <col min="14339" max="14339" width="13.42578125" style="1" customWidth="1"/>
    <col min="14340" max="14340" width="1.42578125" style="1" customWidth="1"/>
    <col min="14341" max="14341" width="7.7109375" style="1" customWidth="1"/>
    <col min="14342" max="14342" width="1.42578125" style="1" customWidth="1"/>
    <col min="14343" max="14346" width="13.5703125" style="1" customWidth="1"/>
    <col min="14347" max="14348" width="14.140625" style="1" customWidth="1"/>
    <col min="14349" max="14349" width="13.5703125" style="1" customWidth="1"/>
    <col min="14350" max="14350" width="10.5703125" style="1" customWidth="1"/>
    <col min="14351" max="14351" width="11.85546875" style="1" customWidth="1"/>
    <col min="14352" max="14352" width="13.5703125" style="1" customWidth="1"/>
    <col min="14353" max="14353" width="14.140625" style="1" customWidth="1"/>
    <col min="14354" max="14354" width="12.5703125" style="1" customWidth="1"/>
    <col min="14355" max="14355" width="13.5703125" style="1" customWidth="1"/>
    <col min="14356" max="14358" width="12" style="1" customWidth="1"/>
    <col min="14359" max="14359" width="12.42578125" style="1" customWidth="1"/>
    <col min="14360" max="14360" width="14.140625" style="1" customWidth="1"/>
    <col min="14361" max="14361" width="11.42578125" style="1" bestFit="1" customWidth="1"/>
    <col min="14362" max="14362" width="11.85546875" style="1" customWidth="1"/>
    <col min="14363" max="14363" width="11.5703125" style="1" customWidth="1"/>
    <col min="14364" max="14364" width="1.42578125" style="1" customWidth="1"/>
    <col min="14365" max="14365" width="7.7109375" style="1" customWidth="1"/>
    <col min="14366" max="14366" width="1.42578125" style="1" customWidth="1"/>
    <col min="14367" max="14369" width="9.42578125" style="1" customWidth="1"/>
    <col min="14370" max="14370" width="1" style="1" customWidth="1"/>
    <col min="14371" max="14377" width="9.42578125" style="1" customWidth="1"/>
    <col min="14378" max="14593" width="9.42578125" style="1"/>
    <col min="14594" max="14594" width="9.140625" style="1" customWidth="1"/>
    <col min="14595" max="14595" width="13.42578125" style="1" customWidth="1"/>
    <col min="14596" max="14596" width="1.42578125" style="1" customWidth="1"/>
    <col min="14597" max="14597" width="7.7109375" style="1" customWidth="1"/>
    <col min="14598" max="14598" width="1.42578125" style="1" customWidth="1"/>
    <col min="14599" max="14602" width="13.5703125" style="1" customWidth="1"/>
    <col min="14603" max="14604" width="14.140625" style="1" customWidth="1"/>
    <col min="14605" max="14605" width="13.5703125" style="1" customWidth="1"/>
    <col min="14606" max="14606" width="10.5703125" style="1" customWidth="1"/>
    <col min="14607" max="14607" width="11.85546875" style="1" customWidth="1"/>
    <col min="14608" max="14608" width="13.5703125" style="1" customWidth="1"/>
    <col min="14609" max="14609" width="14.140625" style="1" customWidth="1"/>
    <col min="14610" max="14610" width="12.5703125" style="1" customWidth="1"/>
    <col min="14611" max="14611" width="13.5703125" style="1" customWidth="1"/>
    <col min="14612" max="14614" width="12" style="1" customWidth="1"/>
    <col min="14615" max="14615" width="12.42578125" style="1" customWidth="1"/>
    <col min="14616" max="14616" width="14.140625" style="1" customWidth="1"/>
    <col min="14617" max="14617" width="11.42578125" style="1" bestFit="1" customWidth="1"/>
    <col min="14618" max="14618" width="11.85546875" style="1" customWidth="1"/>
    <col min="14619" max="14619" width="11.5703125" style="1" customWidth="1"/>
    <col min="14620" max="14620" width="1.42578125" style="1" customWidth="1"/>
    <col min="14621" max="14621" width="7.7109375" style="1" customWidth="1"/>
    <col min="14622" max="14622" width="1.42578125" style="1" customWidth="1"/>
    <col min="14623" max="14625" width="9.42578125" style="1" customWidth="1"/>
    <col min="14626" max="14626" width="1" style="1" customWidth="1"/>
    <col min="14627" max="14633" width="9.42578125" style="1" customWidth="1"/>
    <col min="14634" max="14849" width="9.42578125" style="1"/>
    <col min="14850" max="14850" width="9.140625" style="1" customWidth="1"/>
    <col min="14851" max="14851" width="13.42578125" style="1" customWidth="1"/>
    <col min="14852" max="14852" width="1.42578125" style="1" customWidth="1"/>
    <col min="14853" max="14853" width="7.7109375" style="1" customWidth="1"/>
    <col min="14854" max="14854" width="1.42578125" style="1" customWidth="1"/>
    <col min="14855" max="14858" width="13.5703125" style="1" customWidth="1"/>
    <col min="14859" max="14860" width="14.140625" style="1" customWidth="1"/>
    <col min="14861" max="14861" width="13.5703125" style="1" customWidth="1"/>
    <col min="14862" max="14862" width="10.5703125" style="1" customWidth="1"/>
    <col min="14863" max="14863" width="11.85546875" style="1" customWidth="1"/>
    <col min="14864" max="14864" width="13.5703125" style="1" customWidth="1"/>
    <col min="14865" max="14865" width="14.140625" style="1" customWidth="1"/>
    <col min="14866" max="14866" width="12.5703125" style="1" customWidth="1"/>
    <col min="14867" max="14867" width="13.5703125" style="1" customWidth="1"/>
    <col min="14868" max="14870" width="12" style="1" customWidth="1"/>
    <col min="14871" max="14871" width="12.42578125" style="1" customWidth="1"/>
    <col min="14872" max="14872" width="14.140625" style="1" customWidth="1"/>
    <col min="14873" max="14873" width="11.42578125" style="1" bestFit="1" customWidth="1"/>
    <col min="14874" max="14874" width="11.85546875" style="1" customWidth="1"/>
    <col min="14875" max="14875" width="11.5703125" style="1" customWidth="1"/>
    <col min="14876" max="14876" width="1.42578125" style="1" customWidth="1"/>
    <col min="14877" max="14877" width="7.7109375" style="1" customWidth="1"/>
    <col min="14878" max="14878" width="1.42578125" style="1" customWidth="1"/>
    <col min="14879" max="14881" width="9.42578125" style="1" customWidth="1"/>
    <col min="14882" max="14882" width="1" style="1" customWidth="1"/>
    <col min="14883" max="14889" width="9.42578125" style="1" customWidth="1"/>
    <col min="14890" max="15105" width="9.42578125" style="1"/>
    <col min="15106" max="15106" width="9.140625" style="1" customWidth="1"/>
    <col min="15107" max="15107" width="13.42578125" style="1" customWidth="1"/>
    <col min="15108" max="15108" width="1.42578125" style="1" customWidth="1"/>
    <col min="15109" max="15109" width="7.7109375" style="1" customWidth="1"/>
    <col min="15110" max="15110" width="1.42578125" style="1" customWidth="1"/>
    <col min="15111" max="15114" width="13.5703125" style="1" customWidth="1"/>
    <col min="15115" max="15116" width="14.140625" style="1" customWidth="1"/>
    <col min="15117" max="15117" width="13.5703125" style="1" customWidth="1"/>
    <col min="15118" max="15118" width="10.5703125" style="1" customWidth="1"/>
    <col min="15119" max="15119" width="11.85546875" style="1" customWidth="1"/>
    <col min="15120" max="15120" width="13.5703125" style="1" customWidth="1"/>
    <col min="15121" max="15121" width="14.140625" style="1" customWidth="1"/>
    <col min="15122" max="15122" width="12.5703125" style="1" customWidth="1"/>
    <col min="15123" max="15123" width="13.5703125" style="1" customWidth="1"/>
    <col min="15124" max="15126" width="12" style="1" customWidth="1"/>
    <col min="15127" max="15127" width="12.42578125" style="1" customWidth="1"/>
    <col min="15128" max="15128" width="14.140625" style="1" customWidth="1"/>
    <col min="15129" max="15129" width="11.42578125" style="1" bestFit="1" customWidth="1"/>
    <col min="15130" max="15130" width="11.85546875" style="1" customWidth="1"/>
    <col min="15131" max="15131" width="11.5703125" style="1" customWidth="1"/>
    <col min="15132" max="15132" width="1.42578125" style="1" customWidth="1"/>
    <col min="15133" max="15133" width="7.7109375" style="1" customWidth="1"/>
    <col min="15134" max="15134" width="1.42578125" style="1" customWidth="1"/>
    <col min="15135" max="15137" width="9.42578125" style="1" customWidth="1"/>
    <col min="15138" max="15138" width="1" style="1" customWidth="1"/>
    <col min="15139" max="15145" width="9.42578125" style="1" customWidth="1"/>
    <col min="15146" max="15361" width="9.42578125" style="1"/>
    <col min="15362" max="15362" width="9.140625" style="1" customWidth="1"/>
    <col min="15363" max="15363" width="13.42578125" style="1" customWidth="1"/>
    <col min="15364" max="15364" width="1.42578125" style="1" customWidth="1"/>
    <col min="15365" max="15365" width="7.7109375" style="1" customWidth="1"/>
    <col min="15366" max="15366" width="1.42578125" style="1" customWidth="1"/>
    <col min="15367" max="15370" width="13.5703125" style="1" customWidth="1"/>
    <col min="15371" max="15372" width="14.140625" style="1" customWidth="1"/>
    <col min="15373" max="15373" width="13.5703125" style="1" customWidth="1"/>
    <col min="15374" max="15374" width="10.5703125" style="1" customWidth="1"/>
    <col min="15375" max="15375" width="11.85546875" style="1" customWidth="1"/>
    <col min="15376" max="15376" width="13.5703125" style="1" customWidth="1"/>
    <col min="15377" max="15377" width="14.140625" style="1" customWidth="1"/>
    <col min="15378" max="15378" width="12.5703125" style="1" customWidth="1"/>
    <col min="15379" max="15379" width="13.5703125" style="1" customWidth="1"/>
    <col min="15380" max="15382" width="12" style="1" customWidth="1"/>
    <col min="15383" max="15383" width="12.42578125" style="1" customWidth="1"/>
    <col min="15384" max="15384" width="14.140625" style="1" customWidth="1"/>
    <col min="15385" max="15385" width="11.42578125" style="1" bestFit="1" customWidth="1"/>
    <col min="15386" max="15386" width="11.85546875" style="1" customWidth="1"/>
    <col min="15387" max="15387" width="11.5703125" style="1" customWidth="1"/>
    <col min="15388" max="15388" width="1.42578125" style="1" customWidth="1"/>
    <col min="15389" max="15389" width="7.7109375" style="1" customWidth="1"/>
    <col min="15390" max="15390" width="1.42578125" style="1" customWidth="1"/>
    <col min="15391" max="15393" width="9.42578125" style="1" customWidth="1"/>
    <col min="15394" max="15394" width="1" style="1" customWidth="1"/>
    <col min="15395" max="15401" width="9.42578125" style="1" customWidth="1"/>
    <col min="15402" max="15617" width="9.42578125" style="1"/>
    <col min="15618" max="15618" width="9.140625" style="1" customWidth="1"/>
    <col min="15619" max="15619" width="13.42578125" style="1" customWidth="1"/>
    <col min="15620" max="15620" width="1.42578125" style="1" customWidth="1"/>
    <col min="15621" max="15621" width="7.7109375" style="1" customWidth="1"/>
    <col min="15622" max="15622" width="1.42578125" style="1" customWidth="1"/>
    <col min="15623" max="15626" width="13.5703125" style="1" customWidth="1"/>
    <col min="15627" max="15628" width="14.140625" style="1" customWidth="1"/>
    <col min="15629" max="15629" width="13.5703125" style="1" customWidth="1"/>
    <col min="15630" max="15630" width="10.5703125" style="1" customWidth="1"/>
    <col min="15631" max="15631" width="11.85546875" style="1" customWidth="1"/>
    <col min="15632" max="15632" width="13.5703125" style="1" customWidth="1"/>
    <col min="15633" max="15633" width="14.140625" style="1" customWidth="1"/>
    <col min="15634" max="15634" width="12.5703125" style="1" customWidth="1"/>
    <col min="15635" max="15635" width="13.5703125" style="1" customWidth="1"/>
    <col min="15636" max="15638" width="12" style="1" customWidth="1"/>
    <col min="15639" max="15639" width="12.42578125" style="1" customWidth="1"/>
    <col min="15640" max="15640" width="14.140625" style="1" customWidth="1"/>
    <col min="15641" max="15641" width="11.42578125" style="1" bestFit="1" customWidth="1"/>
    <col min="15642" max="15642" width="11.85546875" style="1" customWidth="1"/>
    <col min="15643" max="15643" width="11.5703125" style="1" customWidth="1"/>
    <col min="15644" max="15644" width="1.42578125" style="1" customWidth="1"/>
    <col min="15645" max="15645" width="7.7109375" style="1" customWidth="1"/>
    <col min="15646" max="15646" width="1.42578125" style="1" customWidth="1"/>
    <col min="15647" max="15649" width="9.42578125" style="1" customWidth="1"/>
    <col min="15650" max="15650" width="1" style="1" customWidth="1"/>
    <col min="15651" max="15657" width="9.42578125" style="1" customWidth="1"/>
    <col min="15658" max="15873" width="9.42578125" style="1"/>
    <col min="15874" max="15874" width="9.140625" style="1" customWidth="1"/>
    <col min="15875" max="15875" width="13.42578125" style="1" customWidth="1"/>
    <col min="15876" max="15876" width="1.42578125" style="1" customWidth="1"/>
    <col min="15877" max="15877" width="7.7109375" style="1" customWidth="1"/>
    <col min="15878" max="15878" width="1.42578125" style="1" customWidth="1"/>
    <col min="15879" max="15882" width="13.5703125" style="1" customWidth="1"/>
    <col min="15883" max="15884" width="14.140625" style="1" customWidth="1"/>
    <col min="15885" max="15885" width="13.5703125" style="1" customWidth="1"/>
    <col min="15886" max="15886" width="10.5703125" style="1" customWidth="1"/>
    <col min="15887" max="15887" width="11.85546875" style="1" customWidth="1"/>
    <col min="15888" max="15888" width="13.5703125" style="1" customWidth="1"/>
    <col min="15889" max="15889" width="14.140625" style="1" customWidth="1"/>
    <col min="15890" max="15890" width="12.5703125" style="1" customWidth="1"/>
    <col min="15891" max="15891" width="13.5703125" style="1" customWidth="1"/>
    <col min="15892" max="15894" width="12" style="1" customWidth="1"/>
    <col min="15895" max="15895" width="12.42578125" style="1" customWidth="1"/>
    <col min="15896" max="15896" width="14.140625" style="1" customWidth="1"/>
    <col min="15897" max="15897" width="11.42578125" style="1" bestFit="1" customWidth="1"/>
    <col min="15898" max="15898" width="11.85546875" style="1" customWidth="1"/>
    <col min="15899" max="15899" width="11.5703125" style="1" customWidth="1"/>
    <col min="15900" max="15900" width="1.42578125" style="1" customWidth="1"/>
    <col min="15901" max="15901" width="7.7109375" style="1" customWidth="1"/>
    <col min="15902" max="15902" width="1.42578125" style="1" customWidth="1"/>
    <col min="15903" max="15905" width="9.42578125" style="1" customWidth="1"/>
    <col min="15906" max="15906" width="1" style="1" customWidth="1"/>
    <col min="15907" max="15913" width="9.42578125" style="1" customWidth="1"/>
    <col min="15914" max="16129" width="9.42578125" style="1"/>
    <col min="16130" max="16130" width="9.140625" style="1" customWidth="1"/>
    <col min="16131" max="16131" width="13.42578125" style="1" customWidth="1"/>
    <col min="16132" max="16132" width="1.42578125" style="1" customWidth="1"/>
    <col min="16133" max="16133" width="7.7109375" style="1" customWidth="1"/>
    <col min="16134" max="16134" width="1.42578125" style="1" customWidth="1"/>
    <col min="16135" max="16138" width="13.5703125" style="1" customWidth="1"/>
    <col min="16139" max="16140" width="14.140625" style="1" customWidth="1"/>
    <col min="16141" max="16141" width="13.5703125" style="1" customWidth="1"/>
    <col min="16142" max="16142" width="10.5703125" style="1" customWidth="1"/>
    <col min="16143" max="16143" width="11.85546875" style="1" customWidth="1"/>
    <col min="16144" max="16144" width="13.5703125" style="1" customWidth="1"/>
    <col min="16145" max="16145" width="14.140625" style="1" customWidth="1"/>
    <col min="16146" max="16146" width="12.5703125" style="1" customWidth="1"/>
    <col min="16147" max="16147" width="13.5703125" style="1" customWidth="1"/>
    <col min="16148" max="16150" width="12" style="1" customWidth="1"/>
    <col min="16151" max="16151" width="12.42578125" style="1" customWidth="1"/>
    <col min="16152" max="16152" width="14.140625" style="1" customWidth="1"/>
    <col min="16153" max="16153" width="11.42578125" style="1" bestFit="1" customWidth="1"/>
    <col min="16154" max="16154" width="11.85546875" style="1" customWidth="1"/>
    <col min="16155" max="16155" width="11.5703125" style="1" customWidth="1"/>
    <col min="16156" max="16156" width="1.42578125" style="1" customWidth="1"/>
    <col min="16157" max="16157" width="7.7109375" style="1" customWidth="1"/>
    <col min="16158" max="16158" width="1.42578125" style="1" customWidth="1"/>
    <col min="16159" max="16161" width="9.42578125" style="1" customWidth="1"/>
    <col min="16162" max="16162" width="1" style="1" customWidth="1"/>
    <col min="16163" max="16169" width="9.42578125" style="1" customWidth="1"/>
    <col min="16170" max="16384" width="9.42578125" style="1"/>
  </cols>
  <sheetData>
    <row r="1" spans="3:41" ht="35.1" customHeight="1">
      <c r="D1" s="4"/>
      <c r="E1" s="110"/>
      <c r="F1" s="110"/>
      <c r="G1" s="110"/>
      <c r="H1" s="4"/>
      <c r="I1" s="110"/>
      <c r="J1" s="4"/>
      <c r="K1" s="4"/>
      <c r="L1" s="4"/>
      <c r="M1" s="4"/>
      <c r="N1" s="4"/>
      <c r="O1" s="4"/>
      <c r="P1" s="4"/>
    </row>
    <row r="2" spans="3:41" ht="35.1" customHeight="1">
      <c r="D2" s="4"/>
      <c r="E2" s="110"/>
      <c r="F2" s="110"/>
      <c r="G2" s="110"/>
      <c r="H2" s="4"/>
      <c r="I2" s="110"/>
      <c r="J2" s="4"/>
      <c r="K2" s="4"/>
      <c r="L2" s="4"/>
      <c r="M2" s="142"/>
      <c r="N2" s="4"/>
      <c r="O2" s="4"/>
      <c r="P2" s="4"/>
    </row>
    <row r="3" spans="3:41" s="863" customFormat="1" ht="35.1" customHeight="1">
      <c r="C3" s="870"/>
      <c r="D3" s="5112" t="s">
        <v>2216</v>
      </c>
      <c r="E3" s="5112"/>
      <c r="F3" s="5112"/>
      <c r="G3" s="5112"/>
      <c r="H3" s="5112"/>
      <c r="I3" s="5112"/>
      <c r="J3" s="5112"/>
      <c r="K3" s="5112"/>
      <c r="L3" s="5112"/>
      <c r="M3" s="5112"/>
      <c r="N3" s="5112"/>
      <c r="O3" s="5112"/>
      <c r="P3" s="5112"/>
      <c r="Q3" s="5301" t="s">
        <v>2217</v>
      </c>
      <c r="R3" s="5301"/>
      <c r="S3" s="5301"/>
      <c r="T3" s="5301"/>
      <c r="U3" s="5301"/>
      <c r="V3" s="5301"/>
      <c r="W3" s="5301"/>
      <c r="X3" s="5301"/>
      <c r="Y3" s="5301"/>
      <c r="Z3" s="5301"/>
      <c r="AA3" s="5301"/>
      <c r="AB3" s="5301"/>
      <c r="AC3" s="5301"/>
      <c r="AD3" s="5301"/>
      <c r="AN3" s="871"/>
      <c r="AO3" s="871"/>
    </row>
    <row r="4" spans="3:41" s="864" customFormat="1" ht="35.1" customHeight="1">
      <c r="C4" s="745"/>
      <c r="D4" s="5113" t="s">
        <v>2218</v>
      </c>
      <c r="E4" s="5113"/>
      <c r="F4" s="5113"/>
      <c r="G4" s="5113"/>
      <c r="H4" s="5113"/>
      <c r="I4" s="5113"/>
      <c r="J4" s="5113"/>
      <c r="K4" s="5113"/>
      <c r="L4" s="5113"/>
      <c r="M4" s="5113"/>
      <c r="N4" s="5113"/>
      <c r="O4" s="5113"/>
      <c r="P4" s="5113"/>
      <c r="Q4" s="5302" t="s">
        <v>2219</v>
      </c>
      <c r="R4" s="5302"/>
      <c r="S4" s="5302"/>
      <c r="T4" s="5302"/>
      <c r="U4" s="5302"/>
      <c r="V4" s="5302"/>
      <c r="W4" s="5302"/>
      <c r="X4" s="5302"/>
      <c r="Y4" s="5302"/>
      <c r="Z4" s="5302"/>
      <c r="AA4" s="5302"/>
      <c r="AB4" s="5302"/>
      <c r="AC4" s="5302"/>
      <c r="AD4" s="5302"/>
    </row>
    <row r="5" spans="3:41" s="433" customFormat="1" ht="18" customHeight="1">
      <c r="C5" s="872"/>
      <c r="D5" s="38" t="s">
        <v>1826</v>
      </c>
      <c r="E5" s="432"/>
      <c r="F5" s="432"/>
      <c r="G5" s="432"/>
      <c r="H5" s="873"/>
      <c r="I5" s="873"/>
      <c r="J5" s="874"/>
      <c r="K5" s="873"/>
      <c r="L5" s="873"/>
      <c r="M5" s="873"/>
      <c r="N5" s="873"/>
      <c r="O5" s="873"/>
      <c r="P5" s="873"/>
      <c r="Q5" s="875"/>
      <c r="R5" s="876"/>
      <c r="S5" s="876"/>
      <c r="T5" s="876"/>
      <c r="U5" s="877"/>
      <c r="V5" s="878"/>
      <c r="W5" s="876"/>
      <c r="X5" s="876"/>
      <c r="Y5" s="877"/>
      <c r="Z5" s="877"/>
      <c r="AB5" s="877"/>
      <c r="AC5" s="879"/>
      <c r="AD5" s="880" t="s">
        <v>1827</v>
      </c>
      <c r="AE5" s="865"/>
      <c r="AF5" s="865"/>
      <c r="AG5" s="865"/>
      <c r="AH5" s="865"/>
      <c r="AI5" s="865"/>
      <c r="AJ5" s="865"/>
      <c r="AK5" s="865"/>
      <c r="AL5" s="865"/>
      <c r="AM5" s="865"/>
      <c r="AN5" s="865"/>
      <c r="AO5" s="865"/>
    </row>
    <row r="6" spans="3:41" ht="6" customHeight="1">
      <c r="C6" s="18"/>
      <c r="D6" s="418"/>
      <c r="E6" s="142"/>
      <c r="F6" s="142"/>
      <c r="G6" s="142"/>
      <c r="H6" s="115"/>
      <c r="I6" s="141"/>
      <c r="J6" s="881"/>
      <c r="K6" s="115"/>
      <c r="L6" s="115"/>
      <c r="M6" s="115"/>
      <c r="N6" s="115"/>
      <c r="O6" s="115"/>
      <c r="P6" s="115"/>
      <c r="Q6" s="2"/>
      <c r="R6" s="2"/>
      <c r="S6" s="2"/>
      <c r="T6" s="2"/>
      <c r="U6" s="138"/>
      <c r="V6" s="882"/>
      <c r="W6" s="139"/>
      <c r="X6" s="2"/>
      <c r="Y6" s="34"/>
      <c r="Z6" s="34"/>
      <c r="AA6" s="34"/>
      <c r="AB6" s="189"/>
      <c r="AC6" s="189"/>
      <c r="AD6" s="536"/>
      <c r="AE6" s="18"/>
      <c r="AF6" s="18"/>
      <c r="AG6" s="18"/>
      <c r="AH6" s="18"/>
      <c r="AI6" s="18"/>
      <c r="AJ6" s="18"/>
      <c r="AK6" s="18"/>
      <c r="AL6" s="18"/>
      <c r="AM6" s="18"/>
    </row>
    <row r="7" spans="3:41" s="138" customFormat="1" ht="8.25" customHeight="1">
      <c r="D7" s="191"/>
      <c r="E7" s="495"/>
      <c r="F7" s="495"/>
      <c r="G7" s="156"/>
      <c r="H7" s="157"/>
      <c r="I7" s="156"/>
      <c r="J7" s="157"/>
      <c r="K7" s="156"/>
      <c r="L7" s="156"/>
      <c r="M7" s="156"/>
      <c r="N7" s="396"/>
      <c r="O7" s="131"/>
      <c r="P7" s="397"/>
      <c r="Q7" s="883"/>
      <c r="R7" s="884"/>
      <c r="S7" s="884"/>
      <c r="T7" s="884"/>
      <c r="U7" s="884"/>
      <c r="V7" s="884"/>
      <c r="W7" s="884"/>
      <c r="X7" s="884"/>
      <c r="Y7" s="884"/>
      <c r="Z7" s="885"/>
      <c r="AA7" s="886"/>
      <c r="AB7" s="887"/>
      <c r="AC7" s="887"/>
      <c r="AD7" s="888"/>
    </row>
    <row r="8" spans="3:41" s="139" customFormat="1" ht="25.5">
      <c r="C8" s="138"/>
      <c r="D8" s="143"/>
      <c r="E8" s="144"/>
      <c r="F8" s="144"/>
      <c r="G8" s="104"/>
      <c r="H8" s="6" t="s">
        <v>2220</v>
      </c>
      <c r="I8" s="104"/>
      <c r="J8" s="6"/>
      <c r="K8" s="104"/>
      <c r="L8" s="104"/>
      <c r="M8" s="104"/>
      <c r="N8" s="8" t="s">
        <v>2221</v>
      </c>
      <c r="O8" s="8"/>
      <c r="P8" s="889"/>
      <c r="Q8" s="890"/>
      <c r="R8" s="459"/>
      <c r="S8" s="459" t="s">
        <v>2222</v>
      </c>
      <c r="T8" s="459"/>
      <c r="U8" s="459" t="s">
        <v>1798</v>
      </c>
      <c r="V8" s="459"/>
      <c r="W8" s="459"/>
      <c r="X8" s="459"/>
      <c r="Y8" s="459"/>
      <c r="Z8" s="891" t="s">
        <v>1760</v>
      </c>
      <c r="AA8" s="892"/>
      <c r="AB8" s="480"/>
      <c r="AC8" s="480"/>
      <c r="AD8" s="893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</row>
    <row r="9" spans="3:41" s="138" customFormat="1" ht="25.5">
      <c r="D9" s="5107"/>
      <c r="E9" s="5110"/>
      <c r="F9" s="5108"/>
      <c r="G9" s="6" t="s">
        <v>2223</v>
      </c>
      <c r="H9" s="6" t="s">
        <v>2224</v>
      </c>
      <c r="I9" s="6" t="s">
        <v>1834</v>
      </c>
      <c r="J9" s="6"/>
      <c r="K9" s="6" t="s">
        <v>1317</v>
      </c>
      <c r="L9" s="6"/>
      <c r="M9" s="6" t="s">
        <v>1900</v>
      </c>
      <c r="N9" s="8" t="s">
        <v>2225</v>
      </c>
      <c r="O9" s="8"/>
      <c r="P9" s="889"/>
      <c r="Q9" s="890" t="s">
        <v>2226</v>
      </c>
      <c r="R9" s="459"/>
      <c r="S9" s="459" t="s">
        <v>2227</v>
      </c>
      <c r="T9" s="459"/>
      <c r="U9" s="459" t="s">
        <v>2228</v>
      </c>
      <c r="V9" s="459" t="s">
        <v>1762</v>
      </c>
      <c r="W9" s="459"/>
      <c r="X9" s="459"/>
      <c r="Y9" s="459" t="s">
        <v>2229</v>
      </c>
      <c r="Z9" s="891" t="s">
        <v>1761</v>
      </c>
      <c r="AA9" s="892"/>
      <c r="AB9" s="5303"/>
      <c r="AC9" s="5304"/>
      <c r="AD9" s="5305"/>
    </row>
    <row r="10" spans="3:41" s="138" customFormat="1" ht="25.5">
      <c r="D10" s="5107"/>
      <c r="E10" s="5110"/>
      <c r="F10" s="5108"/>
      <c r="G10" s="6" t="s">
        <v>668</v>
      </c>
      <c r="H10" s="6" t="s">
        <v>1322</v>
      </c>
      <c r="I10" s="6" t="s">
        <v>1847</v>
      </c>
      <c r="J10" s="6" t="s">
        <v>1351</v>
      </c>
      <c r="K10" s="6" t="s">
        <v>1321</v>
      </c>
      <c r="L10" s="6" t="s">
        <v>2230</v>
      </c>
      <c r="M10" s="6" t="s">
        <v>2231</v>
      </c>
      <c r="N10" s="8" t="s">
        <v>2232</v>
      </c>
      <c r="O10" s="8"/>
      <c r="P10" s="5" t="s">
        <v>1969</v>
      </c>
      <c r="Q10" s="890" t="s">
        <v>2233</v>
      </c>
      <c r="R10" s="459" t="s">
        <v>1838</v>
      </c>
      <c r="S10" s="459" t="s">
        <v>98</v>
      </c>
      <c r="T10" s="459" t="s">
        <v>2176</v>
      </c>
      <c r="U10" s="459" t="s">
        <v>2234</v>
      </c>
      <c r="V10" s="459" t="s">
        <v>2235</v>
      </c>
      <c r="W10" s="459" t="s">
        <v>2192</v>
      </c>
      <c r="X10" s="459" t="s">
        <v>2191</v>
      </c>
      <c r="Y10" s="459" t="s">
        <v>2236</v>
      </c>
      <c r="Z10" s="891" t="s">
        <v>395</v>
      </c>
      <c r="AA10" s="892"/>
      <c r="AB10" s="5303"/>
      <c r="AC10" s="5304"/>
      <c r="AD10" s="5305"/>
    </row>
    <row r="11" spans="3:41" s="138" customFormat="1" ht="25.5">
      <c r="D11" s="143"/>
      <c r="E11" s="144"/>
      <c r="F11" s="144"/>
      <c r="G11" s="6"/>
      <c r="H11" s="6" t="s">
        <v>1325</v>
      </c>
      <c r="I11" s="6" t="s">
        <v>1865</v>
      </c>
      <c r="J11" s="6"/>
      <c r="K11" s="6" t="s">
        <v>2237</v>
      </c>
      <c r="L11" s="6"/>
      <c r="M11" s="6" t="s">
        <v>1913</v>
      </c>
      <c r="N11" s="8" t="s">
        <v>1859</v>
      </c>
      <c r="O11" s="8"/>
      <c r="P11" s="5"/>
      <c r="Q11" s="890" t="s">
        <v>1860</v>
      </c>
      <c r="R11" s="459"/>
      <c r="S11" s="459"/>
      <c r="T11" s="459"/>
      <c r="U11" s="459" t="s">
        <v>2238</v>
      </c>
      <c r="V11" s="459" t="s">
        <v>1780</v>
      </c>
      <c r="W11" s="459"/>
      <c r="X11" s="459"/>
      <c r="Y11" s="459"/>
      <c r="Z11" s="891"/>
      <c r="AA11" s="892"/>
      <c r="AB11" s="480"/>
      <c r="AC11" s="480"/>
      <c r="AD11" s="893"/>
    </row>
    <row r="12" spans="3:41" s="139" customFormat="1" ht="25.5">
      <c r="C12" s="138"/>
      <c r="D12" s="143"/>
      <c r="E12" s="144"/>
      <c r="F12" s="144"/>
      <c r="G12" s="6" t="s">
        <v>1411</v>
      </c>
      <c r="H12" s="6" t="s">
        <v>1327</v>
      </c>
      <c r="I12" s="6" t="s">
        <v>127</v>
      </c>
      <c r="J12" s="6"/>
      <c r="K12" s="6" t="s">
        <v>2239</v>
      </c>
      <c r="L12" s="6"/>
      <c r="M12" s="6" t="s">
        <v>127</v>
      </c>
      <c r="N12" s="8" t="s">
        <v>2240</v>
      </c>
      <c r="O12" s="8"/>
      <c r="P12" s="5" t="s">
        <v>2241</v>
      </c>
      <c r="Q12" s="890" t="s">
        <v>127</v>
      </c>
      <c r="R12" s="459"/>
      <c r="S12" s="459" t="s">
        <v>119</v>
      </c>
      <c r="T12" s="459"/>
      <c r="U12" s="459" t="s">
        <v>1806</v>
      </c>
      <c r="V12" s="459" t="s">
        <v>127</v>
      </c>
      <c r="W12" s="459" t="s">
        <v>8</v>
      </c>
      <c r="X12" s="459" t="s">
        <v>8</v>
      </c>
      <c r="Y12" s="459" t="s">
        <v>8</v>
      </c>
      <c r="Z12" s="894" t="s">
        <v>401</v>
      </c>
      <c r="AA12" s="894"/>
      <c r="AB12" s="480"/>
      <c r="AC12" s="480"/>
      <c r="AD12" s="893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</row>
    <row r="13" spans="3:41" s="138" customFormat="1" ht="25.5">
      <c r="D13" s="5107"/>
      <c r="E13" s="5110"/>
      <c r="F13" s="5108"/>
      <c r="G13" s="895" t="s">
        <v>2242</v>
      </c>
      <c r="H13" s="895" t="s">
        <v>1329</v>
      </c>
      <c r="I13" s="895" t="s">
        <v>2243</v>
      </c>
      <c r="J13" s="895" t="s">
        <v>1360</v>
      </c>
      <c r="K13" s="895" t="s">
        <v>1330</v>
      </c>
      <c r="L13" s="895" t="s">
        <v>1864</v>
      </c>
      <c r="M13" s="895" t="s">
        <v>1873</v>
      </c>
      <c r="N13" s="896" t="s">
        <v>1806</v>
      </c>
      <c r="O13" s="896"/>
      <c r="P13" s="897" t="s">
        <v>468</v>
      </c>
      <c r="Q13" s="898" t="s">
        <v>1882</v>
      </c>
      <c r="R13" s="899" t="s">
        <v>1861</v>
      </c>
      <c r="S13" s="899" t="s">
        <v>2244</v>
      </c>
      <c r="T13" s="899" t="s">
        <v>1409</v>
      </c>
      <c r="U13" s="899" t="s">
        <v>2245</v>
      </c>
      <c r="V13" s="899" t="s">
        <v>2246</v>
      </c>
      <c r="W13" s="899" t="s">
        <v>2212</v>
      </c>
      <c r="X13" s="899" t="s">
        <v>1789</v>
      </c>
      <c r="Y13" s="899" t="s">
        <v>2247</v>
      </c>
      <c r="Z13" s="900" t="s">
        <v>1495</v>
      </c>
      <c r="AA13" s="900"/>
      <c r="AB13" s="5303"/>
      <c r="AC13" s="5304"/>
      <c r="AD13" s="5305"/>
    </row>
    <row r="14" spans="3:41" s="429" customFormat="1" ht="20.25" customHeight="1">
      <c r="D14" s="5308" t="s">
        <v>1926</v>
      </c>
      <c r="E14" s="5309"/>
      <c r="F14" s="5310"/>
      <c r="G14" s="5314">
        <v>3.6</v>
      </c>
      <c r="H14" s="5314">
        <v>2.6</v>
      </c>
      <c r="I14" s="5314">
        <v>1</v>
      </c>
      <c r="J14" s="5314">
        <v>5.0999999999999996</v>
      </c>
      <c r="K14" s="5314">
        <v>24.3</v>
      </c>
      <c r="L14" s="5314">
        <v>2.6</v>
      </c>
      <c r="M14" s="5314">
        <v>5.5</v>
      </c>
      <c r="N14" s="5336">
        <v>0.5</v>
      </c>
      <c r="O14" s="5337"/>
      <c r="P14" s="5336">
        <v>2.5</v>
      </c>
      <c r="Q14" s="5340">
        <v>7.5</v>
      </c>
      <c r="R14" s="5306">
        <v>3.5</v>
      </c>
      <c r="S14" s="5306">
        <v>7.4</v>
      </c>
      <c r="T14" s="5306">
        <v>1.3</v>
      </c>
      <c r="U14" s="5306">
        <v>4.5999999999999996</v>
      </c>
      <c r="V14" s="5306">
        <v>9.3000000000000007</v>
      </c>
      <c r="W14" s="5306">
        <v>7</v>
      </c>
      <c r="X14" s="5306">
        <v>3.6</v>
      </c>
      <c r="Y14" s="5306">
        <v>8.1</v>
      </c>
      <c r="Z14" s="5329">
        <v>100</v>
      </c>
      <c r="AA14" s="5330"/>
      <c r="AB14" s="5333" t="s">
        <v>1927</v>
      </c>
      <c r="AC14" s="5334"/>
      <c r="AD14" s="5335"/>
    </row>
    <row r="15" spans="3:41" s="429" customFormat="1" ht="20.25" customHeight="1">
      <c r="C15" s="583"/>
      <c r="D15" s="5311"/>
      <c r="E15" s="5312"/>
      <c r="F15" s="5313"/>
      <c r="G15" s="5315"/>
      <c r="H15" s="5315"/>
      <c r="I15" s="5315"/>
      <c r="J15" s="5315"/>
      <c r="K15" s="5315"/>
      <c r="L15" s="5315"/>
      <c r="M15" s="5315"/>
      <c r="N15" s="5338"/>
      <c r="O15" s="5339"/>
      <c r="P15" s="5338"/>
      <c r="Q15" s="5341"/>
      <c r="R15" s="5307"/>
      <c r="S15" s="5307"/>
      <c r="T15" s="5307"/>
      <c r="U15" s="5307"/>
      <c r="V15" s="5307"/>
      <c r="W15" s="5307"/>
      <c r="X15" s="5307"/>
      <c r="Y15" s="5307"/>
      <c r="Z15" s="5331"/>
      <c r="AA15" s="5332"/>
      <c r="AB15" s="5303" t="s">
        <v>1888</v>
      </c>
      <c r="AC15" s="5304"/>
      <c r="AD15" s="5305"/>
    </row>
    <row r="16" spans="3:41" s="34" customFormat="1" ht="24.95" customHeight="1">
      <c r="D16" s="5322">
        <v>1975</v>
      </c>
      <c r="E16" s="5323"/>
      <c r="F16" s="5324"/>
      <c r="G16" s="67">
        <v>77</v>
      </c>
      <c r="H16" s="67">
        <v>83.3</v>
      </c>
      <c r="I16" s="67">
        <v>90.3</v>
      </c>
      <c r="J16" s="67">
        <v>62.1</v>
      </c>
      <c r="K16" s="67">
        <v>64.7</v>
      </c>
      <c r="L16" s="67">
        <v>78.900000000000006</v>
      </c>
      <c r="M16" s="67">
        <v>88.4</v>
      </c>
      <c r="N16" s="164">
        <v>83.5</v>
      </c>
      <c r="O16" s="164"/>
      <c r="P16" s="67">
        <v>85.9</v>
      </c>
      <c r="Q16" s="537">
        <v>76</v>
      </c>
      <c r="R16" s="537">
        <v>77.900000000000006</v>
      </c>
      <c r="S16" s="537">
        <v>100.6</v>
      </c>
      <c r="T16" s="537">
        <v>89.1</v>
      </c>
      <c r="U16" s="537">
        <v>104.5</v>
      </c>
      <c r="V16" s="537">
        <v>78.2</v>
      </c>
      <c r="W16" s="537">
        <v>46.4</v>
      </c>
      <c r="X16" s="537">
        <v>41.4</v>
      </c>
      <c r="Y16" s="537">
        <v>70.8</v>
      </c>
      <c r="Z16" s="5325">
        <v>73</v>
      </c>
      <c r="AA16" s="5325"/>
      <c r="AB16" s="5326">
        <v>1975</v>
      </c>
      <c r="AC16" s="5327"/>
      <c r="AD16" s="5328"/>
    </row>
    <row r="17" spans="4:30" s="34" customFormat="1" ht="24.95" customHeight="1">
      <c r="D17" s="5316">
        <v>1976</v>
      </c>
      <c r="E17" s="5154"/>
      <c r="F17" s="5317"/>
      <c r="G17" s="71">
        <v>84.3</v>
      </c>
      <c r="H17" s="71">
        <v>91.8</v>
      </c>
      <c r="I17" s="71">
        <v>94.3</v>
      </c>
      <c r="J17" s="71">
        <v>68.2</v>
      </c>
      <c r="K17" s="71">
        <v>80.5</v>
      </c>
      <c r="L17" s="71">
        <v>79</v>
      </c>
      <c r="M17" s="71">
        <v>86.4</v>
      </c>
      <c r="N17" s="55">
        <v>85.2</v>
      </c>
      <c r="O17" s="55"/>
      <c r="P17" s="71">
        <v>86.5</v>
      </c>
      <c r="Q17" s="463">
        <v>83.6</v>
      </c>
      <c r="R17" s="463">
        <v>81.900000000000006</v>
      </c>
      <c r="S17" s="463">
        <v>101.5</v>
      </c>
      <c r="T17" s="463">
        <v>84.6</v>
      </c>
      <c r="U17" s="463">
        <v>110.6</v>
      </c>
      <c r="V17" s="463">
        <v>81.8</v>
      </c>
      <c r="W17" s="463">
        <v>68.5</v>
      </c>
      <c r="X17" s="463">
        <v>73</v>
      </c>
      <c r="Y17" s="463">
        <v>89.4</v>
      </c>
      <c r="Z17" s="5318">
        <v>83.4</v>
      </c>
      <c r="AA17" s="5318"/>
      <c r="AB17" s="5319">
        <v>1976</v>
      </c>
      <c r="AC17" s="5320"/>
      <c r="AD17" s="5321"/>
    </row>
    <row r="18" spans="4:30" s="34" customFormat="1" ht="24.95" customHeight="1">
      <c r="D18" s="5322">
        <v>1977</v>
      </c>
      <c r="E18" s="5323"/>
      <c r="F18" s="5324"/>
      <c r="G18" s="67">
        <v>89.8</v>
      </c>
      <c r="H18" s="67">
        <v>96.7</v>
      </c>
      <c r="I18" s="67">
        <v>99.5</v>
      </c>
      <c r="J18" s="67">
        <v>71.5</v>
      </c>
      <c r="K18" s="67">
        <v>84.9</v>
      </c>
      <c r="L18" s="67">
        <v>84.2</v>
      </c>
      <c r="M18" s="67">
        <v>90.8</v>
      </c>
      <c r="N18" s="164">
        <v>102.9</v>
      </c>
      <c r="O18" s="164"/>
      <c r="P18" s="67">
        <v>97.9</v>
      </c>
      <c r="Q18" s="537">
        <v>89</v>
      </c>
      <c r="R18" s="537">
        <v>87</v>
      </c>
      <c r="S18" s="537">
        <v>105.1</v>
      </c>
      <c r="T18" s="537">
        <v>84.6</v>
      </c>
      <c r="U18" s="537">
        <v>111.6</v>
      </c>
      <c r="V18" s="537">
        <v>91.5</v>
      </c>
      <c r="W18" s="537">
        <v>78.8</v>
      </c>
      <c r="X18" s="537">
        <v>80.599999999999994</v>
      </c>
      <c r="Y18" s="537">
        <v>94.1</v>
      </c>
      <c r="Z18" s="5325">
        <v>89.1</v>
      </c>
      <c r="AA18" s="5325"/>
      <c r="AB18" s="5326">
        <v>1977</v>
      </c>
      <c r="AC18" s="5327"/>
      <c r="AD18" s="5328"/>
    </row>
    <row r="19" spans="4:30" s="34" customFormat="1" ht="24.95" customHeight="1">
      <c r="D19" s="5316">
        <v>1978</v>
      </c>
      <c r="E19" s="5154"/>
      <c r="F19" s="5317"/>
      <c r="G19" s="71">
        <v>96.1</v>
      </c>
      <c r="H19" s="71">
        <v>95.3</v>
      </c>
      <c r="I19" s="71">
        <v>100.1</v>
      </c>
      <c r="J19" s="71">
        <v>75.099999999999994</v>
      </c>
      <c r="K19" s="71">
        <v>91.5</v>
      </c>
      <c r="L19" s="71">
        <v>90.1</v>
      </c>
      <c r="M19" s="71">
        <v>98.1</v>
      </c>
      <c r="N19" s="55">
        <v>89.4</v>
      </c>
      <c r="O19" s="55"/>
      <c r="P19" s="71">
        <v>99</v>
      </c>
      <c r="Q19" s="463">
        <v>93.3</v>
      </c>
      <c r="R19" s="463">
        <v>94.1</v>
      </c>
      <c r="S19" s="463">
        <v>99.7</v>
      </c>
      <c r="T19" s="463">
        <v>91.4</v>
      </c>
      <c r="U19" s="463">
        <v>103.4</v>
      </c>
      <c r="V19" s="463">
        <v>97.1</v>
      </c>
      <c r="W19" s="463">
        <v>99.2</v>
      </c>
      <c r="X19" s="463">
        <v>95.2</v>
      </c>
      <c r="Y19" s="463">
        <v>94</v>
      </c>
      <c r="Z19" s="5318">
        <v>93.9</v>
      </c>
      <c r="AA19" s="5318"/>
      <c r="AB19" s="5319">
        <v>1978</v>
      </c>
      <c r="AC19" s="5320"/>
      <c r="AD19" s="5321"/>
    </row>
    <row r="20" spans="4:30" s="34" customFormat="1" ht="24.95" customHeight="1">
      <c r="D20" s="5322">
        <v>1979</v>
      </c>
      <c r="E20" s="5323"/>
      <c r="F20" s="5324"/>
      <c r="G20" s="67">
        <v>100</v>
      </c>
      <c r="H20" s="67">
        <v>100</v>
      </c>
      <c r="I20" s="67">
        <v>100</v>
      </c>
      <c r="J20" s="67">
        <v>100</v>
      </c>
      <c r="K20" s="67">
        <v>100</v>
      </c>
      <c r="L20" s="67">
        <v>100</v>
      </c>
      <c r="M20" s="67">
        <v>100</v>
      </c>
      <c r="N20" s="164">
        <v>100</v>
      </c>
      <c r="O20" s="164"/>
      <c r="P20" s="67">
        <v>100</v>
      </c>
      <c r="Q20" s="537">
        <v>100</v>
      </c>
      <c r="R20" s="537">
        <v>100</v>
      </c>
      <c r="S20" s="537">
        <v>100</v>
      </c>
      <c r="T20" s="537">
        <v>100</v>
      </c>
      <c r="U20" s="537">
        <v>100</v>
      </c>
      <c r="V20" s="537">
        <v>100</v>
      </c>
      <c r="W20" s="537">
        <v>100</v>
      </c>
      <c r="X20" s="537">
        <v>100</v>
      </c>
      <c r="Y20" s="537">
        <v>100</v>
      </c>
      <c r="Z20" s="5325">
        <v>100</v>
      </c>
      <c r="AA20" s="5325"/>
      <c r="AB20" s="5326">
        <v>1979</v>
      </c>
      <c r="AC20" s="5327"/>
      <c r="AD20" s="5328"/>
    </row>
    <row r="21" spans="4:30" s="34" customFormat="1" ht="24.95" customHeight="1">
      <c r="D21" s="5316">
        <v>1980</v>
      </c>
      <c r="E21" s="5154"/>
      <c r="F21" s="5317"/>
      <c r="G21" s="71">
        <v>100</v>
      </c>
      <c r="H21" s="71">
        <v>102.9</v>
      </c>
      <c r="I21" s="71">
        <v>113.4</v>
      </c>
      <c r="J21" s="71">
        <v>170.5</v>
      </c>
      <c r="K21" s="71">
        <v>121.1</v>
      </c>
      <c r="L21" s="71">
        <v>133.19999999999999</v>
      </c>
      <c r="M21" s="71">
        <v>100.7</v>
      </c>
      <c r="N21" s="55">
        <v>110.8</v>
      </c>
      <c r="O21" s="55"/>
      <c r="P21" s="71">
        <v>100.4</v>
      </c>
      <c r="Q21" s="463">
        <v>105</v>
      </c>
      <c r="R21" s="463">
        <v>104.9</v>
      </c>
      <c r="S21" s="463">
        <v>110</v>
      </c>
      <c r="T21" s="463">
        <v>113.8</v>
      </c>
      <c r="U21" s="463">
        <v>109.7</v>
      </c>
      <c r="V21" s="463">
        <v>112.4</v>
      </c>
      <c r="W21" s="463">
        <v>106.1</v>
      </c>
      <c r="X21" s="463">
        <v>123.1</v>
      </c>
      <c r="Y21" s="463">
        <v>108</v>
      </c>
      <c r="Z21" s="5318">
        <v>114.9</v>
      </c>
      <c r="AA21" s="5318"/>
      <c r="AB21" s="5319">
        <v>1980</v>
      </c>
      <c r="AC21" s="5320"/>
      <c r="AD21" s="5321"/>
    </row>
    <row r="22" spans="4:30" s="34" customFormat="1" ht="24.95" customHeight="1">
      <c r="D22" s="5322">
        <v>1981</v>
      </c>
      <c r="E22" s="5323"/>
      <c r="F22" s="5324"/>
      <c r="G22" s="67">
        <v>105.4</v>
      </c>
      <c r="H22" s="67">
        <v>106</v>
      </c>
      <c r="I22" s="67">
        <v>118.7</v>
      </c>
      <c r="J22" s="67">
        <v>247.6</v>
      </c>
      <c r="K22" s="67">
        <v>124.7</v>
      </c>
      <c r="L22" s="67">
        <v>154.1</v>
      </c>
      <c r="M22" s="67">
        <v>102.2</v>
      </c>
      <c r="N22" s="164">
        <v>118.5</v>
      </c>
      <c r="O22" s="164"/>
      <c r="P22" s="67">
        <v>105.1</v>
      </c>
      <c r="Q22" s="537">
        <v>118.5</v>
      </c>
      <c r="R22" s="537">
        <v>117.3</v>
      </c>
      <c r="S22" s="537">
        <v>128.80000000000001</v>
      </c>
      <c r="T22" s="537">
        <v>119</v>
      </c>
      <c r="U22" s="537">
        <v>119.5</v>
      </c>
      <c r="V22" s="537">
        <v>131.69999999999999</v>
      </c>
      <c r="W22" s="537">
        <v>107.1</v>
      </c>
      <c r="X22" s="537">
        <v>109.9</v>
      </c>
      <c r="Y22" s="537">
        <v>105.7</v>
      </c>
      <c r="Z22" s="5325">
        <v>125.3</v>
      </c>
      <c r="AA22" s="5325"/>
      <c r="AB22" s="5326">
        <v>1981</v>
      </c>
      <c r="AC22" s="5327"/>
      <c r="AD22" s="5328"/>
    </row>
    <row r="23" spans="4:30" s="34" customFormat="1" ht="24.95" customHeight="1">
      <c r="D23" s="5316">
        <v>1982</v>
      </c>
      <c r="E23" s="5154"/>
      <c r="F23" s="5317"/>
      <c r="G23" s="71">
        <v>110.7</v>
      </c>
      <c r="H23" s="71">
        <v>111.5</v>
      </c>
      <c r="I23" s="71">
        <v>120.9</v>
      </c>
      <c r="J23" s="71">
        <v>281.10000000000002</v>
      </c>
      <c r="K23" s="71">
        <v>123.9</v>
      </c>
      <c r="L23" s="71">
        <v>143</v>
      </c>
      <c r="M23" s="71">
        <v>91.3</v>
      </c>
      <c r="N23" s="55">
        <v>125.3</v>
      </c>
      <c r="O23" s="55"/>
      <c r="P23" s="71">
        <v>111.5</v>
      </c>
      <c r="Q23" s="463">
        <v>113.9</v>
      </c>
      <c r="R23" s="463">
        <v>133.9</v>
      </c>
      <c r="S23" s="463">
        <v>129.6</v>
      </c>
      <c r="T23" s="463">
        <v>199.4</v>
      </c>
      <c r="U23" s="463">
        <v>127.9</v>
      </c>
      <c r="V23" s="463">
        <v>136.5</v>
      </c>
      <c r="W23" s="463">
        <v>106.1</v>
      </c>
      <c r="X23" s="463">
        <v>118.4</v>
      </c>
      <c r="Y23" s="463">
        <v>110.4</v>
      </c>
      <c r="Z23" s="5318">
        <v>129.30000000000001</v>
      </c>
      <c r="AA23" s="5318"/>
      <c r="AB23" s="5319">
        <v>1982</v>
      </c>
      <c r="AC23" s="5320"/>
      <c r="AD23" s="5321"/>
    </row>
    <row r="24" spans="4:30" s="34" customFormat="1" ht="24.95" customHeight="1">
      <c r="D24" s="5322">
        <v>1983</v>
      </c>
      <c r="E24" s="5323"/>
      <c r="F24" s="5324"/>
      <c r="G24" s="67">
        <v>121.8</v>
      </c>
      <c r="H24" s="67">
        <v>113.7</v>
      </c>
      <c r="I24" s="67">
        <v>120.2</v>
      </c>
      <c r="J24" s="67">
        <v>297.8</v>
      </c>
      <c r="K24" s="67">
        <v>126.3</v>
      </c>
      <c r="L24" s="67">
        <v>133.19999999999999</v>
      </c>
      <c r="M24" s="67">
        <v>86.9</v>
      </c>
      <c r="N24" s="164">
        <v>133.19999999999999</v>
      </c>
      <c r="O24" s="164"/>
      <c r="P24" s="67">
        <v>110.1</v>
      </c>
      <c r="Q24" s="537">
        <v>114.4</v>
      </c>
      <c r="R24" s="537">
        <v>177.7</v>
      </c>
      <c r="S24" s="537">
        <v>129.19999999999999</v>
      </c>
      <c r="T24" s="537">
        <v>199.4</v>
      </c>
      <c r="U24" s="537">
        <v>132.30000000000001</v>
      </c>
      <c r="V24" s="537">
        <v>136.69999999999999</v>
      </c>
      <c r="W24" s="537">
        <v>125.9</v>
      </c>
      <c r="X24" s="537">
        <v>137.19999999999999</v>
      </c>
      <c r="Y24" s="537">
        <v>109.7</v>
      </c>
      <c r="Z24" s="5325">
        <v>134.5</v>
      </c>
      <c r="AA24" s="5325"/>
      <c r="AB24" s="5326">
        <v>1983</v>
      </c>
      <c r="AC24" s="5327"/>
      <c r="AD24" s="5328"/>
    </row>
    <row r="25" spans="4:30" s="34" customFormat="1" ht="24.95" customHeight="1">
      <c r="D25" s="5316">
        <v>1984</v>
      </c>
      <c r="E25" s="5154"/>
      <c r="F25" s="5317"/>
      <c r="G25" s="71">
        <v>126.3</v>
      </c>
      <c r="H25" s="71">
        <v>113.8</v>
      </c>
      <c r="I25" s="71">
        <v>120.9</v>
      </c>
      <c r="J25" s="71">
        <v>298.8</v>
      </c>
      <c r="K25" s="71">
        <v>127.9</v>
      </c>
      <c r="L25" s="71">
        <v>131.19999999999999</v>
      </c>
      <c r="M25" s="71">
        <v>92.6</v>
      </c>
      <c r="N25" s="55">
        <v>139.9</v>
      </c>
      <c r="O25" s="55"/>
      <c r="P25" s="71">
        <v>108.4</v>
      </c>
      <c r="Q25" s="463">
        <v>112</v>
      </c>
      <c r="R25" s="463">
        <v>178.1</v>
      </c>
      <c r="S25" s="463">
        <v>134.69999999999999</v>
      </c>
      <c r="T25" s="463">
        <v>206.3</v>
      </c>
      <c r="U25" s="463">
        <v>134.69999999999999</v>
      </c>
      <c r="V25" s="463">
        <v>141.6</v>
      </c>
      <c r="W25" s="463">
        <v>132.30000000000001</v>
      </c>
      <c r="X25" s="463">
        <v>142</v>
      </c>
      <c r="Y25" s="463">
        <v>107.9</v>
      </c>
      <c r="Z25" s="5318">
        <v>136.69999999999999</v>
      </c>
      <c r="AA25" s="5318"/>
      <c r="AB25" s="5319">
        <v>1984</v>
      </c>
      <c r="AC25" s="5320"/>
      <c r="AD25" s="5321"/>
    </row>
    <row r="26" spans="4:30" s="34" customFormat="1" ht="24.95" customHeight="1">
      <c r="D26" s="5322">
        <v>1985</v>
      </c>
      <c r="E26" s="5323"/>
      <c r="F26" s="5324"/>
      <c r="G26" s="67">
        <v>131.19999999999999</v>
      </c>
      <c r="H26" s="67">
        <v>111.2</v>
      </c>
      <c r="I26" s="67">
        <v>121.2</v>
      </c>
      <c r="J26" s="67">
        <v>318.5</v>
      </c>
      <c r="K26" s="67">
        <v>127.9</v>
      </c>
      <c r="L26" s="67">
        <v>130.4</v>
      </c>
      <c r="M26" s="67">
        <v>93.2</v>
      </c>
      <c r="N26" s="164">
        <v>145.4</v>
      </c>
      <c r="O26" s="164"/>
      <c r="P26" s="67">
        <v>119.2</v>
      </c>
      <c r="Q26" s="537">
        <v>109.8</v>
      </c>
      <c r="R26" s="537">
        <v>205.2</v>
      </c>
      <c r="S26" s="537">
        <v>128.9</v>
      </c>
      <c r="T26" s="537">
        <v>245.7</v>
      </c>
      <c r="U26" s="537">
        <v>138</v>
      </c>
      <c r="V26" s="537">
        <v>136.1</v>
      </c>
      <c r="W26" s="537">
        <v>125.9</v>
      </c>
      <c r="X26" s="537">
        <v>127.1</v>
      </c>
      <c r="Y26" s="537">
        <v>121.9</v>
      </c>
      <c r="Z26" s="5325">
        <v>138.80000000000001</v>
      </c>
      <c r="AA26" s="5325"/>
      <c r="AB26" s="5326">
        <v>1985</v>
      </c>
      <c r="AC26" s="5327"/>
      <c r="AD26" s="5328"/>
    </row>
    <row r="27" spans="4:30" s="34" customFormat="1" ht="24.95" customHeight="1">
      <c r="D27" s="5316">
        <v>1986</v>
      </c>
      <c r="E27" s="5154"/>
      <c r="F27" s="5317"/>
      <c r="G27" s="71">
        <v>149.4</v>
      </c>
      <c r="H27" s="71">
        <v>119.5</v>
      </c>
      <c r="I27" s="71">
        <v>139.5</v>
      </c>
      <c r="J27" s="71">
        <v>318.5</v>
      </c>
      <c r="K27" s="71">
        <v>127.6</v>
      </c>
      <c r="L27" s="71">
        <v>128.6</v>
      </c>
      <c r="M27" s="71">
        <v>86.4</v>
      </c>
      <c r="N27" s="55">
        <v>145.4</v>
      </c>
      <c r="O27" s="55"/>
      <c r="P27" s="71">
        <v>125.3</v>
      </c>
      <c r="Q27" s="463">
        <v>104.6</v>
      </c>
      <c r="R27" s="463">
        <v>205.1</v>
      </c>
      <c r="S27" s="463">
        <v>129.19999999999999</v>
      </c>
      <c r="T27" s="463">
        <v>263.2</v>
      </c>
      <c r="U27" s="463">
        <v>143.1</v>
      </c>
      <c r="V27" s="463">
        <v>130.69999999999999</v>
      </c>
      <c r="W27" s="463">
        <v>123.5</v>
      </c>
      <c r="X27" s="463">
        <v>118.4</v>
      </c>
      <c r="Y27" s="463">
        <v>119.4</v>
      </c>
      <c r="Z27" s="5318">
        <v>138.4</v>
      </c>
      <c r="AA27" s="5318"/>
      <c r="AB27" s="5319">
        <v>1986</v>
      </c>
      <c r="AC27" s="5320"/>
      <c r="AD27" s="5321"/>
    </row>
    <row r="28" spans="4:30" s="34" customFormat="1" ht="24.95" customHeight="1">
      <c r="D28" s="5322">
        <v>1987</v>
      </c>
      <c r="E28" s="5323"/>
      <c r="F28" s="5324"/>
      <c r="G28" s="67">
        <v>163.69999999999999</v>
      </c>
      <c r="H28" s="67">
        <v>121.8</v>
      </c>
      <c r="I28" s="67">
        <v>140.80000000000001</v>
      </c>
      <c r="J28" s="67">
        <v>318.5</v>
      </c>
      <c r="K28" s="67">
        <v>122.6</v>
      </c>
      <c r="L28" s="67">
        <v>134.6</v>
      </c>
      <c r="M28" s="67">
        <v>90.6</v>
      </c>
      <c r="N28" s="164">
        <v>145.30000000000001</v>
      </c>
      <c r="O28" s="164"/>
      <c r="P28" s="67">
        <v>132.30000000000001</v>
      </c>
      <c r="Q28" s="537">
        <v>112.6</v>
      </c>
      <c r="R28" s="537">
        <v>226.1</v>
      </c>
      <c r="S28" s="537">
        <v>117.5</v>
      </c>
      <c r="T28" s="537">
        <v>263.89999999999998</v>
      </c>
      <c r="U28" s="537">
        <v>146.30000000000001</v>
      </c>
      <c r="V28" s="537">
        <v>131.69999999999999</v>
      </c>
      <c r="W28" s="537">
        <v>134.9</v>
      </c>
      <c r="X28" s="537">
        <v>106.7</v>
      </c>
      <c r="Y28" s="537">
        <v>123.3</v>
      </c>
      <c r="Z28" s="5325">
        <v>139.69999999999999</v>
      </c>
      <c r="AA28" s="5325"/>
      <c r="AB28" s="5326">
        <v>1987</v>
      </c>
      <c r="AC28" s="5327"/>
      <c r="AD28" s="5328"/>
    </row>
    <row r="29" spans="4:30" s="34" customFormat="1" ht="24.95" customHeight="1">
      <c r="D29" s="5316">
        <v>1988</v>
      </c>
      <c r="E29" s="5154"/>
      <c r="F29" s="5317"/>
      <c r="G29" s="71">
        <v>193.1</v>
      </c>
      <c r="H29" s="71">
        <v>149.69999999999999</v>
      </c>
      <c r="I29" s="71">
        <v>145.5</v>
      </c>
      <c r="J29" s="71">
        <v>318.5</v>
      </c>
      <c r="K29" s="71">
        <v>149.69999999999999</v>
      </c>
      <c r="L29" s="71">
        <v>159.80000000000001</v>
      </c>
      <c r="M29" s="71">
        <v>96.9</v>
      </c>
      <c r="N29" s="55">
        <v>144.5</v>
      </c>
      <c r="O29" s="55"/>
      <c r="P29" s="71">
        <v>148.69999999999999</v>
      </c>
      <c r="Q29" s="463">
        <v>125.1</v>
      </c>
      <c r="R29" s="463">
        <v>226.1</v>
      </c>
      <c r="S29" s="463">
        <v>117</v>
      </c>
      <c r="T29" s="463">
        <v>267</v>
      </c>
      <c r="U29" s="463">
        <v>155.1</v>
      </c>
      <c r="V29" s="463">
        <v>131.6</v>
      </c>
      <c r="W29" s="463">
        <v>156.1</v>
      </c>
      <c r="X29" s="463">
        <v>115.6</v>
      </c>
      <c r="Y29" s="463">
        <v>124.4</v>
      </c>
      <c r="Z29" s="5318">
        <v>152.80000000000001</v>
      </c>
      <c r="AA29" s="5318"/>
      <c r="AB29" s="5319">
        <v>1988</v>
      </c>
      <c r="AC29" s="5320"/>
      <c r="AD29" s="5321"/>
    </row>
    <row r="30" spans="4:30" s="34" customFormat="1" ht="24.95" customHeight="1">
      <c r="D30" s="5322">
        <v>1989</v>
      </c>
      <c r="E30" s="5323"/>
      <c r="F30" s="5324"/>
      <c r="G30" s="67">
        <v>315.89999999999998</v>
      </c>
      <c r="H30" s="67">
        <v>238.8</v>
      </c>
      <c r="I30" s="67">
        <v>205.6</v>
      </c>
      <c r="J30" s="67">
        <v>343.1</v>
      </c>
      <c r="K30" s="67">
        <v>213.4</v>
      </c>
      <c r="L30" s="67">
        <v>277.39999999999998</v>
      </c>
      <c r="M30" s="67">
        <v>182.3</v>
      </c>
      <c r="N30" s="164">
        <v>175.9</v>
      </c>
      <c r="O30" s="164"/>
      <c r="P30" s="67">
        <v>182.2</v>
      </c>
      <c r="Q30" s="537">
        <v>170.1</v>
      </c>
      <c r="R30" s="537">
        <v>270.7</v>
      </c>
      <c r="S30" s="537">
        <v>125.2</v>
      </c>
      <c r="T30" s="537">
        <v>312.8</v>
      </c>
      <c r="U30" s="537">
        <v>200.6</v>
      </c>
      <c r="V30" s="537">
        <v>157.1</v>
      </c>
      <c r="W30" s="537">
        <v>215.9</v>
      </c>
      <c r="X30" s="537">
        <v>178.1</v>
      </c>
      <c r="Y30" s="537">
        <v>145.6</v>
      </c>
      <c r="Z30" s="5325">
        <v>204.4</v>
      </c>
      <c r="AA30" s="5325"/>
      <c r="AB30" s="5326">
        <v>1989</v>
      </c>
      <c r="AC30" s="5327"/>
      <c r="AD30" s="5328"/>
    </row>
    <row r="31" spans="4:30" s="34" customFormat="1" ht="24.95" customHeight="1">
      <c r="D31" s="5316">
        <v>1990</v>
      </c>
      <c r="E31" s="5154"/>
      <c r="F31" s="5317"/>
      <c r="G31" s="71">
        <v>387.7</v>
      </c>
      <c r="H31" s="71">
        <v>278</v>
      </c>
      <c r="I31" s="71">
        <v>243.6</v>
      </c>
      <c r="J31" s="71">
        <v>353.2</v>
      </c>
      <c r="K31" s="71">
        <v>241.5</v>
      </c>
      <c r="L31" s="71">
        <v>343.3</v>
      </c>
      <c r="M31" s="71">
        <v>196.8</v>
      </c>
      <c r="N31" s="55">
        <v>219.4</v>
      </c>
      <c r="O31" s="55"/>
      <c r="P31" s="71">
        <v>193</v>
      </c>
      <c r="Q31" s="463">
        <v>198.8</v>
      </c>
      <c r="R31" s="463">
        <v>291.7</v>
      </c>
      <c r="S31" s="463">
        <v>163.69999999999999</v>
      </c>
      <c r="T31" s="463">
        <v>343</v>
      </c>
      <c r="U31" s="463">
        <v>248</v>
      </c>
      <c r="V31" s="463">
        <v>199.7</v>
      </c>
      <c r="W31" s="463">
        <v>213.4</v>
      </c>
      <c r="X31" s="463">
        <v>174.4</v>
      </c>
      <c r="Y31" s="463">
        <v>184.8</v>
      </c>
      <c r="Z31" s="5318">
        <v>233.8</v>
      </c>
      <c r="AA31" s="5318"/>
      <c r="AB31" s="5319">
        <v>1990</v>
      </c>
      <c r="AC31" s="5320"/>
      <c r="AD31" s="5321"/>
    </row>
    <row r="32" spans="4:30" s="34" customFormat="1" ht="24.95" customHeight="1">
      <c r="D32" s="5322">
        <v>1991</v>
      </c>
      <c r="E32" s="5323"/>
      <c r="F32" s="5324"/>
      <c r="G32" s="67">
        <v>421.9</v>
      </c>
      <c r="H32" s="67">
        <v>302.60000000000002</v>
      </c>
      <c r="I32" s="67">
        <v>251.9</v>
      </c>
      <c r="J32" s="67">
        <v>353.2</v>
      </c>
      <c r="K32" s="67">
        <v>238.1</v>
      </c>
      <c r="L32" s="67">
        <v>361.8</v>
      </c>
      <c r="M32" s="67">
        <v>194.2</v>
      </c>
      <c r="N32" s="164">
        <v>222.2</v>
      </c>
      <c r="O32" s="164"/>
      <c r="P32" s="67">
        <v>198.4</v>
      </c>
      <c r="Q32" s="537">
        <v>211.1</v>
      </c>
      <c r="R32" s="537">
        <v>297.2</v>
      </c>
      <c r="S32" s="537">
        <v>216</v>
      </c>
      <c r="T32" s="537">
        <v>388.1</v>
      </c>
      <c r="U32" s="537">
        <v>252.7</v>
      </c>
      <c r="V32" s="537">
        <v>205.9</v>
      </c>
      <c r="W32" s="537">
        <v>247.4</v>
      </c>
      <c r="X32" s="537">
        <v>205.5</v>
      </c>
      <c r="Y32" s="537">
        <v>191.1</v>
      </c>
      <c r="Z32" s="5325">
        <v>245.8</v>
      </c>
      <c r="AA32" s="5325"/>
      <c r="AB32" s="5326">
        <v>1991</v>
      </c>
      <c r="AC32" s="5327"/>
      <c r="AD32" s="5328"/>
    </row>
    <row r="33" spans="3:42" s="34" customFormat="1" ht="24.95" customHeight="1">
      <c r="D33" s="5316">
        <v>1992</v>
      </c>
      <c r="E33" s="5154"/>
      <c r="F33" s="5317"/>
      <c r="G33" s="71">
        <v>465</v>
      </c>
      <c r="H33" s="71">
        <v>274.7</v>
      </c>
      <c r="I33" s="71">
        <v>243.4</v>
      </c>
      <c r="J33" s="71">
        <v>415.3</v>
      </c>
      <c r="K33" s="71">
        <v>241.7</v>
      </c>
      <c r="L33" s="71">
        <v>363.3</v>
      </c>
      <c r="M33" s="71">
        <v>192</v>
      </c>
      <c r="N33" s="55">
        <v>229.7</v>
      </c>
      <c r="O33" s="55"/>
      <c r="P33" s="71">
        <v>226.9</v>
      </c>
      <c r="Q33" s="463">
        <v>243.9</v>
      </c>
      <c r="R33" s="463">
        <v>328.1</v>
      </c>
      <c r="S33" s="463">
        <v>223.8</v>
      </c>
      <c r="T33" s="463">
        <v>408.2</v>
      </c>
      <c r="U33" s="463">
        <v>247.3</v>
      </c>
      <c r="V33" s="463">
        <v>248.4</v>
      </c>
      <c r="W33" s="463">
        <v>222.6</v>
      </c>
      <c r="X33" s="463">
        <v>199</v>
      </c>
      <c r="Y33" s="463">
        <v>194.9</v>
      </c>
      <c r="Z33" s="5318">
        <v>257.7</v>
      </c>
      <c r="AA33" s="5318"/>
      <c r="AB33" s="5319">
        <v>1992</v>
      </c>
      <c r="AC33" s="5320"/>
      <c r="AD33" s="5321"/>
    </row>
    <row r="34" spans="3:42" s="34" customFormat="1" ht="5.25" customHeight="1">
      <c r="D34" s="478"/>
      <c r="E34" s="901"/>
      <c r="F34" s="902"/>
      <c r="G34" s="524"/>
      <c r="H34" s="524"/>
      <c r="I34" s="524"/>
      <c r="J34" s="524"/>
      <c r="K34" s="524"/>
      <c r="L34" s="524"/>
      <c r="M34" s="524"/>
      <c r="N34" s="903"/>
      <c r="O34" s="903"/>
      <c r="P34" s="524"/>
      <c r="Q34" s="904"/>
      <c r="R34" s="904"/>
      <c r="S34" s="904"/>
      <c r="T34" s="904"/>
      <c r="U34" s="904"/>
      <c r="V34" s="904"/>
      <c r="W34" s="904"/>
      <c r="X34" s="904"/>
      <c r="Y34" s="904"/>
      <c r="Z34" s="905"/>
      <c r="AA34" s="905"/>
      <c r="AB34" s="5342"/>
      <c r="AC34" s="5343"/>
      <c r="AD34" s="5344"/>
    </row>
    <row r="35" spans="3:42" s="174" customFormat="1" ht="6.95" customHeight="1">
      <c r="D35" s="425"/>
      <c r="E35" s="173"/>
      <c r="F35" s="173"/>
      <c r="G35" s="525"/>
      <c r="H35" s="525"/>
      <c r="I35" s="525"/>
      <c r="J35" s="525"/>
      <c r="K35" s="525"/>
      <c r="L35" s="525"/>
      <c r="M35" s="525"/>
      <c r="N35" s="906"/>
      <c r="O35" s="906"/>
      <c r="P35" s="525"/>
      <c r="Q35" s="907"/>
      <c r="R35" s="907"/>
      <c r="S35" s="907"/>
      <c r="T35" s="907"/>
      <c r="U35" s="907"/>
      <c r="V35" s="907"/>
      <c r="W35" s="907"/>
      <c r="X35" s="907"/>
      <c r="Y35" s="907"/>
      <c r="Z35" s="610"/>
      <c r="AA35" s="610"/>
      <c r="AB35" s="62"/>
      <c r="AC35" s="908"/>
      <c r="AD35" s="868"/>
    </row>
    <row r="36" spans="3:42" s="174" customFormat="1" ht="18.95" customHeight="1">
      <c r="D36" s="94" t="s">
        <v>2248</v>
      </c>
      <c r="E36" s="92"/>
      <c r="F36" s="92"/>
      <c r="G36" s="527"/>
      <c r="H36" s="527"/>
      <c r="I36" s="527"/>
      <c r="J36" s="527"/>
      <c r="K36" s="527"/>
      <c r="L36" s="527"/>
      <c r="M36" s="527"/>
      <c r="N36" s="112"/>
      <c r="O36" s="112"/>
      <c r="P36" s="527"/>
      <c r="Q36" s="909"/>
      <c r="R36" s="909"/>
      <c r="S36" s="909"/>
      <c r="T36" s="909"/>
      <c r="U36" s="909"/>
      <c r="V36" s="909"/>
      <c r="W36" s="909"/>
      <c r="X36" s="909"/>
      <c r="Y36" s="909"/>
      <c r="Z36" s="616"/>
      <c r="AA36" s="616"/>
      <c r="AB36" s="470"/>
      <c r="AC36" s="910"/>
      <c r="AD36" s="868" t="s">
        <v>2249</v>
      </c>
    </row>
    <row r="37" spans="3:42" s="917" customFormat="1" ht="18.95" customHeight="1">
      <c r="C37" s="872"/>
      <c r="D37" s="38" t="s">
        <v>2250</v>
      </c>
      <c r="E37" s="431"/>
      <c r="F37" s="431"/>
      <c r="G37" s="431"/>
      <c r="H37" s="874"/>
      <c r="I37" s="874"/>
      <c r="J37" s="874"/>
      <c r="K37" s="874"/>
      <c r="L37" s="874"/>
      <c r="M37" s="874"/>
      <c r="N37" s="874"/>
      <c r="O37" s="874"/>
      <c r="P37" s="874"/>
      <c r="Q37" s="911"/>
      <c r="R37" s="912"/>
      <c r="S37" s="912"/>
      <c r="T37" s="912"/>
      <c r="U37" s="913"/>
      <c r="V37" s="912"/>
      <c r="W37" s="912"/>
      <c r="X37" s="912"/>
      <c r="Y37" s="913"/>
      <c r="Z37" s="913"/>
      <c r="AA37" s="913"/>
      <c r="AB37" s="913"/>
      <c r="AC37" s="914"/>
      <c r="AD37" s="915" t="s">
        <v>2250</v>
      </c>
      <c r="AE37" s="916"/>
      <c r="AF37" s="916"/>
      <c r="AG37" s="916"/>
      <c r="AH37" s="916"/>
      <c r="AI37" s="916"/>
      <c r="AJ37" s="916"/>
      <c r="AK37" s="916"/>
      <c r="AL37" s="916"/>
      <c r="AM37" s="916"/>
      <c r="AN37" s="916"/>
      <c r="AO37" s="916"/>
    </row>
    <row r="38" spans="3:42" s="18" customFormat="1" ht="9" customHeight="1">
      <c r="D38" s="42"/>
      <c r="E38" s="520"/>
      <c r="F38" s="520"/>
      <c r="G38" s="156"/>
      <c r="H38" s="156"/>
      <c r="I38" s="157"/>
      <c r="J38" s="44"/>
      <c r="K38" s="193"/>
      <c r="L38" s="156"/>
      <c r="M38" s="44"/>
      <c r="N38" s="44"/>
      <c r="O38" s="398"/>
      <c r="P38" s="531"/>
      <c r="Q38" s="918"/>
      <c r="R38" s="455"/>
      <c r="S38" s="919"/>
      <c r="T38" s="887"/>
      <c r="U38" s="920"/>
      <c r="V38" s="887"/>
      <c r="W38" s="455"/>
      <c r="X38" s="921"/>
      <c r="Y38" s="922"/>
      <c r="Z38" s="922"/>
      <c r="AA38" s="923"/>
      <c r="AB38" s="455"/>
      <c r="AC38" s="455"/>
      <c r="AD38" s="456"/>
    </row>
    <row r="39" spans="3:42" ht="21" customHeight="1">
      <c r="C39" s="18"/>
      <c r="D39" s="147"/>
      <c r="E39" s="471"/>
      <c r="F39" s="471"/>
      <c r="G39" s="104"/>
      <c r="H39" s="104"/>
      <c r="I39" s="6"/>
      <c r="J39" s="146"/>
      <c r="K39" s="145"/>
      <c r="L39" s="104"/>
      <c r="M39" s="146"/>
      <c r="N39" s="146"/>
      <c r="O39" s="7" t="s">
        <v>2179</v>
      </c>
      <c r="P39" s="638"/>
      <c r="Q39" s="924"/>
      <c r="R39" s="479"/>
      <c r="S39" s="925" t="s">
        <v>2251</v>
      </c>
      <c r="T39" s="461"/>
      <c r="U39" s="926"/>
      <c r="V39" s="461"/>
      <c r="W39" s="927"/>
      <c r="X39" s="928" t="s">
        <v>2252</v>
      </c>
      <c r="Y39" s="929"/>
      <c r="Z39" s="929"/>
      <c r="AA39" s="930"/>
      <c r="AB39" s="479"/>
      <c r="AC39" s="479"/>
      <c r="AD39" s="931"/>
      <c r="AE39" s="18"/>
      <c r="AF39" s="18"/>
      <c r="AG39" s="18"/>
      <c r="AH39" s="18"/>
      <c r="AI39" s="18"/>
      <c r="AJ39" s="18"/>
      <c r="AK39" s="18"/>
      <c r="AL39" s="18"/>
      <c r="AM39" s="18"/>
      <c r="AP39" s="18"/>
    </row>
    <row r="40" spans="3:42" s="138" customFormat="1" ht="21" customHeight="1">
      <c r="D40" s="190"/>
      <c r="E40" s="7"/>
      <c r="F40" s="7"/>
      <c r="G40" s="104"/>
      <c r="H40" s="6" t="s">
        <v>1598</v>
      </c>
      <c r="I40" s="6" t="s">
        <v>1764</v>
      </c>
      <c r="J40" s="6" t="s">
        <v>663</v>
      </c>
      <c r="K40" s="104"/>
      <c r="L40" s="535" t="s">
        <v>1906</v>
      </c>
      <c r="M40" s="104"/>
      <c r="N40" s="104"/>
      <c r="O40" s="7" t="s">
        <v>2253</v>
      </c>
      <c r="P40" s="442"/>
      <c r="Q40" s="890"/>
      <c r="R40" s="932" t="s">
        <v>2226</v>
      </c>
      <c r="S40" s="933" t="s">
        <v>2222</v>
      </c>
      <c r="T40" s="933"/>
      <c r="U40" s="933"/>
      <c r="V40" s="933" t="s">
        <v>1798</v>
      </c>
      <c r="W40" s="933"/>
      <c r="X40" s="934"/>
      <c r="Y40" s="459" t="s">
        <v>1897</v>
      </c>
      <c r="Z40" s="460"/>
      <c r="AA40" s="935" t="s">
        <v>1760</v>
      </c>
      <c r="AB40" s="480"/>
      <c r="AC40" s="480"/>
      <c r="AD40" s="893"/>
    </row>
    <row r="41" spans="3:42" s="138" customFormat="1" ht="21" customHeight="1">
      <c r="D41" s="5107"/>
      <c r="E41" s="5110"/>
      <c r="F41" s="5108"/>
      <c r="G41" s="6" t="s">
        <v>1314</v>
      </c>
      <c r="H41" s="6" t="s">
        <v>2254</v>
      </c>
      <c r="I41" s="6" t="s">
        <v>2255</v>
      </c>
      <c r="J41" s="6" t="s">
        <v>2256</v>
      </c>
      <c r="K41" s="6" t="s">
        <v>1348</v>
      </c>
      <c r="L41" s="6" t="s">
        <v>2257</v>
      </c>
      <c r="M41" s="6" t="s">
        <v>1317</v>
      </c>
      <c r="N41" s="6"/>
      <c r="O41" s="7" t="s">
        <v>2258</v>
      </c>
      <c r="P41" s="442"/>
      <c r="Q41" s="890" t="s">
        <v>2259</v>
      </c>
      <c r="R41" s="932" t="s">
        <v>2233</v>
      </c>
      <c r="S41" s="936" t="s">
        <v>2227</v>
      </c>
      <c r="T41" s="936" t="s">
        <v>2176</v>
      </c>
      <c r="U41" s="936" t="s">
        <v>2183</v>
      </c>
      <c r="V41" s="936" t="s">
        <v>2228</v>
      </c>
      <c r="W41" s="936" t="s">
        <v>2191</v>
      </c>
      <c r="X41" s="937"/>
      <c r="Y41" s="459" t="s">
        <v>2260</v>
      </c>
      <c r="Z41" s="459" t="s">
        <v>2223</v>
      </c>
      <c r="AA41" s="935" t="s">
        <v>1761</v>
      </c>
      <c r="AB41" s="5303"/>
      <c r="AC41" s="5304"/>
      <c r="AD41" s="5305"/>
    </row>
    <row r="42" spans="3:42" s="138" customFormat="1" ht="21" customHeight="1">
      <c r="D42" s="5107"/>
      <c r="E42" s="5110"/>
      <c r="F42" s="5108"/>
      <c r="G42" s="6" t="s">
        <v>330</v>
      </c>
      <c r="H42" s="6" t="s">
        <v>2261</v>
      </c>
      <c r="I42" s="6" t="s">
        <v>2262</v>
      </c>
      <c r="J42" s="6" t="s">
        <v>2263</v>
      </c>
      <c r="K42" s="6" t="s">
        <v>1349</v>
      </c>
      <c r="L42" s="6" t="s">
        <v>2264</v>
      </c>
      <c r="M42" s="6" t="s">
        <v>1321</v>
      </c>
      <c r="N42" s="6" t="s">
        <v>2230</v>
      </c>
      <c r="O42" s="7" t="s">
        <v>2265</v>
      </c>
      <c r="P42" s="5" t="s">
        <v>1969</v>
      </c>
      <c r="Q42" s="890" t="s">
        <v>2224</v>
      </c>
      <c r="R42" s="932" t="s">
        <v>2266</v>
      </c>
      <c r="S42" s="936" t="s">
        <v>98</v>
      </c>
      <c r="T42" s="936" t="s">
        <v>2189</v>
      </c>
      <c r="U42" s="936" t="s">
        <v>2267</v>
      </c>
      <c r="V42" s="936" t="s">
        <v>2234</v>
      </c>
      <c r="W42" s="936" t="s">
        <v>2268</v>
      </c>
      <c r="X42" s="457" t="s">
        <v>1769</v>
      </c>
      <c r="Y42" s="459" t="s">
        <v>2269</v>
      </c>
      <c r="Z42" s="459" t="s">
        <v>668</v>
      </c>
      <c r="AA42" s="935" t="s">
        <v>395</v>
      </c>
      <c r="AB42" s="5303"/>
      <c r="AC42" s="5304"/>
      <c r="AD42" s="5305"/>
    </row>
    <row r="43" spans="3:42" s="138" customFormat="1" ht="21" customHeight="1">
      <c r="D43" s="190"/>
      <c r="E43" s="7"/>
      <c r="F43" s="7"/>
      <c r="G43" s="145"/>
      <c r="H43" s="6" t="s">
        <v>2270</v>
      </c>
      <c r="I43" s="6" t="s">
        <v>2271</v>
      </c>
      <c r="J43" s="6"/>
      <c r="K43" s="6" t="s">
        <v>1528</v>
      </c>
      <c r="L43" s="6" t="s">
        <v>1587</v>
      </c>
      <c r="M43" s="6" t="s">
        <v>2237</v>
      </c>
      <c r="N43" s="6"/>
      <c r="O43" s="7"/>
      <c r="P43" s="5"/>
      <c r="Q43" s="890" t="s">
        <v>8</v>
      </c>
      <c r="R43" s="932" t="s">
        <v>2272</v>
      </c>
      <c r="S43" s="936"/>
      <c r="T43" s="938" t="s">
        <v>1861</v>
      </c>
      <c r="U43" s="936" t="s">
        <v>1780</v>
      </c>
      <c r="V43" s="936" t="s">
        <v>2238</v>
      </c>
      <c r="W43" s="936" t="s">
        <v>1789</v>
      </c>
      <c r="X43" s="937"/>
      <c r="Y43" s="459" t="s">
        <v>2273</v>
      </c>
      <c r="Z43" s="459"/>
      <c r="AA43" s="935"/>
      <c r="AB43" s="457"/>
      <c r="AC43" s="457"/>
      <c r="AD43" s="458"/>
    </row>
    <row r="44" spans="3:42" s="139" customFormat="1" ht="21" customHeight="1">
      <c r="C44" s="138"/>
      <c r="D44" s="190"/>
      <c r="E44" s="7"/>
      <c r="F44" s="7"/>
      <c r="G44" s="6" t="s">
        <v>119</v>
      </c>
      <c r="H44" s="6" t="s">
        <v>1416</v>
      </c>
      <c r="I44" s="6" t="s">
        <v>1355</v>
      </c>
      <c r="J44" s="6" t="s">
        <v>2274</v>
      </c>
      <c r="K44" s="6" t="s">
        <v>2275</v>
      </c>
      <c r="L44" s="6" t="s">
        <v>2276</v>
      </c>
      <c r="M44" s="6" t="s">
        <v>2239</v>
      </c>
      <c r="N44" s="6"/>
      <c r="O44" s="7" t="s">
        <v>2277</v>
      </c>
      <c r="P44" s="5" t="s">
        <v>2241</v>
      </c>
      <c r="Q44" s="890" t="s">
        <v>1696</v>
      </c>
      <c r="R44" s="932" t="s">
        <v>2278</v>
      </c>
      <c r="S44" s="936" t="s">
        <v>119</v>
      </c>
      <c r="T44" s="936" t="s">
        <v>127</v>
      </c>
      <c r="U44" s="936"/>
      <c r="V44" s="936" t="s">
        <v>1806</v>
      </c>
      <c r="W44" s="936" t="s">
        <v>2279</v>
      </c>
      <c r="X44" s="937"/>
      <c r="Y44" s="459" t="s">
        <v>2280</v>
      </c>
      <c r="Z44" s="459" t="s">
        <v>1411</v>
      </c>
      <c r="AA44" s="935" t="s">
        <v>401</v>
      </c>
      <c r="AB44" s="457"/>
      <c r="AC44" s="457"/>
      <c r="AD44" s="45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</row>
    <row r="45" spans="3:42" s="138" customFormat="1" ht="21" customHeight="1">
      <c r="D45" s="5107"/>
      <c r="E45" s="5110"/>
      <c r="F45" s="5108"/>
      <c r="G45" s="133" t="s">
        <v>1329</v>
      </c>
      <c r="H45" s="133" t="s">
        <v>1422</v>
      </c>
      <c r="I45" s="133" t="s">
        <v>2281</v>
      </c>
      <c r="J45" s="133" t="s">
        <v>2282</v>
      </c>
      <c r="K45" s="133" t="s">
        <v>468</v>
      </c>
      <c r="L45" s="133" t="s">
        <v>2283</v>
      </c>
      <c r="M45" s="133" t="s">
        <v>1330</v>
      </c>
      <c r="N45" s="133" t="s">
        <v>1864</v>
      </c>
      <c r="O45" s="7" t="s">
        <v>2284</v>
      </c>
      <c r="P45" s="152" t="s">
        <v>468</v>
      </c>
      <c r="Q45" s="939" t="s">
        <v>2285</v>
      </c>
      <c r="R45" s="940" t="s">
        <v>1859</v>
      </c>
      <c r="S45" s="941" t="s">
        <v>2244</v>
      </c>
      <c r="T45" s="941" t="s">
        <v>1409</v>
      </c>
      <c r="U45" s="941" t="s">
        <v>2286</v>
      </c>
      <c r="V45" s="941" t="s">
        <v>2245</v>
      </c>
      <c r="W45" s="941" t="s">
        <v>2212</v>
      </c>
      <c r="X45" s="457" t="s">
        <v>401</v>
      </c>
      <c r="Y45" s="459" t="s">
        <v>2287</v>
      </c>
      <c r="Z45" s="459" t="s">
        <v>2242</v>
      </c>
      <c r="AA45" s="935" t="s">
        <v>1495</v>
      </c>
      <c r="AB45" s="5303"/>
      <c r="AC45" s="5304"/>
      <c r="AD45" s="5305"/>
    </row>
    <row r="46" spans="3:42" s="942" customFormat="1" ht="21" customHeight="1">
      <c r="D46" s="5308" t="s">
        <v>1926</v>
      </c>
      <c r="E46" s="5309"/>
      <c r="F46" s="5310"/>
      <c r="G46" s="5124">
        <v>0.15679999999999999</v>
      </c>
      <c r="H46" s="5124">
        <v>8.4869000000000003</v>
      </c>
      <c r="I46" s="5124">
        <v>0.58089999999999997</v>
      </c>
      <c r="J46" s="5124">
        <v>5.9874000000000001</v>
      </c>
      <c r="K46" s="5124">
        <v>0.35659999999999997</v>
      </c>
      <c r="L46" s="5124">
        <v>0.7601</v>
      </c>
      <c r="M46" s="5124">
        <v>12.4717</v>
      </c>
      <c r="N46" s="5124">
        <v>3.3879000000000001</v>
      </c>
      <c r="O46" s="5124">
        <v>3.9215</v>
      </c>
      <c r="P46" s="5146">
        <v>0.60429999999999995</v>
      </c>
      <c r="Q46" s="5351">
        <v>1.6403000000000001</v>
      </c>
      <c r="R46" s="5345">
        <v>1.0105</v>
      </c>
      <c r="S46" s="5349">
        <v>2.0261</v>
      </c>
      <c r="T46" s="5349">
        <v>1.4456</v>
      </c>
      <c r="U46" s="5349">
        <v>2.1566000000000001</v>
      </c>
      <c r="V46" s="5349">
        <v>0.77559999999999996</v>
      </c>
      <c r="W46" s="5349">
        <v>11.037699999999999</v>
      </c>
      <c r="X46" s="5345">
        <v>17.441600000000001</v>
      </c>
      <c r="Y46" s="5345">
        <v>35.0458</v>
      </c>
      <c r="Z46" s="5345">
        <v>8.1477000000000004</v>
      </c>
      <c r="AA46" s="5347">
        <v>100</v>
      </c>
      <c r="AB46" s="5333" t="s">
        <v>1927</v>
      </c>
      <c r="AC46" s="5334"/>
      <c r="AD46" s="5335"/>
    </row>
    <row r="47" spans="3:42" s="429" customFormat="1" ht="27.75" customHeight="1">
      <c r="C47" s="583"/>
      <c r="D47" s="5311"/>
      <c r="E47" s="5312"/>
      <c r="F47" s="5313"/>
      <c r="G47" s="5125"/>
      <c r="H47" s="5125"/>
      <c r="I47" s="5125"/>
      <c r="J47" s="5125"/>
      <c r="K47" s="5125"/>
      <c r="L47" s="5125"/>
      <c r="M47" s="5125"/>
      <c r="N47" s="5125"/>
      <c r="O47" s="5125"/>
      <c r="P47" s="5147"/>
      <c r="Q47" s="5352"/>
      <c r="R47" s="5346"/>
      <c r="S47" s="5350"/>
      <c r="T47" s="5350"/>
      <c r="U47" s="5350"/>
      <c r="V47" s="5350"/>
      <c r="W47" s="5350"/>
      <c r="X47" s="5346"/>
      <c r="Y47" s="5346"/>
      <c r="Z47" s="5346"/>
      <c r="AA47" s="5348"/>
      <c r="AB47" s="5303" t="s">
        <v>1888</v>
      </c>
      <c r="AC47" s="5304"/>
      <c r="AD47" s="5305"/>
    </row>
    <row r="48" spans="3:42" ht="24.95" customHeight="1">
      <c r="D48" s="5355">
        <v>1993</v>
      </c>
      <c r="E48" s="5157"/>
      <c r="F48" s="5157"/>
      <c r="G48" s="664">
        <v>103.3</v>
      </c>
      <c r="H48" s="943">
        <v>99.8</v>
      </c>
      <c r="I48" s="943">
        <v>92.9</v>
      </c>
      <c r="J48" s="943">
        <v>100</v>
      </c>
      <c r="K48" s="943">
        <v>106.3</v>
      </c>
      <c r="L48" s="943">
        <v>105.3</v>
      </c>
      <c r="M48" s="943">
        <v>106.4</v>
      </c>
      <c r="N48" s="943">
        <v>90.4</v>
      </c>
      <c r="O48" s="943">
        <v>110.5</v>
      </c>
      <c r="P48" s="943">
        <v>86.3</v>
      </c>
      <c r="Q48" s="944">
        <v>100</v>
      </c>
      <c r="R48" s="944">
        <v>102</v>
      </c>
      <c r="S48" s="944">
        <v>104.8</v>
      </c>
      <c r="T48" s="944">
        <v>106.5</v>
      </c>
      <c r="U48" s="944">
        <v>96.1</v>
      </c>
      <c r="V48" s="944">
        <v>104.2</v>
      </c>
      <c r="W48" s="944">
        <v>94.9</v>
      </c>
      <c r="X48" s="944">
        <v>97.6</v>
      </c>
      <c r="Y48" s="944">
        <v>106.4</v>
      </c>
      <c r="Z48" s="944">
        <v>109.6</v>
      </c>
      <c r="AA48" s="945">
        <v>103.4</v>
      </c>
      <c r="AB48" s="5356">
        <v>1993</v>
      </c>
      <c r="AC48" s="5356"/>
      <c r="AD48" s="5357"/>
      <c r="AN48" s="1"/>
      <c r="AP48" s="18"/>
    </row>
    <row r="49" spans="4:42" ht="24.95" customHeight="1">
      <c r="D49" s="5316">
        <v>1994</v>
      </c>
      <c r="E49" s="5154"/>
      <c r="F49" s="5154"/>
      <c r="G49" s="178">
        <v>102.3</v>
      </c>
      <c r="H49" s="71">
        <v>97.1</v>
      </c>
      <c r="I49" s="71">
        <v>95.4</v>
      </c>
      <c r="J49" s="71">
        <v>100</v>
      </c>
      <c r="K49" s="71">
        <v>106.5</v>
      </c>
      <c r="L49" s="71">
        <v>105.3</v>
      </c>
      <c r="M49" s="71">
        <v>107.3</v>
      </c>
      <c r="N49" s="71">
        <v>91.4</v>
      </c>
      <c r="O49" s="71">
        <v>118</v>
      </c>
      <c r="P49" s="71">
        <v>86.3</v>
      </c>
      <c r="Q49" s="946">
        <v>100</v>
      </c>
      <c r="R49" s="946">
        <v>99.1</v>
      </c>
      <c r="S49" s="946">
        <v>115.7</v>
      </c>
      <c r="T49" s="946">
        <v>113.6</v>
      </c>
      <c r="U49" s="946">
        <v>96.2</v>
      </c>
      <c r="V49" s="946">
        <v>110.8</v>
      </c>
      <c r="W49" s="946">
        <v>133.30000000000001</v>
      </c>
      <c r="X49" s="946">
        <v>124</v>
      </c>
      <c r="Y49" s="946">
        <v>106.4</v>
      </c>
      <c r="Z49" s="946">
        <v>111.4</v>
      </c>
      <c r="AA49" s="947">
        <v>108.4</v>
      </c>
      <c r="AB49" s="5353">
        <v>1994</v>
      </c>
      <c r="AC49" s="5353"/>
      <c r="AD49" s="5354"/>
      <c r="AN49" s="1"/>
      <c r="AP49" s="18"/>
    </row>
    <row r="50" spans="4:42" ht="24.95" customHeight="1">
      <c r="D50" s="5355">
        <v>1995</v>
      </c>
      <c r="E50" s="5157"/>
      <c r="F50" s="5157"/>
      <c r="G50" s="665">
        <v>110.125</v>
      </c>
      <c r="H50" s="67">
        <v>98.266666666666652</v>
      </c>
      <c r="I50" s="67">
        <v>90.316666666666663</v>
      </c>
      <c r="J50" s="67">
        <v>100</v>
      </c>
      <c r="K50" s="67">
        <v>105.77500000000001</v>
      </c>
      <c r="L50" s="67">
        <v>109.26666666666665</v>
      </c>
      <c r="M50" s="67">
        <v>108.85</v>
      </c>
      <c r="N50" s="67">
        <v>103.53333333333335</v>
      </c>
      <c r="O50" s="67">
        <v>118</v>
      </c>
      <c r="P50" s="67">
        <v>87.8</v>
      </c>
      <c r="Q50" s="948">
        <v>100.375</v>
      </c>
      <c r="R50" s="948">
        <v>95.325000000000003</v>
      </c>
      <c r="S50" s="948">
        <v>124.20833333333333</v>
      </c>
      <c r="T50" s="948">
        <v>113.6</v>
      </c>
      <c r="U50" s="948">
        <v>98.61666666666666</v>
      </c>
      <c r="V50" s="948">
        <v>128.76666666666668</v>
      </c>
      <c r="W50" s="948">
        <v>102.11666666666666</v>
      </c>
      <c r="X50" s="948">
        <v>106.4</v>
      </c>
      <c r="Y50" s="948">
        <v>106.4</v>
      </c>
      <c r="Z50" s="948">
        <v>108.75</v>
      </c>
      <c r="AA50" s="949">
        <v>105.78790994166668</v>
      </c>
      <c r="AB50" s="5356">
        <v>1995</v>
      </c>
      <c r="AC50" s="5356"/>
      <c r="AD50" s="5357"/>
      <c r="AN50" s="1"/>
      <c r="AP50" s="18"/>
    </row>
    <row r="51" spans="4:42" ht="24.95" customHeight="1">
      <c r="D51" s="5316">
        <v>1996</v>
      </c>
      <c r="E51" s="5154"/>
      <c r="F51" s="5154"/>
      <c r="G51" s="178">
        <v>117.9</v>
      </c>
      <c r="H51" s="71">
        <v>109.1</v>
      </c>
      <c r="I51" s="71">
        <v>100.8</v>
      </c>
      <c r="J51" s="71">
        <v>100</v>
      </c>
      <c r="K51" s="71">
        <v>103.6</v>
      </c>
      <c r="L51" s="71">
        <v>106.9</v>
      </c>
      <c r="M51" s="71">
        <v>117.1</v>
      </c>
      <c r="N51" s="71">
        <v>93.2</v>
      </c>
      <c r="O51" s="71">
        <v>118</v>
      </c>
      <c r="P51" s="71">
        <v>87.9</v>
      </c>
      <c r="Q51" s="946">
        <v>104.7</v>
      </c>
      <c r="R51" s="946">
        <v>97.1</v>
      </c>
      <c r="S51" s="946">
        <v>120.4</v>
      </c>
      <c r="T51" s="946">
        <v>113.8</v>
      </c>
      <c r="U51" s="946">
        <v>102.9</v>
      </c>
      <c r="V51" s="946">
        <v>149.19999999999999</v>
      </c>
      <c r="W51" s="946">
        <v>98</v>
      </c>
      <c r="X51" s="946">
        <v>104.8</v>
      </c>
      <c r="Y51" s="946">
        <v>106.8</v>
      </c>
      <c r="Z51" s="946">
        <v>115.2</v>
      </c>
      <c r="AA51" s="947">
        <v>107.9</v>
      </c>
      <c r="AB51" s="5353">
        <v>1996</v>
      </c>
      <c r="AC51" s="5353"/>
      <c r="AD51" s="5354"/>
      <c r="AN51" s="1"/>
      <c r="AP51" s="18"/>
    </row>
    <row r="52" spans="4:42" ht="24.95" customHeight="1">
      <c r="D52" s="5355">
        <v>1997</v>
      </c>
      <c r="E52" s="5157"/>
      <c r="F52" s="5157"/>
      <c r="G52" s="665">
        <v>120</v>
      </c>
      <c r="H52" s="67">
        <v>114.5</v>
      </c>
      <c r="I52" s="67">
        <v>103.1</v>
      </c>
      <c r="J52" s="67">
        <v>100</v>
      </c>
      <c r="K52" s="67">
        <v>103.6</v>
      </c>
      <c r="L52" s="67">
        <v>106.6</v>
      </c>
      <c r="M52" s="67">
        <v>121.1</v>
      </c>
      <c r="N52" s="67">
        <v>94</v>
      </c>
      <c r="O52" s="67">
        <v>118</v>
      </c>
      <c r="P52" s="67">
        <v>87.9</v>
      </c>
      <c r="Q52" s="948">
        <v>104.9</v>
      </c>
      <c r="R52" s="948">
        <v>96.5</v>
      </c>
      <c r="S52" s="948">
        <v>136</v>
      </c>
      <c r="T52" s="948">
        <v>114.4</v>
      </c>
      <c r="U52" s="948">
        <v>104.1</v>
      </c>
      <c r="V52" s="948">
        <v>154.30000000000001</v>
      </c>
      <c r="W52" s="948">
        <v>98.7</v>
      </c>
      <c r="X52" s="948">
        <v>107.5</v>
      </c>
      <c r="Y52" s="948">
        <v>107.3</v>
      </c>
      <c r="Z52" s="948">
        <v>116.4</v>
      </c>
      <c r="AA52" s="949">
        <v>109.6</v>
      </c>
      <c r="AB52" s="5356">
        <v>1997</v>
      </c>
      <c r="AC52" s="5356"/>
      <c r="AD52" s="5357"/>
      <c r="AN52" s="1"/>
      <c r="AP52" s="18"/>
    </row>
    <row r="53" spans="4:42" ht="24.75" customHeight="1">
      <c r="D53" s="5358">
        <v>1998</v>
      </c>
      <c r="E53" s="5359"/>
      <c r="F53" s="5359"/>
      <c r="G53" s="950">
        <v>117.15</v>
      </c>
      <c r="H53" s="951">
        <v>111.8</v>
      </c>
      <c r="I53" s="951">
        <v>102</v>
      </c>
      <c r="J53" s="951">
        <v>100</v>
      </c>
      <c r="K53" s="951">
        <v>103.6</v>
      </c>
      <c r="L53" s="951">
        <v>106.6</v>
      </c>
      <c r="M53" s="951">
        <v>123.075</v>
      </c>
      <c r="N53" s="951">
        <v>93.2</v>
      </c>
      <c r="O53" s="951">
        <v>119.1</v>
      </c>
      <c r="P53" s="951">
        <v>100.6</v>
      </c>
      <c r="Q53" s="952">
        <v>105.4</v>
      </c>
      <c r="R53" s="952">
        <v>96.1</v>
      </c>
      <c r="S53" s="952">
        <v>137.67500000000001</v>
      </c>
      <c r="T53" s="952">
        <v>114.6</v>
      </c>
      <c r="U53" s="952">
        <v>105.6</v>
      </c>
      <c r="V53" s="952">
        <v>145.80000000000001</v>
      </c>
      <c r="W53" s="952">
        <v>103.075</v>
      </c>
      <c r="X53" s="952">
        <v>110.24414431588843</v>
      </c>
      <c r="Y53" s="952">
        <v>107.77500000000001</v>
      </c>
      <c r="Z53" s="952">
        <v>115.8</v>
      </c>
      <c r="AA53" s="953">
        <v>110.4</v>
      </c>
      <c r="AB53" s="5360">
        <v>1998</v>
      </c>
      <c r="AC53" s="5360"/>
      <c r="AD53" s="5361"/>
      <c r="AN53" s="1"/>
      <c r="AP53" s="18"/>
    </row>
    <row r="54" spans="4:42" ht="24.75" hidden="1" customHeight="1">
      <c r="D54" s="954">
        <v>1999</v>
      </c>
      <c r="E54" s="140"/>
      <c r="F54" s="140"/>
      <c r="G54" s="399">
        <v>120.825</v>
      </c>
      <c r="H54" s="67">
        <v>99.625</v>
      </c>
      <c r="I54" s="67">
        <v>101.825</v>
      </c>
      <c r="J54" s="66">
        <v>100</v>
      </c>
      <c r="K54" s="67">
        <v>103.6</v>
      </c>
      <c r="L54" s="66">
        <v>106.4</v>
      </c>
      <c r="M54" s="66">
        <v>115.4</v>
      </c>
      <c r="N54" s="66">
        <v>81.875</v>
      </c>
      <c r="O54" s="66">
        <v>119.1</v>
      </c>
      <c r="P54" s="66">
        <v>100.22499999999999</v>
      </c>
      <c r="Q54" s="866">
        <v>103.625</v>
      </c>
      <c r="R54" s="866">
        <v>96.325000000000003</v>
      </c>
      <c r="S54" s="866">
        <v>136.55000000000001</v>
      </c>
      <c r="T54" s="866">
        <v>114.425</v>
      </c>
      <c r="U54" s="866">
        <v>112.27500000000001</v>
      </c>
      <c r="V54" s="866">
        <v>133.65</v>
      </c>
      <c r="W54" s="866">
        <v>88.45</v>
      </c>
      <c r="X54" s="867">
        <v>101.16815730781579</v>
      </c>
      <c r="Y54" s="866">
        <v>109.35</v>
      </c>
      <c r="Z54" s="866">
        <v>100.77500000000001</v>
      </c>
      <c r="AA54" s="721">
        <v>105.7</v>
      </c>
      <c r="AB54" s="955">
        <v>1999</v>
      </c>
      <c r="AC54" s="465"/>
      <c r="AD54" s="956"/>
      <c r="AN54" s="1"/>
      <c r="AP54" s="18"/>
    </row>
    <row r="55" spans="4:42" ht="24.95" hidden="1" customHeight="1">
      <c r="D55" s="957">
        <v>2000</v>
      </c>
      <c r="E55" s="481"/>
      <c r="F55" s="481"/>
      <c r="G55" s="159">
        <v>114.7</v>
      </c>
      <c r="H55" s="71">
        <v>100.45</v>
      </c>
      <c r="I55" s="71">
        <v>114.35</v>
      </c>
      <c r="J55" s="57">
        <v>100</v>
      </c>
      <c r="K55" s="71">
        <v>103.675</v>
      </c>
      <c r="L55" s="57">
        <v>106.625</v>
      </c>
      <c r="M55" s="57">
        <v>107.675</v>
      </c>
      <c r="N55" s="57">
        <v>69.3</v>
      </c>
      <c r="O55" s="57">
        <v>118.6</v>
      </c>
      <c r="P55" s="57">
        <v>97.5</v>
      </c>
      <c r="Q55" s="958">
        <v>98.8</v>
      </c>
      <c r="R55" s="958">
        <v>61.7</v>
      </c>
      <c r="S55" s="958">
        <v>115.35</v>
      </c>
      <c r="T55" s="958">
        <v>111.95</v>
      </c>
      <c r="U55" s="958">
        <v>109.625</v>
      </c>
      <c r="V55" s="958">
        <v>124.52500000000001</v>
      </c>
      <c r="W55" s="958">
        <v>77.599999999999994</v>
      </c>
      <c r="X55" s="959">
        <v>90.9</v>
      </c>
      <c r="Y55" s="958">
        <v>111.25</v>
      </c>
      <c r="Z55" s="958">
        <v>83.05</v>
      </c>
      <c r="AA55" s="960">
        <v>101.4</v>
      </c>
      <c r="AB55" s="961">
        <v>2000</v>
      </c>
      <c r="AC55" s="962"/>
      <c r="AD55" s="467"/>
      <c r="AN55" s="1"/>
      <c r="AP55" s="18"/>
    </row>
    <row r="56" spans="4:42" s="24" customFormat="1" ht="6.95" customHeight="1">
      <c r="D56" s="232"/>
      <c r="E56" s="417"/>
      <c r="F56" s="173"/>
      <c r="G56" s="525"/>
      <c r="H56" s="525"/>
      <c r="I56" s="525"/>
      <c r="J56" s="525"/>
      <c r="K56" s="525"/>
      <c r="L56" s="525"/>
      <c r="M56" s="525"/>
      <c r="N56" s="525"/>
      <c r="O56" s="525"/>
      <c r="P56" s="526"/>
      <c r="Q56" s="963"/>
      <c r="R56" s="963"/>
      <c r="S56" s="963"/>
      <c r="T56" s="963"/>
      <c r="U56" s="963"/>
      <c r="V56" s="963"/>
      <c r="W56" s="963"/>
      <c r="X56" s="963"/>
      <c r="Y56" s="963"/>
      <c r="Z56" s="963"/>
      <c r="AA56" s="963"/>
      <c r="AB56" s="62"/>
      <c r="AC56" s="908"/>
      <c r="AD56" s="880"/>
      <c r="AN56" s="175"/>
      <c r="AO56" s="175"/>
    </row>
    <row r="57" spans="4:42" s="24" customFormat="1" ht="21.75" customHeight="1">
      <c r="D57" s="232" t="s">
        <v>2288</v>
      </c>
      <c r="E57" s="92"/>
      <c r="F57" s="92"/>
      <c r="G57" s="527"/>
      <c r="H57" s="527"/>
      <c r="I57" s="527"/>
      <c r="J57" s="527"/>
      <c r="K57" s="527"/>
      <c r="L57" s="527"/>
      <c r="M57" s="527"/>
      <c r="N57" s="527"/>
      <c r="O57" s="527"/>
      <c r="P57" s="528"/>
      <c r="Q57" s="964"/>
      <c r="R57" s="964"/>
      <c r="S57" s="964"/>
      <c r="T57" s="964"/>
      <c r="U57" s="964"/>
      <c r="V57" s="964"/>
      <c r="W57" s="964"/>
      <c r="X57" s="964"/>
      <c r="Y57" s="964"/>
      <c r="Z57" s="964"/>
      <c r="AA57" s="964"/>
      <c r="AB57" s="470"/>
      <c r="AC57" s="910"/>
      <c r="AD57" s="880" t="s">
        <v>1434</v>
      </c>
      <c r="AN57" s="175"/>
      <c r="AO57" s="175"/>
    </row>
    <row r="59" spans="4:42">
      <c r="AB59" s="1"/>
    </row>
    <row r="83" spans="19:41">
      <c r="S83" s="18"/>
      <c r="T83" s="18"/>
      <c r="U83" s="18"/>
      <c r="V83" s="18"/>
      <c r="W83" s="1"/>
      <c r="Z83" s="1"/>
      <c r="AA83" s="1"/>
      <c r="AB83" s="1"/>
      <c r="AC83" s="1"/>
      <c r="AG83" s="18"/>
      <c r="AH83" s="18"/>
      <c r="AN83" s="1"/>
      <c r="AO83" s="1"/>
    </row>
    <row r="84" spans="19:41">
      <c r="S84" s="18"/>
      <c r="T84" s="18"/>
      <c r="U84" s="18"/>
      <c r="V84" s="18"/>
      <c r="W84" s="1"/>
      <c r="Z84" s="1"/>
      <c r="AA84" s="1"/>
      <c r="AB84" s="1"/>
      <c r="AC84" s="1"/>
      <c r="AG84" s="18"/>
      <c r="AH84" s="18"/>
      <c r="AN84" s="1"/>
      <c r="AO84" s="1"/>
    </row>
    <row r="85" spans="19:41">
      <c r="S85" s="18"/>
      <c r="T85" s="18"/>
      <c r="U85" s="18"/>
      <c r="V85" s="18"/>
      <c r="W85" s="1"/>
      <c r="Z85" s="1"/>
      <c r="AA85" s="1"/>
      <c r="AB85" s="1"/>
      <c r="AC85" s="1"/>
      <c r="AG85" s="18"/>
      <c r="AH85" s="18"/>
      <c r="AN85" s="1"/>
      <c r="AO85" s="1"/>
    </row>
    <row r="86" spans="19:41">
      <c r="S86" s="18"/>
      <c r="T86" s="18"/>
      <c r="U86" s="18"/>
      <c r="V86" s="18"/>
      <c r="W86" s="1"/>
      <c r="Z86" s="1"/>
      <c r="AA86" s="1"/>
      <c r="AB86" s="1"/>
      <c r="AC86" s="1"/>
      <c r="AG86" s="18"/>
      <c r="AH86" s="18"/>
      <c r="AN86" s="1"/>
      <c r="AO86" s="1"/>
    </row>
    <row r="87" spans="19:41">
      <c r="S87" s="18"/>
      <c r="T87" s="18"/>
      <c r="U87" s="18"/>
      <c r="V87" s="18"/>
      <c r="W87" s="1"/>
      <c r="Z87" s="1"/>
      <c r="AA87" s="1"/>
      <c r="AB87" s="1"/>
      <c r="AC87" s="1"/>
      <c r="AG87" s="18"/>
      <c r="AH87" s="18"/>
      <c r="AN87" s="1"/>
      <c r="AO87" s="1"/>
    </row>
    <row r="88" spans="19:41">
      <c r="S88" s="18"/>
      <c r="T88" s="18"/>
      <c r="U88" s="18"/>
      <c r="V88" s="18"/>
      <c r="W88" s="1"/>
      <c r="Z88" s="1"/>
      <c r="AA88" s="1"/>
      <c r="AB88" s="1"/>
      <c r="AC88" s="1"/>
      <c r="AG88" s="18"/>
      <c r="AH88" s="18"/>
      <c r="AN88" s="1"/>
      <c r="AO88" s="1"/>
    </row>
    <row r="89" spans="19:41">
      <c r="S89" s="18"/>
      <c r="T89" s="18"/>
      <c r="U89" s="18"/>
      <c r="V89" s="18"/>
      <c r="W89" s="1"/>
      <c r="Z89" s="1"/>
      <c r="AA89" s="1"/>
      <c r="AB89" s="1"/>
      <c r="AC89" s="1"/>
      <c r="AG89" s="18"/>
      <c r="AH89" s="18"/>
      <c r="AN89" s="1"/>
      <c r="AO89" s="1"/>
    </row>
    <row r="90" spans="19:41">
      <c r="S90" s="18"/>
      <c r="T90" s="18"/>
      <c r="U90" s="18"/>
      <c r="V90" s="18"/>
      <c r="W90" s="1"/>
      <c r="Z90" s="1"/>
      <c r="AA90" s="1"/>
      <c r="AB90" s="1"/>
      <c r="AC90" s="1"/>
      <c r="AG90" s="18"/>
      <c r="AH90" s="18"/>
      <c r="AN90" s="1"/>
      <c r="AO90" s="1"/>
    </row>
    <row r="91" spans="19:41">
      <c r="S91" s="18"/>
      <c r="T91" s="18"/>
      <c r="U91" s="18"/>
      <c r="V91" s="18"/>
      <c r="W91" s="1"/>
      <c r="Z91" s="1"/>
      <c r="AA91" s="1"/>
      <c r="AB91" s="1"/>
      <c r="AC91" s="1"/>
      <c r="AG91" s="18"/>
      <c r="AH91" s="18"/>
      <c r="AN91" s="1"/>
      <c r="AO91" s="1"/>
    </row>
    <row r="92" spans="19:41">
      <c r="S92" s="18"/>
      <c r="T92" s="18"/>
      <c r="U92" s="18"/>
      <c r="V92" s="18"/>
      <c r="W92" s="1"/>
      <c r="Z92" s="1"/>
      <c r="AA92" s="1"/>
      <c r="AB92" s="1"/>
      <c r="AC92" s="1"/>
      <c r="AG92" s="18"/>
      <c r="AH92" s="18"/>
      <c r="AN92" s="1"/>
      <c r="AO92" s="1"/>
    </row>
    <row r="93" spans="19:41">
      <c r="S93" s="18"/>
      <c r="T93" s="18"/>
      <c r="U93" s="18"/>
      <c r="V93" s="18"/>
      <c r="W93" s="1"/>
      <c r="Z93" s="1"/>
      <c r="AA93" s="1"/>
      <c r="AB93" s="1"/>
      <c r="AC93" s="1"/>
      <c r="AG93" s="18"/>
      <c r="AH93" s="18"/>
      <c r="AN93" s="1"/>
      <c r="AO93" s="1"/>
    </row>
    <row r="94" spans="19:41">
      <c r="S94" s="18"/>
      <c r="T94" s="18"/>
      <c r="U94" s="18"/>
      <c r="V94" s="18"/>
      <c r="W94" s="1"/>
      <c r="Z94" s="1"/>
      <c r="AA94" s="1"/>
      <c r="AB94" s="1"/>
      <c r="AC94" s="1"/>
      <c r="AG94" s="18"/>
      <c r="AH94" s="18"/>
      <c r="AN94" s="1"/>
      <c r="AO94" s="1"/>
    </row>
    <row r="95" spans="19:41">
      <c r="S95" s="18"/>
      <c r="T95" s="18"/>
      <c r="U95" s="18"/>
      <c r="V95" s="18"/>
      <c r="W95" s="1"/>
      <c r="Z95" s="1"/>
      <c r="AA95" s="1"/>
      <c r="AB95" s="1"/>
      <c r="AC95" s="1"/>
      <c r="AG95" s="18"/>
      <c r="AH95" s="18"/>
      <c r="AN95" s="1"/>
      <c r="AO95" s="1"/>
    </row>
    <row r="96" spans="19:41">
      <c r="S96" s="18"/>
      <c r="T96" s="18"/>
      <c r="U96" s="18"/>
      <c r="V96" s="18"/>
      <c r="W96" s="1"/>
      <c r="Z96" s="1"/>
      <c r="AA96" s="1"/>
      <c r="AB96" s="1"/>
      <c r="AC96" s="1"/>
      <c r="AG96" s="18"/>
      <c r="AH96" s="18"/>
      <c r="AN96" s="1"/>
      <c r="AO96" s="1"/>
    </row>
    <row r="97" spans="19:41">
      <c r="S97" s="18"/>
      <c r="T97" s="18"/>
      <c r="U97" s="18"/>
      <c r="V97" s="18"/>
      <c r="W97" s="1"/>
      <c r="Z97" s="1"/>
      <c r="AA97" s="1"/>
      <c r="AB97" s="1"/>
      <c r="AC97" s="1"/>
      <c r="AG97" s="18"/>
      <c r="AH97" s="18"/>
      <c r="AN97" s="1"/>
      <c r="AO97" s="1"/>
    </row>
    <row r="98" spans="19:41">
      <c r="S98" s="18"/>
      <c r="T98" s="18"/>
      <c r="U98" s="18"/>
      <c r="V98" s="18"/>
      <c r="W98" s="1"/>
      <c r="Z98" s="1"/>
      <c r="AA98" s="1"/>
      <c r="AB98" s="1"/>
      <c r="AC98" s="1"/>
      <c r="AG98" s="18"/>
      <c r="AH98" s="18"/>
      <c r="AN98" s="1"/>
      <c r="AO98" s="1"/>
    </row>
    <row r="99" spans="19:41">
      <c r="S99" s="18"/>
      <c r="T99" s="18"/>
      <c r="U99" s="18"/>
      <c r="V99" s="18"/>
      <c r="W99" s="1"/>
      <c r="Z99" s="1"/>
      <c r="AA99" s="1"/>
      <c r="AB99" s="1"/>
      <c r="AC99" s="1"/>
      <c r="AG99" s="18"/>
      <c r="AH99" s="18"/>
      <c r="AN99" s="1"/>
      <c r="AO99" s="1"/>
    </row>
    <row r="100" spans="19:41">
      <c r="S100" s="18"/>
      <c r="T100" s="18"/>
      <c r="U100" s="18"/>
      <c r="V100" s="18"/>
      <c r="W100" s="1"/>
      <c r="Z100" s="1"/>
      <c r="AA100" s="1"/>
      <c r="AB100" s="1"/>
      <c r="AC100" s="1"/>
      <c r="AG100" s="18"/>
      <c r="AH100" s="18"/>
      <c r="AN100" s="1"/>
      <c r="AO100" s="1"/>
    </row>
    <row r="101" spans="19:41">
      <c r="S101" s="18"/>
      <c r="T101" s="18"/>
      <c r="U101" s="18"/>
      <c r="V101" s="18"/>
      <c r="W101" s="1"/>
      <c r="Z101" s="1"/>
      <c r="AA101" s="1"/>
      <c r="AB101" s="1"/>
      <c r="AC101" s="1"/>
      <c r="AG101" s="18"/>
      <c r="AH101" s="18"/>
      <c r="AN101" s="1"/>
      <c r="AO101" s="1"/>
    </row>
    <row r="102" spans="19:41">
      <c r="S102" s="18"/>
      <c r="T102" s="18"/>
      <c r="U102" s="18"/>
      <c r="V102" s="18"/>
      <c r="W102" s="1"/>
      <c r="Z102" s="1"/>
      <c r="AA102" s="1"/>
      <c r="AB102" s="1"/>
      <c r="AC102" s="1"/>
      <c r="AG102" s="18"/>
      <c r="AH102" s="18"/>
      <c r="AN102" s="1"/>
      <c r="AO102" s="1"/>
    </row>
    <row r="103" spans="19:41">
      <c r="S103" s="18"/>
      <c r="T103" s="18"/>
      <c r="U103" s="18"/>
      <c r="V103" s="18"/>
      <c r="W103" s="1"/>
      <c r="Z103" s="1"/>
      <c r="AA103" s="1"/>
      <c r="AB103" s="1"/>
      <c r="AC103" s="1"/>
      <c r="AG103" s="18"/>
      <c r="AH103" s="18"/>
      <c r="AN103" s="1"/>
      <c r="AO103" s="1"/>
    </row>
    <row r="104" spans="19:41">
      <c r="S104" s="18"/>
      <c r="T104" s="18"/>
      <c r="U104" s="18"/>
      <c r="V104" s="18"/>
      <c r="W104" s="1"/>
      <c r="Z104" s="1"/>
      <c r="AA104" s="1"/>
      <c r="AB104" s="1"/>
      <c r="AC104" s="1"/>
      <c r="AG104" s="18"/>
      <c r="AH104" s="18"/>
      <c r="AN104" s="1"/>
      <c r="AO104" s="1"/>
    </row>
    <row r="105" spans="19:41">
      <c r="S105" s="18"/>
      <c r="T105" s="18"/>
      <c r="U105" s="18"/>
      <c r="V105" s="18"/>
      <c r="W105" s="1"/>
      <c r="Z105" s="1"/>
      <c r="AA105" s="1"/>
      <c r="AB105" s="1"/>
      <c r="AC105" s="1"/>
      <c r="AG105" s="18"/>
      <c r="AH105" s="18"/>
      <c r="AN105" s="1"/>
      <c r="AO105" s="1"/>
    </row>
    <row r="106" spans="19:41">
      <c r="S106" s="18"/>
      <c r="T106" s="18"/>
      <c r="U106" s="18"/>
      <c r="V106" s="18"/>
      <c r="W106" s="1"/>
      <c r="Z106" s="1"/>
      <c r="AA106" s="1"/>
      <c r="AB106" s="1"/>
      <c r="AC106" s="1"/>
      <c r="AG106" s="18"/>
      <c r="AH106" s="18"/>
      <c r="AN106" s="1"/>
      <c r="AO106" s="1"/>
    </row>
    <row r="107" spans="19:41">
      <c r="S107" s="18"/>
      <c r="T107" s="18"/>
      <c r="U107" s="18"/>
      <c r="V107" s="18"/>
      <c r="W107" s="1"/>
      <c r="Z107" s="1"/>
      <c r="AA107" s="1"/>
      <c r="AB107" s="1"/>
      <c r="AC107" s="1"/>
      <c r="AG107" s="18"/>
      <c r="AH107" s="18"/>
      <c r="AN107" s="1"/>
      <c r="AO107" s="1"/>
    </row>
    <row r="108" spans="19:41">
      <c r="S108" s="18"/>
      <c r="T108" s="18"/>
      <c r="U108" s="18"/>
      <c r="V108" s="18"/>
      <c r="W108" s="1"/>
      <c r="Z108" s="1"/>
      <c r="AA108" s="1"/>
      <c r="AB108" s="1"/>
      <c r="AC108" s="1"/>
      <c r="AG108" s="18"/>
      <c r="AH108" s="18"/>
      <c r="AN108" s="1"/>
      <c r="AO108" s="1"/>
    </row>
    <row r="109" spans="19:41">
      <c r="S109" s="18"/>
      <c r="T109" s="18"/>
      <c r="U109" s="18"/>
      <c r="V109" s="18"/>
      <c r="W109" s="1"/>
      <c r="Z109" s="1"/>
      <c r="AA109" s="1"/>
      <c r="AB109" s="1"/>
      <c r="AC109" s="1"/>
      <c r="AG109" s="18"/>
      <c r="AH109" s="18"/>
      <c r="AN109" s="1"/>
      <c r="AO109" s="1"/>
    </row>
    <row r="110" spans="19:41">
      <c r="S110" s="18"/>
      <c r="T110" s="18"/>
      <c r="U110" s="18"/>
      <c r="V110" s="18"/>
      <c r="W110" s="1"/>
      <c r="Z110" s="1"/>
      <c r="AA110" s="1"/>
      <c r="AB110" s="1"/>
      <c r="AC110" s="1"/>
      <c r="AG110" s="18"/>
      <c r="AH110" s="18"/>
      <c r="AN110" s="1"/>
      <c r="AO110" s="1"/>
    </row>
    <row r="111" spans="19:41">
      <c r="S111" s="18"/>
      <c r="T111" s="18"/>
      <c r="U111" s="18"/>
      <c r="V111" s="18"/>
      <c r="W111" s="1"/>
      <c r="Z111" s="1"/>
      <c r="AA111" s="1"/>
      <c r="AB111" s="1"/>
      <c r="AC111" s="1"/>
      <c r="AG111" s="18"/>
      <c r="AH111" s="18"/>
      <c r="AN111" s="1"/>
      <c r="AO111" s="1"/>
    </row>
    <row r="112" spans="19:41">
      <c r="S112" s="18"/>
      <c r="T112" s="18"/>
      <c r="U112" s="18"/>
      <c r="V112" s="18"/>
      <c r="W112" s="1"/>
      <c r="Z112" s="1"/>
      <c r="AA112" s="1"/>
      <c r="AB112" s="1"/>
      <c r="AC112" s="1"/>
      <c r="AG112" s="18"/>
      <c r="AH112" s="18"/>
      <c r="AN112" s="1"/>
      <c r="AO112" s="1"/>
    </row>
    <row r="113" spans="19:41">
      <c r="S113" s="18"/>
      <c r="T113" s="18"/>
      <c r="U113" s="18"/>
      <c r="V113" s="18"/>
      <c r="W113" s="1"/>
      <c r="Z113" s="1"/>
      <c r="AA113" s="1"/>
      <c r="AB113" s="1"/>
      <c r="AC113" s="1"/>
      <c r="AG113" s="18"/>
      <c r="AH113" s="18"/>
      <c r="AN113" s="1"/>
      <c r="AO113" s="1"/>
    </row>
  </sheetData>
  <mergeCells count="129">
    <mergeCell ref="N46:N47"/>
    <mergeCell ref="O46:O47"/>
    <mergeCell ref="P46:P47"/>
    <mergeCell ref="Q46:Q47"/>
    <mergeCell ref="D51:F51"/>
    <mergeCell ref="AB51:AD51"/>
    <mergeCell ref="D52:F52"/>
    <mergeCell ref="AB52:AD52"/>
    <mergeCell ref="D53:F53"/>
    <mergeCell ref="AB53:AD53"/>
    <mergeCell ref="D48:F48"/>
    <mergeCell ref="AB48:AD48"/>
    <mergeCell ref="D49:F49"/>
    <mergeCell ref="AB49:AD49"/>
    <mergeCell ref="D50:F50"/>
    <mergeCell ref="AB50:AD50"/>
    <mergeCell ref="D42:F42"/>
    <mergeCell ref="AB42:AD42"/>
    <mergeCell ref="D45:F45"/>
    <mergeCell ref="AB45:AD45"/>
    <mergeCell ref="D46:F47"/>
    <mergeCell ref="G46:G47"/>
    <mergeCell ref="H46:H47"/>
    <mergeCell ref="I46:I47"/>
    <mergeCell ref="J46:J47"/>
    <mergeCell ref="K46:K47"/>
    <mergeCell ref="X46:X47"/>
    <mergeCell ref="Y46:Y47"/>
    <mergeCell ref="Z46:Z47"/>
    <mergeCell ref="AA46:AA47"/>
    <mergeCell ref="AB46:AD46"/>
    <mergeCell ref="AB47:AD47"/>
    <mergeCell ref="R46:R47"/>
    <mergeCell ref="S46:S47"/>
    <mergeCell ref="T46:T47"/>
    <mergeCell ref="U46:U47"/>
    <mergeCell ref="V46:V47"/>
    <mergeCell ref="W46:W47"/>
    <mergeCell ref="L46:L47"/>
    <mergeCell ref="M46:M47"/>
    <mergeCell ref="D33:F33"/>
    <mergeCell ref="Z33:AA33"/>
    <mergeCell ref="AB33:AD33"/>
    <mergeCell ref="AB34:AD34"/>
    <mergeCell ref="D41:F41"/>
    <mergeCell ref="AB41:AD41"/>
    <mergeCell ref="D31:F31"/>
    <mergeCell ref="Z31:AA31"/>
    <mergeCell ref="AB31:AD31"/>
    <mergeCell ref="D32:F32"/>
    <mergeCell ref="Z32:AA32"/>
    <mergeCell ref="AB32:AD32"/>
    <mergeCell ref="D29:F29"/>
    <mergeCell ref="Z29:AA29"/>
    <mergeCell ref="AB29:AD29"/>
    <mergeCell ref="D30:F30"/>
    <mergeCell ref="Z30:AA30"/>
    <mergeCell ref="AB30:AD30"/>
    <mergeCell ref="D27:F27"/>
    <mergeCell ref="Z27:AA27"/>
    <mergeCell ref="AB27:AD27"/>
    <mergeCell ref="D28:F28"/>
    <mergeCell ref="Z28:AA28"/>
    <mergeCell ref="AB28:AD28"/>
    <mergeCell ref="D25:F25"/>
    <mergeCell ref="Z25:AA25"/>
    <mergeCell ref="AB25:AD25"/>
    <mergeCell ref="D26:F26"/>
    <mergeCell ref="Z26:AA26"/>
    <mergeCell ref="AB26:AD26"/>
    <mergeCell ref="D23:F23"/>
    <mergeCell ref="Z23:AA23"/>
    <mergeCell ref="AB23:AD23"/>
    <mergeCell ref="D24:F24"/>
    <mergeCell ref="Z24:AA24"/>
    <mergeCell ref="AB24:AD24"/>
    <mergeCell ref="D21:F21"/>
    <mergeCell ref="Z21:AA21"/>
    <mergeCell ref="AB21:AD21"/>
    <mergeCell ref="D22:F22"/>
    <mergeCell ref="Z22:AA22"/>
    <mergeCell ref="AB22:AD22"/>
    <mergeCell ref="D19:F19"/>
    <mergeCell ref="Z19:AA19"/>
    <mergeCell ref="AB19:AD19"/>
    <mergeCell ref="D20:F20"/>
    <mergeCell ref="Z20:AA20"/>
    <mergeCell ref="AB20:AD20"/>
    <mergeCell ref="D17:F17"/>
    <mergeCell ref="Z17:AA17"/>
    <mergeCell ref="AB17:AD17"/>
    <mergeCell ref="D18:F18"/>
    <mergeCell ref="Z18:AA18"/>
    <mergeCell ref="AB18:AD18"/>
    <mergeCell ref="Y14:Y15"/>
    <mergeCell ref="Z14:AA15"/>
    <mergeCell ref="AB14:AD14"/>
    <mergeCell ref="AB15:AD15"/>
    <mergeCell ref="D16:F16"/>
    <mergeCell ref="Z16:AA16"/>
    <mergeCell ref="AB16:AD16"/>
    <mergeCell ref="S14:S15"/>
    <mergeCell ref="T14:T15"/>
    <mergeCell ref="U14:U15"/>
    <mergeCell ref="V14:V15"/>
    <mergeCell ref="W14:W15"/>
    <mergeCell ref="X14:X15"/>
    <mergeCell ref="L14:L15"/>
    <mergeCell ref="M14:M15"/>
    <mergeCell ref="N14:O15"/>
    <mergeCell ref="P14:P15"/>
    <mergeCell ref="Q14:Q15"/>
    <mergeCell ref="D3:P3"/>
    <mergeCell ref="Q3:AD3"/>
    <mergeCell ref="D4:P4"/>
    <mergeCell ref="Q4:AD4"/>
    <mergeCell ref="D9:F9"/>
    <mergeCell ref="AB9:AD9"/>
    <mergeCell ref="R14:R15"/>
    <mergeCell ref="D10:F10"/>
    <mergeCell ref="AB10:AD10"/>
    <mergeCell ref="D13:F13"/>
    <mergeCell ref="AB13:AD13"/>
    <mergeCell ref="D14:F15"/>
    <mergeCell ref="G14:G15"/>
    <mergeCell ref="H14:H15"/>
    <mergeCell ref="I14:I15"/>
    <mergeCell ref="J14:J15"/>
    <mergeCell ref="K14:K15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3" orientation="portrait" r:id="rId1"/>
  <headerFooter alignWithMargins="0">
    <oddFooter>&amp;C&amp;"Times,Regular"&amp;22-80-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IZ44"/>
  <sheetViews>
    <sheetView topLeftCell="A19" zoomScale="70" zoomScaleNormal="70" workbookViewId="0"/>
  </sheetViews>
  <sheetFormatPr defaultColWidth="0" defaultRowHeight="20.25"/>
  <cols>
    <col min="1" max="3" width="10" style="17" customWidth="1"/>
    <col min="4" max="4" width="1.42578125" style="1" customWidth="1"/>
    <col min="5" max="5" width="2.140625" style="214" customWidth="1"/>
    <col min="6" max="6" width="46.7109375" style="214" customWidth="1"/>
    <col min="7" max="8" width="12.28515625" style="1400" customWidth="1"/>
    <col min="9" max="17" width="12.28515625" style="214" customWidth="1"/>
    <col min="18" max="24" width="12.28515625" style="1" customWidth="1"/>
    <col min="25" max="25" width="35" style="1" bestFit="1" customWidth="1"/>
    <col min="26" max="26" width="1.140625" style="1" customWidth="1"/>
    <col min="27" max="27" width="1.42578125" style="1" hidden="1" customWidth="1"/>
    <col min="28" max="260" width="0" style="17" hidden="1"/>
    <col min="261" max="261" width="9.85546875" style="17" customWidth="1"/>
    <col min="262" max="262" width="1.42578125" style="17" customWidth="1"/>
    <col min="263" max="263" width="2.140625" style="17" customWidth="1"/>
    <col min="264" max="264" width="46.7109375" style="17" customWidth="1"/>
    <col min="265" max="280" width="12.28515625" style="17" customWidth="1"/>
    <col min="281" max="281" width="35" style="17" bestFit="1" customWidth="1"/>
    <col min="282" max="282" width="1.140625" style="17" customWidth="1"/>
    <col min="283" max="283" width="0" style="17" hidden="1" customWidth="1"/>
    <col min="284" max="516" width="0" style="17" hidden="1"/>
    <col min="517" max="517" width="9.85546875" style="17" customWidth="1"/>
    <col min="518" max="518" width="1.42578125" style="17" customWidth="1"/>
    <col min="519" max="519" width="2.140625" style="17" customWidth="1"/>
    <col min="520" max="520" width="46.7109375" style="17" customWidth="1"/>
    <col min="521" max="536" width="12.28515625" style="17" customWidth="1"/>
    <col min="537" max="537" width="35" style="17" bestFit="1" customWidth="1"/>
    <col min="538" max="538" width="1.140625" style="17" customWidth="1"/>
    <col min="539" max="539" width="0" style="17" hidden="1" customWidth="1"/>
    <col min="540" max="772" width="0" style="17" hidden="1"/>
    <col min="773" max="773" width="9.85546875" style="17" customWidth="1"/>
    <col min="774" max="774" width="1.42578125" style="17" customWidth="1"/>
    <col min="775" max="775" width="2.140625" style="17" customWidth="1"/>
    <col min="776" max="776" width="46.7109375" style="17" customWidth="1"/>
    <col min="777" max="792" width="12.28515625" style="17" customWidth="1"/>
    <col min="793" max="793" width="35" style="17" bestFit="1" customWidth="1"/>
    <col min="794" max="794" width="1.140625" style="17" customWidth="1"/>
    <col min="795" max="795" width="0" style="17" hidden="1" customWidth="1"/>
    <col min="796" max="1028" width="0" style="17" hidden="1"/>
    <col min="1029" max="1029" width="9.85546875" style="17" customWidth="1"/>
    <col min="1030" max="1030" width="1.42578125" style="17" customWidth="1"/>
    <col min="1031" max="1031" width="2.140625" style="17" customWidth="1"/>
    <col min="1032" max="1032" width="46.7109375" style="17" customWidth="1"/>
    <col min="1033" max="1048" width="12.28515625" style="17" customWidth="1"/>
    <col min="1049" max="1049" width="35" style="17" bestFit="1" customWidth="1"/>
    <col min="1050" max="1050" width="1.140625" style="17" customWidth="1"/>
    <col min="1051" max="1051" width="0" style="17" hidden="1" customWidth="1"/>
    <col min="1052" max="1284" width="0" style="17" hidden="1"/>
    <col min="1285" max="1285" width="9.85546875" style="17" customWidth="1"/>
    <col min="1286" max="1286" width="1.42578125" style="17" customWidth="1"/>
    <col min="1287" max="1287" width="2.140625" style="17" customWidth="1"/>
    <col min="1288" max="1288" width="46.7109375" style="17" customWidth="1"/>
    <col min="1289" max="1304" width="12.28515625" style="17" customWidth="1"/>
    <col min="1305" max="1305" width="35" style="17" bestFit="1" customWidth="1"/>
    <col min="1306" max="1306" width="1.140625" style="17" customWidth="1"/>
    <col min="1307" max="1307" width="0" style="17" hidden="1" customWidth="1"/>
    <col min="1308" max="1540" width="0" style="17" hidden="1"/>
    <col min="1541" max="1541" width="9.85546875" style="17" customWidth="1"/>
    <col min="1542" max="1542" width="1.42578125" style="17" customWidth="1"/>
    <col min="1543" max="1543" width="2.140625" style="17" customWidth="1"/>
    <col min="1544" max="1544" width="46.7109375" style="17" customWidth="1"/>
    <col min="1545" max="1560" width="12.28515625" style="17" customWidth="1"/>
    <col min="1561" max="1561" width="35" style="17" bestFit="1" customWidth="1"/>
    <col min="1562" max="1562" width="1.140625" style="17" customWidth="1"/>
    <col min="1563" max="1563" width="0" style="17" hidden="1" customWidth="1"/>
    <col min="1564" max="1796" width="0" style="17" hidden="1"/>
    <col min="1797" max="1797" width="9.85546875" style="17" customWidth="1"/>
    <col min="1798" max="1798" width="1.42578125" style="17" customWidth="1"/>
    <col min="1799" max="1799" width="2.140625" style="17" customWidth="1"/>
    <col min="1800" max="1800" width="46.7109375" style="17" customWidth="1"/>
    <col min="1801" max="1816" width="12.28515625" style="17" customWidth="1"/>
    <col min="1817" max="1817" width="35" style="17" bestFit="1" customWidth="1"/>
    <col min="1818" max="1818" width="1.140625" style="17" customWidth="1"/>
    <col min="1819" max="1819" width="0" style="17" hidden="1" customWidth="1"/>
    <col min="1820" max="2052" width="0" style="17" hidden="1"/>
    <col min="2053" max="2053" width="9.85546875" style="17" customWidth="1"/>
    <col min="2054" max="2054" width="1.42578125" style="17" customWidth="1"/>
    <col min="2055" max="2055" width="2.140625" style="17" customWidth="1"/>
    <col min="2056" max="2056" width="46.7109375" style="17" customWidth="1"/>
    <col min="2057" max="2072" width="12.28515625" style="17" customWidth="1"/>
    <col min="2073" max="2073" width="35" style="17" bestFit="1" customWidth="1"/>
    <col min="2074" max="2074" width="1.140625" style="17" customWidth="1"/>
    <col min="2075" max="2075" width="0" style="17" hidden="1" customWidth="1"/>
    <col min="2076" max="2308" width="0" style="17" hidden="1"/>
    <col min="2309" max="2309" width="9.85546875" style="17" customWidth="1"/>
    <col min="2310" max="2310" width="1.42578125" style="17" customWidth="1"/>
    <col min="2311" max="2311" width="2.140625" style="17" customWidth="1"/>
    <col min="2312" max="2312" width="46.7109375" style="17" customWidth="1"/>
    <col min="2313" max="2328" width="12.28515625" style="17" customWidth="1"/>
    <col min="2329" max="2329" width="35" style="17" bestFit="1" customWidth="1"/>
    <col min="2330" max="2330" width="1.140625" style="17" customWidth="1"/>
    <col min="2331" max="2331" width="0" style="17" hidden="1" customWidth="1"/>
    <col min="2332" max="2564" width="0" style="17" hidden="1"/>
    <col min="2565" max="2565" width="9.85546875" style="17" customWidth="1"/>
    <col min="2566" max="2566" width="1.42578125" style="17" customWidth="1"/>
    <col min="2567" max="2567" width="2.140625" style="17" customWidth="1"/>
    <col min="2568" max="2568" width="46.7109375" style="17" customWidth="1"/>
    <col min="2569" max="2584" width="12.28515625" style="17" customWidth="1"/>
    <col min="2585" max="2585" width="35" style="17" bestFit="1" customWidth="1"/>
    <col min="2586" max="2586" width="1.140625" style="17" customWidth="1"/>
    <col min="2587" max="2587" width="0" style="17" hidden="1" customWidth="1"/>
    <col min="2588" max="2820" width="0" style="17" hidden="1"/>
    <col min="2821" max="2821" width="9.85546875" style="17" customWidth="1"/>
    <col min="2822" max="2822" width="1.42578125" style="17" customWidth="1"/>
    <col min="2823" max="2823" width="2.140625" style="17" customWidth="1"/>
    <col min="2824" max="2824" width="46.7109375" style="17" customWidth="1"/>
    <col min="2825" max="2840" width="12.28515625" style="17" customWidth="1"/>
    <col min="2841" max="2841" width="35" style="17" bestFit="1" customWidth="1"/>
    <col min="2842" max="2842" width="1.140625" style="17" customWidth="1"/>
    <col min="2843" max="2843" width="0" style="17" hidden="1" customWidth="1"/>
    <col min="2844" max="3076" width="0" style="17" hidden="1"/>
    <col min="3077" max="3077" width="9.85546875" style="17" customWidth="1"/>
    <col min="3078" max="3078" width="1.42578125" style="17" customWidth="1"/>
    <col min="3079" max="3079" width="2.140625" style="17" customWidth="1"/>
    <col min="3080" max="3080" width="46.7109375" style="17" customWidth="1"/>
    <col min="3081" max="3096" width="12.28515625" style="17" customWidth="1"/>
    <col min="3097" max="3097" width="35" style="17" bestFit="1" customWidth="1"/>
    <col min="3098" max="3098" width="1.140625" style="17" customWidth="1"/>
    <col min="3099" max="3099" width="0" style="17" hidden="1" customWidth="1"/>
    <col min="3100" max="3332" width="0" style="17" hidden="1"/>
    <col min="3333" max="3333" width="9.85546875" style="17" customWidth="1"/>
    <col min="3334" max="3334" width="1.42578125" style="17" customWidth="1"/>
    <col min="3335" max="3335" width="2.140625" style="17" customWidth="1"/>
    <col min="3336" max="3336" width="46.7109375" style="17" customWidth="1"/>
    <col min="3337" max="3352" width="12.28515625" style="17" customWidth="1"/>
    <col min="3353" max="3353" width="35" style="17" bestFit="1" customWidth="1"/>
    <col min="3354" max="3354" width="1.140625" style="17" customWidth="1"/>
    <col min="3355" max="3355" width="0" style="17" hidden="1" customWidth="1"/>
    <col min="3356" max="3588" width="0" style="17" hidden="1"/>
    <col min="3589" max="3589" width="9.85546875" style="17" customWidth="1"/>
    <col min="3590" max="3590" width="1.42578125" style="17" customWidth="1"/>
    <col min="3591" max="3591" width="2.140625" style="17" customWidth="1"/>
    <col min="3592" max="3592" width="46.7109375" style="17" customWidth="1"/>
    <col min="3593" max="3608" width="12.28515625" style="17" customWidth="1"/>
    <col min="3609" max="3609" width="35" style="17" bestFit="1" customWidth="1"/>
    <col min="3610" max="3610" width="1.140625" style="17" customWidth="1"/>
    <col min="3611" max="3611" width="0" style="17" hidden="1" customWidth="1"/>
    <col min="3612" max="3844" width="0" style="17" hidden="1"/>
    <col min="3845" max="3845" width="9.85546875" style="17" customWidth="1"/>
    <col min="3846" max="3846" width="1.42578125" style="17" customWidth="1"/>
    <col min="3847" max="3847" width="2.140625" style="17" customWidth="1"/>
    <col min="3848" max="3848" width="46.7109375" style="17" customWidth="1"/>
    <col min="3849" max="3864" width="12.28515625" style="17" customWidth="1"/>
    <col min="3865" max="3865" width="35" style="17" bestFit="1" customWidth="1"/>
    <col min="3866" max="3866" width="1.140625" style="17" customWidth="1"/>
    <col min="3867" max="3867" width="0" style="17" hidden="1" customWidth="1"/>
    <col min="3868" max="4100" width="0" style="17" hidden="1"/>
    <col min="4101" max="4101" width="9.85546875" style="17" customWidth="1"/>
    <col min="4102" max="4102" width="1.42578125" style="17" customWidth="1"/>
    <col min="4103" max="4103" width="2.140625" style="17" customWidth="1"/>
    <col min="4104" max="4104" width="46.7109375" style="17" customWidth="1"/>
    <col min="4105" max="4120" width="12.28515625" style="17" customWidth="1"/>
    <col min="4121" max="4121" width="35" style="17" bestFit="1" customWidth="1"/>
    <col min="4122" max="4122" width="1.140625" style="17" customWidth="1"/>
    <col min="4123" max="4123" width="0" style="17" hidden="1" customWidth="1"/>
    <col min="4124" max="4356" width="0" style="17" hidden="1"/>
    <col min="4357" max="4357" width="9.85546875" style="17" customWidth="1"/>
    <col min="4358" max="4358" width="1.42578125" style="17" customWidth="1"/>
    <col min="4359" max="4359" width="2.140625" style="17" customWidth="1"/>
    <col min="4360" max="4360" width="46.7109375" style="17" customWidth="1"/>
    <col min="4361" max="4376" width="12.28515625" style="17" customWidth="1"/>
    <col min="4377" max="4377" width="35" style="17" bestFit="1" customWidth="1"/>
    <col min="4378" max="4378" width="1.140625" style="17" customWidth="1"/>
    <col min="4379" max="4379" width="0" style="17" hidden="1" customWidth="1"/>
    <col min="4380" max="4612" width="0" style="17" hidden="1"/>
    <col min="4613" max="4613" width="9.85546875" style="17" customWidth="1"/>
    <col min="4614" max="4614" width="1.42578125" style="17" customWidth="1"/>
    <col min="4615" max="4615" width="2.140625" style="17" customWidth="1"/>
    <col min="4616" max="4616" width="46.7109375" style="17" customWidth="1"/>
    <col min="4617" max="4632" width="12.28515625" style="17" customWidth="1"/>
    <col min="4633" max="4633" width="35" style="17" bestFit="1" customWidth="1"/>
    <col min="4634" max="4634" width="1.140625" style="17" customWidth="1"/>
    <col min="4635" max="4635" width="0" style="17" hidden="1" customWidth="1"/>
    <col min="4636" max="4868" width="0" style="17" hidden="1"/>
    <col min="4869" max="4869" width="9.85546875" style="17" customWidth="1"/>
    <col min="4870" max="4870" width="1.42578125" style="17" customWidth="1"/>
    <col min="4871" max="4871" width="2.140625" style="17" customWidth="1"/>
    <col min="4872" max="4872" width="46.7109375" style="17" customWidth="1"/>
    <col min="4873" max="4888" width="12.28515625" style="17" customWidth="1"/>
    <col min="4889" max="4889" width="35" style="17" bestFit="1" customWidth="1"/>
    <col min="4890" max="4890" width="1.140625" style="17" customWidth="1"/>
    <col min="4891" max="4891" width="0" style="17" hidden="1" customWidth="1"/>
    <col min="4892" max="5124" width="0" style="17" hidden="1"/>
    <col min="5125" max="5125" width="9.85546875" style="17" customWidth="1"/>
    <col min="5126" max="5126" width="1.42578125" style="17" customWidth="1"/>
    <col min="5127" max="5127" width="2.140625" style="17" customWidth="1"/>
    <col min="5128" max="5128" width="46.7109375" style="17" customWidth="1"/>
    <col min="5129" max="5144" width="12.28515625" style="17" customWidth="1"/>
    <col min="5145" max="5145" width="35" style="17" bestFit="1" customWidth="1"/>
    <col min="5146" max="5146" width="1.140625" style="17" customWidth="1"/>
    <col min="5147" max="5147" width="0" style="17" hidden="1" customWidth="1"/>
    <col min="5148" max="5380" width="0" style="17" hidden="1"/>
    <col min="5381" max="5381" width="9.85546875" style="17" customWidth="1"/>
    <col min="5382" max="5382" width="1.42578125" style="17" customWidth="1"/>
    <col min="5383" max="5383" width="2.140625" style="17" customWidth="1"/>
    <col min="5384" max="5384" width="46.7109375" style="17" customWidth="1"/>
    <col min="5385" max="5400" width="12.28515625" style="17" customWidth="1"/>
    <col min="5401" max="5401" width="35" style="17" bestFit="1" customWidth="1"/>
    <col min="5402" max="5402" width="1.140625" style="17" customWidth="1"/>
    <col min="5403" max="5403" width="0" style="17" hidden="1" customWidth="1"/>
    <col min="5404" max="5636" width="0" style="17" hidden="1"/>
    <col min="5637" max="5637" width="9.85546875" style="17" customWidth="1"/>
    <col min="5638" max="5638" width="1.42578125" style="17" customWidth="1"/>
    <col min="5639" max="5639" width="2.140625" style="17" customWidth="1"/>
    <col min="5640" max="5640" width="46.7109375" style="17" customWidth="1"/>
    <col min="5641" max="5656" width="12.28515625" style="17" customWidth="1"/>
    <col min="5657" max="5657" width="35" style="17" bestFit="1" customWidth="1"/>
    <col min="5658" max="5658" width="1.140625" style="17" customWidth="1"/>
    <col min="5659" max="5659" width="0" style="17" hidden="1" customWidth="1"/>
    <col min="5660" max="5892" width="0" style="17" hidden="1"/>
    <col min="5893" max="5893" width="9.85546875" style="17" customWidth="1"/>
    <col min="5894" max="5894" width="1.42578125" style="17" customWidth="1"/>
    <col min="5895" max="5895" width="2.140625" style="17" customWidth="1"/>
    <col min="5896" max="5896" width="46.7109375" style="17" customWidth="1"/>
    <col min="5897" max="5912" width="12.28515625" style="17" customWidth="1"/>
    <col min="5913" max="5913" width="35" style="17" bestFit="1" customWidth="1"/>
    <col min="5914" max="5914" width="1.140625" style="17" customWidth="1"/>
    <col min="5915" max="5915" width="0" style="17" hidden="1" customWidth="1"/>
    <col min="5916" max="6148" width="0" style="17" hidden="1"/>
    <col min="6149" max="6149" width="9.85546875" style="17" customWidth="1"/>
    <col min="6150" max="6150" width="1.42578125" style="17" customWidth="1"/>
    <col min="6151" max="6151" width="2.140625" style="17" customWidth="1"/>
    <col min="6152" max="6152" width="46.7109375" style="17" customWidth="1"/>
    <col min="6153" max="6168" width="12.28515625" style="17" customWidth="1"/>
    <col min="6169" max="6169" width="35" style="17" bestFit="1" customWidth="1"/>
    <col min="6170" max="6170" width="1.140625" style="17" customWidth="1"/>
    <col min="6171" max="6171" width="0" style="17" hidden="1" customWidth="1"/>
    <col min="6172" max="6404" width="0" style="17" hidden="1"/>
    <col min="6405" max="6405" width="9.85546875" style="17" customWidth="1"/>
    <col min="6406" max="6406" width="1.42578125" style="17" customWidth="1"/>
    <col min="6407" max="6407" width="2.140625" style="17" customWidth="1"/>
    <col min="6408" max="6408" width="46.7109375" style="17" customWidth="1"/>
    <col min="6409" max="6424" width="12.28515625" style="17" customWidth="1"/>
    <col min="6425" max="6425" width="35" style="17" bestFit="1" customWidth="1"/>
    <col min="6426" max="6426" width="1.140625" style="17" customWidth="1"/>
    <col min="6427" max="6427" width="0" style="17" hidden="1" customWidth="1"/>
    <col min="6428" max="6660" width="0" style="17" hidden="1"/>
    <col min="6661" max="6661" width="9.85546875" style="17" customWidth="1"/>
    <col min="6662" max="6662" width="1.42578125" style="17" customWidth="1"/>
    <col min="6663" max="6663" width="2.140625" style="17" customWidth="1"/>
    <col min="6664" max="6664" width="46.7109375" style="17" customWidth="1"/>
    <col min="6665" max="6680" width="12.28515625" style="17" customWidth="1"/>
    <col min="6681" max="6681" width="35" style="17" bestFit="1" customWidth="1"/>
    <col min="6682" max="6682" width="1.140625" style="17" customWidth="1"/>
    <col min="6683" max="6683" width="0" style="17" hidden="1" customWidth="1"/>
    <col min="6684" max="6916" width="0" style="17" hidden="1"/>
    <col min="6917" max="6917" width="9.85546875" style="17" customWidth="1"/>
    <col min="6918" max="6918" width="1.42578125" style="17" customWidth="1"/>
    <col min="6919" max="6919" width="2.140625" style="17" customWidth="1"/>
    <col min="6920" max="6920" width="46.7109375" style="17" customWidth="1"/>
    <col min="6921" max="6936" width="12.28515625" style="17" customWidth="1"/>
    <col min="6937" max="6937" width="35" style="17" bestFit="1" customWidth="1"/>
    <col min="6938" max="6938" width="1.140625" style="17" customWidth="1"/>
    <col min="6939" max="6939" width="0" style="17" hidden="1" customWidth="1"/>
    <col min="6940" max="7172" width="0" style="17" hidden="1"/>
    <col min="7173" max="7173" width="9.85546875" style="17" customWidth="1"/>
    <col min="7174" max="7174" width="1.42578125" style="17" customWidth="1"/>
    <col min="7175" max="7175" width="2.140625" style="17" customWidth="1"/>
    <col min="7176" max="7176" width="46.7109375" style="17" customWidth="1"/>
    <col min="7177" max="7192" width="12.28515625" style="17" customWidth="1"/>
    <col min="7193" max="7193" width="35" style="17" bestFit="1" customWidth="1"/>
    <col min="7194" max="7194" width="1.140625" style="17" customWidth="1"/>
    <col min="7195" max="7195" width="0" style="17" hidden="1" customWidth="1"/>
    <col min="7196" max="7428" width="0" style="17" hidden="1"/>
    <col min="7429" max="7429" width="9.85546875" style="17" customWidth="1"/>
    <col min="7430" max="7430" width="1.42578125" style="17" customWidth="1"/>
    <col min="7431" max="7431" width="2.140625" style="17" customWidth="1"/>
    <col min="7432" max="7432" width="46.7109375" style="17" customWidth="1"/>
    <col min="7433" max="7448" width="12.28515625" style="17" customWidth="1"/>
    <col min="7449" max="7449" width="35" style="17" bestFit="1" customWidth="1"/>
    <col min="7450" max="7450" width="1.140625" style="17" customWidth="1"/>
    <col min="7451" max="7451" width="0" style="17" hidden="1" customWidth="1"/>
    <col min="7452" max="7684" width="0" style="17" hidden="1"/>
    <col min="7685" max="7685" width="9.85546875" style="17" customWidth="1"/>
    <col min="7686" max="7686" width="1.42578125" style="17" customWidth="1"/>
    <col min="7687" max="7687" width="2.140625" style="17" customWidth="1"/>
    <col min="7688" max="7688" width="46.7109375" style="17" customWidth="1"/>
    <col min="7689" max="7704" width="12.28515625" style="17" customWidth="1"/>
    <col min="7705" max="7705" width="35" style="17" bestFit="1" customWidth="1"/>
    <col min="7706" max="7706" width="1.140625" style="17" customWidth="1"/>
    <col min="7707" max="7707" width="0" style="17" hidden="1" customWidth="1"/>
    <col min="7708" max="7940" width="0" style="17" hidden="1"/>
    <col min="7941" max="7941" width="9.85546875" style="17" customWidth="1"/>
    <col min="7942" max="7942" width="1.42578125" style="17" customWidth="1"/>
    <col min="7943" max="7943" width="2.140625" style="17" customWidth="1"/>
    <col min="7944" max="7944" width="46.7109375" style="17" customWidth="1"/>
    <col min="7945" max="7960" width="12.28515625" style="17" customWidth="1"/>
    <col min="7961" max="7961" width="35" style="17" bestFit="1" customWidth="1"/>
    <col min="7962" max="7962" width="1.140625" style="17" customWidth="1"/>
    <col min="7963" max="7963" width="0" style="17" hidden="1" customWidth="1"/>
    <col min="7964" max="8196" width="0" style="17" hidden="1"/>
    <col min="8197" max="8197" width="9.85546875" style="17" customWidth="1"/>
    <col min="8198" max="8198" width="1.42578125" style="17" customWidth="1"/>
    <col min="8199" max="8199" width="2.140625" style="17" customWidth="1"/>
    <col min="8200" max="8200" width="46.7109375" style="17" customWidth="1"/>
    <col min="8201" max="8216" width="12.28515625" style="17" customWidth="1"/>
    <col min="8217" max="8217" width="35" style="17" bestFit="1" customWidth="1"/>
    <col min="8218" max="8218" width="1.140625" style="17" customWidth="1"/>
    <col min="8219" max="8219" width="0" style="17" hidden="1" customWidth="1"/>
    <col min="8220" max="8452" width="0" style="17" hidden="1"/>
    <col min="8453" max="8453" width="9.85546875" style="17" customWidth="1"/>
    <col min="8454" max="8454" width="1.42578125" style="17" customWidth="1"/>
    <col min="8455" max="8455" width="2.140625" style="17" customWidth="1"/>
    <col min="8456" max="8456" width="46.7109375" style="17" customWidth="1"/>
    <col min="8457" max="8472" width="12.28515625" style="17" customWidth="1"/>
    <col min="8473" max="8473" width="35" style="17" bestFit="1" customWidth="1"/>
    <col min="8474" max="8474" width="1.140625" style="17" customWidth="1"/>
    <col min="8475" max="8475" width="0" style="17" hidden="1" customWidth="1"/>
    <col min="8476" max="8708" width="0" style="17" hidden="1"/>
    <col min="8709" max="8709" width="9.85546875" style="17" customWidth="1"/>
    <col min="8710" max="8710" width="1.42578125" style="17" customWidth="1"/>
    <col min="8711" max="8711" width="2.140625" style="17" customWidth="1"/>
    <col min="8712" max="8712" width="46.7109375" style="17" customWidth="1"/>
    <col min="8713" max="8728" width="12.28515625" style="17" customWidth="1"/>
    <col min="8729" max="8729" width="35" style="17" bestFit="1" customWidth="1"/>
    <col min="8730" max="8730" width="1.140625" style="17" customWidth="1"/>
    <col min="8731" max="8731" width="0" style="17" hidden="1" customWidth="1"/>
    <col min="8732" max="8964" width="0" style="17" hidden="1"/>
    <col min="8965" max="8965" width="9.85546875" style="17" customWidth="1"/>
    <col min="8966" max="8966" width="1.42578125" style="17" customWidth="1"/>
    <col min="8967" max="8967" width="2.140625" style="17" customWidth="1"/>
    <col min="8968" max="8968" width="46.7109375" style="17" customWidth="1"/>
    <col min="8969" max="8984" width="12.28515625" style="17" customWidth="1"/>
    <col min="8985" max="8985" width="35" style="17" bestFit="1" customWidth="1"/>
    <col min="8986" max="8986" width="1.140625" style="17" customWidth="1"/>
    <col min="8987" max="8987" width="0" style="17" hidden="1" customWidth="1"/>
    <col min="8988" max="9220" width="0" style="17" hidden="1"/>
    <col min="9221" max="9221" width="9.85546875" style="17" customWidth="1"/>
    <col min="9222" max="9222" width="1.42578125" style="17" customWidth="1"/>
    <col min="9223" max="9223" width="2.140625" style="17" customWidth="1"/>
    <col min="9224" max="9224" width="46.7109375" style="17" customWidth="1"/>
    <col min="9225" max="9240" width="12.28515625" style="17" customWidth="1"/>
    <col min="9241" max="9241" width="35" style="17" bestFit="1" customWidth="1"/>
    <col min="9242" max="9242" width="1.140625" style="17" customWidth="1"/>
    <col min="9243" max="9243" width="0" style="17" hidden="1" customWidth="1"/>
    <col min="9244" max="9476" width="0" style="17" hidden="1"/>
    <col min="9477" max="9477" width="9.85546875" style="17" customWidth="1"/>
    <col min="9478" max="9478" width="1.42578125" style="17" customWidth="1"/>
    <col min="9479" max="9479" width="2.140625" style="17" customWidth="1"/>
    <col min="9480" max="9480" width="46.7109375" style="17" customWidth="1"/>
    <col min="9481" max="9496" width="12.28515625" style="17" customWidth="1"/>
    <col min="9497" max="9497" width="35" style="17" bestFit="1" customWidth="1"/>
    <col min="9498" max="9498" width="1.140625" style="17" customWidth="1"/>
    <col min="9499" max="9499" width="0" style="17" hidden="1" customWidth="1"/>
    <col min="9500" max="9732" width="0" style="17" hidden="1"/>
    <col min="9733" max="9733" width="9.85546875" style="17" customWidth="1"/>
    <col min="9734" max="9734" width="1.42578125" style="17" customWidth="1"/>
    <col min="9735" max="9735" width="2.140625" style="17" customWidth="1"/>
    <col min="9736" max="9736" width="46.7109375" style="17" customWidth="1"/>
    <col min="9737" max="9752" width="12.28515625" style="17" customWidth="1"/>
    <col min="9753" max="9753" width="35" style="17" bestFit="1" customWidth="1"/>
    <col min="9754" max="9754" width="1.140625" style="17" customWidth="1"/>
    <col min="9755" max="9755" width="0" style="17" hidden="1" customWidth="1"/>
    <col min="9756" max="9988" width="0" style="17" hidden="1"/>
    <col min="9989" max="9989" width="9.85546875" style="17" customWidth="1"/>
    <col min="9990" max="9990" width="1.42578125" style="17" customWidth="1"/>
    <col min="9991" max="9991" width="2.140625" style="17" customWidth="1"/>
    <col min="9992" max="9992" width="46.7109375" style="17" customWidth="1"/>
    <col min="9993" max="10008" width="12.28515625" style="17" customWidth="1"/>
    <col min="10009" max="10009" width="35" style="17" bestFit="1" customWidth="1"/>
    <col min="10010" max="10010" width="1.140625" style="17" customWidth="1"/>
    <col min="10011" max="10011" width="0" style="17" hidden="1" customWidth="1"/>
    <col min="10012" max="10244" width="0" style="17" hidden="1"/>
    <col min="10245" max="10245" width="9.85546875" style="17" customWidth="1"/>
    <col min="10246" max="10246" width="1.42578125" style="17" customWidth="1"/>
    <col min="10247" max="10247" width="2.140625" style="17" customWidth="1"/>
    <col min="10248" max="10248" width="46.7109375" style="17" customWidth="1"/>
    <col min="10249" max="10264" width="12.28515625" style="17" customWidth="1"/>
    <col min="10265" max="10265" width="35" style="17" bestFit="1" customWidth="1"/>
    <col min="10266" max="10266" width="1.140625" style="17" customWidth="1"/>
    <col min="10267" max="10267" width="0" style="17" hidden="1" customWidth="1"/>
    <col min="10268" max="10500" width="0" style="17" hidden="1"/>
    <col min="10501" max="10501" width="9.85546875" style="17" customWidth="1"/>
    <col min="10502" max="10502" width="1.42578125" style="17" customWidth="1"/>
    <col min="10503" max="10503" width="2.140625" style="17" customWidth="1"/>
    <col min="10504" max="10504" width="46.7109375" style="17" customWidth="1"/>
    <col min="10505" max="10520" width="12.28515625" style="17" customWidth="1"/>
    <col min="10521" max="10521" width="35" style="17" bestFit="1" customWidth="1"/>
    <col min="10522" max="10522" width="1.140625" style="17" customWidth="1"/>
    <col min="10523" max="10523" width="0" style="17" hidden="1" customWidth="1"/>
    <col min="10524" max="10756" width="0" style="17" hidden="1"/>
    <col min="10757" max="10757" width="9.85546875" style="17" customWidth="1"/>
    <col min="10758" max="10758" width="1.42578125" style="17" customWidth="1"/>
    <col min="10759" max="10759" width="2.140625" style="17" customWidth="1"/>
    <col min="10760" max="10760" width="46.7109375" style="17" customWidth="1"/>
    <col min="10761" max="10776" width="12.28515625" style="17" customWidth="1"/>
    <col min="10777" max="10777" width="35" style="17" bestFit="1" customWidth="1"/>
    <col min="10778" max="10778" width="1.140625" style="17" customWidth="1"/>
    <col min="10779" max="10779" width="0" style="17" hidden="1" customWidth="1"/>
    <col min="10780" max="11012" width="0" style="17" hidden="1"/>
    <col min="11013" max="11013" width="9.85546875" style="17" customWidth="1"/>
    <col min="11014" max="11014" width="1.42578125" style="17" customWidth="1"/>
    <col min="11015" max="11015" width="2.140625" style="17" customWidth="1"/>
    <col min="11016" max="11016" width="46.7109375" style="17" customWidth="1"/>
    <col min="11017" max="11032" width="12.28515625" style="17" customWidth="1"/>
    <col min="11033" max="11033" width="35" style="17" bestFit="1" customWidth="1"/>
    <col min="11034" max="11034" width="1.140625" style="17" customWidth="1"/>
    <col min="11035" max="11035" width="0" style="17" hidden="1" customWidth="1"/>
    <col min="11036" max="11268" width="0" style="17" hidden="1"/>
    <col min="11269" max="11269" width="9.85546875" style="17" customWidth="1"/>
    <col min="11270" max="11270" width="1.42578125" style="17" customWidth="1"/>
    <col min="11271" max="11271" width="2.140625" style="17" customWidth="1"/>
    <col min="11272" max="11272" width="46.7109375" style="17" customWidth="1"/>
    <col min="11273" max="11288" width="12.28515625" style="17" customWidth="1"/>
    <col min="11289" max="11289" width="35" style="17" bestFit="1" customWidth="1"/>
    <col min="11290" max="11290" width="1.140625" style="17" customWidth="1"/>
    <col min="11291" max="11291" width="0" style="17" hidden="1" customWidth="1"/>
    <col min="11292" max="11524" width="0" style="17" hidden="1"/>
    <col min="11525" max="11525" width="9.85546875" style="17" customWidth="1"/>
    <col min="11526" max="11526" width="1.42578125" style="17" customWidth="1"/>
    <col min="11527" max="11527" width="2.140625" style="17" customWidth="1"/>
    <col min="11528" max="11528" width="46.7109375" style="17" customWidth="1"/>
    <col min="11529" max="11544" width="12.28515625" style="17" customWidth="1"/>
    <col min="11545" max="11545" width="35" style="17" bestFit="1" customWidth="1"/>
    <col min="11546" max="11546" width="1.140625" style="17" customWidth="1"/>
    <col min="11547" max="11547" width="0" style="17" hidden="1" customWidth="1"/>
    <col min="11548" max="11780" width="0" style="17" hidden="1"/>
    <col min="11781" max="11781" width="9.85546875" style="17" customWidth="1"/>
    <col min="11782" max="11782" width="1.42578125" style="17" customWidth="1"/>
    <col min="11783" max="11783" width="2.140625" style="17" customWidth="1"/>
    <col min="11784" max="11784" width="46.7109375" style="17" customWidth="1"/>
    <col min="11785" max="11800" width="12.28515625" style="17" customWidth="1"/>
    <col min="11801" max="11801" width="35" style="17" bestFit="1" customWidth="1"/>
    <col min="11802" max="11802" width="1.140625" style="17" customWidth="1"/>
    <col min="11803" max="11803" width="0" style="17" hidden="1" customWidth="1"/>
    <col min="11804" max="12036" width="0" style="17" hidden="1"/>
    <col min="12037" max="12037" width="9.85546875" style="17" customWidth="1"/>
    <col min="12038" max="12038" width="1.42578125" style="17" customWidth="1"/>
    <col min="12039" max="12039" width="2.140625" style="17" customWidth="1"/>
    <col min="12040" max="12040" width="46.7109375" style="17" customWidth="1"/>
    <col min="12041" max="12056" width="12.28515625" style="17" customWidth="1"/>
    <col min="12057" max="12057" width="35" style="17" bestFit="1" customWidth="1"/>
    <col min="12058" max="12058" width="1.140625" style="17" customWidth="1"/>
    <col min="12059" max="12059" width="0" style="17" hidden="1" customWidth="1"/>
    <col min="12060" max="12292" width="0" style="17" hidden="1"/>
    <col min="12293" max="12293" width="9.85546875" style="17" customWidth="1"/>
    <col min="12294" max="12294" width="1.42578125" style="17" customWidth="1"/>
    <col min="12295" max="12295" width="2.140625" style="17" customWidth="1"/>
    <col min="12296" max="12296" width="46.7109375" style="17" customWidth="1"/>
    <col min="12297" max="12312" width="12.28515625" style="17" customWidth="1"/>
    <col min="12313" max="12313" width="35" style="17" bestFit="1" customWidth="1"/>
    <col min="12314" max="12314" width="1.140625" style="17" customWidth="1"/>
    <col min="12315" max="12315" width="0" style="17" hidden="1" customWidth="1"/>
    <col min="12316" max="12548" width="0" style="17" hidden="1"/>
    <col min="12549" max="12549" width="9.85546875" style="17" customWidth="1"/>
    <col min="12550" max="12550" width="1.42578125" style="17" customWidth="1"/>
    <col min="12551" max="12551" width="2.140625" style="17" customWidth="1"/>
    <col min="12552" max="12552" width="46.7109375" style="17" customWidth="1"/>
    <col min="12553" max="12568" width="12.28515625" style="17" customWidth="1"/>
    <col min="12569" max="12569" width="35" style="17" bestFit="1" customWidth="1"/>
    <col min="12570" max="12570" width="1.140625" style="17" customWidth="1"/>
    <col min="12571" max="12571" width="0" style="17" hidden="1" customWidth="1"/>
    <col min="12572" max="12804" width="0" style="17" hidden="1"/>
    <col min="12805" max="12805" width="9.85546875" style="17" customWidth="1"/>
    <col min="12806" max="12806" width="1.42578125" style="17" customWidth="1"/>
    <col min="12807" max="12807" width="2.140625" style="17" customWidth="1"/>
    <col min="12808" max="12808" width="46.7109375" style="17" customWidth="1"/>
    <col min="12809" max="12824" width="12.28515625" style="17" customWidth="1"/>
    <col min="12825" max="12825" width="35" style="17" bestFit="1" customWidth="1"/>
    <col min="12826" max="12826" width="1.140625" style="17" customWidth="1"/>
    <col min="12827" max="12827" width="0" style="17" hidden="1" customWidth="1"/>
    <col min="12828" max="13060" width="0" style="17" hidden="1"/>
    <col min="13061" max="13061" width="9.85546875" style="17" customWidth="1"/>
    <col min="13062" max="13062" width="1.42578125" style="17" customWidth="1"/>
    <col min="13063" max="13063" width="2.140625" style="17" customWidth="1"/>
    <col min="13064" max="13064" width="46.7109375" style="17" customWidth="1"/>
    <col min="13065" max="13080" width="12.28515625" style="17" customWidth="1"/>
    <col min="13081" max="13081" width="35" style="17" bestFit="1" customWidth="1"/>
    <col min="13082" max="13082" width="1.140625" style="17" customWidth="1"/>
    <col min="13083" max="13083" width="0" style="17" hidden="1" customWidth="1"/>
    <col min="13084" max="13316" width="0" style="17" hidden="1"/>
    <col min="13317" max="13317" width="9.85546875" style="17" customWidth="1"/>
    <col min="13318" max="13318" width="1.42578125" style="17" customWidth="1"/>
    <col min="13319" max="13319" width="2.140625" style="17" customWidth="1"/>
    <col min="13320" max="13320" width="46.7109375" style="17" customWidth="1"/>
    <col min="13321" max="13336" width="12.28515625" style="17" customWidth="1"/>
    <col min="13337" max="13337" width="35" style="17" bestFit="1" customWidth="1"/>
    <col min="13338" max="13338" width="1.140625" style="17" customWidth="1"/>
    <col min="13339" max="13339" width="0" style="17" hidden="1" customWidth="1"/>
    <col min="13340" max="13572" width="0" style="17" hidden="1"/>
    <col min="13573" max="13573" width="9.85546875" style="17" customWidth="1"/>
    <col min="13574" max="13574" width="1.42578125" style="17" customWidth="1"/>
    <col min="13575" max="13575" width="2.140625" style="17" customWidth="1"/>
    <col min="13576" max="13576" width="46.7109375" style="17" customWidth="1"/>
    <col min="13577" max="13592" width="12.28515625" style="17" customWidth="1"/>
    <col min="13593" max="13593" width="35" style="17" bestFit="1" customWidth="1"/>
    <col min="13594" max="13594" width="1.140625" style="17" customWidth="1"/>
    <col min="13595" max="13595" width="0" style="17" hidden="1" customWidth="1"/>
    <col min="13596" max="13828" width="0" style="17" hidden="1"/>
    <col min="13829" max="13829" width="9.85546875" style="17" customWidth="1"/>
    <col min="13830" max="13830" width="1.42578125" style="17" customWidth="1"/>
    <col min="13831" max="13831" width="2.140625" style="17" customWidth="1"/>
    <col min="13832" max="13832" width="46.7109375" style="17" customWidth="1"/>
    <col min="13833" max="13848" width="12.28515625" style="17" customWidth="1"/>
    <col min="13849" max="13849" width="35" style="17" bestFit="1" customWidth="1"/>
    <col min="13850" max="13850" width="1.140625" style="17" customWidth="1"/>
    <col min="13851" max="13851" width="0" style="17" hidden="1" customWidth="1"/>
    <col min="13852" max="14084" width="0" style="17" hidden="1"/>
    <col min="14085" max="14085" width="9.85546875" style="17" customWidth="1"/>
    <col min="14086" max="14086" width="1.42578125" style="17" customWidth="1"/>
    <col min="14087" max="14087" width="2.140625" style="17" customWidth="1"/>
    <col min="14088" max="14088" width="46.7109375" style="17" customWidth="1"/>
    <col min="14089" max="14104" width="12.28515625" style="17" customWidth="1"/>
    <col min="14105" max="14105" width="35" style="17" bestFit="1" customWidth="1"/>
    <col min="14106" max="14106" width="1.140625" style="17" customWidth="1"/>
    <col min="14107" max="14107" width="0" style="17" hidden="1" customWidth="1"/>
    <col min="14108" max="14340" width="0" style="17" hidden="1"/>
    <col min="14341" max="14341" width="9.85546875" style="17" customWidth="1"/>
    <col min="14342" max="14342" width="1.42578125" style="17" customWidth="1"/>
    <col min="14343" max="14343" width="2.140625" style="17" customWidth="1"/>
    <col min="14344" max="14344" width="46.7109375" style="17" customWidth="1"/>
    <col min="14345" max="14360" width="12.28515625" style="17" customWidth="1"/>
    <col min="14361" max="14361" width="35" style="17" bestFit="1" customWidth="1"/>
    <col min="14362" max="14362" width="1.140625" style="17" customWidth="1"/>
    <col min="14363" max="14363" width="0" style="17" hidden="1" customWidth="1"/>
    <col min="14364" max="14596" width="0" style="17" hidden="1"/>
    <col min="14597" max="14597" width="9.85546875" style="17" customWidth="1"/>
    <col min="14598" max="14598" width="1.42578125" style="17" customWidth="1"/>
    <col min="14599" max="14599" width="2.140625" style="17" customWidth="1"/>
    <col min="14600" max="14600" width="46.7109375" style="17" customWidth="1"/>
    <col min="14601" max="14616" width="12.28515625" style="17" customWidth="1"/>
    <col min="14617" max="14617" width="35" style="17" bestFit="1" customWidth="1"/>
    <col min="14618" max="14618" width="1.140625" style="17" customWidth="1"/>
    <col min="14619" max="14619" width="0" style="17" hidden="1" customWidth="1"/>
    <col min="14620" max="14852" width="0" style="17" hidden="1"/>
    <col min="14853" max="14853" width="9.85546875" style="17" customWidth="1"/>
    <col min="14854" max="14854" width="1.42578125" style="17" customWidth="1"/>
    <col min="14855" max="14855" width="2.140625" style="17" customWidth="1"/>
    <col min="14856" max="14856" width="46.7109375" style="17" customWidth="1"/>
    <col min="14857" max="14872" width="12.28515625" style="17" customWidth="1"/>
    <col min="14873" max="14873" width="35" style="17" bestFit="1" customWidth="1"/>
    <col min="14874" max="14874" width="1.140625" style="17" customWidth="1"/>
    <col min="14875" max="14875" width="0" style="17" hidden="1" customWidth="1"/>
    <col min="14876" max="15108" width="0" style="17" hidden="1"/>
    <col min="15109" max="15109" width="9.85546875" style="17" customWidth="1"/>
    <col min="15110" max="15110" width="1.42578125" style="17" customWidth="1"/>
    <col min="15111" max="15111" width="2.140625" style="17" customWidth="1"/>
    <col min="15112" max="15112" width="46.7109375" style="17" customWidth="1"/>
    <col min="15113" max="15128" width="12.28515625" style="17" customWidth="1"/>
    <col min="15129" max="15129" width="35" style="17" bestFit="1" customWidth="1"/>
    <col min="15130" max="15130" width="1.140625" style="17" customWidth="1"/>
    <col min="15131" max="15131" width="0" style="17" hidden="1" customWidth="1"/>
    <col min="15132" max="15364" width="0" style="17" hidden="1"/>
    <col min="15365" max="15365" width="9.85546875" style="17" customWidth="1"/>
    <col min="15366" max="15366" width="1.42578125" style="17" customWidth="1"/>
    <col min="15367" max="15367" width="2.140625" style="17" customWidth="1"/>
    <col min="15368" max="15368" width="46.7109375" style="17" customWidth="1"/>
    <col min="15369" max="15384" width="12.28515625" style="17" customWidth="1"/>
    <col min="15385" max="15385" width="35" style="17" bestFit="1" customWidth="1"/>
    <col min="15386" max="15386" width="1.140625" style="17" customWidth="1"/>
    <col min="15387" max="15387" width="0" style="17" hidden="1" customWidth="1"/>
    <col min="15388" max="15620" width="0" style="17" hidden="1"/>
    <col min="15621" max="15621" width="9.85546875" style="17" customWidth="1"/>
    <col min="15622" max="15622" width="1.42578125" style="17" customWidth="1"/>
    <col min="15623" max="15623" width="2.140625" style="17" customWidth="1"/>
    <col min="15624" max="15624" width="46.7109375" style="17" customWidth="1"/>
    <col min="15625" max="15640" width="12.28515625" style="17" customWidth="1"/>
    <col min="15641" max="15641" width="35" style="17" bestFit="1" customWidth="1"/>
    <col min="15642" max="15642" width="1.140625" style="17" customWidth="1"/>
    <col min="15643" max="15643" width="0" style="17" hidden="1" customWidth="1"/>
    <col min="15644" max="15876" width="0" style="17" hidden="1"/>
    <col min="15877" max="15877" width="9.85546875" style="17" customWidth="1"/>
    <col min="15878" max="15878" width="1.42578125" style="17" customWidth="1"/>
    <col min="15879" max="15879" width="2.140625" style="17" customWidth="1"/>
    <col min="15880" max="15880" width="46.7109375" style="17" customWidth="1"/>
    <col min="15881" max="15896" width="12.28515625" style="17" customWidth="1"/>
    <col min="15897" max="15897" width="35" style="17" bestFit="1" customWidth="1"/>
    <col min="15898" max="15898" width="1.140625" style="17" customWidth="1"/>
    <col min="15899" max="15899" width="0" style="17" hidden="1" customWidth="1"/>
    <col min="15900" max="16132" width="0" style="17" hidden="1"/>
    <col min="16133" max="16133" width="9.85546875" style="17" customWidth="1"/>
    <col min="16134" max="16134" width="1.42578125" style="17" customWidth="1"/>
    <col min="16135" max="16135" width="2.140625" style="17" customWidth="1"/>
    <col min="16136" max="16136" width="46.7109375" style="17" customWidth="1"/>
    <col min="16137" max="16152" width="12.28515625" style="17" customWidth="1"/>
    <col min="16153" max="16153" width="35" style="17" bestFit="1" customWidth="1"/>
    <col min="16154" max="16154" width="1.140625" style="17" customWidth="1"/>
    <col min="16155" max="16155" width="0" style="17" hidden="1" customWidth="1"/>
    <col min="16156" max="16384" width="0" style="17" hidden="1"/>
  </cols>
  <sheetData>
    <row r="1" spans="3:260" s="36" customFormat="1" ht="28.35" customHeight="1">
      <c r="C1" s="965"/>
      <c r="D1" s="188"/>
      <c r="E1" s="187"/>
      <c r="F1" s="187"/>
      <c r="G1" s="1391"/>
      <c r="H1" s="1391"/>
      <c r="I1" s="187"/>
      <c r="J1" s="187"/>
      <c r="K1" s="187"/>
      <c r="L1" s="187"/>
      <c r="M1" s="187"/>
      <c r="N1" s="89"/>
      <c r="O1" s="89"/>
      <c r="P1" s="187"/>
      <c r="Q1" s="187"/>
      <c r="R1" s="187"/>
      <c r="S1" s="187"/>
      <c r="T1" s="966"/>
      <c r="U1" s="966"/>
      <c r="V1" s="966"/>
      <c r="W1" s="966"/>
      <c r="X1" s="966"/>
      <c r="Y1" s="85"/>
      <c r="Z1" s="85"/>
      <c r="AA1" s="85"/>
    </row>
    <row r="2" spans="3:260" s="36" customFormat="1" ht="28.35" customHeight="1">
      <c r="C2" s="965"/>
      <c r="D2" s="188"/>
      <c r="E2" s="188"/>
      <c r="F2" s="188"/>
      <c r="G2" s="1392"/>
      <c r="H2" s="1392"/>
      <c r="I2" s="188"/>
      <c r="J2" s="188"/>
      <c r="K2" s="188"/>
      <c r="L2" s="188"/>
      <c r="M2" s="188"/>
      <c r="N2" s="216"/>
      <c r="O2" s="216"/>
      <c r="P2" s="188"/>
      <c r="Q2" s="188"/>
      <c r="R2" s="188"/>
      <c r="S2" s="188"/>
      <c r="T2" s="966"/>
      <c r="U2" s="966"/>
      <c r="V2" s="966"/>
      <c r="W2" s="966"/>
      <c r="X2" s="966"/>
      <c r="Y2" s="227"/>
      <c r="Z2" s="227"/>
      <c r="AA2" s="227"/>
    </row>
    <row r="3" spans="3:260" s="113" customFormat="1" ht="28.35" customHeight="1">
      <c r="D3" s="4987" t="s">
        <v>2289</v>
      </c>
      <c r="E3" s="4987"/>
      <c r="F3" s="4987"/>
      <c r="G3" s="4987"/>
      <c r="H3" s="4987"/>
      <c r="I3" s="4987"/>
      <c r="J3" s="4987"/>
      <c r="K3" s="4987"/>
      <c r="L3" s="4987"/>
      <c r="M3" s="4987"/>
      <c r="N3" s="4987"/>
      <c r="O3" s="4987"/>
      <c r="P3" s="4987"/>
      <c r="Q3" s="4987" t="s">
        <v>2290</v>
      </c>
      <c r="R3" s="4987"/>
      <c r="S3" s="4987"/>
      <c r="T3" s="4987"/>
      <c r="U3" s="4987"/>
      <c r="V3" s="4987"/>
      <c r="W3" s="4987"/>
      <c r="X3" s="4987"/>
      <c r="Y3" s="4987"/>
      <c r="Z3" s="967"/>
      <c r="AA3" s="968"/>
      <c r="AB3" s="968"/>
      <c r="AC3" s="968"/>
    </row>
    <row r="4" spans="3:260" s="230" customFormat="1" ht="28.35" customHeight="1">
      <c r="C4" s="416"/>
      <c r="D4" s="5113" t="s">
        <v>2291</v>
      </c>
      <c r="E4" s="5113"/>
      <c r="F4" s="5113"/>
      <c r="G4" s="5113"/>
      <c r="H4" s="5113"/>
      <c r="I4" s="5113"/>
      <c r="J4" s="5113"/>
      <c r="K4" s="5113"/>
      <c r="L4" s="5113"/>
      <c r="M4" s="5113"/>
      <c r="N4" s="5113"/>
      <c r="O4" s="5113"/>
      <c r="P4" s="5113"/>
      <c r="Q4" s="5113" t="s">
        <v>2292</v>
      </c>
      <c r="R4" s="5113"/>
      <c r="S4" s="5113"/>
      <c r="T4" s="5113"/>
      <c r="U4" s="5113"/>
      <c r="V4" s="5113"/>
      <c r="W4" s="5113"/>
      <c r="X4" s="5113"/>
      <c r="Y4" s="5113"/>
      <c r="Z4" s="969"/>
      <c r="AA4" s="970"/>
      <c r="AB4" s="970"/>
      <c r="AC4" s="970"/>
      <c r="AD4" s="970"/>
      <c r="AE4" s="970"/>
      <c r="AF4" s="970"/>
      <c r="AG4" s="971"/>
      <c r="AH4" s="971"/>
      <c r="AI4" s="971"/>
      <c r="AJ4" s="971"/>
      <c r="AK4" s="971"/>
      <c r="AL4" s="971"/>
      <c r="AM4" s="971"/>
    </row>
    <row r="5" spans="3:260" s="972" customFormat="1" ht="17.100000000000001" customHeight="1">
      <c r="D5" s="40"/>
      <c r="E5" s="38" t="s">
        <v>2293</v>
      </c>
      <c r="F5" s="23"/>
      <c r="G5" s="1316"/>
      <c r="H5" s="1316"/>
      <c r="I5" s="23"/>
      <c r="J5" s="23"/>
      <c r="K5" s="23"/>
      <c r="L5" s="23"/>
      <c r="M5" s="23"/>
      <c r="N5" s="93"/>
      <c r="O5" s="93"/>
      <c r="P5" s="23"/>
      <c r="Q5" s="23"/>
      <c r="R5" s="27"/>
      <c r="S5" s="27"/>
      <c r="T5" s="27"/>
      <c r="U5" s="27"/>
      <c r="V5" s="27"/>
      <c r="W5" s="27"/>
      <c r="X5" s="27"/>
      <c r="Y5" s="869" t="s">
        <v>2294</v>
      </c>
      <c r="Z5" s="973"/>
      <c r="AA5" s="917"/>
    </row>
    <row r="6" spans="3:260" s="972" customFormat="1" ht="4.3499999999999996" customHeight="1">
      <c r="D6" s="39"/>
      <c r="E6" s="217"/>
      <c r="F6" s="217"/>
      <c r="G6" s="1393"/>
      <c r="H6" s="1393"/>
      <c r="I6" s="217"/>
      <c r="J6" s="217"/>
      <c r="K6" s="217"/>
      <c r="L6" s="217"/>
      <c r="M6" s="217"/>
      <c r="N6" s="974"/>
      <c r="O6" s="974"/>
      <c r="P6" s="217"/>
      <c r="Q6" s="217"/>
      <c r="R6" s="59"/>
      <c r="S6" s="59"/>
      <c r="T6" s="59"/>
      <c r="U6" s="59"/>
      <c r="V6" s="59"/>
      <c r="W6" s="59"/>
      <c r="X6" s="59"/>
      <c r="Y6" s="39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3:260" ht="28.35" customHeight="1">
      <c r="C7" s="29"/>
      <c r="D7" s="5367" t="s">
        <v>2295</v>
      </c>
      <c r="E7" s="5368"/>
      <c r="F7" s="5369"/>
      <c r="G7" s="5362">
        <v>2015</v>
      </c>
      <c r="H7" s="5362">
        <v>2014</v>
      </c>
      <c r="I7" s="5370">
        <v>2013</v>
      </c>
      <c r="J7" s="5364">
        <v>2012</v>
      </c>
      <c r="K7" s="5364">
        <v>2011</v>
      </c>
      <c r="L7" s="5364">
        <v>2010</v>
      </c>
      <c r="M7" s="5364">
        <v>2009</v>
      </c>
      <c r="N7" s="5364">
        <v>2008</v>
      </c>
      <c r="O7" s="5364">
        <v>2007</v>
      </c>
      <c r="P7" s="5373">
        <v>2006</v>
      </c>
      <c r="Q7" s="5376">
        <v>2005</v>
      </c>
      <c r="R7" s="5364">
        <v>2004</v>
      </c>
      <c r="S7" s="5364">
        <v>2003</v>
      </c>
      <c r="T7" s="5364">
        <v>2002</v>
      </c>
      <c r="U7" s="5364">
        <v>2001</v>
      </c>
      <c r="V7" s="5364">
        <v>2000</v>
      </c>
      <c r="W7" s="5364">
        <v>1999</v>
      </c>
      <c r="X7" s="975"/>
      <c r="Y7" s="5379" t="s">
        <v>2296</v>
      </c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3:260" ht="28.35" customHeight="1">
      <c r="C8" s="29"/>
      <c r="D8" s="4991"/>
      <c r="E8" s="4992"/>
      <c r="F8" s="4994"/>
      <c r="G8" s="5071"/>
      <c r="H8" s="5071"/>
      <c r="I8" s="5371"/>
      <c r="J8" s="5365"/>
      <c r="K8" s="5365"/>
      <c r="L8" s="5365"/>
      <c r="M8" s="5365"/>
      <c r="N8" s="5365"/>
      <c r="O8" s="5365"/>
      <c r="P8" s="5374"/>
      <c r="Q8" s="5377"/>
      <c r="R8" s="5365"/>
      <c r="S8" s="5365"/>
      <c r="T8" s="5365"/>
      <c r="U8" s="5365"/>
      <c r="V8" s="5365"/>
      <c r="W8" s="5365"/>
      <c r="X8" s="976"/>
      <c r="Y8" s="5380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3:260" ht="28.35" customHeight="1">
      <c r="C9" s="29"/>
      <c r="D9" s="4991"/>
      <c r="E9" s="4992"/>
      <c r="F9" s="4994"/>
      <c r="G9" s="5071"/>
      <c r="H9" s="5071"/>
      <c r="I9" s="5371"/>
      <c r="J9" s="5365"/>
      <c r="K9" s="5365"/>
      <c r="L9" s="5365"/>
      <c r="M9" s="5365"/>
      <c r="N9" s="5365"/>
      <c r="O9" s="5365"/>
      <c r="P9" s="5374"/>
      <c r="Q9" s="5377"/>
      <c r="R9" s="5365"/>
      <c r="S9" s="5365"/>
      <c r="T9" s="5365"/>
      <c r="U9" s="5365"/>
      <c r="V9" s="5365"/>
      <c r="W9" s="5365"/>
      <c r="X9" s="977" t="s">
        <v>2297</v>
      </c>
      <c r="Y9" s="5380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</row>
    <row r="10" spans="3:260" ht="28.35" customHeight="1">
      <c r="C10" s="29"/>
      <c r="D10" s="4991"/>
      <c r="E10" s="4992"/>
      <c r="F10" s="4994"/>
      <c r="G10" s="5071"/>
      <c r="H10" s="5071"/>
      <c r="I10" s="5371"/>
      <c r="J10" s="5365"/>
      <c r="K10" s="5365"/>
      <c r="L10" s="5365"/>
      <c r="M10" s="5365"/>
      <c r="N10" s="5365"/>
      <c r="O10" s="5365"/>
      <c r="P10" s="5374"/>
      <c r="Q10" s="5377"/>
      <c r="R10" s="5365"/>
      <c r="S10" s="5365"/>
      <c r="T10" s="5365"/>
      <c r="U10" s="5365"/>
      <c r="V10" s="5365"/>
      <c r="W10" s="5365"/>
      <c r="X10" s="977" t="s">
        <v>2298</v>
      </c>
      <c r="Y10" s="5380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</row>
    <row r="11" spans="3:260" s="220" customFormat="1" ht="28.35" customHeight="1">
      <c r="C11" s="29"/>
      <c r="D11" s="4991"/>
      <c r="E11" s="4992"/>
      <c r="F11" s="4994"/>
      <c r="G11" s="5071">
        <v>2013</v>
      </c>
      <c r="H11" s="5071">
        <v>2013</v>
      </c>
      <c r="I11" s="5371">
        <v>2013</v>
      </c>
      <c r="J11" s="5365">
        <v>2012</v>
      </c>
      <c r="K11" s="5365">
        <v>2011</v>
      </c>
      <c r="L11" s="5365">
        <v>2010</v>
      </c>
      <c r="M11" s="5365">
        <v>2009</v>
      </c>
      <c r="N11" s="5365">
        <v>2008</v>
      </c>
      <c r="O11" s="5365">
        <v>2007</v>
      </c>
      <c r="P11" s="5374">
        <v>2006</v>
      </c>
      <c r="Q11" s="5377">
        <v>2005</v>
      </c>
      <c r="R11" s="5365">
        <v>2004</v>
      </c>
      <c r="S11" s="5365">
        <v>2003</v>
      </c>
      <c r="T11" s="5365">
        <v>2002</v>
      </c>
      <c r="U11" s="5365">
        <v>2001</v>
      </c>
      <c r="V11" s="5365">
        <v>2000</v>
      </c>
      <c r="W11" s="5365"/>
      <c r="X11" s="977"/>
      <c r="Y11" s="5380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</row>
    <row r="12" spans="3:260" ht="28.35" customHeight="1">
      <c r="D12" s="4991"/>
      <c r="E12" s="4992"/>
      <c r="F12" s="4994"/>
      <c r="G12" s="5071"/>
      <c r="H12" s="5071"/>
      <c r="I12" s="5371"/>
      <c r="J12" s="5365"/>
      <c r="K12" s="5365"/>
      <c r="L12" s="5365"/>
      <c r="M12" s="5365"/>
      <c r="N12" s="5365"/>
      <c r="O12" s="5365"/>
      <c r="P12" s="5374"/>
      <c r="Q12" s="5377"/>
      <c r="R12" s="5365"/>
      <c r="S12" s="5365"/>
      <c r="T12" s="5365"/>
      <c r="U12" s="5365"/>
      <c r="V12" s="5365"/>
      <c r="W12" s="5365"/>
      <c r="X12" s="977" t="s">
        <v>2299</v>
      </c>
      <c r="Y12" s="5380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</row>
    <row r="13" spans="3:260" ht="28.35" customHeight="1">
      <c r="D13" s="5130"/>
      <c r="E13" s="4998"/>
      <c r="F13" s="4999"/>
      <c r="G13" s="5363"/>
      <c r="H13" s="5363"/>
      <c r="I13" s="5372"/>
      <c r="J13" s="5366"/>
      <c r="K13" s="5366"/>
      <c r="L13" s="5366"/>
      <c r="M13" s="5366"/>
      <c r="N13" s="5366"/>
      <c r="O13" s="5366"/>
      <c r="P13" s="5375"/>
      <c r="Q13" s="5378"/>
      <c r="R13" s="5366"/>
      <c r="S13" s="5366"/>
      <c r="T13" s="5366"/>
      <c r="U13" s="5366"/>
      <c r="V13" s="5366"/>
      <c r="W13" s="5366"/>
      <c r="X13" s="978" t="s">
        <v>1941</v>
      </c>
      <c r="Y13" s="5381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</row>
    <row r="14" spans="3:260" s="35" customFormat="1" ht="35.1" customHeight="1">
      <c r="C14" s="29"/>
      <c r="D14" s="979"/>
      <c r="E14" s="235" t="s">
        <v>2300</v>
      </c>
      <c r="F14" s="235"/>
      <c r="G14" s="1138">
        <v>142.77500000000001</v>
      </c>
      <c r="H14" s="1138">
        <v>141.69999999999999</v>
      </c>
      <c r="I14" s="236">
        <v>139.6</v>
      </c>
      <c r="J14" s="237">
        <v>136.1</v>
      </c>
      <c r="K14" s="237">
        <v>132.30000000000001</v>
      </c>
      <c r="L14" s="237">
        <v>130.4</v>
      </c>
      <c r="M14" s="237">
        <v>127.41250000000001</v>
      </c>
      <c r="N14" s="237">
        <v>126</v>
      </c>
      <c r="O14" s="237">
        <v>117.925</v>
      </c>
      <c r="P14" s="237">
        <v>115</v>
      </c>
      <c r="Q14" s="243">
        <v>105.4</v>
      </c>
      <c r="R14" s="237">
        <v>100.2</v>
      </c>
      <c r="S14" s="237">
        <v>91.8</v>
      </c>
      <c r="T14" s="237">
        <v>89.094999999999999</v>
      </c>
      <c r="U14" s="237">
        <v>91.2</v>
      </c>
      <c r="V14" s="237">
        <v>93.3</v>
      </c>
      <c r="W14" s="161">
        <v>97.2</v>
      </c>
      <c r="X14" s="980">
        <v>19.420000000000002</v>
      </c>
      <c r="Y14" s="249" t="s">
        <v>2301</v>
      </c>
      <c r="AA14" s="981"/>
    </row>
    <row r="15" spans="3:260" s="35" customFormat="1" ht="35.1" customHeight="1">
      <c r="C15" s="29"/>
      <c r="D15" s="982"/>
      <c r="E15" s="239" t="s">
        <v>2302</v>
      </c>
      <c r="F15" s="239"/>
      <c r="G15" s="1394"/>
      <c r="H15" s="1394"/>
      <c r="I15" s="444"/>
      <c r="J15" s="473"/>
      <c r="K15" s="473"/>
      <c r="L15" s="72"/>
      <c r="M15" s="72"/>
      <c r="N15" s="72"/>
      <c r="O15" s="72"/>
      <c r="P15" s="473"/>
      <c r="Q15" s="473"/>
      <c r="R15" s="72"/>
      <c r="S15" s="72"/>
      <c r="T15" s="72"/>
      <c r="U15" s="72"/>
      <c r="V15" s="72"/>
      <c r="W15" s="160"/>
      <c r="X15" s="983"/>
      <c r="Y15" s="252" t="s">
        <v>2303</v>
      </c>
      <c r="AA15" s="984"/>
    </row>
    <row r="16" spans="3:260" s="35" customFormat="1" ht="35.1" customHeight="1">
      <c r="C16" s="29"/>
      <c r="D16" s="979"/>
      <c r="E16" s="235"/>
      <c r="F16" s="235" t="s">
        <v>2304</v>
      </c>
      <c r="G16" s="1138">
        <v>201.7</v>
      </c>
      <c r="H16" s="1138">
        <v>200.7</v>
      </c>
      <c r="I16" s="236">
        <v>200.5</v>
      </c>
      <c r="J16" s="237">
        <v>197.7</v>
      </c>
      <c r="K16" s="237">
        <v>188.4</v>
      </c>
      <c r="L16" s="237">
        <v>181.4</v>
      </c>
      <c r="M16" s="237">
        <v>176.40000000000003</v>
      </c>
      <c r="N16" s="237">
        <v>175.125</v>
      </c>
      <c r="O16" s="237">
        <v>141.5</v>
      </c>
      <c r="P16" s="243">
        <v>125.8</v>
      </c>
      <c r="Q16" s="243">
        <v>117.1</v>
      </c>
      <c r="R16" s="237">
        <v>105.85</v>
      </c>
      <c r="S16" s="237">
        <v>93.6</v>
      </c>
      <c r="T16" s="237">
        <v>92.8</v>
      </c>
      <c r="U16" s="237">
        <v>94.7</v>
      </c>
      <c r="V16" s="237">
        <v>94.6</v>
      </c>
      <c r="W16" s="161">
        <v>96.4</v>
      </c>
      <c r="X16" s="980">
        <f>X17+X18+X19+X20+X21+X22</f>
        <v>45.73</v>
      </c>
      <c r="Y16" s="249" t="s">
        <v>2305</v>
      </c>
      <c r="AA16" s="981"/>
    </row>
    <row r="17" spans="3:260" ht="35.1" customHeight="1">
      <c r="C17" s="31"/>
      <c r="D17" s="15"/>
      <c r="E17" s="248"/>
      <c r="F17" s="248" t="s">
        <v>2247</v>
      </c>
      <c r="G17" s="1141">
        <v>199.6</v>
      </c>
      <c r="H17" s="1141">
        <v>231.7</v>
      </c>
      <c r="I17" s="178">
        <v>235</v>
      </c>
      <c r="J17" s="71">
        <v>228.7</v>
      </c>
      <c r="K17" s="71">
        <v>212.8</v>
      </c>
      <c r="L17" s="71">
        <v>199.4</v>
      </c>
      <c r="M17" s="71">
        <v>198.2</v>
      </c>
      <c r="N17" s="71">
        <v>193.375</v>
      </c>
      <c r="O17" s="71">
        <v>140.69999999999999</v>
      </c>
      <c r="P17" s="16">
        <v>117.3</v>
      </c>
      <c r="Q17" s="16">
        <v>112.7</v>
      </c>
      <c r="R17" s="71">
        <v>103.825</v>
      </c>
      <c r="S17" s="71">
        <v>91.3</v>
      </c>
      <c r="T17" s="71">
        <v>89.662499999999994</v>
      </c>
      <c r="U17" s="71">
        <v>96</v>
      </c>
      <c r="V17" s="71">
        <v>96.3</v>
      </c>
      <c r="W17" s="58">
        <v>99.4</v>
      </c>
      <c r="X17" s="985">
        <v>14.41</v>
      </c>
      <c r="Y17" s="986" t="s">
        <v>2306</v>
      </c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</row>
    <row r="18" spans="3:260" ht="35.1" customHeight="1">
      <c r="C18" s="31"/>
      <c r="D18" s="987"/>
      <c r="E18" s="244"/>
      <c r="F18" s="244" t="s">
        <v>2307</v>
      </c>
      <c r="G18" s="1142">
        <v>176.2</v>
      </c>
      <c r="H18" s="1142">
        <v>192</v>
      </c>
      <c r="I18" s="181">
        <v>185.6</v>
      </c>
      <c r="J18" s="128">
        <v>169.7</v>
      </c>
      <c r="K18" s="128">
        <v>152.5</v>
      </c>
      <c r="L18" s="128">
        <v>149.1</v>
      </c>
      <c r="M18" s="128">
        <v>143.52500000000001</v>
      </c>
      <c r="N18" s="128">
        <v>161.39999999999998</v>
      </c>
      <c r="O18" s="128">
        <v>131.24</v>
      </c>
      <c r="P18" s="443">
        <v>112.2</v>
      </c>
      <c r="Q18" s="443">
        <v>104.7</v>
      </c>
      <c r="R18" s="128">
        <v>99.424999999999997</v>
      </c>
      <c r="S18" s="128">
        <v>87.111391905231983</v>
      </c>
      <c r="T18" s="128">
        <v>88.352554294175718</v>
      </c>
      <c r="U18" s="128">
        <v>90.1</v>
      </c>
      <c r="V18" s="128">
        <v>88.6</v>
      </c>
      <c r="W18" s="54">
        <v>95.3</v>
      </c>
      <c r="X18" s="988">
        <f>6.05+4.08</f>
        <v>10.129999999999999</v>
      </c>
      <c r="Y18" s="989" t="s">
        <v>2308</v>
      </c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</row>
    <row r="19" spans="3:260" ht="35.1" customHeight="1">
      <c r="C19" s="31"/>
      <c r="D19" s="15"/>
      <c r="E19" s="248"/>
      <c r="F19" s="248" t="s">
        <v>2309</v>
      </c>
      <c r="G19" s="1141">
        <v>182.4</v>
      </c>
      <c r="H19" s="1141">
        <v>174.9</v>
      </c>
      <c r="I19" s="178">
        <v>161.6</v>
      </c>
      <c r="J19" s="71">
        <v>172.1</v>
      </c>
      <c r="K19" s="71">
        <v>164.1</v>
      </c>
      <c r="L19" s="71">
        <v>160.30000000000001</v>
      </c>
      <c r="M19" s="71">
        <v>149.1</v>
      </c>
      <c r="N19" s="71">
        <v>144.04999999999998</v>
      </c>
      <c r="O19" s="71">
        <v>121.1</v>
      </c>
      <c r="P19" s="16">
        <v>121.1</v>
      </c>
      <c r="Q19" s="16">
        <v>117.2</v>
      </c>
      <c r="R19" s="71">
        <v>110.6</v>
      </c>
      <c r="S19" s="71">
        <v>100.685</v>
      </c>
      <c r="T19" s="71">
        <v>100.94</v>
      </c>
      <c r="U19" s="71">
        <v>101.5</v>
      </c>
      <c r="V19" s="71">
        <v>102.2</v>
      </c>
      <c r="W19" s="58">
        <v>100.8</v>
      </c>
      <c r="X19" s="985">
        <v>1.88</v>
      </c>
      <c r="Y19" s="986" t="s">
        <v>2310</v>
      </c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</row>
    <row r="20" spans="3:260" ht="35.1" customHeight="1">
      <c r="C20" s="31"/>
      <c r="D20" s="987"/>
      <c r="E20" s="244"/>
      <c r="F20" s="244" t="s">
        <v>2311</v>
      </c>
      <c r="G20" s="1142">
        <v>190.5</v>
      </c>
      <c r="H20" s="1142">
        <v>201.4</v>
      </c>
      <c r="I20" s="181">
        <v>199.1</v>
      </c>
      <c r="J20" s="128">
        <v>207.2</v>
      </c>
      <c r="K20" s="128">
        <v>189</v>
      </c>
      <c r="L20" s="128">
        <v>182.1</v>
      </c>
      <c r="M20" s="128">
        <v>179.17500000000001</v>
      </c>
      <c r="N20" s="128">
        <v>163.72499999999999</v>
      </c>
      <c r="O20" s="128">
        <v>130.27500000000001</v>
      </c>
      <c r="P20" s="443">
        <v>127.8</v>
      </c>
      <c r="Q20" s="443">
        <v>121.6</v>
      </c>
      <c r="R20" s="128">
        <v>110.15</v>
      </c>
      <c r="S20" s="128">
        <v>105</v>
      </c>
      <c r="T20" s="128">
        <v>97.212500000000006</v>
      </c>
      <c r="U20" s="128">
        <v>96.9</v>
      </c>
      <c r="V20" s="128">
        <v>94.6</v>
      </c>
      <c r="W20" s="54">
        <v>96.7</v>
      </c>
      <c r="X20" s="988">
        <v>3.87</v>
      </c>
      <c r="Y20" s="989" t="s">
        <v>2312</v>
      </c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</row>
    <row r="21" spans="3:260" ht="35.1" customHeight="1">
      <c r="C21" s="31"/>
      <c r="D21" s="15"/>
      <c r="E21" s="248"/>
      <c r="F21" s="248" t="s">
        <v>2313</v>
      </c>
      <c r="G21" s="1141">
        <v>239.4</v>
      </c>
      <c r="H21" s="1141">
        <v>213.4</v>
      </c>
      <c r="I21" s="178">
        <v>212.3</v>
      </c>
      <c r="J21" s="71">
        <v>211.7</v>
      </c>
      <c r="K21" s="71">
        <v>211.3</v>
      </c>
      <c r="L21" s="71">
        <v>210.6</v>
      </c>
      <c r="M21" s="71">
        <v>211.1</v>
      </c>
      <c r="N21" s="71">
        <v>206.3</v>
      </c>
      <c r="O21" s="71">
        <v>190.02499999999998</v>
      </c>
      <c r="P21" s="16">
        <v>167.3</v>
      </c>
      <c r="Q21" s="16">
        <v>152.1</v>
      </c>
      <c r="R21" s="71">
        <v>132.27500000000001</v>
      </c>
      <c r="S21" s="71">
        <v>107.4</v>
      </c>
      <c r="T21" s="71">
        <v>107.7625</v>
      </c>
      <c r="U21" s="71">
        <v>100.9</v>
      </c>
      <c r="V21" s="71">
        <v>98.8</v>
      </c>
      <c r="W21" s="58">
        <v>98.8</v>
      </c>
      <c r="X21" s="985">
        <v>6.97</v>
      </c>
      <c r="Y21" s="986" t="s">
        <v>2314</v>
      </c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</row>
    <row r="22" spans="3:260" ht="35.1" customHeight="1">
      <c r="C22" s="990"/>
      <c r="D22" s="987"/>
      <c r="E22" s="244"/>
      <c r="F22" s="244" t="s">
        <v>1324</v>
      </c>
      <c r="G22" s="1142">
        <v>214.1480519480518</v>
      </c>
      <c r="H22" s="1142">
        <v>153.30000000000001</v>
      </c>
      <c r="I22" s="181">
        <v>159.1</v>
      </c>
      <c r="J22" s="128">
        <v>168.2682408500589</v>
      </c>
      <c r="K22" s="128">
        <v>176.1</v>
      </c>
      <c r="L22" s="128">
        <v>170.5</v>
      </c>
      <c r="M22" s="128">
        <v>152.7727272727272</v>
      </c>
      <c r="N22" s="128">
        <v>146.94329988193624</v>
      </c>
      <c r="O22" s="128">
        <v>125.04206611570241</v>
      </c>
      <c r="P22" s="443">
        <v>117.9</v>
      </c>
      <c r="Q22" s="443">
        <v>108.5</v>
      </c>
      <c r="R22" s="128">
        <v>91.848848878394293</v>
      </c>
      <c r="S22" s="128">
        <v>87.135867768595006</v>
      </c>
      <c r="T22" s="128">
        <v>87.1</v>
      </c>
      <c r="U22" s="128">
        <v>90.4</v>
      </c>
      <c r="V22" s="128">
        <v>98.6</v>
      </c>
      <c r="W22" s="54">
        <v>89.6</v>
      </c>
      <c r="X22" s="988">
        <v>8.4700000000000006</v>
      </c>
      <c r="Y22" s="989" t="s">
        <v>2315</v>
      </c>
      <c r="Z22" s="991"/>
      <c r="AA22" s="992"/>
    </row>
    <row r="23" spans="3:260" s="35" customFormat="1" ht="35.1" customHeight="1">
      <c r="C23" s="29"/>
      <c r="D23" s="982"/>
      <c r="E23" s="239" t="s">
        <v>2316</v>
      </c>
      <c r="F23" s="239"/>
      <c r="G23" s="1140">
        <v>145.5</v>
      </c>
      <c r="H23" s="1140">
        <v>134.5</v>
      </c>
      <c r="I23" s="240">
        <v>123.3</v>
      </c>
      <c r="J23" s="72">
        <v>121.1</v>
      </c>
      <c r="K23" s="72">
        <v>116.8</v>
      </c>
      <c r="L23" s="72">
        <v>110.1</v>
      </c>
      <c r="M23" s="72">
        <v>107.57500000000002</v>
      </c>
      <c r="N23" s="72">
        <v>107.05</v>
      </c>
      <c r="O23" s="72">
        <v>95.724999999999994</v>
      </c>
      <c r="P23" s="473">
        <v>92.8</v>
      </c>
      <c r="Q23" s="473">
        <v>91.4</v>
      </c>
      <c r="R23" s="72">
        <v>89.775000000000006</v>
      </c>
      <c r="S23" s="72">
        <v>89.8</v>
      </c>
      <c r="T23" s="72">
        <v>88.567499999999995</v>
      </c>
      <c r="U23" s="72">
        <v>88.4</v>
      </c>
      <c r="V23" s="72">
        <v>91.6</v>
      </c>
      <c r="W23" s="160">
        <v>97.9</v>
      </c>
      <c r="X23" s="983">
        <f>X24+X25+X26+X27+X28</f>
        <v>20.669999999999998</v>
      </c>
      <c r="Y23" s="252" t="s">
        <v>2317</v>
      </c>
      <c r="AA23" s="984"/>
    </row>
    <row r="24" spans="3:260" ht="35.1" customHeight="1">
      <c r="C24" s="31"/>
      <c r="D24" s="987"/>
      <c r="E24" s="244"/>
      <c r="F24" s="244" t="s">
        <v>2318</v>
      </c>
      <c r="G24" s="1142">
        <v>141.80000000000001</v>
      </c>
      <c r="H24" s="1142">
        <v>131.4</v>
      </c>
      <c r="I24" s="181">
        <v>111.7</v>
      </c>
      <c r="J24" s="128">
        <v>102.8</v>
      </c>
      <c r="K24" s="128">
        <v>98.6</v>
      </c>
      <c r="L24" s="128">
        <v>96</v>
      </c>
      <c r="M24" s="128">
        <v>90.899999999999991</v>
      </c>
      <c r="N24" s="128">
        <v>86.1</v>
      </c>
      <c r="O24" s="128">
        <v>71.975000000000009</v>
      </c>
      <c r="P24" s="443">
        <v>68.900000000000006</v>
      </c>
      <c r="Q24" s="443">
        <v>67.8</v>
      </c>
      <c r="R24" s="128">
        <v>68</v>
      </c>
      <c r="S24" s="128">
        <v>68.599999999999994</v>
      </c>
      <c r="T24" s="128">
        <v>71.215000000000003</v>
      </c>
      <c r="U24" s="128">
        <v>77.2</v>
      </c>
      <c r="V24" s="128">
        <v>88</v>
      </c>
      <c r="W24" s="54">
        <v>97.9</v>
      </c>
      <c r="X24" s="988">
        <v>4.8499999999999996</v>
      </c>
      <c r="Y24" s="989" t="s">
        <v>2319</v>
      </c>
      <c r="Z24" s="991"/>
      <c r="AA24" s="992"/>
    </row>
    <row r="25" spans="3:260" ht="35.1" customHeight="1">
      <c r="C25" s="31"/>
      <c r="D25" s="15"/>
      <c r="E25" s="248"/>
      <c r="F25" s="248" t="s">
        <v>2320</v>
      </c>
      <c r="G25" s="1141">
        <v>218.7</v>
      </c>
      <c r="H25" s="1141">
        <v>199.4</v>
      </c>
      <c r="I25" s="178">
        <v>187.4</v>
      </c>
      <c r="J25" s="71">
        <v>168.1</v>
      </c>
      <c r="K25" s="71">
        <v>154.1</v>
      </c>
      <c r="L25" s="71">
        <v>147.4</v>
      </c>
      <c r="M25" s="71">
        <v>144.5</v>
      </c>
      <c r="N25" s="71">
        <v>136.69999999999999</v>
      </c>
      <c r="O25" s="71">
        <v>110.52500000000001</v>
      </c>
      <c r="P25" s="16">
        <v>99.5</v>
      </c>
      <c r="Q25" s="16">
        <v>98.1</v>
      </c>
      <c r="R25" s="71">
        <v>96.174999999999997</v>
      </c>
      <c r="S25" s="71">
        <v>94.6</v>
      </c>
      <c r="T25" s="71">
        <v>97.007499999999993</v>
      </c>
      <c r="U25" s="71">
        <v>96.7</v>
      </c>
      <c r="V25" s="71">
        <v>96.7</v>
      </c>
      <c r="W25" s="58">
        <v>97.5</v>
      </c>
      <c r="X25" s="985">
        <v>1.78</v>
      </c>
      <c r="Y25" s="986" t="s">
        <v>2321</v>
      </c>
      <c r="Z25" s="991"/>
      <c r="AA25" s="606"/>
    </row>
    <row r="26" spans="3:260" ht="35.1" customHeight="1">
      <c r="C26" s="31"/>
      <c r="D26" s="987"/>
      <c r="E26" s="244"/>
      <c r="F26" s="244" t="s">
        <v>2322</v>
      </c>
      <c r="G26" s="1142">
        <v>161.1</v>
      </c>
      <c r="H26" s="1142">
        <v>128.69999999999999</v>
      </c>
      <c r="I26" s="181">
        <v>106.6</v>
      </c>
      <c r="J26" s="128">
        <v>109.5</v>
      </c>
      <c r="K26" s="128">
        <v>107.9</v>
      </c>
      <c r="L26" s="128">
        <v>95.2</v>
      </c>
      <c r="M26" s="128">
        <v>94.4</v>
      </c>
      <c r="N26" s="128">
        <v>97.225000000000009</v>
      </c>
      <c r="O26" s="128">
        <v>96.274999999999991</v>
      </c>
      <c r="P26" s="128">
        <v>96</v>
      </c>
      <c r="Q26" s="443">
        <v>94.7</v>
      </c>
      <c r="R26" s="128">
        <v>89.625</v>
      </c>
      <c r="S26" s="128">
        <v>92.7</v>
      </c>
      <c r="T26" s="128">
        <v>84.002499999999998</v>
      </c>
      <c r="U26" s="128">
        <v>83.1</v>
      </c>
      <c r="V26" s="128">
        <v>85.4</v>
      </c>
      <c r="W26" s="54">
        <v>95.7</v>
      </c>
      <c r="X26" s="988">
        <v>4.7699999999999996</v>
      </c>
      <c r="Y26" s="989" t="s">
        <v>2323</v>
      </c>
      <c r="Z26" s="991"/>
      <c r="AA26" s="992"/>
    </row>
    <row r="27" spans="3:260" ht="35.1" customHeight="1">
      <c r="C27" s="31"/>
      <c r="D27" s="15"/>
      <c r="E27" s="248"/>
      <c r="F27" s="248" t="s">
        <v>2324</v>
      </c>
      <c r="G27" s="1141">
        <v>115.9</v>
      </c>
      <c r="H27" s="1141">
        <v>115.5</v>
      </c>
      <c r="I27" s="178">
        <v>113</v>
      </c>
      <c r="J27" s="71">
        <v>112.1</v>
      </c>
      <c r="K27" s="71">
        <v>109.3</v>
      </c>
      <c r="L27" s="71">
        <v>106.9</v>
      </c>
      <c r="M27" s="71">
        <v>107.7</v>
      </c>
      <c r="N27" s="71">
        <v>111.77499999999999</v>
      </c>
      <c r="O27" s="71">
        <v>102.27500000000001</v>
      </c>
      <c r="P27" s="16">
        <v>100.3</v>
      </c>
      <c r="Q27" s="16">
        <v>100.3</v>
      </c>
      <c r="R27" s="71">
        <v>99.875</v>
      </c>
      <c r="S27" s="71">
        <v>99.2</v>
      </c>
      <c r="T27" s="71">
        <v>100.18</v>
      </c>
      <c r="U27" s="71">
        <v>96.6</v>
      </c>
      <c r="V27" s="71">
        <v>96</v>
      </c>
      <c r="W27" s="58">
        <v>98.9</v>
      </c>
      <c r="X27" s="985">
        <v>7.98</v>
      </c>
      <c r="Y27" s="986" t="s">
        <v>2325</v>
      </c>
      <c r="Z27" s="991"/>
      <c r="AA27" s="606"/>
    </row>
    <row r="28" spans="3:260" ht="35.1" customHeight="1">
      <c r="C28" s="31"/>
      <c r="D28" s="987"/>
      <c r="E28" s="244"/>
      <c r="F28" s="244" t="s">
        <v>2326</v>
      </c>
      <c r="G28" s="1142">
        <v>183.82945736434064</v>
      </c>
      <c r="H28" s="1142">
        <v>195.1</v>
      </c>
      <c r="I28" s="181">
        <v>205.1</v>
      </c>
      <c r="J28" s="128">
        <v>223.61705426356579</v>
      </c>
      <c r="K28" s="128">
        <v>213.9</v>
      </c>
      <c r="L28" s="128">
        <v>187.2</v>
      </c>
      <c r="M28" s="128">
        <v>166.88236434108507</v>
      </c>
      <c r="N28" s="128">
        <v>152.00368217054245</v>
      </c>
      <c r="O28" s="128">
        <v>122.04360465116268</v>
      </c>
      <c r="P28" s="443">
        <v>115.8</v>
      </c>
      <c r="Q28" s="443">
        <v>103.6</v>
      </c>
      <c r="R28" s="128">
        <v>100.88682170542627</v>
      </c>
      <c r="S28" s="128">
        <v>93.705038759689884</v>
      </c>
      <c r="T28" s="128">
        <v>87.20604651162779</v>
      </c>
      <c r="U28" s="128">
        <v>87.6</v>
      </c>
      <c r="V28" s="128">
        <v>94.4</v>
      </c>
      <c r="W28" s="54">
        <v>100</v>
      </c>
      <c r="X28" s="988">
        <v>1.29</v>
      </c>
      <c r="Y28" s="989" t="s">
        <v>2327</v>
      </c>
      <c r="Z28" s="991"/>
      <c r="AA28" s="992"/>
    </row>
    <row r="29" spans="3:260" s="35" customFormat="1" ht="35.1" customHeight="1">
      <c r="C29" s="29"/>
      <c r="D29" s="982"/>
      <c r="E29" s="239" t="s">
        <v>2328</v>
      </c>
      <c r="F29" s="239"/>
      <c r="G29" s="1140">
        <v>228.6</v>
      </c>
      <c r="H29" s="1140">
        <v>225.4</v>
      </c>
      <c r="I29" s="240">
        <v>220.1</v>
      </c>
      <c r="J29" s="72">
        <v>213.6</v>
      </c>
      <c r="K29" s="72">
        <v>200.8</v>
      </c>
      <c r="L29" s="72">
        <v>189.9</v>
      </c>
      <c r="M29" s="72">
        <v>169.6</v>
      </c>
      <c r="N29" s="72">
        <v>164.9</v>
      </c>
      <c r="O29" s="72">
        <v>121.575</v>
      </c>
      <c r="P29" s="473">
        <v>108.8</v>
      </c>
      <c r="Q29" s="473">
        <v>100.3</v>
      </c>
      <c r="R29" s="72">
        <v>95.515950455005054</v>
      </c>
      <c r="S29" s="72">
        <v>89.3</v>
      </c>
      <c r="T29" s="72">
        <v>89.5</v>
      </c>
      <c r="U29" s="72">
        <v>91.4</v>
      </c>
      <c r="V29" s="72">
        <v>97.4</v>
      </c>
      <c r="W29" s="160">
        <v>101.6</v>
      </c>
      <c r="X29" s="983">
        <v>9.89</v>
      </c>
      <c r="Y29" s="252" t="s">
        <v>2329</v>
      </c>
      <c r="AA29" s="984"/>
    </row>
    <row r="30" spans="3:260" ht="35.1" customHeight="1">
      <c r="C30" s="31"/>
      <c r="D30" s="987"/>
      <c r="E30" s="244"/>
      <c r="F30" s="244" t="s">
        <v>2330</v>
      </c>
      <c r="G30" s="1142">
        <v>238.8</v>
      </c>
      <c r="H30" s="1142">
        <v>244.3</v>
      </c>
      <c r="I30" s="181">
        <v>240.3</v>
      </c>
      <c r="J30" s="128">
        <v>233.8</v>
      </c>
      <c r="K30" s="128">
        <v>225.5</v>
      </c>
      <c r="L30" s="128">
        <v>220.8</v>
      </c>
      <c r="M30" s="128">
        <v>206.72500000000002</v>
      </c>
      <c r="N30" s="128">
        <v>167.39999999999998</v>
      </c>
      <c r="O30" s="128">
        <v>107.925</v>
      </c>
      <c r="P30" s="443">
        <v>100.7</v>
      </c>
      <c r="Q30" s="443">
        <v>100.7</v>
      </c>
      <c r="R30" s="128">
        <v>100.6</v>
      </c>
      <c r="S30" s="128">
        <v>100.3</v>
      </c>
      <c r="T30" s="128">
        <v>99.822500000000005</v>
      </c>
      <c r="U30" s="128">
        <v>99.9</v>
      </c>
      <c r="V30" s="128">
        <v>100.5</v>
      </c>
      <c r="W30" s="54">
        <v>99.9</v>
      </c>
      <c r="X30" s="988">
        <v>3.59</v>
      </c>
      <c r="Y30" s="989" t="s">
        <v>2331</v>
      </c>
      <c r="Z30" s="991"/>
      <c r="AA30" s="992"/>
    </row>
    <row r="31" spans="3:260" s="35" customFormat="1" ht="35.1" customHeight="1">
      <c r="C31" s="29"/>
      <c r="D31" s="15"/>
      <c r="E31" s="248" t="s">
        <v>2332</v>
      </c>
      <c r="F31" s="248"/>
      <c r="G31" s="1141">
        <v>222.9</v>
      </c>
      <c r="H31" s="1141">
        <v>214.6</v>
      </c>
      <c r="I31" s="178">
        <v>208.6</v>
      </c>
      <c r="J31" s="71">
        <v>202</v>
      </c>
      <c r="K31" s="71">
        <v>186.7</v>
      </c>
      <c r="L31" s="71">
        <v>172.3</v>
      </c>
      <c r="M31" s="71">
        <v>148.47499999999999</v>
      </c>
      <c r="N31" s="71">
        <v>163.44999999999999</v>
      </c>
      <c r="O31" s="71">
        <v>129.375</v>
      </c>
      <c r="P31" s="16">
        <v>113.5</v>
      </c>
      <c r="Q31" s="16">
        <v>100.1</v>
      </c>
      <c r="R31" s="71">
        <v>92.6</v>
      </c>
      <c r="S31" s="71">
        <v>83.1</v>
      </c>
      <c r="T31" s="71">
        <v>83.592500000000001</v>
      </c>
      <c r="U31" s="71">
        <v>86.5</v>
      </c>
      <c r="V31" s="71">
        <v>95.6</v>
      </c>
      <c r="W31" s="58">
        <v>102.5</v>
      </c>
      <c r="X31" s="985">
        <v>6.3</v>
      </c>
      <c r="Y31" s="986" t="s">
        <v>2333</v>
      </c>
      <c r="AA31" s="984"/>
    </row>
    <row r="32" spans="3:260" ht="35.1" customHeight="1">
      <c r="C32" s="31"/>
      <c r="D32" s="987"/>
      <c r="E32" s="244"/>
      <c r="F32" s="244" t="s">
        <v>2334</v>
      </c>
      <c r="G32" s="1142">
        <v>289.60000000000002</v>
      </c>
      <c r="H32" s="1142">
        <v>288.10000000000002</v>
      </c>
      <c r="I32" s="181">
        <v>276.89999999999998</v>
      </c>
      <c r="J32" s="128">
        <v>266.60000000000002</v>
      </c>
      <c r="K32" s="128">
        <v>240.2</v>
      </c>
      <c r="L32" s="128">
        <v>216.4</v>
      </c>
      <c r="M32" s="128">
        <v>171.97500000000002</v>
      </c>
      <c r="N32" s="128">
        <v>190.50000000000003</v>
      </c>
      <c r="O32" s="128">
        <v>152</v>
      </c>
      <c r="P32" s="443">
        <v>130.19999999999999</v>
      </c>
      <c r="Q32" s="443">
        <v>107.5</v>
      </c>
      <c r="R32" s="128">
        <v>96.325000000000003</v>
      </c>
      <c r="S32" s="128">
        <v>83.9</v>
      </c>
      <c r="T32" s="128">
        <v>85.075000000000003</v>
      </c>
      <c r="U32" s="128">
        <v>87.4</v>
      </c>
      <c r="V32" s="128">
        <v>96.5</v>
      </c>
      <c r="W32" s="54">
        <v>99.9</v>
      </c>
      <c r="X32" s="988">
        <v>3.34</v>
      </c>
      <c r="Y32" s="989" t="s">
        <v>2335</v>
      </c>
      <c r="Z32" s="991"/>
      <c r="AA32" s="992"/>
    </row>
    <row r="33" spans="3:27" ht="35.1" customHeight="1">
      <c r="C33" s="31"/>
      <c r="D33" s="15"/>
      <c r="E33" s="248"/>
      <c r="F33" s="248" t="s">
        <v>2336</v>
      </c>
      <c r="G33" s="1141">
        <v>186.4</v>
      </c>
      <c r="H33" s="1141">
        <v>152.80000000000001</v>
      </c>
      <c r="I33" s="178">
        <v>148.30000000000001</v>
      </c>
      <c r="J33" s="71">
        <v>142.1</v>
      </c>
      <c r="K33" s="71">
        <v>139.1</v>
      </c>
      <c r="L33" s="71">
        <v>137.9</v>
      </c>
      <c r="M33" s="71">
        <v>137.625</v>
      </c>
      <c r="N33" s="71">
        <v>134.875</v>
      </c>
      <c r="O33" s="71">
        <v>99.95</v>
      </c>
      <c r="P33" s="16">
        <v>92.5</v>
      </c>
      <c r="Q33" s="16">
        <v>91.6</v>
      </c>
      <c r="R33" s="71">
        <v>91.924999999999997</v>
      </c>
      <c r="S33" s="71">
        <v>87.5</v>
      </c>
      <c r="T33" s="71">
        <v>98.894999999999996</v>
      </c>
      <c r="U33" s="71">
        <v>103.9</v>
      </c>
      <c r="V33" s="71">
        <v>109.3</v>
      </c>
      <c r="W33" s="58">
        <v>121.4</v>
      </c>
      <c r="X33" s="993">
        <v>0.98</v>
      </c>
      <c r="Y33" s="986" t="s">
        <v>2337</v>
      </c>
      <c r="Z33" s="991"/>
      <c r="AA33" s="606"/>
    </row>
    <row r="34" spans="3:27" ht="35.1" customHeight="1">
      <c r="C34" s="31"/>
      <c r="D34" s="987"/>
      <c r="E34" s="244"/>
      <c r="F34" s="244" t="s">
        <v>1864</v>
      </c>
      <c r="G34" s="1142">
        <v>128.19999999999999</v>
      </c>
      <c r="H34" s="1142">
        <v>121</v>
      </c>
      <c r="I34" s="181">
        <v>123.2</v>
      </c>
      <c r="J34" s="128">
        <v>122.6</v>
      </c>
      <c r="K34" s="128">
        <v>119.8</v>
      </c>
      <c r="L34" s="128">
        <v>114.7</v>
      </c>
      <c r="M34" s="128">
        <v>114.2</v>
      </c>
      <c r="N34" s="128">
        <v>131.875</v>
      </c>
      <c r="O34" s="128">
        <v>105.7</v>
      </c>
      <c r="P34" s="443">
        <v>95.6</v>
      </c>
      <c r="Q34" s="443">
        <v>91.7</v>
      </c>
      <c r="R34" s="128">
        <v>86.7</v>
      </c>
      <c r="S34" s="128">
        <v>79.400000000000006</v>
      </c>
      <c r="T34" s="128">
        <v>73.497500000000002</v>
      </c>
      <c r="U34" s="128">
        <v>76.5</v>
      </c>
      <c r="V34" s="128">
        <v>87.3</v>
      </c>
      <c r="W34" s="54">
        <v>97.5</v>
      </c>
      <c r="X34" s="994">
        <v>1.98</v>
      </c>
      <c r="Y34" s="989" t="s">
        <v>2338</v>
      </c>
      <c r="Z34" s="991"/>
      <c r="AA34" s="992"/>
    </row>
    <row r="35" spans="3:27" s="35" customFormat="1" ht="35.1" customHeight="1">
      <c r="C35" s="29"/>
      <c r="D35" s="982"/>
      <c r="E35" s="239" t="s">
        <v>2339</v>
      </c>
      <c r="F35" s="239"/>
      <c r="G35" s="1140">
        <v>125.3</v>
      </c>
      <c r="H35" s="1140">
        <v>120.1</v>
      </c>
      <c r="I35" s="240">
        <v>118.5</v>
      </c>
      <c r="J35" s="72">
        <v>114.6</v>
      </c>
      <c r="K35" s="72">
        <v>111.3</v>
      </c>
      <c r="L35" s="72">
        <v>109</v>
      </c>
      <c r="M35" s="72">
        <v>108.72499999999999</v>
      </c>
      <c r="N35" s="72">
        <v>109.25</v>
      </c>
      <c r="O35" s="72">
        <v>98.4</v>
      </c>
      <c r="P35" s="473">
        <v>97.7</v>
      </c>
      <c r="Q35" s="473">
        <v>97.8</v>
      </c>
      <c r="R35" s="72">
        <v>98.1</v>
      </c>
      <c r="S35" s="72">
        <v>99.6</v>
      </c>
      <c r="T35" s="72">
        <v>100.51</v>
      </c>
      <c r="U35" s="72">
        <v>100.8</v>
      </c>
      <c r="V35" s="72">
        <v>96.6</v>
      </c>
      <c r="W35" s="160">
        <v>101.3</v>
      </c>
      <c r="X35" s="995">
        <v>4.29</v>
      </c>
      <c r="Y35" s="252" t="s">
        <v>2340</v>
      </c>
      <c r="AA35" s="984"/>
    </row>
    <row r="36" spans="3:27" ht="35.1" customHeight="1">
      <c r="C36" s="31"/>
      <c r="D36" s="987"/>
      <c r="E36" s="244"/>
      <c r="F36" s="244" t="s">
        <v>2341</v>
      </c>
      <c r="G36" s="1142">
        <v>104.8</v>
      </c>
      <c r="H36" s="1142">
        <v>101.5</v>
      </c>
      <c r="I36" s="181">
        <v>99.7</v>
      </c>
      <c r="J36" s="128">
        <v>98.8</v>
      </c>
      <c r="K36" s="128">
        <v>98</v>
      </c>
      <c r="L36" s="128">
        <v>98.1</v>
      </c>
      <c r="M36" s="128">
        <v>98.375</v>
      </c>
      <c r="N36" s="128">
        <v>99.825000000000003</v>
      </c>
      <c r="O36" s="128">
        <v>89.674999999999997</v>
      </c>
      <c r="P36" s="443">
        <v>88.7</v>
      </c>
      <c r="Q36" s="443">
        <v>88.7</v>
      </c>
      <c r="R36" s="128">
        <v>91.65</v>
      </c>
      <c r="S36" s="128">
        <v>95.8</v>
      </c>
      <c r="T36" s="128">
        <v>96.9</v>
      </c>
      <c r="U36" s="128">
        <v>96.5</v>
      </c>
      <c r="V36" s="128">
        <v>92.6</v>
      </c>
      <c r="W36" s="54">
        <v>99.9</v>
      </c>
      <c r="X36" s="994">
        <v>2.93</v>
      </c>
      <c r="Y36" s="989" t="s">
        <v>2342</v>
      </c>
      <c r="Z36" s="996"/>
      <c r="AA36" s="992"/>
    </row>
    <row r="37" spans="3:27" ht="35.1" customHeight="1">
      <c r="C37" s="31"/>
      <c r="D37" s="15"/>
      <c r="E37" s="248"/>
      <c r="F37" s="248" t="s">
        <v>2343</v>
      </c>
      <c r="G37" s="1141"/>
      <c r="H37" s="1141"/>
      <c r="I37" s="178"/>
      <c r="J37" s="71"/>
      <c r="K37" s="71"/>
      <c r="L37" s="71"/>
      <c r="M37" s="71"/>
      <c r="N37" s="71"/>
      <c r="O37" s="71"/>
      <c r="P37" s="16"/>
      <c r="Q37" s="16"/>
      <c r="R37" s="71"/>
      <c r="S37" s="71"/>
      <c r="T37" s="71"/>
      <c r="U37" s="71"/>
      <c r="V37" s="71"/>
      <c r="W37" s="58"/>
      <c r="X37" s="993"/>
      <c r="Y37" s="986" t="s">
        <v>2344</v>
      </c>
      <c r="Z37" s="996"/>
      <c r="AA37" s="606"/>
    </row>
    <row r="38" spans="3:27" ht="35.1" customHeight="1">
      <c r="C38" s="31"/>
      <c r="D38" s="997"/>
      <c r="E38" s="998"/>
      <c r="F38" s="998" t="s">
        <v>2345</v>
      </c>
      <c r="G38" s="1395">
        <v>169.1</v>
      </c>
      <c r="H38" s="1395">
        <v>160.1</v>
      </c>
      <c r="I38" s="999">
        <v>159.1</v>
      </c>
      <c r="J38" s="1000">
        <v>148.30000000000001</v>
      </c>
      <c r="K38" s="1000">
        <v>139.69999999999999</v>
      </c>
      <c r="L38" s="1001">
        <v>134.6</v>
      </c>
      <c r="M38" s="1001">
        <v>130.9</v>
      </c>
      <c r="N38" s="1001">
        <v>129.5</v>
      </c>
      <c r="O38" s="1001">
        <v>117.2</v>
      </c>
      <c r="P38" s="1000">
        <v>116.8</v>
      </c>
      <c r="Q38" s="1000">
        <v>117.1</v>
      </c>
      <c r="R38" s="1001">
        <v>111.925</v>
      </c>
      <c r="S38" s="1001">
        <v>107.8</v>
      </c>
      <c r="T38" s="1001">
        <v>108.3</v>
      </c>
      <c r="U38" s="1001">
        <v>110</v>
      </c>
      <c r="V38" s="1001">
        <v>105.1</v>
      </c>
      <c r="W38" s="1002">
        <v>104.1</v>
      </c>
      <c r="X38" s="1003">
        <v>1.36</v>
      </c>
      <c r="Y38" s="1004" t="s">
        <v>2346</v>
      </c>
      <c r="Z38" s="996"/>
      <c r="AA38" s="402"/>
    </row>
    <row r="39" spans="3:27" ht="45" customHeight="1">
      <c r="D39" s="584"/>
      <c r="E39" s="239" t="s">
        <v>2008</v>
      </c>
      <c r="F39" s="239"/>
      <c r="G39" s="1394">
        <v>178.1</v>
      </c>
      <c r="H39" s="1394">
        <v>174.5</v>
      </c>
      <c r="I39" s="444">
        <v>171.2</v>
      </c>
      <c r="J39" s="473">
        <v>167.9</v>
      </c>
      <c r="K39" s="473">
        <v>160.6</v>
      </c>
      <c r="L39" s="473">
        <v>154.6</v>
      </c>
      <c r="M39" s="473">
        <v>149.1</v>
      </c>
      <c r="N39" s="473">
        <v>147.69999999999999</v>
      </c>
      <c r="O39" s="473">
        <v>123.7</v>
      </c>
      <c r="P39" s="72">
        <v>114</v>
      </c>
      <c r="Q39" s="72">
        <v>107</v>
      </c>
      <c r="R39" s="72">
        <v>100.07200750000001</v>
      </c>
      <c r="S39" s="72">
        <v>92.301410000000004</v>
      </c>
      <c r="T39" s="72">
        <v>91.183273999999997</v>
      </c>
      <c r="U39" s="72">
        <v>92.7</v>
      </c>
      <c r="V39" s="72">
        <v>94.1</v>
      </c>
      <c r="W39" s="160">
        <v>97.6</v>
      </c>
      <c r="X39" s="179">
        <f>X35+X29+X23+X16+X14</f>
        <v>99.999999999999986</v>
      </c>
      <c r="Y39" s="252" t="s">
        <v>2007</v>
      </c>
      <c r="Z39" s="996"/>
      <c r="AA39" s="1005"/>
    </row>
    <row r="40" spans="3:27" ht="5.25" customHeight="1">
      <c r="D40" s="666"/>
      <c r="E40" s="1006"/>
      <c r="F40" s="1006"/>
      <c r="G40" s="1396"/>
      <c r="H40" s="1396"/>
      <c r="I40" s="19"/>
      <c r="J40" s="20"/>
      <c r="K40" s="20"/>
      <c r="L40" s="1006"/>
      <c r="M40" s="1006"/>
      <c r="N40" s="20"/>
      <c r="O40" s="20"/>
      <c r="P40" s="20"/>
      <c r="Q40" s="20"/>
      <c r="R40" s="1006"/>
      <c r="S40" s="1006"/>
      <c r="T40" s="222"/>
      <c r="U40" s="222"/>
      <c r="V40" s="222"/>
      <c r="W40" s="1007"/>
      <c r="X40" s="1008"/>
      <c r="Y40" s="1009"/>
      <c r="Z40" s="996"/>
      <c r="AA40" s="1010"/>
    </row>
    <row r="41" spans="3:27" ht="6.95" customHeight="1">
      <c r="D41" s="21"/>
      <c r="E41" s="21"/>
      <c r="F41" s="21"/>
      <c r="G41" s="1176"/>
      <c r="H41" s="1176"/>
      <c r="I41" s="21"/>
      <c r="J41" s="21"/>
      <c r="K41" s="21"/>
      <c r="L41" s="21"/>
      <c r="M41" s="21"/>
      <c r="N41" s="1011"/>
      <c r="O41" s="1011"/>
      <c r="P41" s="21"/>
      <c r="Q41" s="21"/>
      <c r="R41" s="21"/>
      <c r="S41" s="21"/>
      <c r="T41" s="1012"/>
      <c r="U41" s="1012"/>
      <c r="V41" s="1012"/>
      <c r="W41" s="1012"/>
      <c r="X41" s="1013"/>
      <c r="Y41" s="21"/>
      <c r="Z41" s="26"/>
      <c r="AA41" s="26"/>
    </row>
    <row r="42" spans="3:27" s="61" customFormat="1" ht="18">
      <c r="C42" s="1014"/>
      <c r="D42" s="27" t="s">
        <v>2073</v>
      </c>
      <c r="E42" s="22"/>
      <c r="F42" s="22"/>
      <c r="G42" s="1397"/>
      <c r="H42" s="1397"/>
      <c r="I42" s="22"/>
      <c r="J42" s="22"/>
      <c r="K42" s="22"/>
      <c r="L42" s="22"/>
      <c r="M42" s="22"/>
      <c r="N42" s="198"/>
      <c r="O42" s="198"/>
      <c r="P42" s="22"/>
      <c r="Q42" s="22"/>
      <c r="R42" s="22"/>
      <c r="S42" s="22"/>
      <c r="T42" s="1015"/>
      <c r="U42" s="1015"/>
      <c r="V42" s="1015"/>
      <c r="W42" s="1015"/>
      <c r="X42" s="22"/>
      <c r="Y42" s="1016" t="s">
        <v>2347</v>
      </c>
      <c r="AA42" s="24"/>
    </row>
    <row r="43" spans="3:27" s="61" customFormat="1" ht="15.75">
      <c r="C43" s="1014"/>
      <c r="D43" s="185"/>
      <c r="E43" s="24"/>
      <c r="F43" s="24"/>
      <c r="G43" s="1398"/>
      <c r="H43" s="1398"/>
      <c r="I43" s="24"/>
      <c r="J43" s="24"/>
      <c r="K43" s="24"/>
      <c r="L43" s="24"/>
      <c r="M43" s="24"/>
      <c r="N43" s="226"/>
      <c r="O43" s="226"/>
      <c r="P43" s="24"/>
      <c r="Q43" s="24"/>
      <c r="R43" s="24"/>
      <c r="S43" s="24"/>
      <c r="T43" s="185"/>
      <c r="U43" s="185"/>
      <c r="V43" s="185"/>
      <c r="W43" s="185"/>
      <c r="X43" s="1017"/>
      <c r="Y43" s="24"/>
      <c r="Z43" s="24"/>
      <c r="AA43" s="24"/>
    </row>
    <row r="44" spans="3:27" s="61" customFormat="1" ht="15.75">
      <c r="D44" s="24"/>
      <c r="E44" s="226"/>
      <c r="F44" s="225"/>
      <c r="G44" s="1399"/>
      <c r="H44" s="1399"/>
      <c r="I44" s="225"/>
      <c r="J44" s="225"/>
      <c r="K44" s="225"/>
      <c r="L44" s="225"/>
      <c r="M44" s="225"/>
      <c r="N44" s="226"/>
      <c r="O44" s="226"/>
      <c r="P44" s="225"/>
      <c r="Q44" s="225"/>
      <c r="R44" s="24"/>
      <c r="S44" s="24"/>
      <c r="T44" s="24"/>
      <c r="U44" s="24"/>
      <c r="V44" s="24"/>
      <c r="W44" s="24"/>
      <c r="X44" s="24"/>
      <c r="Y44" s="24"/>
      <c r="Z44" s="24"/>
      <c r="AA44" s="24"/>
    </row>
  </sheetData>
  <mergeCells count="23">
    <mergeCell ref="Q7:Q13"/>
    <mergeCell ref="Y7:Y13"/>
    <mergeCell ref="R7:R13"/>
    <mergeCell ref="T7:T13"/>
    <mergeCell ref="U7:U13"/>
    <mergeCell ref="V7:V13"/>
    <mergeCell ref="W7:W13"/>
    <mergeCell ref="G7:G13"/>
    <mergeCell ref="H7:H13"/>
    <mergeCell ref="S7:S13"/>
    <mergeCell ref="D3:P3"/>
    <mergeCell ref="Q3:Y3"/>
    <mergeCell ref="D4:P4"/>
    <mergeCell ref="Q4:Y4"/>
    <mergeCell ref="D7:F13"/>
    <mergeCell ref="I7:I13"/>
    <mergeCell ref="J7:J13"/>
    <mergeCell ref="K7:K13"/>
    <mergeCell ref="L7:L13"/>
    <mergeCell ref="M7:M13"/>
    <mergeCell ref="N7:N13"/>
    <mergeCell ref="O7:O13"/>
    <mergeCell ref="P7:P13"/>
  </mergeCells>
  <printOptions horizontalCentered="1"/>
  <pageMargins left="0" right="0" top="0.78740157480314965" bottom="0.98425196850393704" header="0.51181102362204722" footer="0.51181102362204722"/>
  <pageSetup paperSize="9" scale="59" orientation="portrait" r:id="rId1"/>
  <headerFooter alignWithMargins="0">
    <oddFooter>&amp;C&amp;"Times New Roman (Arabic),Regular"&amp;22-83-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2"/>
  <sheetViews>
    <sheetView topLeftCell="B1" zoomScale="75" workbookViewId="0">
      <selection activeCell="L15" sqref="F15:L39"/>
    </sheetView>
  </sheetViews>
  <sheetFormatPr defaultColWidth="10.7109375" defaultRowHeight="20.25"/>
  <cols>
    <col min="1" max="1" width="9.140625" style="1702" customWidth="1"/>
    <col min="2" max="2" width="10.7109375" style="1702" customWidth="1"/>
    <col min="3" max="3" width="3.140625" style="4056" customWidth="1"/>
    <col min="4" max="4" width="10.7109375" style="4056" customWidth="1"/>
    <col min="5" max="5" width="72.5703125" style="4056" customWidth="1"/>
    <col min="6" max="9" width="18.7109375" style="4056" customWidth="1"/>
    <col min="10" max="18" width="18.7109375" style="1695" customWidth="1"/>
    <col min="19" max="19" width="17" style="4057" customWidth="1"/>
    <col min="20" max="20" width="56.7109375" style="1701" customWidth="1"/>
    <col min="21" max="21" width="7" style="1701" customWidth="1"/>
    <col min="22" max="22" width="3.5703125" style="1701" customWidth="1"/>
    <col min="23" max="23" width="4.140625" style="1701" customWidth="1"/>
    <col min="24" max="24" width="10.7109375" style="4057" customWidth="1"/>
    <col min="25" max="25" width="16" style="4057" customWidth="1"/>
    <col min="26" max="27" width="10.7109375" style="4057" customWidth="1"/>
    <col min="28" max="29" width="10.7109375" style="4058" customWidth="1"/>
    <col min="30" max="16384" width="10.7109375" style="4057"/>
  </cols>
  <sheetData>
    <row r="1" spans="1:29" ht="9.9499999999999993" customHeight="1"/>
    <row r="2" spans="1:29" ht="9.9499999999999993" customHeight="1"/>
    <row r="3" spans="1:29" s="1688" customFormat="1" ht="9.9499999999999993" customHeight="1">
      <c r="A3" s="1702"/>
      <c r="B3" s="1702"/>
      <c r="C3" s="1696"/>
      <c r="J3" s="1696"/>
      <c r="K3" s="1696"/>
      <c r="L3" s="1696"/>
      <c r="M3" s="1696"/>
      <c r="N3" s="1696"/>
      <c r="O3" s="1696"/>
      <c r="P3" s="1696"/>
      <c r="Q3" s="1696"/>
      <c r="R3" s="1696"/>
      <c r="S3" s="4059"/>
      <c r="T3" s="4059"/>
      <c r="AB3" s="3934"/>
      <c r="AC3" s="3934"/>
    </row>
    <row r="4" spans="1:29" s="4063" customFormat="1" ht="35.1" customHeight="1">
      <c r="A4" s="4060"/>
      <c r="B4" s="4061"/>
      <c r="C4" s="4061"/>
      <c r="D4" s="5385" t="s">
        <v>2741</v>
      </c>
      <c r="E4" s="5385"/>
      <c r="F4" s="5385"/>
      <c r="G4" s="5385"/>
      <c r="H4" s="5385"/>
      <c r="I4" s="5385"/>
      <c r="J4" s="5385"/>
      <c r="K4" s="5385"/>
      <c r="L4" s="5385"/>
      <c r="M4" s="5385"/>
      <c r="N4" s="5385"/>
      <c r="O4" s="5385"/>
      <c r="P4" s="5385"/>
      <c r="Q4" s="5385"/>
      <c r="R4" s="5385"/>
      <c r="S4" s="5385"/>
      <c r="T4" s="5385"/>
      <c r="U4" s="5385"/>
      <c r="V4" s="5385"/>
      <c r="W4" s="5385"/>
      <c r="X4" s="4062"/>
      <c r="Y4" s="4062"/>
      <c r="Z4" s="4062"/>
      <c r="AA4" s="4062"/>
      <c r="AB4" s="4062"/>
      <c r="AC4" s="4062"/>
    </row>
    <row r="5" spans="1:29" s="4063" customFormat="1" ht="9.9499999999999993" customHeight="1">
      <c r="A5" s="4060"/>
      <c r="C5" s="4282"/>
      <c r="D5" s="4282"/>
      <c r="E5" s="4282"/>
      <c r="F5" s="4533"/>
      <c r="G5" s="4533"/>
      <c r="H5" s="4282"/>
      <c r="I5" s="4282"/>
      <c r="J5" s="4282"/>
      <c r="K5" s="4282"/>
      <c r="L5" s="4282"/>
      <c r="M5" s="4282"/>
      <c r="N5" s="4282"/>
      <c r="O5" s="4282"/>
      <c r="P5" s="4282"/>
      <c r="Q5" s="4282"/>
      <c r="R5" s="4282"/>
      <c r="S5" s="4282"/>
      <c r="T5" s="4282"/>
      <c r="U5" s="4282"/>
      <c r="V5" s="4282"/>
      <c r="W5" s="4282"/>
      <c r="X5" s="4062"/>
      <c r="Y5" s="4062"/>
      <c r="Z5" s="4062"/>
      <c r="AA5" s="4062"/>
      <c r="AB5" s="4062"/>
      <c r="AC5" s="4062"/>
    </row>
    <row r="6" spans="1:29" ht="9.9499999999999993" customHeight="1">
      <c r="C6" s="4064"/>
      <c r="D6" s="4064"/>
      <c r="E6" s="4064"/>
      <c r="F6" s="4064"/>
      <c r="G6" s="4064"/>
      <c r="H6" s="4064"/>
      <c r="I6" s="4064"/>
      <c r="J6" s="1697"/>
      <c r="K6" s="1697"/>
      <c r="L6" s="1697"/>
      <c r="M6" s="1697"/>
      <c r="N6" s="1697"/>
      <c r="O6" s="1697"/>
      <c r="P6" s="1697"/>
      <c r="Q6" s="1697"/>
      <c r="R6" s="1697"/>
      <c r="S6" s="1697"/>
      <c r="T6" s="1697"/>
      <c r="U6" s="1697"/>
      <c r="V6" s="1697"/>
      <c r="W6" s="3773"/>
      <c r="X6" s="4058"/>
      <c r="Y6" s="4058"/>
      <c r="Z6" s="4058"/>
      <c r="AA6" s="4058"/>
    </row>
    <row r="7" spans="1:29" s="4065" customFormat="1" ht="35.1" customHeight="1">
      <c r="B7" s="4066"/>
      <c r="C7" s="4066"/>
      <c r="D7" s="5250" t="s">
        <v>2740</v>
      </c>
      <c r="E7" s="5250"/>
      <c r="F7" s="5250"/>
      <c r="G7" s="5250"/>
      <c r="H7" s="5250"/>
      <c r="I7" s="5250"/>
      <c r="J7" s="5250"/>
      <c r="K7" s="5250"/>
      <c r="L7" s="5250"/>
      <c r="M7" s="5250"/>
      <c r="N7" s="5250"/>
      <c r="O7" s="5250"/>
      <c r="P7" s="5250"/>
      <c r="Q7" s="5250"/>
      <c r="R7" s="5250"/>
      <c r="S7" s="5250"/>
      <c r="T7" s="5250"/>
      <c r="U7" s="5250"/>
      <c r="V7" s="5250"/>
      <c r="W7" s="5250"/>
      <c r="AB7" s="4067"/>
      <c r="AC7" s="4067"/>
    </row>
    <row r="8" spans="1:29" ht="9.9499999999999993" customHeight="1">
      <c r="C8" s="4068"/>
      <c r="D8" s="4068"/>
      <c r="E8" s="4068"/>
      <c r="F8" s="4068"/>
      <c r="G8" s="4068"/>
      <c r="H8" s="4068"/>
      <c r="I8" s="4068"/>
      <c r="J8" s="1698"/>
      <c r="K8" s="1698"/>
      <c r="L8" s="1698"/>
      <c r="M8" s="1698"/>
      <c r="N8" s="1698"/>
      <c r="O8" s="1698"/>
      <c r="P8" s="1698"/>
      <c r="Q8" s="1698"/>
      <c r="R8" s="1698"/>
      <c r="S8" s="1698"/>
      <c r="T8" s="4068"/>
      <c r="U8" s="4069"/>
      <c r="V8" s="4069"/>
      <c r="W8" s="4069"/>
    </row>
    <row r="9" spans="1:29" s="3935" customFormat="1" ht="20.100000000000001" customHeight="1">
      <c r="A9" s="3868"/>
      <c r="B9" s="3868"/>
      <c r="C9" s="1699" t="s">
        <v>2739</v>
      </c>
      <c r="D9" s="1699"/>
      <c r="E9" s="1699"/>
      <c r="F9" s="1699"/>
      <c r="G9" s="1699"/>
      <c r="H9" s="1699"/>
      <c r="I9" s="1699"/>
      <c r="J9" s="1699"/>
      <c r="K9" s="1699"/>
      <c r="L9" s="1699"/>
      <c r="M9" s="1699"/>
      <c r="N9" s="1699"/>
      <c r="O9" s="1699"/>
      <c r="P9" s="1699"/>
      <c r="Q9" s="1699"/>
      <c r="R9" s="1699"/>
      <c r="T9" s="5386" t="s">
        <v>2684</v>
      </c>
      <c r="U9" s="5386"/>
      <c r="V9" s="5386"/>
      <c r="W9" s="5386"/>
      <c r="Y9" s="4070"/>
      <c r="AB9" s="4071"/>
      <c r="AC9" s="4071"/>
    </row>
    <row r="10" spans="1:29" s="1701" customFormat="1" ht="45" customHeight="1">
      <c r="B10" s="4072"/>
      <c r="C10" s="5387"/>
      <c r="D10" s="5388"/>
      <c r="E10" s="5389"/>
      <c r="F10" s="5382">
        <v>2022</v>
      </c>
      <c r="G10" s="5382">
        <v>2021</v>
      </c>
      <c r="H10" s="5382">
        <v>2020</v>
      </c>
      <c r="I10" s="5382">
        <v>2019</v>
      </c>
      <c r="J10" s="5382">
        <v>2018</v>
      </c>
      <c r="K10" s="5382">
        <v>2017</v>
      </c>
      <c r="L10" s="5382">
        <v>2016</v>
      </c>
      <c r="M10" s="5382">
        <v>2015</v>
      </c>
      <c r="N10" s="5382">
        <v>2014</v>
      </c>
      <c r="O10" s="5382">
        <v>2013</v>
      </c>
      <c r="P10" s="5382">
        <v>2012</v>
      </c>
      <c r="Q10" s="5382">
        <v>2011</v>
      </c>
      <c r="R10" s="5382">
        <v>2010</v>
      </c>
      <c r="S10" s="4344"/>
      <c r="T10" s="5396" t="s">
        <v>2296</v>
      </c>
      <c r="U10" s="5397"/>
      <c r="V10" s="5397"/>
      <c r="W10" s="5398"/>
      <c r="AB10" s="4073"/>
      <c r="AC10" s="4073"/>
    </row>
    <row r="11" spans="1:29" s="1695" customFormat="1" ht="45" customHeight="1">
      <c r="A11" s="4057"/>
      <c r="B11" s="4345"/>
      <c r="C11" s="5390"/>
      <c r="D11" s="5391"/>
      <c r="E11" s="5392"/>
      <c r="F11" s="5383"/>
      <c r="G11" s="5383"/>
      <c r="H11" s="5383"/>
      <c r="I11" s="5383"/>
      <c r="J11" s="5383"/>
      <c r="K11" s="5383"/>
      <c r="L11" s="5383"/>
      <c r="M11" s="5383"/>
      <c r="N11" s="5383"/>
      <c r="O11" s="5383"/>
      <c r="P11" s="5383"/>
      <c r="Q11" s="5383"/>
      <c r="R11" s="5383"/>
      <c r="S11" s="4075" t="s">
        <v>1927</v>
      </c>
      <c r="T11" s="5399"/>
      <c r="U11" s="5391"/>
      <c r="V11" s="5391"/>
      <c r="W11" s="5400"/>
      <c r="AB11" s="4055"/>
      <c r="AC11" s="4055"/>
    </row>
    <row r="12" spans="1:29" s="1695" customFormat="1" ht="45" customHeight="1">
      <c r="A12" s="4057"/>
      <c r="B12" s="4074"/>
      <c r="C12" s="5390"/>
      <c r="D12" s="5391"/>
      <c r="E12" s="5392"/>
      <c r="F12" s="5383"/>
      <c r="G12" s="5383"/>
      <c r="H12" s="5383"/>
      <c r="I12" s="5383"/>
      <c r="J12" s="5383"/>
      <c r="K12" s="5383"/>
      <c r="L12" s="5383"/>
      <c r="M12" s="5383"/>
      <c r="N12" s="5383"/>
      <c r="O12" s="5383"/>
      <c r="P12" s="5383"/>
      <c r="Q12" s="5383"/>
      <c r="R12" s="5383"/>
      <c r="S12" s="4075" t="s">
        <v>1888</v>
      </c>
      <c r="T12" s="5399"/>
      <c r="U12" s="5391"/>
      <c r="V12" s="5391"/>
      <c r="W12" s="5400"/>
      <c r="AB12" s="4055"/>
      <c r="AC12" s="4055"/>
    </row>
    <row r="13" spans="1:29" ht="45" customHeight="1">
      <c r="A13" s="4057"/>
      <c r="B13" s="4074"/>
      <c r="C13" s="5390"/>
      <c r="D13" s="5391"/>
      <c r="E13" s="5392"/>
      <c r="F13" s="5383"/>
      <c r="G13" s="5383"/>
      <c r="H13" s="5383"/>
      <c r="I13" s="5383"/>
      <c r="J13" s="5383"/>
      <c r="K13" s="5383"/>
      <c r="L13" s="5383"/>
      <c r="M13" s="5383"/>
      <c r="N13" s="5383"/>
      <c r="O13" s="5383"/>
      <c r="P13" s="5383"/>
      <c r="Q13" s="5383"/>
      <c r="R13" s="5383"/>
      <c r="S13" s="4075" t="s">
        <v>2738</v>
      </c>
      <c r="T13" s="5399"/>
      <c r="U13" s="5391"/>
      <c r="V13" s="5391"/>
      <c r="W13" s="5400"/>
    </row>
    <row r="14" spans="1:29" ht="6.75" customHeight="1">
      <c r="B14" s="4076"/>
      <c r="C14" s="5393"/>
      <c r="D14" s="5394"/>
      <c r="E14" s="5395"/>
      <c r="F14" s="5384"/>
      <c r="G14" s="5384"/>
      <c r="H14" s="5384"/>
      <c r="I14" s="5384"/>
      <c r="J14" s="5384"/>
      <c r="K14" s="5384"/>
      <c r="L14" s="5384"/>
      <c r="M14" s="5384"/>
      <c r="N14" s="5384"/>
      <c r="O14" s="5384"/>
      <c r="P14" s="5384"/>
      <c r="Q14" s="5384"/>
      <c r="R14" s="5384"/>
      <c r="S14" s="4346"/>
      <c r="T14" s="5401"/>
      <c r="U14" s="5394"/>
      <c r="V14" s="5394"/>
      <c r="W14" s="5402"/>
    </row>
    <row r="15" spans="1:29" s="4082" customFormat="1" ht="45" customHeight="1">
      <c r="A15" s="3900"/>
      <c r="B15" s="4077"/>
      <c r="C15" s="4347" t="s">
        <v>2737</v>
      </c>
      <c r="D15" s="4078"/>
      <c r="E15" s="4348"/>
      <c r="F15" s="4588">
        <v>110.35795845391206</v>
      </c>
      <c r="G15" s="4079">
        <v>105.47794263297095</v>
      </c>
      <c r="H15" s="4079">
        <v>106.4942031315841</v>
      </c>
      <c r="I15" s="4079">
        <v>107.34138711156908</v>
      </c>
      <c r="J15" s="4079">
        <v>106.34274671040802</v>
      </c>
      <c r="K15" s="4079">
        <v>97.851396771463556</v>
      </c>
      <c r="L15" s="4079">
        <v>98.410969275318976</v>
      </c>
      <c r="M15" s="4079">
        <v>99.043292276846302</v>
      </c>
      <c r="N15" s="4079">
        <v>100.92880578283753</v>
      </c>
      <c r="O15" s="4079">
        <v>100.97265576942821</v>
      </c>
      <c r="P15" s="4079">
        <v>101.07439401974425</v>
      </c>
      <c r="Q15" s="4079">
        <v>100.70961469258764</v>
      </c>
      <c r="R15" s="4079">
        <v>100</v>
      </c>
      <c r="S15" s="4349">
        <v>19.79</v>
      </c>
      <c r="T15" s="4349"/>
      <c r="U15" s="4350"/>
      <c r="V15" s="4350" t="s">
        <v>2736</v>
      </c>
      <c r="W15" s="4351"/>
      <c r="X15" s="4080"/>
      <c r="Y15" s="4081"/>
      <c r="AB15" s="4083"/>
      <c r="AC15" s="4083"/>
    </row>
    <row r="16" spans="1:29" s="4092" customFormat="1" ht="45" customHeight="1">
      <c r="A16" s="3900"/>
      <c r="B16" s="4084"/>
      <c r="C16" s="4352"/>
      <c r="D16" s="4085" t="s">
        <v>2735</v>
      </c>
      <c r="E16" s="4121"/>
      <c r="F16" s="4589">
        <v>113.5075965216633</v>
      </c>
      <c r="G16" s="4087">
        <v>108.2199574596734</v>
      </c>
      <c r="H16" s="4087">
        <v>109.75526119433177</v>
      </c>
      <c r="I16" s="4087">
        <v>110.69343619723351</v>
      </c>
      <c r="J16" s="4087">
        <v>108.92593399564669</v>
      </c>
      <c r="K16" s="4087">
        <v>98.554963434803483</v>
      </c>
      <c r="L16" s="4087">
        <v>99.073240460133206</v>
      </c>
      <c r="M16" s="4086">
        <v>99.237472823953183</v>
      </c>
      <c r="N16" s="4086">
        <v>100.90423041997489</v>
      </c>
      <c r="O16" s="4087">
        <v>100.72989105515002</v>
      </c>
      <c r="P16" s="4087">
        <v>100.74323700720417</v>
      </c>
      <c r="Q16" s="4087">
        <v>100.45468374290047</v>
      </c>
      <c r="R16" s="4087">
        <v>100</v>
      </c>
      <c r="S16" s="4088">
        <v>16.940000000000001</v>
      </c>
      <c r="T16" s="4088"/>
      <c r="U16" s="4089" t="s">
        <v>2734</v>
      </c>
      <c r="V16" s="4089"/>
      <c r="W16" s="4353"/>
      <c r="X16" s="4090"/>
      <c r="Y16" s="4091"/>
      <c r="AB16" s="4093"/>
      <c r="AC16" s="4093"/>
    </row>
    <row r="17" spans="1:29" s="4092" customFormat="1" ht="45" customHeight="1">
      <c r="A17" s="3900"/>
      <c r="B17" s="4084"/>
      <c r="C17" s="4354"/>
      <c r="D17" s="4094" t="s">
        <v>2733</v>
      </c>
      <c r="E17" s="4355"/>
      <c r="F17" s="4590">
        <v>93.440531159332181</v>
      </c>
      <c r="G17" s="4096">
        <v>90.634551574471928</v>
      </c>
      <c r="H17" s="4096">
        <v>89.056815877317973</v>
      </c>
      <c r="I17" s="4096">
        <v>89.443250585830896</v>
      </c>
      <c r="J17" s="4096">
        <v>92.233588525232577</v>
      </c>
      <c r="K17" s="4096">
        <v>93.869586853440723</v>
      </c>
      <c r="L17" s="4096">
        <v>94.636368830465074</v>
      </c>
      <c r="M17" s="4095">
        <v>97.915445100580513</v>
      </c>
      <c r="N17" s="4095">
        <v>101.07112942729468</v>
      </c>
      <c r="O17" s="4096">
        <v>102.42949430088056</v>
      </c>
      <c r="P17" s="4096">
        <v>103.06495193054437</v>
      </c>
      <c r="Q17" s="4096">
        <v>102.23927464723126</v>
      </c>
      <c r="R17" s="4096">
        <v>100</v>
      </c>
      <c r="S17" s="4097">
        <v>2.84</v>
      </c>
      <c r="T17" s="4097"/>
      <c r="U17" s="4098" t="s">
        <v>2732</v>
      </c>
      <c r="V17" s="4098"/>
      <c r="W17" s="4356"/>
      <c r="X17" s="4090"/>
      <c r="Y17" s="4091"/>
      <c r="AB17" s="4093"/>
      <c r="AC17" s="4093"/>
    </row>
    <row r="18" spans="1:29" s="4092" customFormat="1" ht="45" customHeight="1">
      <c r="A18" s="3900"/>
      <c r="B18" s="4084"/>
      <c r="C18" s="4352"/>
      <c r="D18" s="4099" t="s">
        <v>2731</v>
      </c>
      <c r="E18" s="4357"/>
      <c r="F18" s="4589">
        <v>54.825736650060648</v>
      </c>
      <c r="G18" s="4087">
        <v>54.129646562473788</v>
      </c>
      <c r="H18" s="4087">
        <v>56.461072347179893</v>
      </c>
      <c r="I18" s="4087">
        <v>59.1118958999783</v>
      </c>
      <c r="J18" s="4087">
        <v>67.951479558532981</v>
      </c>
      <c r="K18" s="4087">
        <v>72.82937849653517</v>
      </c>
      <c r="L18" s="4087">
        <v>75.99103788075675</v>
      </c>
      <c r="M18" s="4086">
        <v>92.403895519817738</v>
      </c>
      <c r="N18" s="4086">
        <v>103.23619054273051</v>
      </c>
      <c r="O18" s="4087">
        <v>103.77581575622351</v>
      </c>
      <c r="P18" s="4087">
        <v>106.23204994192602</v>
      </c>
      <c r="Q18" s="4087">
        <v>104.0604861332457</v>
      </c>
      <c r="R18" s="4087">
        <v>100</v>
      </c>
      <c r="S18" s="4088">
        <v>0.01</v>
      </c>
      <c r="T18" s="4088"/>
      <c r="U18" s="4089" t="s">
        <v>2730</v>
      </c>
      <c r="V18" s="4089"/>
      <c r="W18" s="4353"/>
      <c r="X18" s="4090"/>
      <c r="Y18" s="4091"/>
      <c r="AB18" s="4093"/>
      <c r="AC18" s="4093"/>
    </row>
    <row r="19" spans="1:29" ht="45" customHeight="1">
      <c r="B19" s="4100"/>
      <c r="C19" s="4358" t="s">
        <v>2729</v>
      </c>
      <c r="D19" s="4094"/>
      <c r="E19" s="4355"/>
      <c r="F19" s="4590"/>
      <c r="G19" s="4096"/>
      <c r="H19" s="4096"/>
      <c r="I19" s="4096"/>
      <c r="J19" s="4096"/>
      <c r="K19" s="4096"/>
      <c r="L19" s="4096"/>
      <c r="M19" s="4095"/>
      <c r="N19" s="4095"/>
      <c r="O19" s="4096"/>
      <c r="P19" s="4096"/>
      <c r="Q19" s="4096"/>
      <c r="R19" s="4096"/>
      <c r="S19" s="4101"/>
      <c r="T19" s="4101"/>
      <c r="U19" s="4098"/>
      <c r="V19" s="4102" t="s">
        <v>2728</v>
      </c>
      <c r="W19" s="4356"/>
      <c r="X19" s="4103"/>
      <c r="Y19" s="4091"/>
    </row>
    <row r="20" spans="1:29" s="4082" customFormat="1" ht="45" customHeight="1">
      <c r="A20" s="1702"/>
      <c r="B20" s="4077"/>
      <c r="C20" s="4359" t="s">
        <v>2727</v>
      </c>
      <c r="D20" s="4104"/>
      <c r="E20" s="4360"/>
      <c r="F20" s="1700">
        <v>108.17741329756115</v>
      </c>
      <c r="G20" s="4106">
        <v>104.53709243770952</v>
      </c>
      <c r="H20" s="4106">
        <v>103.99820365574678</v>
      </c>
      <c r="I20" s="4106">
        <v>103.52770019757328</v>
      </c>
      <c r="J20" s="4106">
        <v>102.71751408601104</v>
      </c>
      <c r="K20" s="4106">
        <v>100.86310884550919</v>
      </c>
      <c r="L20" s="4106">
        <v>100.66094717118676</v>
      </c>
      <c r="M20" s="4105">
        <v>106.88578692732496</v>
      </c>
      <c r="N20" s="4105">
        <v>108.00028317342432</v>
      </c>
      <c r="O20" s="4106">
        <v>106.06932903298379</v>
      </c>
      <c r="P20" s="4106">
        <v>101.14748793909064</v>
      </c>
      <c r="Q20" s="4106">
        <v>100.52403783256774</v>
      </c>
      <c r="R20" s="4106">
        <v>100</v>
      </c>
      <c r="S20" s="4107">
        <v>39.22</v>
      </c>
      <c r="T20" s="4107"/>
      <c r="U20" s="4108"/>
      <c r="V20" s="4108" t="s">
        <v>2726</v>
      </c>
      <c r="W20" s="4361"/>
      <c r="X20" s="4091"/>
      <c r="Y20" s="4091"/>
      <c r="AB20" s="4083"/>
      <c r="AC20" s="4083"/>
    </row>
    <row r="21" spans="1:29" ht="45" customHeight="1">
      <c r="B21" s="4084"/>
      <c r="C21" s="4362"/>
      <c r="D21" s="4094" t="s">
        <v>2725</v>
      </c>
      <c r="E21" s="4355"/>
      <c r="F21" s="4590">
        <v>102.37267046104856</v>
      </c>
      <c r="G21" s="4096">
        <v>103.18557053290972</v>
      </c>
      <c r="H21" s="4096">
        <v>102.88786988757228</v>
      </c>
      <c r="I21" s="4096">
        <v>102.72889681994658</v>
      </c>
      <c r="J21" s="4096">
        <v>101.20457460828061</v>
      </c>
      <c r="K21" s="4096">
        <v>101.22484995064814</v>
      </c>
      <c r="L21" s="4096">
        <v>100.83735363168677</v>
      </c>
      <c r="M21" s="4095">
        <v>102.03969013369198</v>
      </c>
      <c r="N21" s="4095">
        <v>100.78369494853312</v>
      </c>
      <c r="O21" s="4096">
        <v>99.96623505988552</v>
      </c>
      <c r="P21" s="4096">
        <v>99.514972256490069</v>
      </c>
      <c r="Q21" s="4096">
        <v>99.942453533464374</v>
      </c>
      <c r="R21" s="4096">
        <v>100</v>
      </c>
      <c r="S21" s="4101">
        <v>0.49</v>
      </c>
      <c r="T21" s="4101"/>
      <c r="U21" s="4098" t="s">
        <v>2724</v>
      </c>
      <c r="V21" s="4098"/>
      <c r="W21" s="4356"/>
      <c r="X21" s="4103"/>
      <c r="Y21" s="4091"/>
    </row>
    <row r="22" spans="1:29" s="4092" customFormat="1" ht="45" customHeight="1">
      <c r="A22" s="1702"/>
      <c r="B22" s="4084"/>
      <c r="C22" s="4352"/>
      <c r="D22" s="4099" t="s">
        <v>2723</v>
      </c>
      <c r="E22" s="4357"/>
      <c r="F22" s="4589">
        <v>108.25341699943803</v>
      </c>
      <c r="G22" s="4087">
        <v>104.55446579971168</v>
      </c>
      <c r="H22" s="4087">
        <v>104.01258450273944</v>
      </c>
      <c r="I22" s="4087">
        <v>103.53802345334887</v>
      </c>
      <c r="J22" s="4087">
        <v>102.73705079329916</v>
      </c>
      <c r="K22" s="4087">
        <v>100.85867326997925</v>
      </c>
      <c r="L22" s="4087">
        <v>100.65894414355319</v>
      </c>
      <c r="M22" s="4086">
        <v>106.94931512368109</v>
      </c>
      <c r="N22" s="4086">
        <v>108.09553581259014</v>
      </c>
      <c r="O22" s="4087">
        <v>106.1490523137448</v>
      </c>
      <c r="P22" s="4087">
        <v>101.16835676207697</v>
      </c>
      <c r="Q22" s="4087">
        <v>100.53143312320341</v>
      </c>
      <c r="R22" s="4087">
        <v>100</v>
      </c>
      <c r="S22" s="4109">
        <v>38.729999999999997</v>
      </c>
      <c r="T22" s="4109"/>
      <c r="U22" s="4089" t="s">
        <v>2722</v>
      </c>
      <c r="V22" s="4089"/>
      <c r="W22" s="4353"/>
      <c r="X22" s="4090"/>
      <c r="Y22" s="4091"/>
      <c r="AB22" s="4093"/>
      <c r="AC22" s="4093"/>
    </row>
    <row r="23" spans="1:29" s="4116" customFormat="1" ht="45" customHeight="1">
      <c r="A23" s="1702"/>
      <c r="B23" s="4077"/>
      <c r="C23" s="4358" t="s">
        <v>2721</v>
      </c>
      <c r="D23" s="4110"/>
      <c r="E23" s="4363"/>
      <c r="F23" s="4591">
        <v>101.1026422227078</v>
      </c>
      <c r="G23" s="4112">
        <v>98.465655483969329</v>
      </c>
      <c r="H23" s="4112">
        <v>97.126041032993058</v>
      </c>
      <c r="I23" s="4112">
        <v>97.835196171388446</v>
      </c>
      <c r="J23" s="4112">
        <v>98.975638049907673</v>
      </c>
      <c r="K23" s="4112">
        <v>97.318030086058059</v>
      </c>
      <c r="L23" s="4112">
        <v>89.871171753635849</v>
      </c>
      <c r="M23" s="4111">
        <v>92.039916095053115</v>
      </c>
      <c r="N23" s="4111">
        <v>90.435280810995522</v>
      </c>
      <c r="O23" s="4112">
        <v>91.0121200151426</v>
      </c>
      <c r="P23" s="4112">
        <v>91.087950168693823</v>
      </c>
      <c r="Q23" s="4112">
        <v>100.79225141276326</v>
      </c>
      <c r="R23" s="4112">
        <v>100</v>
      </c>
      <c r="S23" s="4113">
        <v>10.91</v>
      </c>
      <c r="T23" s="4113"/>
      <c r="U23" s="4114"/>
      <c r="V23" s="4114" t="s">
        <v>2720</v>
      </c>
      <c r="W23" s="4364"/>
      <c r="X23" s="4115"/>
      <c r="Y23" s="4091"/>
      <c r="AB23" s="4117"/>
      <c r="AC23" s="4117"/>
    </row>
    <row r="24" spans="1:29" ht="45" customHeight="1">
      <c r="B24" s="4084"/>
      <c r="C24" s="4352"/>
      <c r="D24" s="4099" t="s">
        <v>2719</v>
      </c>
      <c r="E24" s="4357"/>
      <c r="F24" s="4589">
        <v>69.842914453282276</v>
      </c>
      <c r="G24" s="4087">
        <v>66.849588934007656</v>
      </c>
      <c r="H24" s="4087">
        <v>67.36445073292802</v>
      </c>
      <c r="I24" s="4087">
        <v>74.348792506511032</v>
      </c>
      <c r="J24" s="4087">
        <v>80.476363054291298</v>
      </c>
      <c r="K24" s="4087">
        <v>84.569797340945513</v>
      </c>
      <c r="L24" s="4087">
        <v>91.192626814131813</v>
      </c>
      <c r="M24" s="4086">
        <v>107.9737094633339</v>
      </c>
      <c r="N24" s="4086">
        <v>110.4501704790879</v>
      </c>
      <c r="O24" s="4087">
        <v>108.38171969810294</v>
      </c>
      <c r="P24" s="4087">
        <v>105.2070953861563</v>
      </c>
      <c r="Q24" s="4087">
        <v>102.42560029310526</v>
      </c>
      <c r="R24" s="4087">
        <v>100</v>
      </c>
      <c r="S24" s="4109">
        <v>1.34</v>
      </c>
      <c r="T24" s="4109"/>
      <c r="U24" s="4089" t="s">
        <v>2718</v>
      </c>
      <c r="V24" s="4121"/>
      <c r="W24" s="4353"/>
      <c r="X24" s="4118"/>
      <c r="Y24" s="4091"/>
    </row>
    <row r="25" spans="1:29" s="4092" customFormat="1" ht="45" customHeight="1">
      <c r="A25" s="1702"/>
      <c r="B25" s="4084"/>
      <c r="C25" s="4362"/>
      <c r="D25" s="4094" t="s">
        <v>2717</v>
      </c>
      <c r="E25" s="4355"/>
      <c r="F25" s="4590">
        <v>106.4714098173866</v>
      </c>
      <c r="G25" s="4096">
        <v>103.95162297694419</v>
      </c>
      <c r="H25" s="4096">
        <v>102.23277985616882</v>
      </c>
      <c r="I25" s="4096">
        <v>101.67326867859643</v>
      </c>
      <c r="J25" s="4096">
        <v>101.89632585833839</v>
      </c>
      <c r="K25" s="4096">
        <v>99.262708923245313</v>
      </c>
      <c r="L25" s="4096">
        <v>89.724234261150386</v>
      </c>
      <c r="M25" s="4095">
        <v>90.008235058626823</v>
      </c>
      <c r="N25" s="4095">
        <v>87.942188137890867</v>
      </c>
      <c r="O25" s="4096">
        <v>88.816106935524431</v>
      </c>
      <c r="P25" s="4096">
        <v>89.270800755029896</v>
      </c>
      <c r="Q25" s="4096">
        <v>100.56593608684594</v>
      </c>
      <c r="R25" s="4096">
        <v>100</v>
      </c>
      <c r="S25" s="4097">
        <v>9.57</v>
      </c>
      <c r="T25" s="4097"/>
      <c r="U25" s="4098" t="s">
        <v>2716</v>
      </c>
      <c r="V25" s="4098"/>
      <c r="W25" s="4356"/>
      <c r="X25" s="4118"/>
      <c r="Y25" s="4091"/>
      <c r="AB25" s="4093"/>
      <c r="AC25" s="4093"/>
    </row>
    <row r="26" spans="1:29" s="4116" customFormat="1" ht="45" customHeight="1">
      <c r="A26" s="1702"/>
      <c r="B26" s="4077"/>
      <c r="C26" s="4359"/>
      <c r="D26" s="4104" t="s">
        <v>2715</v>
      </c>
      <c r="E26" s="4360"/>
      <c r="F26" s="1700">
        <v>65.736933764843855</v>
      </c>
      <c r="G26" s="4106">
        <v>61.944249360393222</v>
      </c>
      <c r="H26" s="4106">
        <v>62.13233614014046</v>
      </c>
      <c r="I26" s="4106">
        <v>63.011575645025957</v>
      </c>
      <c r="J26" s="4106">
        <v>67.688825119446946</v>
      </c>
      <c r="K26" s="4106">
        <v>72.047089495998776</v>
      </c>
      <c r="L26" s="4106">
        <v>77.028858028119117</v>
      </c>
      <c r="M26" s="4105">
        <v>87.684239042228597</v>
      </c>
      <c r="N26" s="4105">
        <v>92.644324819406265</v>
      </c>
      <c r="O26" s="4106">
        <v>94.987617768006061</v>
      </c>
      <c r="P26" s="4106">
        <v>96.868706815793871</v>
      </c>
      <c r="Q26" s="4106">
        <v>98.75822742947382</v>
      </c>
      <c r="R26" s="4106">
        <v>100</v>
      </c>
      <c r="S26" s="4119">
        <v>9.33</v>
      </c>
      <c r="T26" s="4119"/>
      <c r="U26" s="4108"/>
      <c r="V26" s="4108" t="s">
        <v>2714</v>
      </c>
      <c r="W26" s="4361"/>
      <c r="X26" s="4120"/>
      <c r="Y26" s="4091"/>
      <c r="AB26" s="4117"/>
      <c r="AC26" s="4117"/>
    </row>
    <row r="27" spans="1:29" s="4092" customFormat="1" ht="45" customHeight="1">
      <c r="A27" s="1702"/>
      <c r="B27" s="4084"/>
      <c r="C27" s="4362"/>
      <c r="D27" s="4094" t="s">
        <v>2713</v>
      </c>
      <c r="E27" s="4355"/>
      <c r="F27" s="4590">
        <v>81.054495609677218</v>
      </c>
      <c r="G27" s="4096">
        <v>75.831483503229094</v>
      </c>
      <c r="H27" s="4096">
        <v>76.25379032445484</v>
      </c>
      <c r="I27" s="4096">
        <v>79.080570962476358</v>
      </c>
      <c r="J27" s="4096">
        <v>84.179462022081353</v>
      </c>
      <c r="K27" s="4096">
        <v>78.411017782565921</v>
      </c>
      <c r="L27" s="4096">
        <v>77.243492222689099</v>
      </c>
      <c r="M27" s="4095">
        <v>81.927612598194642</v>
      </c>
      <c r="N27" s="4095">
        <v>88.230066870075277</v>
      </c>
      <c r="O27" s="4096">
        <v>90.451080053198766</v>
      </c>
      <c r="P27" s="4096">
        <v>91.794025601557081</v>
      </c>
      <c r="Q27" s="4096">
        <v>95.860659284983996</v>
      </c>
      <c r="R27" s="4096">
        <v>100</v>
      </c>
      <c r="S27" s="4097">
        <v>2.4</v>
      </c>
      <c r="T27" s="4097"/>
      <c r="U27" s="4098" t="s">
        <v>2712</v>
      </c>
      <c r="V27" s="4098"/>
      <c r="W27" s="4356"/>
      <c r="X27" s="4090"/>
      <c r="Y27" s="4091"/>
      <c r="AB27" s="4093"/>
      <c r="AC27" s="4093"/>
    </row>
    <row r="28" spans="1:29" s="4092" customFormat="1" ht="45" customHeight="1">
      <c r="A28" s="1702"/>
      <c r="B28" s="4084"/>
      <c r="C28" s="4352"/>
      <c r="D28" s="4099" t="s">
        <v>2711</v>
      </c>
      <c r="E28" s="4357"/>
      <c r="F28" s="4589">
        <v>38.565740492743537</v>
      </c>
      <c r="G28" s="4087">
        <v>37.488944153073732</v>
      </c>
      <c r="H28" s="4087">
        <v>38.314647287627295</v>
      </c>
      <c r="I28" s="4087">
        <v>38.335284236297412</v>
      </c>
      <c r="J28" s="4087">
        <v>42.178798390799074</v>
      </c>
      <c r="K28" s="4087">
        <v>50.485286385844134</v>
      </c>
      <c r="L28" s="4087">
        <v>60.720449465084883</v>
      </c>
      <c r="M28" s="4086">
        <v>79.852991226855266</v>
      </c>
      <c r="N28" s="4086">
        <v>87.262493984921065</v>
      </c>
      <c r="O28" s="4087">
        <v>91.160392080874445</v>
      </c>
      <c r="P28" s="4087">
        <v>95.93272497491833</v>
      </c>
      <c r="Q28" s="4087">
        <v>97.811394394502273</v>
      </c>
      <c r="R28" s="4087">
        <v>100</v>
      </c>
      <c r="S28" s="4088">
        <v>3.92</v>
      </c>
      <c r="T28" s="4088"/>
      <c r="U28" s="4089" t="s">
        <v>2710</v>
      </c>
      <c r="V28" s="4089"/>
      <c r="W28" s="4353"/>
      <c r="X28" s="4090"/>
      <c r="Y28" s="4091"/>
      <c r="AB28" s="4093"/>
      <c r="AC28" s="4093"/>
    </row>
    <row r="29" spans="1:29" ht="45" customHeight="1">
      <c r="B29" s="4084"/>
      <c r="C29" s="4362"/>
      <c r="D29" s="4094" t="s">
        <v>2709</v>
      </c>
      <c r="E29" s="4355"/>
      <c r="F29" s="4590">
        <v>147.95763846680157</v>
      </c>
      <c r="G29" s="4096">
        <v>143.89549050726532</v>
      </c>
      <c r="H29" s="4096">
        <v>143.30886096779986</v>
      </c>
      <c r="I29" s="4096">
        <v>143.77065740362067</v>
      </c>
      <c r="J29" s="4096">
        <v>144.57542552936036</v>
      </c>
      <c r="K29" s="4096">
        <v>143.9000136662892</v>
      </c>
      <c r="L29" s="4096">
        <v>143.01355144255302</v>
      </c>
      <c r="M29" s="4096">
        <v>142.66053505756085</v>
      </c>
      <c r="N29" s="4096">
        <v>144.50054058708588</v>
      </c>
      <c r="O29" s="4096">
        <v>143.6190018073126</v>
      </c>
      <c r="P29" s="4096">
        <v>132.63796194317098</v>
      </c>
      <c r="Q29" s="4096">
        <v>121.9273573020041</v>
      </c>
      <c r="R29" s="4096">
        <v>100</v>
      </c>
      <c r="S29" s="4097">
        <v>7.0000000000000007E-2</v>
      </c>
      <c r="T29" s="4097"/>
      <c r="U29" s="4098" t="s">
        <v>2708</v>
      </c>
      <c r="V29" s="4098"/>
      <c r="W29" s="4356"/>
      <c r="X29" s="4103"/>
      <c r="Y29" s="4091"/>
    </row>
    <row r="30" spans="1:29" ht="45" customHeight="1">
      <c r="B30" s="4084"/>
      <c r="C30" s="4352"/>
      <c r="D30" s="4099" t="s">
        <v>2707</v>
      </c>
      <c r="E30" s="4357"/>
      <c r="F30" s="4589">
        <v>110.62775331250587</v>
      </c>
      <c r="G30" s="4087">
        <v>100.49551351833733</v>
      </c>
      <c r="H30" s="4087">
        <v>98.155639734408979</v>
      </c>
      <c r="I30" s="4087">
        <v>99.555634301017903</v>
      </c>
      <c r="J30" s="4087">
        <v>104.61577677304879</v>
      </c>
      <c r="K30" s="4087">
        <v>106.59911802928765</v>
      </c>
      <c r="L30" s="4087">
        <v>104.04957941597617</v>
      </c>
      <c r="M30" s="4086">
        <v>104.01528645384656</v>
      </c>
      <c r="N30" s="4086">
        <v>103.28223179144834</v>
      </c>
      <c r="O30" s="4087">
        <v>103.36584304761813</v>
      </c>
      <c r="P30" s="4087">
        <v>101.73925941245379</v>
      </c>
      <c r="Q30" s="4087">
        <v>101.96067641150228</v>
      </c>
      <c r="R30" s="4087">
        <v>100</v>
      </c>
      <c r="S30" s="4088">
        <v>2.94</v>
      </c>
      <c r="T30" s="4088"/>
      <c r="U30" s="4121" t="s">
        <v>2706</v>
      </c>
      <c r="V30" s="4089"/>
      <c r="W30" s="4353"/>
      <c r="X30" s="4103"/>
      <c r="Y30" s="4091"/>
    </row>
    <row r="31" spans="1:29" s="4082" customFormat="1" ht="45" customHeight="1">
      <c r="A31" s="1702"/>
      <c r="B31" s="4077"/>
      <c r="C31" s="4358" t="s">
        <v>2705</v>
      </c>
      <c r="D31" s="4122"/>
      <c r="E31" s="4365"/>
      <c r="F31" s="4591">
        <v>115.09672368335984</v>
      </c>
      <c r="G31" s="4112">
        <v>103.392020644414</v>
      </c>
      <c r="H31" s="4112">
        <v>94.814695388420006</v>
      </c>
      <c r="I31" s="4112">
        <v>96.866923552854672</v>
      </c>
      <c r="J31" s="4112">
        <v>98.267662647861854</v>
      </c>
      <c r="K31" s="4112">
        <v>96.792439698868137</v>
      </c>
      <c r="L31" s="4112">
        <v>95.275287067045141</v>
      </c>
      <c r="M31" s="4111">
        <v>99.642065577264802</v>
      </c>
      <c r="N31" s="4111">
        <v>104.42160668081259</v>
      </c>
      <c r="O31" s="4112">
        <v>102.42130073624585</v>
      </c>
      <c r="P31" s="4112">
        <v>102.59584835176415</v>
      </c>
      <c r="Q31" s="4112">
        <v>102.51353271477623</v>
      </c>
      <c r="R31" s="4112">
        <v>100</v>
      </c>
      <c r="S31" s="4123">
        <v>20.76</v>
      </c>
      <c r="T31" s="4123"/>
      <c r="U31" s="4114"/>
      <c r="V31" s="4114" t="s">
        <v>2704</v>
      </c>
      <c r="W31" s="4364"/>
      <c r="X31" s="4091"/>
      <c r="Y31" s="4091"/>
      <c r="AB31" s="4083"/>
      <c r="AC31" s="4083"/>
    </row>
    <row r="32" spans="1:29" s="4092" customFormat="1" ht="45" customHeight="1">
      <c r="A32" s="1702"/>
      <c r="B32" s="4084"/>
      <c r="C32" s="4366"/>
      <c r="D32" s="4099" t="s">
        <v>2703</v>
      </c>
      <c r="E32" s="4357"/>
      <c r="F32" s="4589">
        <v>119.99080393452969</v>
      </c>
      <c r="G32" s="4087">
        <v>104.68757386630584</v>
      </c>
      <c r="H32" s="4087">
        <v>96.687775771843903</v>
      </c>
      <c r="I32" s="4087">
        <v>98.054430302161762</v>
      </c>
      <c r="J32" s="4087">
        <v>101.21841456614796</v>
      </c>
      <c r="K32" s="4087">
        <v>96.908546818921536</v>
      </c>
      <c r="L32" s="4087">
        <v>94.251836593698371</v>
      </c>
      <c r="M32" s="4086">
        <v>97.057481358849046</v>
      </c>
      <c r="N32" s="4086">
        <v>104.36562195115685</v>
      </c>
      <c r="O32" s="4087">
        <v>103.93602777004941</v>
      </c>
      <c r="P32" s="4087">
        <v>103.24324777005741</v>
      </c>
      <c r="Q32" s="4087">
        <v>103.8263520804374</v>
      </c>
      <c r="R32" s="4087">
        <v>100</v>
      </c>
      <c r="S32" s="4088">
        <v>10.87</v>
      </c>
      <c r="T32" s="4088"/>
      <c r="U32" s="4089" t="s">
        <v>2702</v>
      </c>
      <c r="V32" s="4121"/>
      <c r="W32" s="4353"/>
      <c r="X32" s="4090"/>
      <c r="Y32" s="4091"/>
      <c r="AB32" s="4093"/>
      <c r="AC32" s="4093"/>
    </row>
    <row r="33" spans="1:29" s="4092" customFormat="1" ht="45" customHeight="1">
      <c r="A33" s="1702"/>
      <c r="B33" s="4084"/>
      <c r="C33" s="4362"/>
      <c r="D33" s="4094" t="s">
        <v>2701</v>
      </c>
      <c r="E33" s="4355"/>
      <c r="F33" s="4590">
        <v>138.53869644237176</v>
      </c>
      <c r="G33" s="4096">
        <v>123.40828470514465</v>
      </c>
      <c r="H33" s="4096">
        <v>98.345884753228717</v>
      </c>
      <c r="I33" s="4096">
        <v>97.661624016379051</v>
      </c>
      <c r="J33" s="4096">
        <v>104.23589779339582</v>
      </c>
      <c r="K33" s="4096">
        <v>92.434937028379593</v>
      </c>
      <c r="L33" s="4096">
        <v>75.066397014975919</v>
      </c>
      <c r="M33" s="4095">
        <v>81.603972720982981</v>
      </c>
      <c r="N33" s="4095">
        <v>97.263287502191147</v>
      </c>
      <c r="O33" s="4096">
        <v>97.944068631332712</v>
      </c>
      <c r="P33" s="4096">
        <v>99.22404294553175</v>
      </c>
      <c r="Q33" s="4096">
        <v>101.29804924128428</v>
      </c>
      <c r="R33" s="4096">
        <v>100</v>
      </c>
      <c r="S33" s="4097">
        <v>0.2</v>
      </c>
      <c r="T33" s="4124"/>
      <c r="U33" s="4367" t="s">
        <v>2700</v>
      </c>
      <c r="V33" s="4098"/>
      <c r="W33" s="4356"/>
      <c r="X33" s="4090"/>
      <c r="Y33" s="4091"/>
      <c r="AB33" s="4093"/>
      <c r="AC33" s="4093"/>
    </row>
    <row r="34" spans="1:29" s="4092" customFormat="1" ht="45" customHeight="1">
      <c r="A34" s="1702"/>
      <c r="B34" s="4084"/>
      <c r="C34" s="4352"/>
      <c r="D34" s="4099" t="s">
        <v>2699</v>
      </c>
      <c r="E34" s="4357"/>
      <c r="F34" s="4589">
        <v>108.60703974224803</v>
      </c>
      <c r="G34" s="4087">
        <v>101.84014295215435</v>
      </c>
      <c r="H34" s="4087">
        <v>90.576500751967629</v>
      </c>
      <c r="I34" s="4087">
        <v>93.278823425352911</v>
      </c>
      <c r="J34" s="4087">
        <v>91.565255458607822</v>
      </c>
      <c r="K34" s="4087">
        <v>93.922610303890124</v>
      </c>
      <c r="L34" s="4087">
        <v>93.473122213279964</v>
      </c>
      <c r="M34" s="4086">
        <v>101.01464603874291</v>
      </c>
      <c r="N34" s="4086">
        <v>104.45378191257051</v>
      </c>
      <c r="O34" s="4087">
        <v>99.744013254801274</v>
      </c>
      <c r="P34" s="4087">
        <v>101.68721676431284</v>
      </c>
      <c r="Q34" s="4087">
        <v>101.19007917173913</v>
      </c>
      <c r="R34" s="4087">
        <v>100</v>
      </c>
      <c r="S34" s="4088">
        <v>6.88</v>
      </c>
      <c r="T34" s="4125"/>
      <c r="U34" s="4121" t="s">
        <v>2698</v>
      </c>
      <c r="V34" s="4089"/>
      <c r="W34" s="4353"/>
      <c r="X34" s="4090"/>
      <c r="Y34" s="4091"/>
      <c r="AB34" s="4093"/>
      <c r="AC34" s="4093"/>
    </row>
    <row r="35" spans="1:29" s="4092" customFormat="1" ht="45" customHeight="1">
      <c r="A35" s="1702"/>
      <c r="B35" s="4084"/>
      <c r="C35" s="4362"/>
      <c r="D35" s="4094" t="s">
        <v>2697</v>
      </c>
      <c r="E35" s="4355"/>
      <c r="F35" s="4590">
        <v>117.37003241579458</v>
      </c>
      <c r="G35" s="4096">
        <v>102.47820884948045</v>
      </c>
      <c r="H35" s="4096">
        <v>96.995131641521652</v>
      </c>
      <c r="I35" s="4096">
        <v>100.88553467962829</v>
      </c>
      <c r="J35" s="4096">
        <v>102.58325400224082</v>
      </c>
      <c r="K35" s="4096">
        <v>100.27645226110471</v>
      </c>
      <c r="L35" s="4096">
        <v>101.65276417397206</v>
      </c>
      <c r="M35" s="4095">
        <v>104.20677532965959</v>
      </c>
      <c r="N35" s="4095">
        <v>103.89512410053236</v>
      </c>
      <c r="O35" s="4096">
        <v>103.03476691808514</v>
      </c>
      <c r="P35" s="4096">
        <v>102.69479871387092</v>
      </c>
      <c r="Q35" s="4096">
        <v>101.13707905485624</v>
      </c>
      <c r="R35" s="4096">
        <v>100</v>
      </c>
      <c r="S35" s="4097">
        <v>1.1399999999999999</v>
      </c>
      <c r="T35" s="4124"/>
      <c r="U35" s="4367" t="s">
        <v>2696</v>
      </c>
      <c r="V35" s="4098"/>
      <c r="W35" s="4356"/>
      <c r="X35" s="4118"/>
      <c r="Y35" s="4091"/>
      <c r="AB35" s="4093"/>
      <c r="AC35" s="4093"/>
    </row>
    <row r="36" spans="1:29" ht="45" customHeight="1">
      <c r="B36" s="4084"/>
      <c r="C36" s="4352"/>
      <c r="D36" s="4099" t="s">
        <v>2695</v>
      </c>
      <c r="E36" s="4357"/>
      <c r="F36" s="4589"/>
      <c r="G36" s="4087"/>
      <c r="H36" s="4087"/>
      <c r="I36" s="4087"/>
      <c r="J36" s="4087"/>
      <c r="K36" s="4087"/>
      <c r="L36" s="4087"/>
      <c r="M36" s="4086"/>
      <c r="N36" s="4086"/>
      <c r="O36" s="4087"/>
      <c r="P36" s="4087"/>
      <c r="Q36" s="4087"/>
      <c r="R36" s="4087"/>
      <c r="S36" s="4088"/>
      <c r="T36" s="4088"/>
      <c r="U36" s="4121" t="s">
        <v>2694</v>
      </c>
      <c r="V36" s="4089"/>
      <c r="W36" s="4353"/>
      <c r="X36" s="4103"/>
      <c r="Y36" s="4091"/>
    </row>
    <row r="37" spans="1:29" s="4092" customFormat="1" ht="45" customHeight="1">
      <c r="A37" s="1702"/>
      <c r="B37" s="4084"/>
      <c r="C37" s="4362"/>
      <c r="D37" s="4094" t="s">
        <v>2693</v>
      </c>
      <c r="E37" s="4355"/>
      <c r="F37" s="4590">
        <v>107.82989077561803</v>
      </c>
      <c r="G37" s="4096">
        <v>100.3990529431845</v>
      </c>
      <c r="H37" s="4096">
        <v>98.893065205635111</v>
      </c>
      <c r="I37" s="4096">
        <v>101.63518733807676</v>
      </c>
      <c r="J37" s="4096">
        <v>104.88251161316259</v>
      </c>
      <c r="K37" s="4096">
        <v>106.89263471902098</v>
      </c>
      <c r="L37" s="4096">
        <v>108.87599211058789</v>
      </c>
      <c r="M37" s="4095">
        <v>111.08624304347261</v>
      </c>
      <c r="N37" s="4095">
        <v>106.05336986805949</v>
      </c>
      <c r="O37" s="4096">
        <v>103.94148594967201</v>
      </c>
      <c r="P37" s="4096">
        <v>102.49049814752081</v>
      </c>
      <c r="Q37" s="4096">
        <v>100.61997197012617</v>
      </c>
      <c r="R37" s="4096">
        <v>100</v>
      </c>
      <c r="S37" s="4097">
        <v>1.67</v>
      </c>
      <c r="T37" s="4124"/>
      <c r="U37" s="4367" t="s">
        <v>2692</v>
      </c>
      <c r="V37" s="4098"/>
      <c r="W37" s="4356"/>
      <c r="X37" s="4118"/>
      <c r="Y37" s="4091"/>
      <c r="AB37" s="4093"/>
      <c r="AC37" s="4093"/>
    </row>
    <row r="38" spans="1:29" ht="45" customHeight="1">
      <c r="B38" s="4084"/>
      <c r="C38" s="4359" t="s">
        <v>2008</v>
      </c>
      <c r="D38" s="4104"/>
      <c r="E38" s="4360"/>
      <c r="F38" s="1700">
        <v>104.23623488095743</v>
      </c>
      <c r="G38" s="4106">
        <v>98.840595083504155</v>
      </c>
      <c r="H38" s="4106">
        <v>96.958717966158005</v>
      </c>
      <c r="I38" s="4106">
        <v>97.577655796166297</v>
      </c>
      <c r="J38" s="4106">
        <v>98.155007322381621</v>
      </c>
      <c r="K38" s="4106">
        <v>95.937911271605032</v>
      </c>
      <c r="L38" s="4106">
        <v>95.436027595634371</v>
      </c>
      <c r="M38" s="4105">
        <v>100.19740953662527</v>
      </c>
      <c r="N38" s="4105">
        <v>102.30679266926745</v>
      </c>
      <c r="O38" s="4106">
        <v>101.50270302318636</v>
      </c>
      <c r="P38" s="4106">
        <v>99.875751301521092</v>
      </c>
      <c r="Q38" s="4106">
        <v>100.833048464337</v>
      </c>
      <c r="R38" s="4106">
        <v>100</v>
      </c>
      <c r="S38" s="1700">
        <v>100</v>
      </c>
      <c r="T38" s="4088"/>
      <c r="U38" s="4121"/>
      <c r="V38" s="4108" t="s">
        <v>2007</v>
      </c>
      <c r="W38" s="4353"/>
      <c r="X38" s="4103"/>
    </row>
    <row r="39" spans="1:29" s="4092" customFormat="1" ht="45" customHeight="1">
      <c r="A39" s="1702"/>
      <c r="B39" s="4084"/>
      <c r="C39" s="4368" t="s">
        <v>2691</v>
      </c>
      <c r="D39" s="4126"/>
      <c r="E39" s="4369"/>
      <c r="F39" s="4592">
        <v>5.4589309108214366</v>
      </c>
      <c r="G39" s="4127">
        <v>1.940905528477586</v>
      </c>
      <c r="H39" s="4127">
        <v>-0.63430282779206948</v>
      </c>
      <c r="I39" s="4127">
        <v>-0.6</v>
      </c>
      <c r="J39" s="4127">
        <v>2.3109696900736907</v>
      </c>
      <c r="K39" s="4127">
        <v>0.52588491853113339</v>
      </c>
      <c r="L39" s="4127">
        <v>-4.7520010377618291</v>
      </c>
      <c r="M39" s="4127">
        <v>-2.0618211925197301</v>
      </c>
      <c r="N39" s="4127">
        <v>0.79218545135435647</v>
      </c>
      <c r="O39" s="4127">
        <v>1.6289757027744969</v>
      </c>
      <c r="P39" s="4127">
        <v>-0.94938829817733961</v>
      </c>
      <c r="Q39" s="4127">
        <v>0.8330484643370113</v>
      </c>
      <c r="R39" s="4127"/>
      <c r="S39" s="4128"/>
      <c r="T39" s="4129"/>
      <c r="U39" s="4370"/>
      <c r="V39" s="4130" t="s">
        <v>2690</v>
      </c>
      <c r="W39" s="4371"/>
      <c r="X39" s="4118"/>
      <c r="AB39" s="4093"/>
      <c r="AC39" s="4093"/>
    </row>
    <row r="40" spans="1:29" s="1701" customFormat="1" ht="20.100000000000001" customHeight="1">
      <c r="C40" s="1688" t="s">
        <v>2073</v>
      </c>
      <c r="U40" s="4131"/>
      <c r="V40" s="1701" t="s">
        <v>2689</v>
      </c>
      <c r="W40" s="4132"/>
      <c r="AB40" s="4073"/>
      <c r="AC40" s="4073"/>
    </row>
    <row r="41" spans="1:29">
      <c r="C41" s="1701"/>
      <c r="D41" s="1701"/>
      <c r="E41" s="1701"/>
      <c r="F41" s="1701"/>
      <c r="G41" s="1701"/>
      <c r="H41" s="1701"/>
      <c r="I41" s="1701"/>
      <c r="J41" s="1702"/>
      <c r="K41" s="1702"/>
      <c r="L41" s="1702"/>
      <c r="M41" s="1702"/>
      <c r="N41" s="1702"/>
      <c r="O41" s="1702"/>
      <c r="P41" s="1702"/>
      <c r="Q41" s="1702"/>
      <c r="R41" s="1702"/>
      <c r="S41" s="4133"/>
      <c r="T41" s="4134"/>
    </row>
    <row r="42" spans="1:29">
      <c r="D42" s="4135"/>
      <c r="E42" s="4135"/>
      <c r="F42" s="4135"/>
      <c r="G42" s="4135"/>
      <c r="H42" s="4135"/>
      <c r="I42" s="4135"/>
    </row>
  </sheetData>
  <mergeCells count="18">
    <mergeCell ref="D4:W4"/>
    <mergeCell ref="D7:W7"/>
    <mergeCell ref="T9:W9"/>
    <mergeCell ref="C10:E14"/>
    <mergeCell ref="R10:R14"/>
    <mergeCell ref="T10:W14"/>
    <mergeCell ref="J10:J14"/>
    <mergeCell ref="I10:I14"/>
    <mergeCell ref="Q10:Q14"/>
    <mergeCell ref="K10:K14"/>
    <mergeCell ref="L10:L14"/>
    <mergeCell ref="M10:M14"/>
    <mergeCell ref="N10:N14"/>
    <mergeCell ref="O10:O14"/>
    <mergeCell ref="P10:P14"/>
    <mergeCell ref="H10:H14"/>
    <mergeCell ref="F10:F14"/>
    <mergeCell ref="G10:G14"/>
  </mergeCells>
  <printOptions horizontalCentered="1"/>
  <pageMargins left="0.11811023622047245" right="0.11811023622047245" top="0" bottom="0" header="0.27559055118110237" footer="0.27559055118110237"/>
  <pageSetup paperSize="9" scale="34" orientation="portrait" horizontalDpi="300" verticalDpi="300" r:id="rId1"/>
  <headerFooter alignWithMargins="0">
    <oddFooter>&amp;C&amp;"Times,Bold"&amp;18 96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E1:M57"/>
  <sheetViews>
    <sheetView zoomScale="75" zoomScaleNormal="75" workbookViewId="0">
      <selection activeCell="Q4" sqref="Q4"/>
    </sheetView>
  </sheetViews>
  <sheetFormatPr defaultRowHeight="15"/>
  <cols>
    <col min="5" max="5" width="43.7109375" customWidth="1"/>
    <col min="6" max="6" width="24.7109375" customWidth="1"/>
    <col min="7" max="11" width="15.5703125" customWidth="1"/>
    <col min="12" max="12" width="17.140625" customWidth="1"/>
    <col min="13" max="13" width="15.5703125" customWidth="1"/>
  </cols>
  <sheetData>
    <row r="1" spans="5:13" ht="28.35" customHeight="1"/>
    <row r="2" spans="5:13" ht="28.35" customHeight="1"/>
    <row r="3" spans="5:13" ht="28.35" customHeight="1">
      <c r="E3" s="5403" t="s">
        <v>2348</v>
      </c>
      <c r="F3" s="5403"/>
      <c r="G3" s="5403"/>
      <c r="H3" s="5403"/>
      <c r="I3" s="5403"/>
      <c r="J3" s="5403"/>
      <c r="K3" s="5403"/>
      <c r="L3" s="5403"/>
      <c r="M3" s="5403"/>
    </row>
    <row r="4" spans="5:13" ht="28.35" customHeight="1">
      <c r="E4" s="5404" t="s">
        <v>2349</v>
      </c>
      <c r="F4" s="5404"/>
      <c r="G4" s="5404"/>
      <c r="H4" s="5404"/>
      <c r="I4" s="5404"/>
      <c r="J4" s="5404"/>
      <c r="K4" s="5404"/>
      <c r="L4" s="5404"/>
      <c r="M4" s="5404"/>
    </row>
    <row r="5" spans="5:13" ht="17.100000000000001" customHeight="1">
      <c r="E5" s="1018" t="s">
        <v>2350</v>
      </c>
      <c r="F5" s="1019"/>
      <c r="G5" s="1019"/>
      <c r="H5" s="1020"/>
      <c r="I5" s="1019"/>
      <c r="J5" s="1019"/>
      <c r="K5" s="1019"/>
      <c r="L5" s="1019"/>
      <c r="M5" s="1021" t="s">
        <v>91</v>
      </c>
    </row>
    <row r="6" spans="5:13" ht="4.3499999999999996" customHeight="1">
      <c r="E6" s="1020"/>
      <c r="F6" s="1019"/>
      <c r="G6" s="1019"/>
      <c r="H6" s="1020"/>
      <c r="I6" s="1019"/>
      <c r="J6" s="1019"/>
      <c r="K6" s="1019"/>
      <c r="L6" s="1019"/>
      <c r="M6" s="1022"/>
    </row>
    <row r="7" spans="5:13" ht="28.35" customHeight="1">
      <c r="E7" s="1023"/>
      <c r="F7" s="1024"/>
      <c r="G7" s="1024"/>
      <c r="H7" s="1024"/>
      <c r="I7" s="1024"/>
      <c r="J7" s="1024"/>
      <c r="K7" s="1024"/>
      <c r="L7" s="1025"/>
      <c r="M7" s="1026"/>
    </row>
    <row r="8" spans="5:13" ht="28.35" customHeight="1">
      <c r="E8" s="1027"/>
      <c r="F8" s="1028" t="s">
        <v>2351</v>
      </c>
      <c r="G8" s="1028"/>
      <c r="H8" s="1028"/>
      <c r="I8" s="1028"/>
      <c r="J8" s="1028"/>
      <c r="K8" s="1028" t="s">
        <v>2352</v>
      </c>
      <c r="L8" s="1029"/>
      <c r="M8" s="1030"/>
    </row>
    <row r="9" spans="5:13" ht="28.35" customHeight="1">
      <c r="E9" s="1027" t="s">
        <v>2353</v>
      </c>
      <c r="F9" s="1028" t="s">
        <v>2354</v>
      </c>
      <c r="G9" s="1028" t="s">
        <v>2355</v>
      </c>
      <c r="H9" s="1028" t="s">
        <v>2356</v>
      </c>
      <c r="I9" s="1028" t="s">
        <v>2357</v>
      </c>
      <c r="J9" s="1028" t="s">
        <v>2358</v>
      </c>
      <c r="K9" s="1031" t="s">
        <v>2359</v>
      </c>
      <c r="L9" s="1029" t="s">
        <v>2358</v>
      </c>
      <c r="M9" s="1032"/>
    </row>
    <row r="10" spans="5:13" ht="28.35" customHeight="1">
      <c r="E10" s="1027" t="s">
        <v>2360</v>
      </c>
      <c r="F10" s="1028" t="s">
        <v>2361</v>
      </c>
      <c r="G10" s="1028" t="s">
        <v>2362</v>
      </c>
      <c r="H10" s="1028" t="s">
        <v>2363</v>
      </c>
      <c r="I10" s="1028" t="s">
        <v>2364</v>
      </c>
      <c r="J10" s="1028" t="s">
        <v>2365</v>
      </c>
      <c r="K10" s="1028" t="s">
        <v>2366</v>
      </c>
      <c r="L10" s="1029" t="s">
        <v>2367</v>
      </c>
      <c r="M10" s="1032"/>
    </row>
    <row r="11" spans="5:13" ht="25.5">
      <c r="E11" s="1027"/>
      <c r="F11" s="1028"/>
      <c r="G11" s="1028"/>
      <c r="H11" s="1028"/>
      <c r="I11" s="1028"/>
      <c r="J11" s="1028"/>
      <c r="K11" s="1028"/>
      <c r="L11" s="1029"/>
      <c r="M11" s="1032"/>
    </row>
    <row r="12" spans="5:13" ht="142.5">
      <c r="E12" s="1033" t="s">
        <v>2368</v>
      </c>
      <c r="F12" s="1034" t="s">
        <v>2369</v>
      </c>
      <c r="G12" s="1034" t="s">
        <v>2370</v>
      </c>
      <c r="H12" s="1034" t="s">
        <v>2371</v>
      </c>
      <c r="I12" s="1034" t="s">
        <v>2372</v>
      </c>
      <c r="J12" s="1034" t="s">
        <v>2373</v>
      </c>
      <c r="K12" s="1034" t="s">
        <v>2374</v>
      </c>
      <c r="L12" s="1035" t="s">
        <v>2375</v>
      </c>
      <c r="M12" s="1036"/>
    </row>
    <row r="13" spans="5:13" ht="35.25" customHeight="1">
      <c r="E13" s="1037" t="s">
        <v>77</v>
      </c>
      <c r="F13" s="1706">
        <v>585.6</v>
      </c>
      <c r="G13" s="1706">
        <v>5.6</v>
      </c>
      <c r="H13" s="1706">
        <v>83.5</v>
      </c>
      <c r="I13" s="1706">
        <v>10.7</v>
      </c>
      <c r="J13" s="1706">
        <v>242.1</v>
      </c>
      <c r="K13" s="1706">
        <v>26.5</v>
      </c>
      <c r="L13" s="1707">
        <v>286.10000000000002</v>
      </c>
      <c r="M13" s="1708">
        <v>1978</v>
      </c>
    </row>
    <row r="14" spans="5:13" ht="35.25" customHeight="1">
      <c r="E14" s="1038" t="s">
        <v>77</v>
      </c>
      <c r="F14" s="1703">
        <v>679.3</v>
      </c>
      <c r="G14" s="1703">
        <v>15.8</v>
      </c>
      <c r="H14" s="1703">
        <v>118.4</v>
      </c>
      <c r="I14" s="1703">
        <v>14.7</v>
      </c>
      <c r="J14" s="1703">
        <v>316.5</v>
      </c>
      <c r="K14" s="1703">
        <v>36.5</v>
      </c>
      <c r="L14" s="1704">
        <v>452.3</v>
      </c>
      <c r="M14" s="1705">
        <v>1979</v>
      </c>
    </row>
    <row r="15" spans="5:13" ht="35.25" customHeight="1">
      <c r="E15" s="1037" t="s">
        <v>77</v>
      </c>
      <c r="F15" s="1706">
        <v>757.5</v>
      </c>
      <c r="G15" s="1706">
        <v>41.4</v>
      </c>
      <c r="H15" s="1706">
        <v>124.4</v>
      </c>
      <c r="I15" s="1706">
        <v>18.399999999999999</v>
      </c>
      <c r="J15" s="1706">
        <v>373</v>
      </c>
      <c r="K15" s="1706">
        <v>44.5</v>
      </c>
      <c r="L15" s="1707">
        <v>495.5</v>
      </c>
      <c r="M15" s="1708">
        <v>1980</v>
      </c>
    </row>
    <row r="16" spans="5:13" ht="35.25" customHeight="1">
      <c r="E16" s="1038" t="s">
        <v>77</v>
      </c>
      <c r="F16" s="1703">
        <v>1201.8</v>
      </c>
      <c r="G16" s="1703">
        <v>75.400000000000006</v>
      </c>
      <c r="H16" s="1703">
        <v>146.30000000000001</v>
      </c>
      <c r="I16" s="1703">
        <v>22.6</v>
      </c>
      <c r="J16" s="1703">
        <v>451.5</v>
      </c>
      <c r="K16" s="1703">
        <v>52.8</v>
      </c>
      <c r="L16" s="1704">
        <v>834.6</v>
      </c>
      <c r="M16" s="1705">
        <v>1981</v>
      </c>
    </row>
    <row r="17" spans="5:13" ht="35.25" customHeight="1">
      <c r="E17" s="1037" t="s">
        <v>77</v>
      </c>
      <c r="F17" s="1706">
        <v>1382.5</v>
      </c>
      <c r="G17" s="1706">
        <v>128.30000000000001</v>
      </c>
      <c r="H17" s="1706">
        <v>272.39999999999998</v>
      </c>
      <c r="I17" s="1706">
        <v>29.2</v>
      </c>
      <c r="J17" s="1706">
        <v>612.9</v>
      </c>
      <c r="K17" s="1706">
        <v>60.8</v>
      </c>
      <c r="L17" s="1707">
        <v>1034.8</v>
      </c>
      <c r="M17" s="1708">
        <v>1982</v>
      </c>
    </row>
    <row r="18" spans="5:13" ht="35.25" customHeight="1">
      <c r="E18" s="1038" t="s">
        <v>77</v>
      </c>
      <c r="F18" s="1703">
        <v>1042.0999999999999</v>
      </c>
      <c r="G18" s="1703">
        <v>141.4</v>
      </c>
      <c r="H18" s="1703">
        <v>422.4</v>
      </c>
      <c r="I18" s="1703">
        <v>27.3</v>
      </c>
      <c r="J18" s="1703">
        <v>677.6</v>
      </c>
      <c r="K18" s="1703">
        <v>50.4</v>
      </c>
      <c r="L18" s="1704">
        <v>1053.4000000000001</v>
      </c>
      <c r="M18" s="1705">
        <v>1983</v>
      </c>
    </row>
    <row r="19" spans="5:13" ht="35.25" customHeight="1">
      <c r="E19" s="1037" t="s">
        <v>77</v>
      </c>
      <c r="F19" s="1706">
        <v>811.8</v>
      </c>
      <c r="G19" s="1706">
        <v>59.3</v>
      </c>
      <c r="H19" s="1706">
        <v>393.6</v>
      </c>
      <c r="I19" s="1706">
        <v>33.299999999999997</v>
      </c>
      <c r="J19" s="1706">
        <v>696.1</v>
      </c>
      <c r="K19" s="1706">
        <v>35.700000000000003</v>
      </c>
      <c r="L19" s="1707">
        <v>911.7</v>
      </c>
      <c r="M19" s="1708">
        <v>1984</v>
      </c>
    </row>
    <row r="20" spans="5:13" ht="35.25" customHeight="1">
      <c r="E20" s="1038" t="s">
        <v>77</v>
      </c>
      <c r="F20" s="1703">
        <v>786</v>
      </c>
      <c r="G20" s="1703">
        <v>66.7</v>
      </c>
      <c r="H20" s="1703">
        <v>365.6</v>
      </c>
      <c r="I20" s="1703">
        <v>31.5</v>
      </c>
      <c r="J20" s="1703">
        <v>532.79999999999995</v>
      </c>
      <c r="K20" s="1703">
        <v>49.6</v>
      </c>
      <c r="L20" s="1704">
        <v>926.9</v>
      </c>
      <c r="M20" s="1705">
        <v>1985</v>
      </c>
    </row>
    <row r="21" spans="5:13" ht="35.25" customHeight="1">
      <c r="E21" s="1037" t="s">
        <v>77</v>
      </c>
      <c r="F21" s="1706">
        <v>723.5</v>
      </c>
      <c r="G21" s="1706">
        <v>69.5</v>
      </c>
      <c r="H21" s="1706">
        <v>362.5</v>
      </c>
      <c r="I21" s="1706">
        <v>27.5</v>
      </c>
      <c r="J21" s="1706">
        <v>719.7</v>
      </c>
      <c r="K21" s="1706">
        <v>61.1</v>
      </c>
      <c r="L21" s="1707">
        <v>891.8</v>
      </c>
      <c r="M21" s="1708">
        <v>1986</v>
      </c>
    </row>
    <row r="22" spans="5:13" ht="35.25" customHeight="1">
      <c r="E22" s="1038" t="s">
        <v>77</v>
      </c>
      <c r="F22" s="1703">
        <v>796.9</v>
      </c>
      <c r="G22" s="1703">
        <v>148.19999999999999</v>
      </c>
      <c r="H22" s="1703">
        <v>372.7</v>
      </c>
      <c r="I22" s="1703">
        <v>32.200000000000003</v>
      </c>
      <c r="J22" s="1703">
        <v>745.3</v>
      </c>
      <c r="K22" s="1703">
        <v>61.2</v>
      </c>
      <c r="L22" s="1704">
        <v>929.4</v>
      </c>
      <c r="M22" s="1705">
        <v>1987</v>
      </c>
    </row>
    <row r="23" spans="5:13" ht="35.25" customHeight="1">
      <c r="E23" s="1037" t="s">
        <v>77</v>
      </c>
      <c r="F23" s="1706">
        <v>845.1</v>
      </c>
      <c r="G23" s="1706">
        <v>132.6</v>
      </c>
      <c r="H23" s="1706">
        <v>394.6</v>
      </c>
      <c r="I23" s="1706">
        <v>36</v>
      </c>
      <c r="J23" s="1706">
        <v>845</v>
      </c>
      <c r="K23" s="1706">
        <v>92.4</v>
      </c>
      <c r="L23" s="1707">
        <v>1104.7</v>
      </c>
      <c r="M23" s="1708">
        <v>1988</v>
      </c>
    </row>
    <row r="24" spans="5:13" ht="35.25" customHeight="1">
      <c r="E24" s="1038" t="s">
        <v>77</v>
      </c>
      <c r="F24" s="1703">
        <v>932.7</v>
      </c>
      <c r="G24" s="1703">
        <v>367.6</v>
      </c>
      <c r="H24" s="1703">
        <v>394.8</v>
      </c>
      <c r="I24" s="1703">
        <v>43.5</v>
      </c>
      <c r="J24" s="1703">
        <v>946.4</v>
      </c>
      <c r="K24" s="1703">
        <v>195</v>
      </c>
      <c r="L24" s="1704">
        <v>1400.4</v>
      </c>
      <c r="M24" s="1705">
        <v>1989</v>
      </c>
    </row>
    <row r="25" spans="5:13" ht="35.25" customHeight="1">
      <c r="E25" s="1037" t="s">
        <v>77</v>
      </c>
      <c r="F25" s="1706">
        <v>804.3</v>
      </c>
      <c r="G25" s="1706">
        <v>268.89999999999998</v>
      </c>
      <c r="H25" s="1706">
        <v>406.8</v>
      </c>
      <c r="I25" s="1706">
        <v>57.6</v>
      </c>
      <c r="J25" s="1706">
        <v>1080.0999999999999</v>
      </c>
      <c r="K25" s="1706">
        <v>178</v>
      </c>
      <c r="L25" s="1707">
        <v>1293.2</v>
      </c>
      <c r="M25" s="1708">
        <v>1990</v>
      </c>
    </row>
    <row r="26" spans="5:13" ht="35.25" customHeight="1">
      <c r="E26" s="1038" t="s">
        <v>77</v>
      </c>
      <c r="F26" s="1703">
        <v>1000</v>
      </c>
      <c r="G26" s="1703">
        <v>302.8</v>
      </c>
      <c r="H26" s="1703">
        <v>428.5</v>
      </c>
      <c r="I26" s="1703">
        <v>65</v>
      </c>
      <c r="J26" s="1703">
        <v>1198</v>
      </c>
      <c r="K26" s="1703">
        <v>153.80000000000001</v>
      </c>
      <c r="L26" s="1704">
        <v>1707.1</v>
      </c>
      <c r="M26" s="1705">
        <v>1991</v>
      </c>
    </row>
    <row r="27" spans="5:13" ht="35.25" customHeight="1">
      <c r="E27" s="1037" t="s">
        <v>77</v>
      </c>
      <c r="F27" s="1706">
        <v>1299</v>
      </c>
      <c r="G27" s="1706">
        <v>887</v>
      </c>
      <c r="H27" s="1706">
        <v>406.6</v>
      </c>
      <c r="I27" s="1706">
        <v>72.5</v>
      </c>
      <c r="J27" s="1706">
        <v>1395.8</v>
      </c>
      <c r="K27" s="1706">
        <v>155.5</v>
      </c>
      <c r="L27" s="1707">
        <v>2295.6</v>
      </c>
      <c r="M27" s="1708">
        <v>1992</v>
      </c>
    </row>
    <row r="28" spans="5:13" ht="35.25" customHeight="1">
      <c r="E28" s="1038" t="s">
        <v>77</v>
      </c>
      <c r="F28" s="1703">
        <v>1585</v>
      </c>
      <c r="G28" s="1703">
        <v>968.6</v>
      </c>
      <c r="H28" s="1703">
        <v>529</v>
      </c>
      <c r="I28" s="1703">
        <v>77.8</v>
      </c>
      <c r="J28" s="1703">
        <v>1581.7</v>
      </c>
      <c r="K28" s="1703">
        <v>143.5</v>
      </c>
      <c r="L28" s="1704">
        <v>3463.9</v>
      </c>
      <c r="M28" s="1705">
        <v>1993</v>
      </c>
    </row>
    <row r="29" spans="5:13" ht="35.25" customHeight="1">
      <c r="E29" s="1037" t="s">
        <v>77</v>
      </c>
      <c r="F29" s="1706">
        <v>1436</v>
      </c>
      <c r="G29" s="1706">
        <v>495.1</v>
      </c>
      <c r="H29" s="1706">
        <v>677.7</v>
      </c>
      <c r="I29" s="1706">
        <v>74.3</v>
      </c>
      <c r="J29" s="1706">
        <v>1837.9</v>
      </c>
      <c r="K29" s="1706">
        <v>175.1</v>
      </c>
      <c r="L29" s="1707">
        <v>3409.3</v>
      </c>
      <c r="M29" s="1708">
        <v>1994</v>
      </c>
    </row>
    <row r="30" spans="5:13" ht="35.25" customHeight="1">
      <c r="E30" s="1038" t="s">
        <v>77</v>
      </c>
      <c r="F30" s="1703">
        <v>1591.7</v>
      </c>
      <c r="G30" s="1703">
        <v>419</v>
      </c>
      <c r="H30" s="1703">
        <v>835.1</v>
      </c>
      <c r="I30" s="1703">
        <v>78.599999999999994</v>
      </c>
      <c r="J30" s="1703">
        <v>2076.9</v>
      </c>
      <c r="K30" s="1703">
        <v>198.3</v>
      </c>
      <c r="L30" s="1704">
        <v>3495.4</v>
      </c>
      <c r="M30" s="1705">
        <v>1995</v>
      </c>
    </row>
    <row r="31" spans="5:13" ht="35.25" customHeight="1">
      <c r="E31" s="1037" t="s">
        <v>77</v>
      </c>
      <c r="F31" s="1706">
        <v>1534.6</v>
      </c>
      <c r="G31" s="1706">
        <v>248.6</v>
      </c>
      <c r="H31" s="1706">
        <v>917</v>
      </c>
      <c r="I31" s="1706">
        <v>82.9</v>
      </c>
      <c r="J31" s="1706">
        <v>2364.1999999999998</v>
      </c>
      <c r="K31" s="1706">
        <v>228.5</v>
      </c>
      <c r="L31" s="1707">
        <v>3461.2</v>
      </c>
      <c r="M31" s="1708">
        <v>1996</v>
      </c>
    </row>
    <row r="32" spans="5:13" ht="35.25" customHeight="1">
      <c r="E32" s="1038" t="s">
        <v>77</v>
      </c>
      <c r="F32" s="1703">
        <v>1692.4</v>
      </c>
      <c r="G32" s="1703">
        <v>355.2</v>
      </c>
      <c r="H32" s="1703">
        <v>1073.2</v>
      </c>
      <c r="I32" s="1703">
        <v>88.9</v>
      </c>
      <c r="J32" s="1703">
        <v>2756.8</v>
      </c>
      <c r="K32" s="1703">
        <v>217.7</v>
      </c>
      <c r="L32" s="1704">
        <v>3862</v>
      </c>
      <c r="M32" s="1705">
        <v>1997</v>
      </c>
    </row>
    <row r="33" spans="5:13" ht="35.25" customHeight="1">
      <c r="E33" s="1037" t="s">
        <v>77</v>
      </c>
      <c r="F33" s="1706">
        <v>1701.3</v>
      </c>
      <c r="G33" s="1706">
        <v>464.4</v>
      </c>
      <c r="H33" s="1706">
        <v>1334.4</v>
      </c>
      <c r="I33" s="1706">
        <v>102.7</v>
      </c>
      <c r="J33" s="1706">
        <v>2936.9</v>
      </c>
      <c r="K33" s="1706">
        <v>244.4</v>
      </c>
      <c r="L33" s="1707">
        <v>4156.6000000000004</v>
      </c>
      <c r="M33" s="1708">
        <v>1998</v>
      </c>
    </row>
    <row r="34" spans="5:13" ht="35.25" customHeight="1">
      <c r="E34" s="1038">
        <v>1000</v>
      </c>
      <c r="F34" s="1703">
        <v>1673.5</v>
      </c>
      <c r="G34" s="1703">
        <v>389.5</v>
      </c>
      <c r="H34" s="1703">
        <v>1416.9</v>
      </c>
      <c r="I34" s="1703">
        <v>110</v>
      </c>
      <c r="J34" s="1703">
        <v>3183.1</v>
      </c>
      <c r="K34" s="1703">
        <v>174.1</v>
      </c>
      <c r="L34" s="1704">
        <v>4137.7</v>
      </c>
      <c r="M34" s="1705">
        <v>1999</v>
      </c>
    </row>
    <row r="35" spans="5:13" ht="35.25" customHeight="1">
      <c r="E35" s="1037">
        <v>813.34278923335114</v>
      </c>
      <c r="F35" s="1706">
        <v>1330.5</v>
      </c>
      <c r="G35" s="1706">
        <v>287.8</v>
      </c>
      <c r="H35" s="1706">
        <v>1572.7</v>
      </c>
      <c r="I35" s="1706">
        <v>113.9</v>
      </c>
      <c r="J35" s="1706">
        <v>3454.1</v>
      </c>
      <c r="K35" s="1706">
        <v>106.2</v>
      </c>
      <c r="L35" s="1707">
        <v>3509.6</v>
      </c>
      <c r="M35" s="1708">
        <v>2000</v>
      </c>
    </row>
    <row r="36" spans="5:13" ht="35.25" customHeight="1">
      <c r="E36" s="1038">
        <v>1060.5801354250402</v>
      </c>
      <c r="F36" s="1703">
        <v>1727.2</v>
      </c>
      <c r="G36" s="1703">
        <v>668.7</v>
      </c>
      <c r="H36" s="1703">
        <v>1637.2</v>
      </c>
      <c r="I36" s="1703">
        <v>131.6</v>
      </c>
      <c r="J36" s="1703">
        <v>3735.8</v>
      </c>
      <c r="K36" s="1703">
        <v>292.60000000000002</v>
      </c>
      <c r="L36" s="1704">
        <v>4476.7</v>
      </c>
      <c r="M36" s="1705">
        <v>2001</v>
      </c>
    </row>
    <row r="37" spans="5:13" ht="35.25" customHeight="1">
      <c r="E37" s="1037">
        <v>1090.8775656578675</v>
      </c>
      <c r="F37" s="1706">
        <v>1700.2</v>
      </c>
      <c r="G37" s="1706">
        <v>950.3</v>
      </c>
      <c r="H37" s="1706">
        <v>1964.5</v>
      </c>
      <c r="I37" s="1706">
        <v>181.1</v>
      </c>
      <c r="J37" s="1706">
        <v>4188.7</v>
      </c>
      <c r="K37" s="1706">
        <v>300.60000000000002</v>
      </c>
      <c r="L37" s="1707">
        <v>5029</v>
      </c>
      <c r="M37" s="1708">
        <v>2002</v>
      </c>
    </row>
    <row r="38" spans="5:13" ht="35.25" customHeight="1">
      <c r="E38" s="1038">
        <v>1761.4691352959487</v>
      </c>
      <c r="F38" s="1703">
        <v>2614.5</v>
      </c>
      <c r="G38" s="1703">
        <v>1855.2</v>
      </c>
      <c r="H38" s="1703">
        <v>2053.8000000000002</v>
      </c>
      <c r="I38" s="1703">
        <v>196.1</v>
      </c>
      <c r="J38" s="1703">
        <v>4468.6000000000004</v>
      </c>
      <c r="K38" s="1703">
        <v>306.89999999999998</v>
      </c>
      <c r="L38" s="1704">
        <v>7772.8</v>
      </c>
      <c r="M38" s="1705">
        <v>2003</v>
      </c>
    </row>
    <row r="39" spans="5:13" ht="35.25" customHeight="1">
      <c r="E39" s="1037">
        <v>2729.1</v>
      </c>
      <c r="F39" s="1706">
        <v>4245.6000000000004</v>
      </c>
      <c r="G39" s="1706">
        <v>3793.2</v>
      </c>
      <c r="H39" s="1706">
        <v>2438.1999999999998</v>
      </c>
      <c r="I39" s="1706">
        <v>248.8</v>
      </c>
      <c r="J39" s="1706">
        <v>5465.2</v>
      </c>
      <c r="K39" s="1706">
        <v>568.1</v>
      </c>
      <c r="L39" s="1707">
        <v>13033.8</v>
      </c>
      <c r="M39" s="1708">
        <v>2004</v>
      </c>
    </row>
    <row r="40" spans="5:13" ht="35.25" customHeight="1">
      <c r="E40" s="1038">
        <v>4259.7</v>
      </c>
      <c r="F40" s="1703">
        <v>8191.5</v>
      </c>
      <c r="G40" s="1703">
        <v>16871</v>
      </c>
      <c r="H40" s="1703">
        <v>3016</v>
      </c>
      <c r="I40" s="1703">
        <v>443.5</v>
      </c>
      <c r="J40" s="1703">
        <v>7348.7</v>
      </c>
      <c r="K40" s="1703">
        <v>1188.7</v>
      </c>
      <c r="L40" s="1704">
        <v>26667.1</v>
      </c>
      <c r="M40" s="1705">
        <v>2005</v>
      </c>
    </row>
    <row r="41" spans="5:13" ht="35.25" customHeight="1">
      <c r="E41" s="1037">
        <v>3013.7</v>
      </c>
      <c r="F41" s="1706">
        <v>5518.1</v>
      </c>
      <c r="G41" s="1706">
        <v>14209.9</v>
      </c>
      <c r="H41" s="1706">
        <v>4560.7</v>
      </c>
      <c r="I41" s="1706">
        <v>506.4</v>
      </c>
      <c r="J41" s="1706">
        <v>10095.299999999999</v>
      </c>
      <c r="K41" s="1706">
        <v>954.6</v>
      </c>
      <c r="L41" s="1707">
        <v>21078.2</v>
      </c>
      <c r="M41" s="1708">
        <v>2006</v>
      </c>
    </row>
    <row r="42" spans="5:13" ht="35.25" customHeight="1">
      <c r="E42" s="1038">
        <v>3675</v>
      </c>
      <c r="F42" s="1703">
        <v>7519.3</v>
      </c>
      <c r="G42" s="1703">
        <v>12348.1</v>
      </c>
      <c r="H42" s="1703">
        <v>5393.5</v>
      </c>
      <c r="I42" s="1703">
        <v>609.4</v>
      </c>
      <c r="J42" s="1703">
        <v>11654.6</v>
      </c>
      <c r="K42" s="1703">
        <v>1224.4000000000001</v>
      </c>
      <c r="L42" s="1704">
        <v>29214.2</v>
      </c>
      <c r="M42" s="1705">
        <v>2007</v>
      </c>
    </row>
    <row r="43" spans="5:13" ht="35.25" customHeight="1">
      <c r="E43" s="1037">
        <v>2758.4</v>
      </c>
      <c r="F43" s="1706">
        <v>6243.1</v>
      </c>
      <c r="G43" s="1706">
        <v>20318</v>
      </c>
      <c r="H43" s="1706">
        <v>6394.6</v>
      </c>
      <c r="I43" s="1706">
        <v>616.5</v>
      </c>
      <c r="J43" s="1706">
        <v>12836.9</v>
      </c>
      <c r="K43" s="1706">
        <v>1470.9</v>
      </c>
      <c r="L43" s="1707">
        <v>25406.3</v>
      </c>
      <c r="M43" s="1708">
        <v>2008</v>
      </c>
    </row>
    <row r="44" spans="5:13" ht="35.25" customHeight="1">
      <c r="E44" s="1038">
        <v>2533.5</v>
      </c>
      <c r="F44" s="1703">
        <v>5520.1</v>
      </c>
      <c r="G44" s="1703">
        <v>9665.2999999999993</v>
      </c>
      <c r="H44" s="1703">
        <v>6725.5</v>
      </c>
      <c r="I44" s="1703">
        <v>576.9</v>
      </c>
      <c r="J44" s="1703">
        <v>13626.9</v>
      </c>
      <c r="K44" s="1703">
        <v>750.1</v>
      </c>
      <c r="L44" s="1704">
        <v>22526.9</v>
      </c>
      <c r="M44" s="1705">
        <v>2009</v>
      </c>
    </row>
    <row r="45" spans="5:13" ht="35.25" customHeight="1">
      <c r="E45" s="1037">
        <v>2373.6</v>
      </c>
      <c r="F45" s="1706">
        <v>5318</v>
      </c>
      <c r="G45" s="1706">
        <v>6690</v>
      </c>
      <c r="H45" s="1706">
        <v>7006.4</v>
      </c>
      <c r="I45" s="1706">
        <v>588.9</v>
      </c>
      <c r="J45" s="1706">
        <v>13712.2</v>
      </c>
      <c r="K45" s="1706">
        <v>811.8</v>
      </c>
      <c r="L45" s="1707">
        <v>21858.2</v>
      </c>
      <c r="M45" s="1708">
        <v>2010</v>
      </c>
    </row>
    <row r="46" spans="5:13" ht="35.25" customHeight="1">
      <c r="E46" s="1038">
        <v>1995.1</v>
      </c>
      <c r="F46" s="1703">
        <v>4648.3999999999996</v>
      </c>
      <c r="G46" s="1703">
        <v>2850.2</v>
      </c>
      <c r="H46" s="1703">
        <v>6951.1</v>
      </c>
      <c r="I46" s="1703">
        <v>842.7</v>
      </c>
      <c r="J46" s="1703">
        <v>13548</v>
      </c>
      <c r="K46" s="1703">
        <v>1086.9000000000001</v>
      </c>
      <c r="L46" s="1704">
        <v>19272.7</v>
      </c>
      <c r="M46" s="1705">
        <v>2011</v>
      </c>
    </row>
    <row r="47" spans="5:13" ht="35.25" customHeight="1">
      <c r="E47" s="1037">
        <v>1957.6</v>
      </c>
      <c r="F47" s="1706">
        <v>4593.8999999999996</v>
      </c>
      <c r="G47" s="1706">
        <v>1978.8</v>
      </c>
      <c r="H47" s="1706">
        <v>7073.7</v>
      </c>
      <c r="I47" s="1706">
        <v>793.7</v>
      </c>
      <c r="J47" s="1706">
        <v>13858</v>
      </c>
      <c r="K47" s="1706">
        <v>1057.5999999999999</v>
      </c>
      <c r="L47" s="1707">
        <v>19141.5</v>
      </c>
      <c r="M47" s="1708">
        <v>2012</v>
      </c>
    </row>
    <row r="48" spans="5:13" ht="35.25" customHeight="1">
      <c r="E48" s="1038">
        <v>2065.8000000000002</v>
      </c>
      <c r="F48" s="1703">
        <v>4336.7</v>
      </c>
      <c r="G48" s="1703">
        <v>3027.3</v>
      </c>
      <c r="H48" s="1703">
        <v>7152</v>
      </c>
      <c r="I48" s="1703">
        <v>711.8</v>
      </c>
      <c r="J48" s="1703">
        <v>13989</v>
      </c>
      <c r="K48" s="1703">
        <v>1034.9000000000001</v>
      </c>
      <c r="L48" s="1704">
        <v>18233.5</v>
      </c>
      <c r="M48" s="1705">
        <v>2013</v>
      </c>
    </row>
    <row r="49" spans="5:13" ht="35.25" customHeight="1">
      <c r="E49" s="1037">
        <v>2165.5</v>
      </c>
      <c r="F49" s="1706">
        <v>4237.6000000000004</v>
      </c>
      <c r="G49" s="1706">
        <v>2263.4</v>
      </c>
      <c r="H49" s="1706">
        <v>7031.5</v>
      </c>
      <c r="I49" s="1706">
        <v>645.70000000000005</v>
      </c>
      <c r="J49" s="1706">
        <v>13638.7</v>
      </c>
      <c r="K49" s="1706">
        <v>1000.1</v>
      </c>
      <c r="L49" s="1707">
        <v>18082.599999999999</v>
      </c>
      <c r="M49" s="1708">
        <v>2014</v>
      </c>
    </row>
    <row r="50" spans="5:13" ht="35.25" customHeight="1">
      <c r="E50" s="1038">
        <v>2136.3200000000002</v>
      </c>
      <c r="F50" s="1703">
        <v>4229.8985014843811</v>
      </c>
      <c r="G50" s="1703">
        <v>3417.1</v>
      </c>
      <c r="H50" s="1703">
        <v>6652.3</v>
      </c>
      <c r="I50" s="1703">
        <v>708</v>
      </c>
      <c r="J50" s="1703">
        <v>13942.5</v>
      </c>
      <c r="K50" s="1703">
        <v>976.7</v>
      </c>
      <c r="L50" s="1704">
        <v>17984.7</v>
      </c>
      <c r="M50" s="1705">
        <v>2015</v>
      </c>
    </row>
    <row r="51" spans="5:13" ht="35.25" customHeight="1">
      <c r="E51" s="1037">
        <v>2170.29</v>
      </c>
      <c r="F51" s="1706">
        <v>4069.7225241496649</v>
      </c>
      <c r="G51" s="1706">
        <v>2329.4661860000001</v>
      </c>
      <c r="H51" s="1706">
        <v>6785.4</v>
      </c>
      <c r="I51" s="1706">
        <v>755.8</v>
      </c>
      <c r="J51" s="1706">
        <v>14029.2</v>
      </c>
      <c r="K51" s="1706">
        <v>829.2</v>
      </c>
      <c r="L51" s="1707">
        <v>17339.38485128</v>
      </c>
      <c r="M51" s="1708">
        <v>2016</v>
      </c>
    </row>
    <row r="52" spans="5:13" ht="35.25" customHeight="1">
      <c r="E52" s="1038">
        <v>2126.8000000000002</v>
      </c>
      <c r="F52" s="1703">
        <v>4009.4</v>
      </c>
      <c r="G52" s="1703">
        <v>2926.2</v>
      </c>
      <c r="H52" s="1703">
        <v>6614.4</v>
      </c>
      <c r="I52" s="1703">
        <v>769.7</v>
      </c>
      <c r="J52" s="1703">
        <v>14131.6</v>
      </c>
      <c r="K52" s="1703">
        <v>810.8</v>
      </c>
      <c r="L52" s="1704">
        <v>16962.599999999999</v>
      </c>
      <c r="M52" s="1705">
        <v>2017</v>
      </c>
    </row>
    <row r="53" spans="5:13" ht="35.25" customHeight="1">
      <c r="E53" s="1037">
        <v>1908.8</v>
      </c>
      <c r="F53" s="1706">
        <v>3797.1</v>
      </c>
      <c r="G53" s="1706">
        <v>2319.3000000000002</v>
      </c>
      <c r="H53" s="1706">
        <v>6807.6</v>
      </c>
      <c r="I53" s="1706">
        <v>802.5</v>
      </c>
      <c r="J53" s="1706">
        <v>14092.3</v>
      </c>
      <c r="K53" s="1706">
        <v>1158.5</v>
      </c>
      <c r="L53" s="1707">
        <v>16122.7</v>
      </c>
      <c r="M53" s="1708">
        <v>2018</v>
      </c>
    </row>
    <row r="54" spans="5:13" ht="35.25" customHeight="1">
      <c r="E54" s="1038">
        <v>1815.2</v>
      </c>
      <c r="F54" s="1703">
        <v>3513.7610656378256</v>
      </c>
      <c r="G54" s="1703">
        <v>1585.4374929999999</v>
      </c>
      <c r="H54" s="1703">
        <v>6846.5696170000001</v>
      </c>
      <c r="I54" s="1703">
        <v>220.2</v>
      </c>
      <c r="J54" s="1703">
        <v>14290</v>
      </c>
      <c r="K54" s="1703">
        <v>1084.5</v>
      </c>
      <c r="L54" s="1704">
        <v>14914.8</v>
      </c>
      <c r="M54" s="1705">
        <v>2019</v>
      </c>
    </row>
    <row r="55" spans="5:13" ht="35.25" customHeight="1">
      <c r="E55" s="4372">
        <v>1657.2</v>
      </c>
      <c r="F55" s="4373">
        <v>3049.6</v>
      </c>
      <c r="G55" s="4373">
        <v>1048.8</v>
      </c>
      <c r="H55" s="4373">
        <v>6438</v>
      </c>
      <c r="I55" s="4373" t="s">
        <v>2382</v>
      </c>
      <c r="J55" s="4373" t="s">
        <v>2382</v>
      </c>
      <c r="K55" s="4373" t="s">
        <v>2382</v>
      </c>
      <c r="L55" s="4374">
        <v>12907.8</v>
      </c>
      <c r="M55" s="4375">
        <v>2020</v>
      </c>
    </row>
    <row r="56" spans="5:13" ht="6.95" customHeight="1">
      <c r="E56" s="1039"/>
      <c r="F56" s="1040"/>
      <c r="G56" s="1041"/>
      <c r="H56" s="1042"/>
      <c r="I56" s="1042"/>
      <c r="J56" s="1043"/>
      <c r="K56" s="1042"/>
      <c r="L56" s="1044"/>
      <c r="M56" s="1045"/>
    </row>
    <row r="57" spans="5:13" ht="22.5">
      <c r="E57" s="1040" t="s">
        <v>2376</v>
      </c>
      <c r="F57" s="1040"/>
      <c r="G57" s="1041"/>
      <c r="H57" s="1042"/>
      <c r="I57" s="1042"/>
      <c r="J57" s="1043"/>
      <c r="K57" s="1042"/>
      <c r="L57" s="1044"/>
      <c r="M57" s="1046" t="s">
        <v>2377</v>
      </c>
    </row>
  </sheetData>
  <mergeCells count="2">
    <mergeCell ref="E3:M3"/>
    <mergeCell ref="E4:M4"/>
  </mergeCells>
  <pageMargins left="0.7" right="0.7" top="0.75" bottom="0.75" header="0.3" footer="0.3"/>
  <pageSetup paperSize="9" scale="44" orientation="portrait" r:id="rId1"/>
  <headerFooter>
    <oddFooter>&amp;C&amp;"+,Regular"&amp;22-84-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5"/>
  <sheetViews>
    <sheetView topLeftCell="A55" zoomScale="75" zoomScaleNormal="75" workbookViewId="0">
      <selection activeCell="U64" sqref="U64"/>
    </sheetView>
  </sheetViews>
  <sheetFormatPr defaultColWidth="11.42578125" defaultRowHeight="20.25"/>
  <cols>
    <col min="1" max="1" width="11.42578125" style="1174" customWidth="1"/>
    <col min="2" max="2" width="14.5703125" style="1192" customWidth="1"/>
    <col min="3" max="3" width="13" style="1192" customWidth="1"/>
    <col min="4" max="5" width="14.42578125" style="1192" customWidth="1"/>
    <col min="6" max="6" width="22" style="1192" customWidth="1"/>
    <col min="7" max="7" width="13.42578125" style="1192" customWidth="1"/>
    <col min="8" max="8" width="9.85546875" style="1192" customWidth="1"/>
    <col min="9" max="9" width="14.140625" style="1192" customWidth="1"/>
    <col min="10" max="10" width="15.140625" style="1192" customWidth="1"/>
    <col min="11" max="11" width="14.140625" style="1192" customWidth="1"/>
    <col min="12" max="12" width="18" style="1192" customWidth="1"/>
    <col min="13" max="13" width="13.5703125" style="1192" customWidth="1"/>
    <col min="14" max="14" width="17.28515625" style="1192" customWidth="1"/>
    <col min="15" max="15" width="4.42578125" style="1793" customWidth="1"/>
    <col min="16" max="16" width="8.85546875" style="1793" customWidth="1"/>
    <col min="17" max="17" width="4.85546875" style="1192" customWidth="1"/>
    <col min="18" max="18" width="1.140625" style="1192" customWidth="1"/>
    <col min="19" max="19" width="0.7109375" style="1174" customWidth="1"/>
    <col min="20" max="20" width="13.140625" style="1174" bestFit="1" customWidth="1"/>
    <col min="21" max="16384" width="11.42578125" style="1174"/>
  </cols>
  <sheetData>
    <row r="1" spans="1:25" ht="14.1" customHeight="1">
      <c r="B1" s="1174"/>
      <c r="I1" s="1760"/>
      <c r="J1" s="1843"/>
      <c r="O1" s="1844"/>
      <c r="Q1" s="1793"/>
      <c r="R1" s="1793"/>
    </row>
    <row r="2" spans="1:25" ht="14.1" customHeight="1">
      <c r="B2" s="1174"/>
      <c r="G2" s="1985"/>
      <c r="I2" s="1760"/>
      <c r="J2" s="1843"/>
      <c r="O2" s="1844"/>
      <c r="Q2" s="1793"/>
      <c r="R2" s="1793"/>
    </row>
    <row r="3" spans="1:25" s="1190" customFormat="1" ht="28.35" customHeight="1">
      <c r="B3" s="4669" t="s">
        <v>207</v>
      </c>
      <c r="C3" s="4669"/>
      <c r="D3" s="4669"/>
      <c r="E3" s="4669"/>
      <c r="F3" s="4669"/>
      <c r="G3" s="4669"/>
      <c r="H3" s="4669"/>
      <c r="I3" s="4669"/>
      <c r="J3" s="4669"/>
      <c r="K3" s="4669"/>
      <c r="L3" s="4669"/>
      <c r="M3" s="4669"/>
      <c r="N3" s="4669"/>
      <c r="O3" s="4669"/>
      <c r="P3" s="4669"/>
      <c r="Q3" s="4669"/>
      <c r="R3" s="4669"/>
      <c r="T3" s="1986"/>
    </row>
    <row r="4" spans="1:25" s="1190" customFormat="1" ht="28.35" customHeight="1">
      <c r="B4" s="4670" t="s">
        <v>208</v>
      </c>
      <c r="C4" s="4670"/>
      <c r="D4" s="4670"/>
      <c r="E4" s="4670"/>
      <c r="F4" s="4670"/>
      <c r="G4" s="4670"/>
      <c r="H4" s="4670"/>
      <c r="I4" s="4670"/>
      <c r="J4" s="4670"/>
      <c r="K4" s="4670"/>
      <c r="L4" s="4670"/>
      <c r="M4" s="4670"/>
      <c r="N4" s="4670"/>
      <c r="O4" s="4670"/>
      <c r="P4" s="4670"/>
      <c r="Q4" s="4670"/>
      <c r="R4" s="4670"/>
      <c r="T4" s="1808"/>
      <c r="U4" s="1808"/>
      <c r="V4" s="1808"/>
      <c r="W4" s="1808"/>
      <c r="X4" s="1808"/>
      <c r="Y4" s="1808"/>
    </row>
    <row r="5" spans="1:25" s="1849" customFormat="1" ht="17.100000000000001" customHeight="1">
      <c r="B5" s="1315" t="s">
        <v>90</v>
      </c>
      <c r="C5" s="1850"/>
      <c r="D5" s="1850"/>
      <c r="E5" s="1850"/>
      <c r="F5" s="1850"/>
      <c r="G5" s="1850"/>
      <c r="H5" s="1318"/>
      <c r="I5" s="1987"/>
      <c r="J5" s="1318"/>
      <c r="K5" s="1318"/>
      <c r="L5" s="1988"/>
      <c r="M5" s="1854"/>
      <c r="N5" s="1855"/>
      <c r="O5" s="1856"/>
      <c r="P5" s="1318"/>
      <c r="Q5" s="1989" t="s">
        <v>209</v>
      </c>
      <c r="R5" s="1990"/>
      <c r="T5" s="1857"/>
      <c r="U5" s="1857"/>
      <c r="V5" s="1857"/>
      <c r="W5" s="1857"/>
      <c r="X5" s="1857"/>
      <c r="Y5" s="1857"/>
    </row>
    <row r="6" spans="1:25" s="1801" customFormat="1" ht="4.3499999999999996" customHeight="1">
      <c r="B6" s="1176"/>
      <c r="C6" s="1482"/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</row>
    <row r="7" spans="1:25" ht="21.2" customHeight="1">
      <c r="B7" s="1991"/>
      <c r="C7" s="1992"/>
      <c r="D7" s="1864"/>
      <c r="E7" s="4671" t="s">
        <v>210</v>
      </c>
      <c r="F7" s="4671"/>
      <c r="G7" s="4671"/>
      <c r="H7" s="1994"/>
      <c r="I7" s="1995"/>
      <c r="J7" s="1864"/>
      <c r="K7" s="4671" t="s">
        <v>211</v>
      </c>
      <c r="L7" s="4671"/>
      <c r="M7" s="4671"/>
      <c r="N7" s="1864"/>
      <c r="O7" s="1992"/>
      <c r="P7" s="1992"/>
      <c r="Q7" s="1992"/>
      <c r="R7" s="1996"/>
      <c r="T7" s="1801"/>
      <c r="U7" s="1801"/>
      <c r="V7" s="1801"/>
      <c r="W7" s="1801"/>
      <c r="X7" s="1801"/>
      <c r="Y7" s="1801"/>
    </row>
    <row r="8" spans="1:25" s="1986" customFormat="1" ht="21.2" customHeight="1">
      <c r="B8" s="1231"/>
      <c r="C8" s="1234"/>
      <c r="D8" s="1242"/>
      <c r="E8" s="4672"/>
      <c r="F8" s="4672"/>
      <c r="G8" s="4672"/>
      <c r="H8" s="1282"/>
      <c r="I8" s="1998"/>
      <c r="J8" s="1242"/>
      <c r="K8" s="4672"/>
      <c r="L8" s="4672"/>
      <c r="M8" s="4672"/>
      <c r="N8" s="1242" t="s">
        <v>8</v>
      </c>
      <c r="O8" s="4166"/>
      <c r="P8" s="4166"/>
      <c r="Q8" s="4166" t="s">
        <v>8</v>
      </c>
      <c r="R8" s="4242"/>
      <c r="T8" s="1999"/>
      <c r="U8" s="1999"/>
      <c r="V8" s="1999"/>
      <c r="W8" s="1999"/>
      <c r="X8" s="1999"/>
      <c r="Y8" s="1999"/>
    </row>
    <row r="9" spans="1:25" s="1986" customFormat="1" ht="21.2" customHeight="1">
      <c r="A9" s="1986" t="s">
        <v>8</v>
      </c>
      <c r="B9" s="1231"/>
      <c r="C9" s="1234"/>
      <c r="D9" s="1242"/>
      <c r="E9" s="4672" t="s">
        <v>212</v>
      </c>
      <c r="F9" s="4672"/>
      <c r="G9" s="4672"/>
      <c r="H9" s="1282"/>
      <c r="I9" s="1998"/>
      <c r="J9" s="1242"/>
      <c r="K9" s="4672" t="s">
        <v>213</v>
      </c>
      <c r="L9" s="4672"/>
      <c r="M9" s="4672"/>
      <c r="N9" s="1242"/>
      <c r="O9" s="4166"/>
      <c r="P9" s="4166"/>
      <c r="Q9" s="4166"/>
      <c r="R9" s="4242"/>
      <c r="T9" s="1999"/>
      <c r="U9" s="1999"/>
      <c r="V9" s="1999"/>
      <c r="W9" s="1999"/>
      <c r="X9" s="1999"/>
      <c r="Y9" s="1999"/>
    </row>
    <row r="10" spans="1:25" s="1986" customFormat="1" ht="21.2" customHeight="1">
      <c r="B10" s="1231"/>
      <c r="C10" s="1234"/>
      <c r="D10" s="1242"/>
      <c r="E10" s="4624"/>
      <c r="F10" s="4624"/>
      <c r="G10" s="4624"/>
      <c r="H10" s="1282"/>
      <c r="I10" s="1998"/>
      <c r="J10" s="1242" t="s">
        <v>8</v>
      </c>
      <c r="K10" s="4624"/>
      <c r="L10" s="4624"/>
      <c r="M10" s="4624"/>
      <c r="N10" s="1242"/>
      <c r="O10" s="4166"/>
      <c r="P10" s="4166"/>
      <c r="Q10" s="4166"/>
      <c r="R10" s="4242"/>
      <c r="T10" s="1999"/>
      <c r="U10" s="1999"/>
      <c r="V10" s="1999"/>
      <c r="W10" s="1999"/>
      <c r="X10" s="1999"/>
      <c r="Y10" s="1999"/>
    </row>
    <row r="11" spans="1:25" s="1986" customFormat="1" ht="21.2" customHeight="1">
      <c r="B11" s="1231" t="s">
        <v>94</v>
      </c>
      <c r="C11" s="1234"/>
      <c r="D11" s="1242" t="s">
        <v>94</v>
      </c>
      <c r="E11" s="4170"/>
      <c r="F11" s="4170" t="s">
        <v>214</v>
      </c>
      <c r="G11" s="4170" t="s">
        <v>97</v>
      </c>
      <c r="H11" s="1282" t="s">
        <v>94</v>
      </c>
      <c r="I11" s="1998"/>
      <c r="J11" s="1242" t="s">
        <v>94</v>
      </c>
      <c r="K11" s="4170"/>
      <c r="L11" s="4170" t="s">
        <v>214</v>
      </c>
      <c r="M11" s="4170" t="s">
        <v>97</v>
      </c>
      <c r="N11" s="4170" t="s">
        <v>8</v>
      </c>
      <c r="O11" s="4166"/>
      <c r="P11" s="4166"/>
      <c r="Q11" s="4166" t="s">
        <v>8</v>
      </c>
      <c r="R11" s="4242"/>
      <c r="T11" s="1999"/>
      <c r="U11" s="1999"/>
      <c r="V11" s="1999"/>
      <c r="W11" s="1999"/>
      <c r="X11" s="1999"/>
      <c r="Y11" s="1999"/>
    </row>
    <row r="12" spans="1:25" s="1986" customFormat="1" ht="21.2" customHeight="1">
      <c r="B12" s="1231" t="s">
        <v>103</v>
      </c>
      <c r="C12" s="1234"/>
      <c r="D12" s="1242" t="s">
        <v>103</v>
      </c>
      <c r="E12" s="4170"/>
      <c r="F12" s="4170" t="s">
        <v>215</v>
      </c>
      <c r="G12" s="4170" t="s">
        <v>106</v>
      </c>
      <c r="H12" s="1282" t="s">
        <v>103</v>
      </c>
      <c r="I12" s="1998"/>
      <c r="J12" s="1242" t="s">
        <v>103</v>
      </c>
      <c r="K12" s="4170"/>
      <c r="L12" s="4170" t="s">
        <v>215</v>
      </c>
      <c r="M12" s="4170" t="s">
        <v>106</v>
      </c>
      <c r="N12" s="4170" t="s">
        <v>103</v>
      </c>
      <c r="O12" s="1234" t="s">
        <v>107</v>
      </c>
      <c r="P12" s="1234"/>
      <c r="Q12" s="1234"/>
      <c r="R12" s="2000"/>
      <c r="T12" s="1999"/>
      <c r="U12" s="1999"/>
      <c r="V12" s="1999"/>
      <c r="W12" s="1999"/>
      <c r="X12" s="1999"/>
      <c r="Y12" s="1999"/>
    </row>
    <row r="13" spans="1:25" s="1986" customFormat="1" ht="25.5" customHeight="1">
      <c r="B13" s="1231" t="s">
        <v>216</v>
      </c>
      <c r="C13" s="1234"/>
      <c r="D13" s="1242" t="s">
        <v>217</v>
      </c>
      <c r="E13" s="4170" t="s">
        <v>170</v>
      </c>
      <c r="F13" s="4170" t="s">
        <v>218</v>
      </c>
      <c r="G13" s="4170" t="s">
        <v>172</v>
      </c>
      <c r="H13" s="1282" t="s">
        <v>219</v>
      </c>
      <c r="I13" s="1998"/>
      <c r="J13" s="1242" t="s">
        <v>220</v>
      </c>
      <c r="K13" s="4170" t="s">
        <v>170</v>
      </c>
      <c r="L13" s="4170" t="s">
        <v>218</v>
      </c>
      <c r="M13" s="4170" t="s">
        <v>172</v>
      </c>
      <c r="N13" s="4170" t="s">
        <v>221</v>
      </c>
      <c r="O13" s="1234" t="s">
        <v>116</v>
      </c>
      <c r="P13" s="1234"/>
      <c r="Q13" s="1234"/>
      <c r="R13" s="2000"/>
      <c r="T13" s="2001"/>
      <c r="U13" s="1999"/>
      <c r="V13" s="1999"/>
      <c r="W13" s="1999"/>
      <c r="X13" s="1999"/>
      <c r="Y13" s="1999"/>
    </row>
    <row r="14" spans="1:25" s="1986" customFormat="1" ht="21.2" customHeight="1">
      <c r="B14" s="1231"/>
      <c r="C14" s="1234"/>
      <c r="D14" s="1242"/>
      <c r="E14" s="4170"/>
      <c r="F14" s="4170"/>
      <c r="G14" s="4170"/>
      <c r="H14" s="1282"/>
      <c r="I14" s="1998"/>
      <c r="J14" s="1242"/>
      <c r="K14" s="4170"/>
      <c r="L14" s="4170"/>
      <c r="M14" s="4170"/>
      <c r="N14" s="4170"/>
      <c r="O14" s="1234"/>
      <c r="P14" s="1234"/>
      <c r="Q14" s="1234"/>
      <c r="R14" s="2000"/>
      <c r="T14" s="2001"/>
      <c r="U14" s="1999"/>
      <c r="V14" s="1999"/>
      <c r="W14" s="1999"/>
      <c r="X14" s="1999"/>
      <c r="Y14" s="1999"/>
    </row>
    <row r="15" spans="1:25" s="2002" customFormat="1" ht="21.2" customHeight="1">
      <c r="B15" s="1231"/>
      <c r="C15" s="1234"/>
      <c r="D15" s="2003"/>
      <c r="E15" s="4170"/>
      <c r="F15" s="4170" t="s">
        <v>222</v>
      </c>
      <c r="G15" s="4170"/>
      <c r="H15" s="1282"/>
      <c r="I15" s="1998"/>
      <c r="J15" s="2003"/>
      <c r="K15" s="4170"/>
      <c r="L15" s="4170" t="s">
        <v>222</v>
      </c>
      <c r="M15" s="4170"/>
      <c r="N15" s="1387"/>
      <c r="O15" s="4166"/>
      <c r="P15" s="4166"/>
      <c r="Q15" s="2004"/>
      <c r="R15" s="2005"/>
      <c r="T15" s="2006"/>
      <c r="U15" s="2006"/>
      <c r="V15" s="2006"/>
      <c r="W15" s="2006"/>
      <c r="X15" s="2006"/>
      <c r="Y15" s="2006"/>
    </row>
    <row r="16" spans="1:25" s="2002" customFormat="1" ht="21.2" customHeight="1">
      <c r="B16" s="1231" t="s">
        <v>122</v>
      </c>
      <c r="C16" s="1234"/>
      <c r="D16" s="1242" t="s">
        <v>122</v>
      </c>
      <c r="E16" s="4170"/>
      <c r="F16" s="4170" t="s">
        <v>223</v>
      </c>
      <c r="G16" s="4170" t="s">
        <v>125</v>
      </c>
      <c r="H16" s="1282" t="s">
        <v>122</v>
      </c>
      <c r="I16" s="1998"/>
      <c r="J16" s="1242" t="s">
        <v>122</v>
      </c>
      <c r="K16" s="4170"/>
      <c r="L16" s="4170" t="s">
        <v>223</v>
      </c>
      <c r="M16" s="4170" t="s">
        <v>125</v>
      </c>
      <c r="N16" s="4170" t="s">
        <v>224</v>
      </c>
      <c r="O16" s="1234"/>
      <c r="P16" s="1234"/>
      <c r="Q16" s="1234"/>
      <c r="R16" s="2000"/>
      <c r="T16" s="2006"/>
      <c r="U16" s="2006"/>
      <c r="V16" s="2006"/>
      <c r="W16" s="2006"/>
      <c r="X16" s="2006"/>
      <c r="Y16" s="2006"/>
    </row>
    <row r="17" spans="2:25" s="2002" customFormat="1" ht="21.2" customHeight="1">
      <c r="B17" s="1231" t="s">
        <v>131</v>
      </c>
      <c r="C17" s="1234"/>
      <c r="D17" s="1242" t="s">
        <v>131</v>
      </c>
      <c r="E17" s="1387"/>
      <c r="F17" s="4170" t="s">
        <v>181</v>
      </c>
      <c r="G17" s="4170" t="s">
        <v>134</v>
      </c>
      <c r="H17" s="1282" t="s">
        <v>131</v>
      </c>
      <c r="I17" s="1998"/>
      <c r="J17" s="1242" t="s">
        <v>131</v>
      </c>
      <c r="K17" s="1387"/>
      <c r="L17" s="4170" t="s">
        <v>181</v>
      </c>
      <c r="M17" s="4170" t="s">
        <v>134</v>
      </c>
      <c r="N17" s="4170" t="s">
        <v>225</v>
      </c>
      <c r="O17" s="1234" t="s">
        <v>226</v>
      </c>
      <c r="P17" s="1234"/>
      <c r="Q17" s="1234"/>
      <c r="R17" s="2007"/>
      <c r="T17" s="2006"/>
      <c r="U17" s="2006"/>
      <c r="V17" s="2006"/>
      <c r="W17" s="2006"/>
      <c r="X17" s="2006"/>
      <c r="Y17" s="2006"/>
    </row>
    <row r="18" spans="2:25" s="2002" customFormat="1" ht="21.2" customHeight="1">
      <c r="B18" s="4658" t="s">
        <v>227</v>
      </c>
      <c r="C18" s="4613"/>
      <c r="D18" s="4219" t="s">
        <v>186</v>
      </c>
      <c r="E18" s="4207" t="s">
        <v>187</v>
      </c>
      <c r="F18" s="4207" t="s">
        <v>228</v>
      </c>
      <c r="G18" s="4207" t="s">
        <v>189</v>
      </c>
      <c r="H18" s="4611" t="s">
        <v>229</v>
      </c>
      <c r="I18" s="4613"/>
      <c r="J18" s="4219" t="s">
        <v>141</v>
      </c>
      <c r="K18" s="4207" t="s">
        <v>187</v>
      </c>
      <c r="L18" s="4207" t="s">
        <v>228</v>
      </c>
      <c r="M18" s="4207" t="s">
        <v>189</v>
      </c>
      <c r="N18" s="4207" t="s">
        <v>230</v>
      </c>
      <c r="O18" s="2009" t="s">
        <v>231</v>
      </c>
      <c r="P18" s="1287"/>
      <c r="Q18" s="1287"/>
      <c r="R18" s="2010"/>
      <c r="T18" s="2006"/>
      <c r="U18" s="2006"/>
      <c r="V18" s="2006"/>
      <c r="W18" s="2006"/>
      <c r="X18" s="2006"/>
      <c r="Y18" s="2006"/>
    </row>
    <row r="19" spans="2:25" s="1986" customFormat="1" ht="47.25" customHeight="1">
      <c r="B19" s="2011">
        <v>53.6</v>
      </c>
      <c r="C19" s="1414"/>
      <c r="D19" s="2012">
        <f t="shared" ref="D19:D43" si="0">J19+E19</f>
        <v>53.599999999999994</v>
      </c>
      <c r="E19" s="4255">
        <f t="shared" ref="E19:E43" si="1">F19+G19</f>
        <v>13.8</v>
      </c>
      <c r="F19" s="4255">
        <v>0.5</v>
      </c>
      <c r="G19" s="4255">
        <v>13.3</v>
      </c>
      <c r="H19" s="1170">
        <v>39.799999999999997</v>
      </c>
      <c r="I19" s="1170"/>
      <c r="J19" s="2012">
        <f t="shared" ref="J19:J43" si="2">N19+K19</f>
        <v>39.799999999999997</v>
      </c>
      <c r="K19" s="4255">
        <f t="shared" ref="K19:K43" si="3">L19+M19</f>
        <v>16.8</v>
      </c>
      <c r="L19" s="4255">
        <v>1.9</v>
      </c>
      <c r="M19" s="4255">
        <v>14.9</v>
      </c>
      <c r="N19" s="2013">
        <v>23</v>
      </c>
      <c r="O19" s="4665">
        <v>1964</v>
      </c>
      <c r="P19" s="4663"/>
      <c r="Q19" s="4663"/>
      <c r="R19" s="4666"/>
    </row>
    <row r="20" spans="2:25" s="1986" customFormat="1" ht="47.25" customHeight="1">
      <c r="B20" s="1430">
        <v>64.2</v>
      </c>
      <c r="C20" s="1168"/>
      <c r="D20" s="2014">
        <f t="shared" si="0"/>
        <v>64.2</v>
      </c>
      <c r="E20" s="4190">
        <f t="shared" si="1"/>
        <v>17</v>
      </c>
      <c r="F20" s="4190">
        <v>0.5</v>
      </c>
      <c r="G20" s="4190">
        <v>16.5</v>
      </c>
      <c r="H20" s="2015">
        <v>47.2</v>
      </c>
      <c r="I20" s="2015"/>
      <c r="J20" s="2014">
        <f t="shared" si="2"/>
        <v>47.2</v>
      </c>
      <c r="K20" s="4190">
        <f t="shared" si="3"/>
        <v>20.8</v>
      </c>
      <c r="L20" s="4190">
        <v>1.5</v>
      </c>
      <c r="M20" s="4190">
        <v>19.3</v>
      </c>
      <c r="N20" s="1172">
        <v>26.4</v>
      </c>
      <c r="O20" s="4667">
        <v>1965</v>
      </c>
      <c r="P20" s="4661"/>
      <c r="Q20" s="4661"/>
      <c r="R20" s="4668"/>
    </row>
    <row r="21" spans="2:25" s="1986" customFormat="1" ht="47.25" customHeight="1">
      <c r="B21" s="2011">
        <v>75.8</v>
      </c>
      <c r="C21" s="1414"/>
      <c r="D21" s="2012">
        <f t="shared" si="0"/>
        <v>75.8</v>
      </c>
      <c r="E21" s="4255">
        <f t="shared" si="1"/>
        <v>19.8</v>
      </c>
      <c r="F21" s="4255">
        <v>0.2</v>
      </c>
      <c r="G21" s="4255">
        <v>19.600000000000001</v>
      </c>
      <c r="H21" s="1170">
        <v>56</v>
      </c>
      <c r="I21" s="1170"/>
      <c r="J21" s="2012">
        <f t="shared" si="2"/>
        <v>56</v>
      </c>
      <c r="K21" s="4255">
        <f t="shared" si="3"/>
        <v>25.7</v>
      </c>
      <c r="L21" s="4255">
        <v>0.8</v>
      </c>
      <c r="M21" s="4255">
        <v>24.9</v>
      </c>
      <c r="N21" s="2013">
        <v>30.3</v>
      </c>
      <c r="O21" s="4663">
        <v>1966</v>
      </c>
      <c r="P21" s="4663"/>
      <c r="Q21" s="4663"/>
      <c r="R21" s="4664"/>
    </row>
    <row r="22" spans="2:25" s="1986" customFormat="1" ht="47.25" customHeight="1">
      <c r="B22" s="1430">
        <v>94</v>
      </c>
      <c r="C22" s="1168"/>
      <c r="D22" s="2014">
        <f t="shared" si="0"/>
        <v>94</v>
      </c>
      <c r="E22" s="4190">
        <f t="shared" si="1"/>
        <v>18.8</v>
      </c>
      <c r="F22" s="4190">
        <v>0.6</v>
      </c>
      <c r="G22" s="4190">
        <v>18.2</v>
      </c>
      <c r="H22" s="2015">
        <v>75.2</v>
      </c>
      <c r="I22" s="2015"/>
      <c r="J22" s="2014">
        <f t="shared" si="2"/>
        <v>75.2</v>
      </c>
      <c r="K22" s="4190">
        <f t="shared" si="3"/>
        <v>23.7</v>
      </c>
      <c r="L22" s="4190">
        <v>1.3</v>
      </c>
      <c r="M22" s="4190">
        <v>22.4</v>
      </c>
      <c r="N22" s="1172">
        <v>51.5</v>
      </c>
      <c r="O22" s="4661">
        <v>1967</v>
      </c>
      <c r="P22" s="4661"/>
      <c r="Q22" s="4661"/>
      <c r="R22" s="4662"/>
    </row>
    <row r="23" spans="2:25" s="1986" customFormat="1" ht="47.25" customHeight="1">
      <c r="B23" s="2011">
        <v>108.8</v>
      </c>
      <c r="C23" s="1414"/>
      <c r="D23" s="2012">
        <f t="shared" si="0"/>
        <v>108.9</v>
      </c>
      <c r="E23" s="4255">
        <f t="shared" si="1"/>
        <v>20.9</v>
      </c>
      <c r="F23" s="4255">
        <v>0.7</v>
      </c>
      <c r="G23" s="4255">
        <v>20.2</v>
      </c>
      <c r="H23" s="1170">
        <v>88</v>
      </c>
      <c r="I23" s="1170"/>
      <c r="J23" s="2012">
        <f t="shared" si="2"/>
        <v>88</v>
      </c>
      <c r="K23" s="4255">
        <f t="shared" si="3"/>
        <v>24.5</v>
      </c>
      <c r="L23" s="4255">
        <v>1.7</v>
      </c>
      <c r="M23" s="4255">
        <v>22.8</v>
      </c>
      <c r="N23" s="2013">
        <v>63.5</v>
      </c>
      <c r="O23" s="4663">
        <v>1968</v>
      </c>
      <c r="P23" s="4663"/>
      <c r="Q23" s="4663"/>
      <c r="R23" s="4664"/>
    </row>
    <row r="24" spans="2:25" s="1986" customFormat="1" ht="47.25" customHeight="1">
      <c r="B24" s="1430">
        <v>118.9</v>
      </c>
      <c r="C24" s="1168"/>
      <c r="D24" s="2014">
        <f t="shared" si="0"/>
        <v>119</v>
      </c>
      <c r="E24" s="4190">
        <f t="shared" si="1"/>
        <v>22.700000000000003</v>
      </c>
      <c r="F24" s="4190">
        <v>0.6</v>
      </c>
      <c r="G24" s="4190">
        <v>22.1</v>
      </c>
      <c r="H24" s="2015">
        <v>96.3</v>
      </c>
      <c r="I24" s="2015"/>
      <c r="J24" s="2014">
        <f t="shared" si="2"/>
        <v>96.3</v>
      </c>
      <c r="K24" s="4190">
        <f t="shared" si="3"/>
        <v>25</v>
      </c>
      <c r="L24" s="4190">
        <v>1.7</v>
      </c>
      <c r="M24" s="4190">
        <v>23.3</v>
      </c>
      <c r="N24" s="1172">
        <v>71.3</v>
      </c>
      <c r="O24" s="4661">
        <v>1969</v>
      </c>
      <c r="P24" s="4661"/>
      <c r="Q24" s="4661"/>
      <c r="R24" s="4662"/>
    </row>
    <row r="25" spans="2:25" s="1986" customFormat="1" ht="47.25" customHeight="1">
      <c r="B25" s="2011">
        <v>129.1</v>
      </c>
      <c r="C25" s="1414"/>
      <c r="D25" s="2012">
        <f t="shared" si="0"/>
        <v>129.10000000000002</v>
      </c>
      <c r="E25" s="4255">
        <f t="shared" si="1"/>
        <v>23.700000000000003</v>
      </c>
      <c r="F25" s="4255">
        <v>1.1000000000000001</v>
      </c>
      <c r="G25" s="4255">
        <v>22.6</v>
      </c>
      <c r="H25" s="1170">
        <v>105.4</v>
      </c>
      <c r="I25" s="1170"/>
      <c r="J25" s="2012">
        <f t="shared" si="2"/>
        <v>105.4</v>
      </c>
      <c r="K25" s="4255">
        <f t="shared" si="3"/>
        <v>23</v>
      </c>
      <c r="L25" s="4255">
        <v>2.2000000000000002</v>
      </c>
      <c r="M25" s="4255">
        <v>20.8</v>
      </c>
      <c r="N25" s="2013">
        <v>82.4</v>
      </c>
      <c r="O25" s="4663">
        <v>1970</v>
      </c>
      <c r="P25" s="4663"/>
      <c r="Q25" s="4663" t="s">
        <v>232</v>
      </c>
      <c r="R25" s="4664"/>
    </row>
    <row r="26" spans="2:25" s="1986" customFormat="1" ht="47.25" customHeight="1">
      <c r="B26" s="1430">
        <v>135.1</v>
      </c>
      <c r="C26" s="1168"/>
      <c r="D26" s="2014">
        <f t="shared" si="0"/>
        <v>135.1</v>
      </c>
      <c r="E26" s="4190">
        <f t="shared" si="1"/>
        <v>27.099999999999998</v>
      </c>
      <c r="F26" s="4190">
        <v>1.2</v>
      </c>
      <c r="G26" s="4190">
        <v>25.9</v>
      </c>
      <c r="H26" s="2015">
        <v>108</v>
      </c>
      <c r="I26" s="2015"/>
      <c r="J26" s="2014">
        <f t="shared" si="2"/>
        <v>108</v>
      </c>
      <c r="K26" s="4190">
        <f t="shared" si="3"/>
        <v>25</v>
      </c>
      <c r="L26" s="4190">
        <v>2.1</v>
      </c>
      <c r="M26" s="4190">
        <v>22.9</v>
      </c>
      <c r="N26" s="1172">
        <v>83</v>
      </c>
      <c r="O26" s="4661">
        <v>1971</v>
      </c>
      <c r="P26" s="4661"/>
      <c r="Q26" s="4661" t="s">
        <v>233</v>
      </c>
      <c r="R26" s="4662"/>
    </row>
    <row r="27" spans="2:25" s="1986" customFormat="1" ht="47.25" customHeight="1">
      <c r="B27" s="2011">
        <v>146.6</v>
      </c>
      <c r="C27" s="1414"/>
      <c r="D27" s="2012">
        <f t="shared" si="0"/>
        <v>146.6</v>
      </c>
      <c r="E27" s="4255">
        <f t="shared" si="1"/>
        <v>31.5</v>
      </c>
      <c r="F27" s="4255">
        <v>1.2</v>
      </c>
      <c r="G27" s="4255">
        <v>30.3</v>
      </c>
      <c r="H27" s="1170">
        <v>115.1</v>
      </c>
      <c r="I27" s="1170"/>
      <c r="J27" s="2012">
        <f t="shared" si="2"/>
        <v>115.1</v>
      </c>
      <c r="K27" s="4255">
        <f t="shared" si="3"/>
        <v>33.6</v>
      </c>
      <c r="L27" s="4255">
        <v>2.6</v>
      </c>
      <c r="M27" s="4255">
        <v>31</v>
      </c>
      <c r="N27" s="2013">
        <v>81.5</v>
      </c>
      <c r="O27" s="4663">
        <v>1972</v>
      </c>
      <c r="P27" s="4663"/>
      <c r="Q27" s="4663" t="s">
        <v>234</v>
      </c>
      <c r="R27" s="4664"/>
    </row>
    <row r="28" spans="2:25" s="1986" customFormat="1" ht="47.25" customHeight="1">
      <c r="B28" s="1430">
        <v>176.1</v>
      </c>
      <c r="C28" s="1168"/>
      <c r="D28" s="2014">
        <f t="shared" si="0"/>
        <v>176.10000000000002</v>
      </c>
      <c r="E28" s="4190">
        <f t="shared" si="1"/>
        <v>36.800000000000004</v>
      </c>
      <c r="F28" s="4190">
        <v>1.2</v>
      </c>
      <c r="G28" s="4190">
        <v>35.6</v>
      </c>
      <c r="H28" s="2015">
        <v>139.30000000000001</v>
      </c>
      <c r="I28" s="2015"/>
      <c r="J28" s="2014">
        <f t="shared" si="2"/>
        <v>139.30000000000001</v>
      </c>
      <c r="K28" s="4190">
        <f t="shared" si="3"/>
        <v>41.800000000000004</v>
      </c>
      <c r="L28" s="4190">
        <v>4.0999999999999996</v>
      </c>
      <c r="M28" s="4190">
        <v>37.700000000000003</v>
      </c>
      <c r="N28" s="1172">
        <v>97.5</v>
      </c>
      <c r="O28" s="4661">
        <v>1973</v>
      </c>
      <c r="P28" s="4661"/>
      <c r="Q28" s="4661" t="s">
        <v>235</v>
      </c>
      <c r="R28" s="4662"/>
    </row>
    <row r="29" spans="2:25" s="1986" customFormat="1" ht="47.25" customHeight="1">
      <c r="B29" s="2011">
        <v>220.6</v>
      </c>
      <c r="C29" s="1414"/>
      <c r="D29" s="2012">
        <f t="shared" si="0"/>
        <v>219.89999999999998</v>
      </c>
      <c r="E29" s="4255">
        <f t="shared" si="1"/>
        <v>47.8</v>
      </c>
      <c r="F29" s="4255">
        <v>1.5</v>
      </c>
      <c r="G29" s="4255">
        <v>46.3</v>
      </c>
      <c r="H29" s="1170">
        <v>172.1</v>
      </c>
      <c r="I29" s="1170"/>
      <c r="J29" s="2012">
        <f t="shared" si="2"/>
        <v>172.1</v>
      </c>
      <c r="K29" s="4255">
        <f t="shared" si="3"/>
        <v>56.6</v>
      </c>
      <c r="L29" s="4255">
        <v>4.2</v>
      </c>
      <c r="M29" s="4255">
        <v>52.4</v>
      </c>
      <c r="N29" s="2013">
        <v>115.5</v>
      </c>
      <c r="O29" s="4663">
        <v>1974</v>
      </c>
      <c r="P29" s="4663"/>
      <c r="Q29" s="4663" t="s">
        <v>236</v>
      </c>
      <c r="R29" s="4664"/>
    </row>
    <row r="30" spans="2:25" s="1986" customFormat="1" ht="47.25" customHeight="1">
      <c r="B30" s="1430">
        <v>289.7</v>
      </c>
      <c r="C30" s="1168"/>
      <c r="D30" s="2014">
        <f t="shared" si="0"/>
        <v>288.39999999999998</v>
      </c>
      <c r="E30" s="4190">
        <f t="shared" si="1"/>
        <v>63.8</v>
      </c>
      <c r="F30" s="4190">
        <v>0.8</v>
      </c>
      <c r="G30" s="4190">
        <v>63</v>
      </c>
      <c r="H30" s="2015">
        <v>224.6</v>
      </c>
      <c r="I30" s="2015"/>
      <c r="J30" s="2014">
        <f t="shared" si="2"/>
        <v>224.6</v>
      </c>
      <c r="K30" s="4190">
        <f t="shared" si="3"/>
        <v>85.6</v>
      </c>
      <c r="L30" s="4190">
        <v>5</v>
      </c>
      <c r="M30" s="4190">
        <v>80.599999999999994</v>
      </c>
      <c r="N30" s="1172">
        <v>139</v>
      </c>
      <c r="O30" s="4661">
        <v>1975</v>
      </c>
      <c r="P30" s="4661"/>
      <c r="Q30" s="4661" t="s">
        <v>237</v>
      </c>
      <c r="R30" s="4662"/>
    </row>
    <row r="31" spans="2:25" s="1986" customFormat="1" ht="47.25" customHeight="1">
      <c r="B31" s="2011">
        <v>380.4</v>
      </c>
      <c r="C31" s="1414"/>
      <c r="D31" s="2012">
        <f t="shared" si="0"/>
        <v>378.4</v>
      </c>
      <c r="E31" s="4255">
        <f t="shared" si="1"/>
        <v>101.5</v>
      </c>
      <c r="F31" s="4255">
        <v>3.4</v>
      </c>
      <c r="G31" s="4255">
        <v>98.1</v>
      </c>
      <c r="H31" s="1170">
        <v>277.60000000000002</v>
      </c>
      <c r="I31" s="1170"/>
      <c r="J31" s="2012">
        <f t="shared" si="2"/>
        <v>276.89999999999998</v>
      </c>
      <c r="K31" s="4255">
        <f t="shared" si="3"/>
        <v>115.5</v>
      </c>
      <c r="L31" s="4255">
        <v>8.9</v>
      </c>
      <c r="M31" s="4255">
        <v>106.6</v>
      </c>
      <c r="N31" s="2013">
        <v>161.4</v>
      </c>
      <c r="O31" s="4663">
        <v>1976</v>
      </c>
      <c r="P31" s="4663"/>
      <c r="Q31" s="4663" t="s">
        <v>238</v>
      </c>
      <c r="R31" s="4664"/>
    </row>
    <row r="32" spans="2:25" s="1986" customFormat="1" ht="47.25" customHeight="1">
      <c r="B32" s="1430">
        <v>470.3</v>
      </c>
      <c r="C32" s="1168"/>
      <c r="D32" s="2014">
        <f t="shared" si="0"/>
        <v>467.6</v>
      </c>
      <c r="E32" s="4190">
        <f t="shared" si="1"/>
        <v>136.6</v>
      </c>
      <c r="F32" s="4190">
        <v>2.6</v>
      </c>
      <c r="G32" s="4190">
        <v>134</v>
      </c>
      <c r="H32" s="2015">
        <v>332.3</v>
      </c>
      <c r="I32" s="2015"/>
      <c r="J32" s="2014">
        <f t="shared" si="2"/>
        <v>331</v>
      </c>
      <c r="K32" s="4190">
        <f t="shared" si="3"/>
        <v>143</v>
      </c>
      <c r="L32" s="4190">
        <v>9.6</v>
      </c>
      <c r="M32" s="4190">
        <v>133.4</v>
      </c>
      <c r="N32" s="1172">
        <v>188</v>
      </c>
      <c r="O32" s="4684">
        <v>1977</v>
      </c>
      <c r="P32" s="4661"/>
      <c r="Q32" s="4661" t="s">
        <v>239</v>
      </c>
      <c r="R32" s="4662"/>
    </row>
    <row r="33" spans="2:18" s="1986" customFormat="1" ht="47.25" customHeight="1">
      <c r="B33" s="2011">
        <v>613.20000000000005</v>
      </c>
      <c r="C33" s="1414"/>
      <c r="D33" s="2012">
        <f t="shared" si="0"/>
        <v>606.69999999999993</v>
      </c>
      <c r="E33" s="4255">
        <f t="shared" si="1"/>
        <v>231.29999999999998</v>
      </c>
      <c r="F33" s="4255">
        <v>10.6</v>
      </c>
      <c r="G33" s="4255">
        <v>220.7</v>
      </c>
      <c r="H33" s="1170">
        <v>379.9</v>
      </c>
      <c r="I33" s="1170"/>
      <c r="J33" s="2012">
        <f t="shared" si="2"/>
        <v>375.4</v>
      </c>
      <c r="K33" s="4255">
        <f t="shared" si="3"/>
        <v>155.9</v>
      </c>
      <c r="L33" s="4255">
        <v>12</v>
      </c>
      <c r="M33" s="4255">
        <v>143.9</v>
      </c>
      <c r="N33" s="2013">
        <v>219.5</v>
      </c>
      <c r="O33" s="4663">
        <v>1978</v>
      </c>
      <c r="P33" s="4663"/>
      <c r="Q33" s="4663" t="s">
        <v>240</v>
      </c>
      <c r="R33" s="4664"/>
    </row>
    <row r="34" spans="2:18" s="1986" customFormat="1" ht="47.25" customHeight="1">
      <c r="B34" s="1430">
        <v>784.3</v>
      </c>
      <c r="C34" s="1168"/>
      <c r="D34" s="2014">
        <f t="shared" si="0"/>
        <v>773.1</v>
      </c>
      <c r="E34" s="4190">
        <f t="shared" si="1"/>
        <v>300.40000000000003</v>
      </c>
      <c r="F34" s="4190">
        <v>8.8000000000000007</v>
      </c>
      <c r="G34" s="4190">
        <v>291.60000000000002</v>
      </c>
      <c r="H34" s="2015">
        <v>480</v>
      </c>
      <c r="I34" s="2015"/>
      <c r="J34" s="2014">
        <f t="shared" si="2"/>
        <v>472.7</v>
      </c>
      <c r="K34" s="4190">
        <f t="shared" si="3"/>
        <v>197.3</v>
      </c>
      <c r="L34" s="4190">
        <v>23.5</v>
      </c>
      <c r="M34" s="4190">
        <v>173.8</v>
      </c>
      <c r="N34" s="1172">
        <v>275.39999999999998</v>
      </c>
      <c r="O34" s="4661">
        <v>1979</v>
      </c>
      <c r="P34" s="4661"/>
      <c r="Q34" s="4661" t="s">
        <v>241</v>
      </c>
      <c r="R34" s="4662"/>
    </row>
    <row r="35" spans="2:18" s="1986" customFormat="1" ht="47.25" customHeight="1">
      <c r="B35" s="2011">
        <v>1000.4</v>
      </c>
      <c r="C35" s="1414"/>
      <c r="D35" s="2012">
        <f t="shared" si="0"/>
        <v>984.80000000000007</v>
      </c>
      <c r="E35" s="4255">
        <f t="shared" si="1"/>
        <v>390</v>
      </c>
      <c r="F35" s="4255">
        <v>28.3</v>
      </c>
      <c r="G35" s="4255">
        <v>361.7</v>
      </c>
      <c r="H35" s="1170">
        <v>600</v>
      </c>
      <c r="I35" s="1170"/>
      <c r="J35" s="2012">
        <f t="shared" si="2"/>
        <v>594.80000000000007</v>
      </c>
      <c r="K35" s="4255">
        <f t="shared" si="3"/>
        <v>243.20000000000002</v>
      </c>
      <c r="L35" s="4255">
        <v>24.3</v>
      </c>
      <c r="M35" s="4255">
        <v>218.9</v>
      </c>
      <c r="N35" s="2013">
        <v>351.6</v>
      </c>
      <c r="O35" s="4663">
        <v>1980</v>
      </c>
      <c r="P35" s="4663"/>
      <c r="Q35" s="4663" t="s">
        <v>242</v>
      </c>
      <c r="R35" s="4664"/>
    </row>
    <row r="36" spans="2:18" s="1986" customFormat="1" ht="47.25" customHeight="1">
      <c r="B36" s="1430">
        <v>1212.0999999999999</v>
      </c>
      <c r="C36" s="1168"/>
      <c r="D36" s="2014">
        <f t="shared" si="0"/>
        <v>1179.9000000000001</v>
      </c>
      <c r="E36" s="4190">
        <f t="shared" si="1"/>
        <v>478.2</v>
      </c>
      <c r="F36" s="4190">
        <v>43.8</v>
      </c>
      <c r="G36" s="4190">
        <v>434.4</v>
      </c>
      <c r="H36" s="2015">
        <v>714.5</v>
      </c>
      <c r="I36" s="2015"/>
      <c r="J36" s="2014">
        <f t="shared" si="2"/>
        <v>701.7</v>
      </c>
      <c r="K36" s="4190">
        <f t="shared" si="3"/>
        <v>289.39999999999998</v>
      </c>
      <c r="L36" s="4190">
        <v>17.399999999999999</v>
      </c>
      <c r="M36" s="4190">
        <v>272</v>
      </c>
      <c r="N36" s="1172">
        <v>412.3</v>
      </c>
      <c r="O36" s="4661">
        <v>1981</v>
      </c>
      <c r="P36" s="4661"/>
      <c r="Q36" s="4661" t="s">
        <v>243</v>
      </c>
      <c r="R36" s="4662"/>
    </row>
    <row r="37" spans="2:18" s="1986" customFormat="1" ht="47.25" customHeight="1">
      <c r="B37" s="2011">
        <v>1443.8</v>
      </c>
      <c r="C37" s="1414"/>
      <c r="D37" s="2012">
        <f t="shared" si="0"/>
        <v>1403.3</v>
      </c>
      <c r="E37" s="4255">
        <f t="shared" si="1"/>
        <v>615.79999999999995</v>
      </c>
      <c r="F37" s="4255">
        <v>28.8</v>
      </c>
      <c r="G37" s="4255">
        <v>587</v>
      </c>
      <c r="H37" s="1170">
        <v>802.7</v>
      </c>
      <c r="I37" s="1170"/>
      <c r="J37" s="2012">
        <f t="shared" si="2"/>
        <v>787.5</v>
      </c>
      <c r="K37" s="4255">
        <f t="shared" si="3"/>
        <v>317.5</v>
      </c>
      <c r="L37" s="4255">
        <v>21.2</v>
      </c>
      <c r="M37" s="4255">
        <v>296.3</v>
      </c>
      <c r="N37" s="2013">
        <v>470</v>
      </c>
      <c r="O37" s="4663">
        <v>1982</v>
      </c>
      <c r="P37" s="4663"/>
      <c r="Q37" s="4663" t="s">
        <v>244</v>
      </c>
      <c r="R37" s="4664"/>
    </row>
    <row r="38" spans="2:18" s="1986" customFormat="1" ht="47.25" customHeight="1">
      <c r="B38" s="1430">
        <v>1677.6</v>
      </c>
      <c r="C38" s="1168"/>
      <c r="D38" s="2014">
        <f t="shared" si="0"/>
        <v>1615.1999999999998</v>
      </c>
      <c r="E38" s="4190">
        <f t="shared" si="1"/>
        <v>745.8</v>
      </c>
      <c r="F38" s="4190">
        <v>35.4</v>
      </c>
      <c r="G38" s="4190">
        <v>710.4</v>
      </c>
      <c r="H38" s="2015">
        <v>883.6</v>
      </c>
      <c r="I38" s="2015"/>
      <c r="J38" s="2014">
        <f t="shared" si="2"/>
        <v>869.4</v>
      </c>
      <c r="K38" s="4190">
        <f t="shared" si="3"/>
        <v>353.4</v>
      </c>
      <c r="L38" s="4190">
        <v>28.4</v>
      </c>
      <c r="M38" s="4190">
        <v>325</v>
      </c>
      <c r="N38" s="1172">
        <v>516</v>
      </c>
      <c r="O38" s="4661">
        <v>1983</v>
      </c>
      <c r="P38" s="4661"/>
      <c r="Q38" s="4661" t="s">
        <v>245</v>
      </c>
      <c r="R38" s="4662"/>
    </row>
    <row r="39" spans="2:18" s="1986" customFormat="1" ht="47.25" customHeight="1">
      <c r="B39" s="2011">
        <v>1834.1</v>
      </c>
      <c r="C39" s="1414"/>
      <c r="D39" s="2012">
        <f t="shared" si="0"/>
        <v>1757.6999999999998</v>
      </c>
      <c r="E39" s="4255">
        <f t="shared" si="1"/>
        <v>879.3</v>
      </c>
      <c r="F39" s="4255">
        <v>35.299999999999997</v>
      </c>
      <c r="G39" s="4255">
        <v>844</v>
      </c>
      <c r="H39" s="1170">
        <v>888.6</v>
      </c>
      <c r="I39" s="1170"/>
      <c r="J39" s="2012">
        <f t="shared" si="2"/>
        <v>878.4</v>
      </c>
      <c r="K39" s="4255">
        <f t="shared" si="3"/>
        <v>347.9</v>
      </c>
      <c r="L39" s="4255">
        <v>22</v>
      </c>
      <c r="M39" s="4255">
        <v>325.89999999999998</v>
      </c>
      <c r="N39" s="2013">
        <v>530.5</v>
      </c>
      <c r="O39" s="4663">
        <v>1984</v>
      </c>
      <c r="P39" s="4663"/>
      <c r="Q39" s="4663" t="s">
        <v>246</v>
      </c>
      <c r="R39" s="4664"/>
    </row>
    <row r="40" spans="2:18" s="1986" customFormat="1" ht="47.25" customHeight="1">
      <c r="B40" s="1430">
        <v>1977.7</v>
      </c>
      <c r="C40" s="1168"/>
      <c r="D40" s="2014">
        <f t="shared" si="0"/>
        <v>1874.8</v>
      </c>
      <c r="E40" s="4190">
        <f t="shared" si="1"/>
        <v>1026.5999999999999</v>
      </c>
      <c r="F40" s="4190">
        <v>44.8</v>
      </c>
      <c r="G40" s="4190">
        <v>981.8</v>
      </c>
      <c r="H40" s="2015">
        <v>861</v>
      </c>
      <c r="I40" s="2015"/>
      <c r="J40" s="2014">
        <f t="shared" si="2"/>
        <v>848.2</v>
      </c>
      <c r="K40" s="4190">
        <f t="shared" si="3"/>
        <v>316.40000000000003</v>
      </c>
      <c r="L40" s="4190">
        <v>23.8</v>
      </c>
      <c r="M40" s="4190">
        <v>292.60000000000002</v>
      </c>
      <c r="N40" s="1172">
        <v>531.79999999999995</v>
      </c>
      <c r="O40" s="4661">
        <v>1985</v>
      </c>
      <c r="P40" s="4661"/>
      <c r="Q40" s="4661" t="s">
        <v>247</v>
      </c>
      <c r="R40" s="4662"/>
    </row>
    <row r="41" spans="2:18" s="1986" customFormat="1" ht="47.25" customHeight="1">
      <c r="B41" s="2011">
        <v>2181.3000000000002</v>
      </c>
      <c r="C41" s="1414"/>
      <c r="D41" s="2012">
        <f t="shared" si="0"/>
        <v>2072.3999999999996</v>
      </c>
      <c r="E41" s="4255">
        <f t="shared" si="1"/>
        <v>1175.3</v>
      </c>
      <c r="F41" s="4255">
        <v>50.2</v>
      </c>
      <c r="G41" s="4255">
        <v>1125.0999999999999</v>
      </c>
      <c r="H41" s="1170">
        <v>910.8</v>
      </c>
      <c r="I41" s="1170"/>
      <c r="J41" s="2012">
        <f t="shared" si="2"/>
        <v>897.09999999999991</v>
      </c>
      <c r="K41" s="4255">
        <f t="shared" si="3"/>
        <v>313.2</v>
      </c>
      <c r="L41" s="4255">
        <v>13.3</v>
      </c>
      <c r="M41" s="4255">
        <v>299.89999999999998</v>
      </c>
      <c r="N41" s="2013">
        <v>583.9</v>
      </c>
      <c r="O41" s="4663">
        <v>1986</v>
      </c>
      <c r="P41" s="4663"/>
      <c r="Q41" s="4663" t="s">
        <v>248</v>
      </c>
      <c r="R41" s="4664"/>
    </row>
    <row r="42" spans="2:18" s="1986" customFormat="1" ht="47.25" customHeight="1">
      <c r="B42" s="1430">
        <v>2501.8000000000002</v>
      </c>
      <c r="C42" s="1168"/>
      <c r="D42" s="2014">
        <f t="shared" si="0"/>
        <v>2372.1999999999998</v>
      </c>
      <c r="E42" s="4190">
        <f t="shared" si="1"/>
        <v>1392.3999999999999</v>
      </c>
      <c r="F42" s="4190">
        <v>41.1</v>
      </c>
      <c r="G42" s="4190">
        <v>1351.3</v>
      </c>
      <c r="H42" s="2015">
        <v>999.2</v>
      </c>
      <c r="I42" s="2015"/>
      <c r="J42" s="2014">
        <f t="shared" si="2"/>
        <v>979.8</v>
      </c>
      <c r="K42" s="4190">
        <f t="shared" si="3"/>
        <v>324</v>
      </c>
      <c r="L42" s="4190">
        <v>11.3</v>
      </c>
      <c r="M42" s="4190">
        <v>312.7</v>
      </c>
      <c r="N42" s="1172">
        <v>655.8</v>
      </c>
      <c r="O42" s="4661">
        <v>1987</v>
      </c>
      <c r="P42" s="4661"/>
      <c r="Q42" s="4661" t="s">
        <v>249</v>
      </c>
      <c r="R42" s="4662"/>
    </row>
    <row r="43" spans="2:18" s="1986" customFormat="1" ht="47.25" customHeight="1">
      <c r="B43" s="2011">
        <v>2773.6</v>
      </c>
      <c r="C43" s="1414"/>
      <c r="D43" s="2012">
        <f t="shared" si="0"/>
        <v>2646.8</v>
      </c>
      <c r="E43" s="4255">
        <f t="shared" si="1"/>
        <v>1465.4</v>
      </c>
      <c r="F43" s="4255">
        <v>56.9</v>
      </c>
      <c r="G43" s="4255">
        <v>1408.5</v>
      </c>
      <c r="H43" s="1170">
        <v>1194.2</v>
      </c>
      <c r="I43" s="1170"/>
      <c r="J43" s="2012">
        <f t="shared" si="2"/>
        <v>1181.4000000000001</v>
      </c>
      <c r="K43" s="4255">
        <f t="shared" si="3"/>
        <v>370.2</v>
      </c>
      <c r="L43" s="4255">
        <v>11.9</v>
      </c>
      <c r="M43" s="4255">
        <v>358.3</v>
      </c>
      <c r="N43" s="2013">
        <v>811.2</v>
      </c>
      <c r="O43" s="4663">
        <v>1988</v>
      </c>
      <c r="P43" s="4663"/>
      <c r="Q43" s="4663" t="s">
        <v>250</v>
      </c>
      <c r="R43" s="4664"/>
    </row>
    <row r="44" spans="2:18" s="1986" customFormat="1" ht="47.25" customHeight="1">
      <c r="B44" s="1430">
        <v>3095.9</v>
      </c>
      <c r="C44" s="1168"/>
      <c r="D44" s="2014">
        <f>SUM(J44+E44)</f>
        <v>2971.1</v>
      </c>
      <c r="E44" s="4190">
        <f>SUM(G44+F44)</f>
        <v>1644.6</v>
      </c>
      <c r="F44" s="4190">
        <v>77.5</v>
      </c>
      <c r="G44" s="4190">
        <v>1567.1</v>
      </c>
      <c r="H44" s="2015">
        <v>1342.1</v>
      </c>
      <c r="I44" s="2015"/>
      <c r="J44" s="2014">
        <f>SUM(N44+K44)</f>
        <v>1326.5</v>
      </c>
      <c r="K44" s="4190">
        <f>SUM(L44+M44)</f>
        <v>455.4</v>
      </c>
      <c r="L44" s="4190">
        <v>20</v>
      </c>
      <c r="M44" s="4190">
        <v>435.4</v>
      </c>
      <c r="N44" s="1172">
        <v>871.1</v>
      </c>
      <c r="O44" s="4661">
        <v>1989</v>
      </c>
      <c r="P44" s="4661"/>
      <c r="Q44" s="4661" t="s">
        <v>251</v>
      </c>
      <c r="R44" s="4662"/>
    </row>
    <row r="45" spans="2:18" s="1986" customFormat="1" ht="47.25" customHeight="1">
      <c r="B45" s="2011">
        <v>3203.8</v>
      </c>
      <c r="C45" s="1414"/>
      <c r="D45" s="2012">
        <f>SUM(J45+E45)</f>
        <v>3122.6000000000004</v>
      </c>
      <c r="E45" s="4255">
        <f>SUM(G45+F45)</f>
        <v>1689.8</v>
      </c>
      <c r="F45" s="4255">
        <v>118.6</v>
      </c>
      <c r="G45" s="4255">
        <v>1571.2</v>
      </c>
      <c r="H45" s="1170">
        <v>1446.2</v>
      </c>
      <c r="I45" s="1170"/>
      <c r="J45" s="2012">
        <f>SUM(N45+K45)</f>
        <v>1432.8000000000002</v>
      </c>
      <c r="K45" s="4255">
        <f>SUM(L45+M45)</f>
        <v>426.6</v>
      </c>
      <c r="L45" s="4255">
        <v>20.3</v>
      </c>
      <c r="M45" s="4255">
        <v>406.3</v>
      </c>
      <c r="N45" s="2013">
        <v>1006.2</v>
      </c>
      <c r="O45" s="4663">
        <v>1990</v>
      </c>
      <c r="P45" s="4663"/>
      <c r="Q45" s="4663" t="s">
        <v>252</v>
      </c>
      <c r="R45" s="4664"/>
    </row>
    <row r="46" spans="2:18" s="1986" customFormat="1" ht="47.25" customHeight="1">
      <c r="B46" s="1430">
        <v>3810.1</v>
      </c>
      <c r="C46" s="1168"/>
      <c r="D46" s="2014">
        <f>SUM(J46+E46)</f>
        <v>3717.5</v>
      </c>
      <c r="E46" s="4190">
        <f>SUM(G46+F46)</f>
        <v>2117.1</v>
      </c>
      <c r="F46" s="4190">
        <v>111.9</v>
      </c>
      <c r="G46" s="4190">
        <v>2005.2</v>
      </c>
      <c r="H46" s="2015">
        <v>1619.6</v>
      </c>
      <c r="I46" s="2015"/>
      <c r="J46" s="2014">
        <f>SUM(N46+K46)</f>
        <v>1600.4</v>
      </c>
      <c r="K46" s="4190">
        <f>SUM(L46+M46)</f>
        <v>608</v>
      </c>
      <c r="L46" s="4190">
        <v>24.6</v>
      </c>
      <c r="M46" s="4190">
        <v>583.4</v>
      </c>
      <c r="N46" s="1172">
        <v>992.4</v>
      </c>
      <c r="O46" s="4661">
        <v>1991</v>
      </c>
      <c r="P46" s="4661"/>
      <c r="Q46" s="4661" t="s">
        <v>253</v>
      </c>
      <c r="R46" s="4662"/>
    </row>
    <row r="47" spans="2:18" s="1986" customFormat="1" ht="47.25" customHeight="1">
      <c r="B47" s="2016">
        <v>4266.8999999999996</v>
      </c>
      <c r="C47" s="2017"/>
      <c r="D47" s="2018">
        <f>SUM(J47+E47)</f>
        <v>4193</v>
      </c>
      <c r="E47" s="2019">
        <f>SUM(G47+F47)</f>
        <v>2476.9</v>
      </c>
      <c r="F47" s="2019">
        <v>347.6</v>
      </c>
      <c r="G47" s="2019">
        <v>2129.3000000000002</v>
      </c>
      <c r="H47" s="2017">
        <v>1743.4</v>
      </c>
      <c r="I47" s="2017"/>
      <c r="J47" s="2018">
        <f>SUM(N47+K47)</f>
        <v>1716.1</v>
      </c>
      <c r="K47" s="2019">
        <f>SUM(L47+M47)</f>
        <v>712.2</v>
      </c>
      <c r="L47" s="2019">
        <v>47.6</v>
      </c>
      <c r="M47" s="2019">
        <v>664.6</v>
      </c>
      <c r="N47" s="2020">
        <v>1003.9</v>
      </c>
      <c r="O47" s="4673">
        <v>1992</v>
      </c>
      <c r="P47" s="4673"/>
      <c r="Q47" s="4673"/>
      <c r="R47" s="4674"/>
    </row>
    <row r="48" spans="2:18" s="1999" customFormat="1" ht="6" hidden="1" customHeight="1">
      <c r="B48" s="2021"/>
      <c r="C48" s="2022"/>
      <c r="D48" s="2023"/>
      <c r="E48" s="2023"/>
      <c r="F48" s="2023"/>
      <c r="G48" s="2024"/>
      <c r="H48" s="2023"/>
      <c r="I48" s="2024"/>
      <c r="J48" s="2025"/>
      <c r="K48" s="2023"/>
      <c r="L48" s="2023"/>
      <c r="M48" s="2023"/>
      <c r="N48" s="2023"/>
      <c r="O48" s="2026"/>
      <c r="P48" s="2027"/>
      <c r="Q48" s="2028"/>
      <c r="R48" s="2029"/>
    </row>
    <row r="49" spans="2:19" s="1999" customFormat="1" ht="6.95" customHeight="1">
      <c r="B49" s="4659"/>
      <c r="C49" s="4659"/>
      <c r="D49" s="4659"/>
      <c r="E49" s="4659"/>
      <c r="F49" s="4659"/>
      <c r="G49" s="4659"/>
      <c r="H49" s="4659"/>
      <c r="I49" s="2031"/>
      <c r="J49" s="1850"/>
      <c r="K49" s="4675"/>
      <c r="L49" s="4675"/>
      <c r="M49" s="4675"/>
      <c r="N49" s="4675"/>
      <c r="O49" s="4675"/>
      <c r="P49" s="4675"/>
      <c r="Q49" s="4675"/>
      <c r="R49" s="4675"/>
    </row>
    <row r="50" spans="2:19" s="1986" customFormat="1" ht="18" customHeight="1">
      <c r="B50" s="4659" t="s">
        <v>254</v>
      </c>
      <c r="C50" s="4659"/>
      <c r="D50" s="4659"/>
      <c r="E50" s="4659"/>
      <c r="F50" s="4659"/>
      <c r="G50" s="4659"/>
      <c r="H50" s="4659"/>
      <c r="I50" s="2031"/>
      <c r="J50" s="2032"/>
      <c r="K50" s="4628" t="s">
        <v>255</v>
      </c>
      <c r="L50" s="4628"/>
      <c r="M50" s="4628"/>
      <c r="N50" s="4628"/>
      <c r="O50" s="4628"/>
      <c r="P50" s="4628"/>
      <c r="Q50" s="4628"/>
      <c r="R50" s="4628"/>
      <c r="S50" s="1999"/>
    </row>
    <row r="51" spans="2:19" s="1986" customFormat="1" ht="18" customHeight="1">
      <c r="B51" s="1265" t="s">
        <v>256</v>
      </c>
      <c r="C51" s="1265"/>
      <c r="D51" s="1265"/>
      <c r="E51" s="1265"/>
      <c r="F51" s="1265"/>
      <c r="G51" s="1265"/>
      <c r="H51" s="1265"/>
      <c r="I51" s="1175"/>
      <c r="J51" s="4660" t="s">
        <v>257</v>
      </c>
      <c r="K51" s="4660"/>
      <c r="L51" s="4660"/>
      <c r="M51" s="4660"/>
      <c r="N51" s="4660"/>
      <c r="O51" s="4660"/>
      <c r="P51" s="4660"/>
      <c r="Q51" s="4660"/>
      <c r="R51" s="4660"/>
      <c r="S51" s="1999"/>
    </row>
    <row r="52" spans="2:19" s="1986" customFormat="1" ht="18" customHeight="1">
      <c r="B52" s="4169" t="s">
        <v>258</v>
      </c>
      <c r="C52" s="4169"/>
      <c r="D52" s="4169"/>
      <c r="E52" s="4169"/>
      <c r="F52" s="4169"/>
      <c r="G52" s="4169"/>
      <c r="H52" s="4169"/>
      <c r="I52" s="2033"/>
      <c r="J52" s="2031"/>
      <c r="K52" s="4660" t="s">
        <v>259</v>
      </c>
      <c r="L52" s="4660"/>
      <c r="M52" s="4660"/>
      <c r="N52" s="4660"/>
      <c r="O52" s="4660"/>
      <c r="P52" s="4660"/>
      <c r="Q52" s="4660"/>
      <c r="R52" s="4660"/>
      <c r="S52" s="1999"/>
    </row>
    <row r="53" spans="2:19" s="1986" customFormat="1" ht="18" customHeight="1">
      <c r="B53" s="4627" t="s">
        <v>260</v>
      </c>
      <c r="C53" s="4627"/>
      <c r="D53" s="4627"/>
      <c r="E53" s="4627"/>
      <c r="F53" s="4627"/>
      <c r="G53" s="4627"/>
      <c r="H53" s="4627"/>
      <c r="I53" s="4627"/>
      <c r="J53" s="4628" t="s">
        <v>261</v>
      </c>
      <c r="K53" s="4628"/>
      <c r="L53" s="4628"/>
      <c r="M53" s="4628"/>
      <c r="N53" s="4628"/>
      <c r="O53" s="4628"/>
      <c r="P53" s="4628"/>
      <c r="Q53" s="4628"/>
      <c r="R53" s="4628"/>
      <c r="S53" s="1999"/>
    </row>
    <row r="54" spans="2:19" s="1986" customFormat="1" ht="18" customHeight="1">
      <c r="B54" s="4627" t="s">
        <v>262</v>
      </c>
      <c r="C54" s="4627"/>
      <c r="D54" s="4627"/>
      <c r="E54" s="4627"/>
      <c r="F54" s="4627"/>
      <c r="G54" s="4627"/>
      <c r="H54" s="4627"/>
      <c r="I54" s="4627"/>
      <c r="J54" s="4627"/>
      <c r="K54" s="4628" t="s">
        <v>263</v>
      </c>
      <c r="L54" s="4628"/>
      <c r="M54" s="4628"/>
      <c r="N54" s="4628"/>
      <c r="O54" s="4628"/>
      <c r="P54" s="4628"/>
      <c r="Q54" s="4628"/>
      <c r="R54" s="4628"/>
      <c r="S54" s="1999"/>
    </row>
    <row r="55" spans="2:19" s="1986" customFormat="1" ht="17.100000000000001" customHeight="1">
      <c r="B55" s="2034" t="s">
        <v>264</v>
      </c>
      <c r="C55" s="2035"/>
      <c r="D55" s="1398"/>
      <c r="E55" s="1398"/>
      <c r="F55" s="1191"/>
      <c r="G55" s="1980"/>
      <c r="H55" s="1192"/>
      <c r="I55" s="1191"/>
      <c r="J55" s="1191"/>
      <c r="K55" s="1398"/>
      <c r="L55" s="1398"/>
      <c r="M55" s="1398"/>
      <c r="N55" s="2036"/>
      <c r="O55" s="2037"/>
      <c r="P55" s="2038"/>
      <c r="Q55" s="2039"/>
      <c r="R55" s="2040"/>
      <c r="S55" s="1999"/>
    </row>
    <row r="56" spans="2:19" s="1986" customFormat="1" ht="28.35" customHeight="1">
      <c r="B56" s="4669" t="s">
        <v>265</v>
      </c>
      <c r="C56" s="4669"/>
      <c r="D56" s="4669"/>
      <c r="E56" s="4669"/>
      <c r="F56" s="4669"/>
      <c r="G56" s="4669"/>
      <c r="H56" s="4669"/>
      <c r="I56" s="4669"/>
      <c r="J56" s="4669"/>
      <c r="K56" s="4669"/>
      <c r="L56" s="4669"/>
      <c r="M56" s="4669"/>
      <c r="N56" s="4669"/>
      <c r="O56" s="4669"/>
      <c r="P56" s="4669"/>
      <c r="Q56" s="4669"/>
      <c r="R56" s="4669"/>
      <c r="S56" s="1999"/>
    </row>
    <row r="57" spans="2:19" s="1986" customFormat="1" ht="28.35" customHeight="1">
      <c r="B57" s="4670" t="s">
        <v>266</v>
      </c>
      <c r="C57" s="4670"/>
      <c r="D57" s="4670"/>
      <c r="E57" s="4670"/>
      <c r="F57" s="4670"/>
      <c r="G57" s="4670"/>
      <c r="H57" s="4670"/>
      <c r="I57" s="4670"/>
      <c r="J57" s="4670"/>
      <c r="K57" s="4670"/>
      <c r="L57" s="4670"/>
      <c r="M57" s="4670"/>
      <c r="N57" s="4670"/>
      <c r="O57" s="4670"/>
      <c r="P57" s="4670"/>
      <c r="Q57" s="4670"/>
      <c r="R57" s="4670"/>
      <c r="S57" s="1999"/>
    </row>
    <row r="58" spans="2:19" s="1986" customFormat="1" ht="17.100000000000001" customHeight="1">
      <c r="B58" s="1315" t="s">
        <v>90</v>
      </c>
      <c r="C58" s="1850"/>
      <c r="D58" s="1850"/>
      <c r="E58" s="1850"/>
      <c r="F58" s="1850"/>
      <c r="G58" s="1850"/>
      <c r="H58" s="1318"/>
      <c r="I58" s="1987"/>
      <c r="J58" s="1318"/>
      <c r="K58" s="1318"/>
      <c r="L58" s="1988"/>
      <c r="M58" s="1854"/>
      <c r="N58" s="1855"/>
      <c r="O58" s="1856"/>
      <c r="P58" s="1318"/>
      <c r="Q58" s="1989" t="s">
        <v>209</v>
      </c>
      <c r="R58" s="1990"/>
      <c r="S58" s="1999"/>
    </row>
    <row r="59" spans="2:19" s="1986" customFormat="1" ht="4.3499999999999996" customHeight="1">
      <c r="B59" s="2041"/>
      <c r="C59" s="1161"/>
      <c r="D59" s="2042"/>
      <c r="E59" s="2042"/>
      <c r="F59" s="2043"/>
      <c r="G59" s="2044"/>
      <c r="H59" s="2042"/>
      <c r="I59" s="2042"/>
      <c r="J59" s="2042"/>
      <c r="K59" s="2042"/>
      <c r="L59" s="2043"/>
      <c r="M59" s="2043"/>
      <c r="N59" s="2045"/>
      <c r="O59" s="2046"/>
      <c r="P59" s="2047"/>
      <c r="Q59" s="1224"/>
      <c r="R59" s="1224"/>
      <c r="S59" s="1999"/>
    </row>
    <row r="60" spans="2:19" s="1986" customFormat="1" ht="21.2" customHeight="1">
      <c r="B60" s="1225"/>
      <c r="C60" s="2048"/>
      <c r="D60" s="4671" t="s">
        <v>210</v>
      </c>
      <c r="E60" s="4671"/>
      <c r="F60" s="4671"/>
      <c r="G60" s="4671"/>
      <c r="H60" s="4671"/>
      <c r="I60" s="4686"/>
      <c r="J60" s="1228"/>
      <c r="K60" s="2049"/>
      <c r="L60" s="2050"/>
      <c r="M60" s="1227"/>
      <c r="N60" s="1226"/>
      <c r="O60" s="2051"/>
      <c r="P60" s="1226"/>
      <c r="Q60" s="1226"/>
      <c r="R60" s="2052"/>
      <c r="S60" s="1999"/>
    </row>
    <row r="61" spans="2:19" s="1986" customFormat="1" ht="21.2" customHeight="1">
      <c r="B61" s="2053"/>
      <c r="C61" s="2054"/>
      <c r="D61" s="4672"/>
      <c r="E61" s="4672"/>
      <c r="F61" s="4672"/>
      <c r="G61" s="4672"/>
      <c r="H61" s="4672"/>
      <c r="I61" s="4685"/>
      <c r="J61" s="1242"/>
      <c r="K61" s="1282" t="s">
        <v>267</v>
      </c>
      <c r="L61" s="1234"/>
      <c r="M61" s="1998"/>
      <c r="N61" s="4234" t="s">
        <v>8</v>
      </c>
      <c r="O61" s="4171"/>
      <c r="P61" s="4166"/>
      <c r="Q61" s="4166" t="s">
        <v>8</v>
      </c>
      <c r="R61" s="4200"/>
      <c r="S61" s="1999"/>
    </row>
    <row r="62" spans="2:19" s="1986" customFormat="1" ht="21.2" customHeight="1">
      <c r="B62" s="2053"/>
      <c r="C62" s="2054"/>
      <c r="D62" s="4624" t="s">
        <v>268</v>
      </c>
      <c r="E62" s="4624"/>
      <c r="F62" s="4624"/>
      <c r="G62" s="4624"/>
      <c r="H62" s="4624"/>
      <c r="I62" s="4679"/>
      <c r="J62" s="1242"/>
      <c r="K62" s="1282" t="s">
        <v>269</v>
      </c>
      <c r="L62" s="1234"/>
      <c r="M62" s="2055"/>
      <c r="N62" s="4234"/>
      <c r="O62" s="4171"/>
      <c r="P62" s="4166"/>
      <c r="Q62" s="4166"/>
      <c r="R62" s="4200"/>
    </row>
    <row r="63" spans="2:19" s="1986" customFormat="1" ht="21.2" customHeight="1">
      <c r="B63" s="2053"/>
      <c r="C63" s="2054"/>
      <c r="D63" s="2056" t="s">
        <v>270</v>
      </c>
      <c r="E63" s="2057"/>
      <c r="F63" s="2057"/>
      <c r="G63" s="2058" t="s">
        <v>271</v>
      </c>
      <c r="H63" s="2058"/>
      <c r="I63" s="2059"/>
      <c r="J63" s="1242"/>
      <c r="K63" s="1282" t="s">
        <v>272</v>
      </c>
      <c r="L63" s="1234"/>
      <c r="M63" s="2055"/>
      <c r="N63" s="4234"/>
      <c r="O63" s="4171"/>
      <c r="P63" s="4166"/>
      <c r="Q63" s="4166"/>
      <c r="R63" s="4200"/>
    </row>
    <row r="64" spans="2:19" s="2002" customFormat="1" ht="21.2" customHeight="1">
      <c r="B64" s="2053"/>
      <c r="C64" s="4170"/>
      <c r="D64" s="4680" t="s">
        <v>273</v>
      </c>
      <c r="E64" s="4681"/>
      <c r="F64" s="4681"/>
      <c r="G64" s="4682" t="s">
        <v>274</v>
      </c>
      <c r="H64" s="4682"/>
      <c r="I64" s="4683"/>
      <c r="J64" s="1242" t="s">
        <v>8</v>
      </c>
      <c r="K64" s="4148"/>
      <c r="L64" s="4149"/>
      <c r="M64" s="4168"/>
      <c r="N64" s="4234"/>
      <c r="O64" s="4171"/>
      <c r="P64" s="4166"/>
      <c r="Q64" s="4166"/>
      <c r="R64" s="4200"/>
    </row>
    <row r="65" spans="2:18" s="2002" customFormat="1" ht="21.2" customHeight="1">
      <c r="B65" s="2053"/>
      <c r="C65" s="4170"/>
      <c r="D65" s="4685" t="s">
        <v>275</v>
      </c>
      <c r="E65" s="4682"/>
      <c r="F65" s="4682"/>
      <c r="G65" s="4682" t="s">
        <v>276</v>
      </c>
      <c r="H65" s="4682"/>
      <c r="I65" s="4683"/>
      <c r="J65" s="2003"/>
      <c r="K65" s="2060"/>
      <c r="L65" s="1385"/>
      <c r="M65" s="1385"/>
      <c r="N65" s="1387"/>
      <c r="O65" s="4171"/>
      <c r="P65" s="4166"/>
      <c r="Q65" s="4166" t="s">
        <v>8</v>
      </c>
      <c r="R65" s="4200"/>
    </row>
    <row r="66" spans="2:18" s="1986" customFormat="1" ht="21.2" customHeight="1">
      <c r="B66" s="4233" t="s">
        <v>94</v>
      </c>
      <c r="C66" s="1387"/>
      <c r="D66" s="1385"/>
      <c r="E66" s="1385"/>
      <c r="F66" s="2060" t="s">
        <v>97</v>
      </c>
      <c r="G66" s="1385"/>
      <c r="H66" s="1385"/>
      <c r="I66" s="2060" t="s">
        <v>277</v>
      </c>
      <c r="J66" s="1242" t="s">
        <v>94</v>
      </c>
      <c r="K66" s="1387"/>
      <c r="L66" s="1387"/>
      <c r="M66" s="4170" t="s">
        <v>277</v>
      </c>
      <c r="N66" s="4171" t="s">
        <v>8</v>
      </c>
      <c r="O66" s="4171"/>
      <c r="P66" s="4166"/>
      <c r="Q66" s="4166"/>
      <c r="R66" s="4200"/>
    </row>
    <row r="67" spans="2:18" s="1986" customFormat="1" ht="21.2" customHeight="1">
      <c r="B67" s="4233" t="s">
        <v>103</v>
      </c>
      <c r="C67" s="2061"/>
      <c r="D67" s="4170" t="s">
        <v>278</v>
      </c>
      <c r="E67" s="4170" t="s">
        <v>278</v>
      </c>
      <c r="F67" s="4170" t="s">
        <v>106</v>
      </c>
      <c r="G67" s="4170" t="s">
        <v>278</v>
      </c>
      <c r="H67" s="4170" t="s">
        <v>278</v>
      </c>
      <c r="I67" s="4170" t="s">
        <v>106</v>
      </c>
      <c r="J67" s="1242" t="s">
        <v>103</v>
      </c>
      <c r="K67" s="4170" t="s">
        <v>278</v>
      </c>
      <c r="L67" s="4170" t="s">
        <v>278</v>
      </c>
      <c r="M67" s="4170" t="s">
        <v>106</v>
      </c>
      <c r="N67" s="4171" t="s">
        <v>103</v>
      </c>
      <c r="O67" s="1282" t="s">
        <v>107</v>
      </c>
      <c r="P67" s="1234"/>
      <c r="Q67" s="1234"/>
      <c r="R67" s="2062"/>
    </row>
    <row r="68" spans="2:18" s="1986" customFormat="1" ht="21.2" customHeight="1">
      <c r="B68" s="4233" t="s">
        <v>217</v>
      </c>
      <c r="C68" s="4170" t="s">
        <v>170</v>
      </c>
      <c r="D68" s="4170" t="s">
        <v>279</v>
      </c>
      <c r="E68" s="4170" t="s">
        <v>218</v>
      </c>
      <c r="F68" s="4170" t="s">
        <v>172</v>
      </c>
      <c r="G68" s="4170" t="s">
        <v>279</v>
      </c>
      <c r="H68" s="4170" t="s">
        <v>218</v>
      </c>
      <c r="I68" s="4170" t="s">
        <v>172</v>
      </c>
      <c r="J68" s="1242" t="s">
        <v>220</v>
      </c>
      <c r="K68" s="4170" t="s">
        <v>279</v>
      </c>
      <c r="L68" s="4170" t="s">
        <v>218</v>
      </c>
      <c r="M68" s="4170" t="s">
        <v>172</v>
      </c>
      <c r="N68" s="4171" t="s">
        <v>221</v>
      </c>
      <c r="O68" s="1282" t="s">
        <v>116</v>
      </c>
      <c r="P68" s="1234"/>
      <c r="Q68" s="1234"/>
      <c r="R68" s="2062"/>
    </row>
    <row r="69" spans="2:18" s="1986" customFormat="1" ht="21.2" customHeight="1">
      <c r="B69" s="4233"/>
      <c r="C69" s="2061"/>
      <c r="D69" s="4170"/>
      <c r="E69" s="1387"/>
      <c r="F69" s="4170"/>
      <c r="G69" s="4170"/>
      <c r="H69" s="1387"/>
      <c r="I69" s="4170"/>
      <c r="J69" s="2003"/>
      <c r="K69" s="4170"/>
      <c r="L69" s="1387"/>
      <c r="M69" s="4170"/>
      <c r="N69" s="4171"/>
      <c r="O69" s="4171"/>
      <c r="P69" s="4166"/>
      <c r="Q69" s="4166"/>
      <c r="R69" s="4200"/>
    </row>
    <row r="70" spans="2:18" s="2002" customFormat="1" ht="21.2" customHeight="1">
      <c r="B70" s="4233" t="s">
        <v>122</v>
      </c>
      <c r="C70" s="4170"/>
      <c r="D70" s="4170"/>
      <c r="E70" s="4170"/>
      <c r="F70" s="4170" t="s">
        <v>125</v>
      </c>
      <c r="G70" s="4170"/>
      <c r="H70" s="4170"/>
      <c r="I70" s="4170" t="s">
        <v>125</v>
      </c>
      <c r="J70" s="1242" t="s">
        <v>122</v>
      </c>
      <c r="K70" s="4170"/>
      <c r="L70" s="4170"/>
      <c r="M70" s="4170" t="s">
        <v>125</v>
      </c>
      <c r="N70" s="4171" t="s">
        <v>224</v>
      </c>
      <c r="O70" s="1282"/>
      <c r="P70" s="1234"/>
      <c r="Q70" s="1234"/>
      <c r="R70" s="2062"/>
    </row>
    <row r="71" spans="2:18" s="2002" customFormat="1" ht="21.2" customHeight="1">
      <c r="B71" s="4233" t="s">
        <v>131</v>
      </c>
      <c r="C71" s="4170"/>
      <c r="D71" s="4170" t="s">
        <v>180</v>
      </c>
      <c r="E71" s="4170" t="s">
        <v>181</v>
      </c>
      <c r="F71" s="4170" t="s">
        <v>134</v>
      </c>
      <c r="G71" s="4170" t="s">
        <v>180</v>
      </c>
      <c r="H71" s="4170" t="s">
        <v>181</v>
      </c>
      <c r="I71" s="4170" t="s">
        <v>134</v>
      </c>
      <c r="J71" s="1242" t="s">
        <v>131</v>
      </c>
      <c r="K71" s="4170" t="s">
        <v>180</v>
      </c>
      <c r="L71" s="4170" t="s">
        <v>181</v>
      </c>
      <c r="M71" s="4170" t="s">
        <v>134</v>
      </c>
      <c r="N71" s="4171" t="s">
        <v>225</v>
      </c>
      <c r="O71" s="1282" t="s">
        <v>226</v>
      </c>
      <c r="P71" s="1234"/>
      <c r="Q71" s="1234"/>
      <c r="R71" s="2062"/>
    </row>
    <row r="72" spans="2:18" s="2002" customFormat="1" ht="21.2" customHeight="1">
      <c r="B72" s="4235" t="s">
        <v>186</v>
      </c>
      <c r="C72" s="4207" t="s">
        <v>187</v>
      </c>
      <c r="D72" s="4207" t="s">
        <v>280</v>
      </c>
      <c r="E72" s="4207" t="s">
        <v>228</v>
      </c>
      <c r="F72" s="4207" t="s">
        <v>189</v>
      </c>
      <c r="G72" s="4207" t="s">
        <v>280</v>
      </c>
      <c r="H72" s="4207" t="s">
        <v>228</v>
      </c>
      <c r="I72" s="4207" t="s">
        <v>189</v>
      </c>
      <c r="J72" s="4219" t="s">
        <v>141</v>
      </c>
      <c r="K72" s="4207" t="s">
        <v>280</v>
      </c>
      <c r="L72" s="4207" t="s">
        <v>228</v>
      </c>
      <c r="M72" s="4207" t="s">
        <v>189</v>
      </c>
      <c r="N72" s="4148" t="s">
        <v>230</v>
      </c>
      <c r="O72" s="2009" t="s">
        <v>231</v>
      </c>
      <c r="P72" s="1287"/>
      <c r="Q72" s="1287"/>
      <c r="R72" s="2063"/>
    </row>
    <row r="73" spans="2:18" s="1986" customFormat="1" ht="63.75" customHeight="1">
      <c r="B73" s="1413">
        <f t="shared" ref="B73:B101" si="4">C73+J73</f>
        <v>4481.7999999999993</v>
      </c>
      <c r="C73" s="1569">
        <f t="shared" ref="C73:C101" si="5">I73+H73+G73+F73+E73+D73</f>
        <v>2751.6999999999994</v>
      </c>
      <c r="D73" s="4183">
        <f>33.4+1.8</f>
        <v>35.199999999999996</v>
      </c>
      <c r="E73" s="4183">
        <f>289.5+7.7</f>
        <v>297.2</v>
      </c>
      <c r="F73" s="4183">
        <f>1915.2+411.9</f>
        <v>2327.1</v>
      </c>
      <c r="G73" s="4183">
        <v>0.6</v>
      </c>
      <c r="H73" s="4183">
        <v>6.1</v>
      </c>
      <c r="I73" s="4183">
        <v>85.5</v>
      </c>
      <c r="J73" s="4274">
        <f t="shared" ref="J73:J101" si="6">SUM(N73+M73+L73+K73)</f>
        <v>1730.1000000000001</v>
      </c>
      <c r="K73" s="4183">
        <v>6</v>
      </c>
      <c r="L73" s="4183">
        <v>61.2</v>
      </c>
      <c r="M73" s="4183">
        <v>615</v>
      </c>
      <c r="N73" s="1195">
        <v>1047.9000000000001</v>
      </c>
      <c r="O73" s="4676" t="s">
        <v>281</v>
      </c>
      <c r="P73" s="4677"/>
      <c r="Q73" s="4677"/>
      <c r="R73" s="4678"/>
    </row>
    <row r="74" spans="2:18" s="2064" customFormat="1" ht="63.75" customHeight="1">
      <c r="B74" s="1167">
        <f t="shared" si="4"/>
        <v>4841.5</v>
      </c>
      <c r="C74" s="2065">
        <f t="shared" si="5"/>
        <v>3095.2999999999997</v>
      </c>
      <c r="D74" s="4190">
        <f>29.3+3.4</f>
        <v>32.700000000000003</v>
      </c>
      <c r="E74" s="4190">
        <f>365.5+12.7</f>
        <v>378.2</v>
      </c>
      <c r="F74" s="4190">
        <f>2112.2+467.4</f>
        <v>2579.6</v>
      </c>
      <c r="G74" s="4190">
        <v>2.2999999999999998</v>
      </c>
      <c r="H74" s="4190">
        <v>12.6</v>
      </c>
      <c r="I74" s="4190">
        <v>89.9</v>
      </c>
      <c r="J74" s="2014">
        <f t="shared" si="6"/>
        <v>1746.1999999999998</v>
      </c>
      <c r="K74" s="4190">
        <v>5.3</v>
      </c>
      <c r="L74" s="4190">
        <v>37.6</v>
      </c>
      <c r="M74" s="4190">
        <v>630.70000000000005</v>
      </c>
      <c r="N74" s="1172">
        <v>1072.5999999999999</v>
      </c>
      <c r="O74" s="4661">
        <v>1994</v>
      </c>
      <c r="P74" s="4661"/>
      <c r="Q74" s="4661"/>
      <c r="R74" s="4662"/>
    </row>
    <row r="75" spans="2:18" s="1999" customFormat="1" ht="63.75" customHeight="1">
      <c r="B75" s="1413">
        <f t="shared" si="4"/>
        <v>5159.8</v>
      </c>
      <c r="C75" s="1569">
        <f t="shared" si="5"/>
        <v>3414.2</v>
      </c>
      <c r="D75" s="4183">
        <f>33.4+3.9</f>
        <v>37.299999999999997</v>
      </c>
      <c r="E75" s="4183">
        <f>436.4+8.4</f>
        <v>444.79999999999995</v>
      </c>
      <c r="F75" s="4183">
        <f>2161.8+656.2</f>
        <v>2818</v>
      </c>
      <c r="G75" s="4183">
        <v>0.8</v>
      </c>
      <c r="H75" s="4183">
        <v>14.2</v>
      </c>
      <c r="I75" s="4183">
        <v>99.1</v>
      </c>
      <c r="J75" s="4274">
        <f t="shared" si="6"/>
        <v>1745.6000000000001</v>
      </c>
      <c r="K75" s="4183">
        <v>25.6</v>
      </c>
      <c r="L75" s="4183">
        <v>48.2</v>
      </c>
      <c r="M75" s="4183">
        <v>620.9</v>
      </c>
      <c r="N75" s="1195">
        <v>1050.9000000000001</v>
      </c>
      <c r="O75" s="4663">
        <v>1995</v>
      </c>
      <c r="P75" s="4663"/>
      <c r="Q75" s="4663"/>
      <c r="R75" s="4664"/>
    </row>
    <row r="76" spans="2:18" s="2066" customFormat="1" ht="63.75" customHeight="1">
      <c r="B76" s="1167">
        <f t="shared" si="4"/>
        <v>5175.3</v>
      </c>
      <c r="C76" s="2065">
        <f t="shared" si="5"/>
        <v>3636.1000000000004</v>
      </c>
      <c r="D76" s="4190">
        <f>43.3+3.1</f>
        <v>46.4</v>
      </c>
      <c r="E76" s="4184">
        <f>504.8+3.4</f>
        <v>508.2</v>
      </c>
      <c r="F76" s="4184">
        <f>2252.4+723.7</f>
        <v>2976.1000000000004</v>
      </c>
      <c r="G76" s="4184">
        <v>1.6</v>
      </c>
      <c r="H76" s="4184">
        <v>9.8000000000000007</v>
      </c>
      <c r="I76" s="4184">
        <v>94</v>
      </c>
      <c r="J76" s="4276">
        <f t="shared" si="6"/>
        <v>1539.2</v>
      </c>
      <c r="K76" s="4184">
        <v>4.5999999999999996</v>
      </c>
      <c r="L76" s="4184">
        <v>33.299999999999997</v>
      </c>
      <c r="M76" s="4184">
        <v>549.1</v>
      </c>
      <c r="N76" s="1172">
        <v>952.2</v>
      </c>
      <c r="O76" s="4661">
        <v>1996</v>
      </c>
      <c r="P76" s="4661"/>
      <c r="Q76" s="4661"/>
      <c r="R76" s="4662"/>
    </row>
    <row r="77" spans="2:18" s="1999" customFormat="1" ht="63.75" customHeight="1">
      <c r="B77" s="1413">
        <f t="shared" si="4"/>
        <v>5576.6</v>
      </c>
      <c r="C77" s="1569">
        <f t="shared" si="5"/>
        <v>3934.2000000000003</v>
      </c>
      <c r="D77" s="4183">
        <f>48.7+3.3</f>
        <v>52</v>
      </c>
      <c r="E77" s="4183">
        <f>523.3+8.8</f>
        <v>532.09999999999991</v>
      </c>
      <c r="F77" s="4183">
        <f>2523+708.8</f>
        <v>3231.8</v>
      </c>
      <c r="G77" s="4183">
        <v>1.2</v>
      </c>
      <c r="H77" s="4183">
        <v>12.3</v>
      </c>
      <c r="I77" s="4183">
        <v>104.8</v>
      </c>
      <c r="J77" s="4274">
        <f t="shared" si="6"/>
        <v>1642.3999999999999</v>
      </c>
      <c r="K77" s="4183">
        <v>5.0999999999999996</v>
      </c>
      <c r="L77" s="4183">
        <v>55.8</v>
      </c>
      <c r="M77" s="4183">
        <v>593.9</v>
      </c>
      <c r="N77" s="1195">
        <v>987.6</v>
      </c>
      <c r="O77" s="4663">
        <v>1997</v>
      </c>
      <c r="P77" s="4663"/>
      <c r="Q77" s="4663"/>
      <c r="R77" s="4664"/>
    </row>
    <row r="78" spans="2:18" s="2066" customFormat="1" ht="63.75" customHeight="1">
      <c r="B78" s="1167">
        <f t="shared" si="4"/>
        <v>6003.2</v>
      </c>
      <c r="C78" s="2065">
        <f t="shared" si="5"/>
        <v>4378</v>
      </c>
      <c r="D78" s="4190">
        <v>128.5</v>
      </c>
      <c r="E78" s="4184">
        <v>696.6</v>
      </c>
      <c r="F78" s="4184">
        <v>3404.1</v>
      </c>
      <c r="G78" s="4184">
        <v>2.4</v>
      </c>
      <c r="H78" s="4184">
        <v>10.4</v>
      </c>
      <c r="I78" s="4184">
        <v>136</v>
      </c>
      <c r="J78" s="4276">
        <f t="shared" si="6"/>
        <v>1625.2</v>
      </c>
      <c r="K78" s="4184">
        <v>7.1</v>
      </c>
      <c r="L78" s="4184">
        <v>65.2</v>
      </c>
      <c r="M78" s="4184">
        <v>600.1</v>
      </c>
      <c r="N78" s="1172">
        <v>952.8</v>
      </c>
      <c r="O78" s="4661">
        <v>1998</v>
      </c>
      <c r="P78" s="4661"/>
      <c r="Q78" s="4661"/>
      <c r="R78" s="4662"/>
    </row>
    <row r="79" spans="2:18" s="1999" customFormat="1" ht="63.75" customHeight="1">
      <c r="B79" s="1413">
        <f t="shared" si="4"/>
        <v>6026.3</v>
      </c>
      <c r="C79" s="1569">
        <f t="shared" si="5"/>
        <v>4412.4000000000005</v>
      </c>
      <c r="D79" s="4183">
        <f>25.4+4.2</f>
        <v>29.599999999999998</v>
      </c>
      <c r="E79" s="4183">
        <f>727.9+34.2</f>
        <v>762.1</v>
      </c>
      <c r="F79" s="4183">
        <f>2526.4+946.4</f>
        <v>3472.8</v>
      </c>
      <c r="G79" s="4183">
        <v>1.3</v>
      </c>
      <c r="H79" s="4183">
        <v>8.1999999999999993</v>
      </c>
      <c r="I79" s="4183">
        <v>138.4</v>
      </c>
      <c r="J79" s="4274">
        <f t="shared" si="6"/>
        <v>1613.8999999999999</v>
      </c>
      <c r="K79" s="4183">
        <v>1.2</v>
      </c>
      <c r="L79" s="4183">
        <v>55.5</v>
      </c>
      <c r="M79" s="4183">
        <v>604.4</v>
      </c>
      <c r="N79" s="1195">
        <v>952.8</v>
      </c>
      <c r="O79" s="4676" t="s">
        <v>282</v>
      </c>
      <c r="P79" s="4677"/>
      <c r="Q79" s="4677"/>
      <c r="R79" s="4678"/>
    </row>
    <row r="80" spans="2:18" s="2066" customFormat="1" ht="63.75" customHeight="1">
      <c r="B80" s="1167">
        <f t="shared" si="4"/>
        <v>6747.5999999999995</v>
      </c>
      <c r="C80" s="2065">
        <f t="shared" si="5"/>
        <v>4970.5</v>
      </c>
      <c r="D80" s="4190">
        <f>3.4+33</f>
        <v>36.4</v>
      </c>
      <c r="E80" s="4184">
        <f>32.3+906.5</f>
        <v>938.8</v>
      </c>
      <c r="F80" s="4184">
        <f>1087.2+2747.9</f>
        <v>3835.1000000000004</v>
      </c>
      <c r="G80" s="4184">
        <v>1.4</v>
      </c>
      <c r="H80" s="4184">
        <v>10.9</v>
      </c>
      <c r="I80" s="4184">
        <v>147.9</v>
      </c>
      <c r="J80" s="4276">
        <f t="shared" si="6"/>
        <v>1777.0999999999997</v>
      </c>
      <c r="K80" s="4184">
        <v>3.3</v>
      </c>
      <c r="L80" s="4184">
        <v>58.1</v>
      </c>
      <c r="M80" s="4184">
        <v>609.1</v>
      </c>
      <c r="N80" s="1172">
        <v>1106.5999999999999</v>
      </c>
      <c r="O80" s="4661">
        <v>1999</v>
      </c>
      <c r="P80" s="4661"/>
      <c r="Q80" s="4661"/>
      <c r="R80" s="4662"/>
    </row>
    <row r="81" spans="2:32" s="1999" customFormat="1" ht="63.75" customHeight="1">
      <c r="B81" s="1413">
        <f t="shared" si="4"/>
        <v>7434.6999999999989</v>
      </c>
      <c r="C81" s="1569">
        <f t="shared" si="5"/>
        <v>5407.9999999999991</v>
      </c>
      <c r="D81" s="4183">
        <f>6.8+47.6</f>
        <v>54.4</v>
      </c>
      <c r="E81" s="4183">
        <f>68.9+914.8</f>
        <v>983.69999999999993</v>
      </c>
      <c r="F81" s="4183">
        <f>1331.6+2862.3</f>
        <v>4193.8999999999996</v>
      </c>
      <c r="G81" s="4183">
        <v>0.7</v>
      </c>
      <c r="H81" s="4183">
        <v>15.1</v>
      </c>
      <c r="I81" s="4183">
        <v>160.19999999999999</v>
      </c>
      <c r="J81" s="4274">
        <f t="shared" si="6"/>
        <v>2026.7</v>
      </c>
      <c r="K81" s="4183">
        <v>7.3</v>
      </c>
      <c r="L81" s="4183">
        <v>58.6</v>
      </c>
      <c r="M81" s="4183">
        <v>720.9</v>
      </c>
      <c r="N81" s="1195">
        <v>1239.9000000000001</v>
      </c>
      <c r="O81" s="4663">
        <v>2000</v>
      </c>
      <c r="P81" s="4663"/>
      <c r="Q81" s="4663" t="s">
        <v>283</v>
      </c>
      <c r="R81" s="4664"/>
    </row>
    <row r="82" spans="2:32" s="2066" customFormat="1" ht="63.75" customHeight="1">
      <c r="B82" s="1167">
        <f t="shared" si="4"/>
        <v>7866.1</v>
      </c>
      <c r="C82" s="2065">
        <f t="shared" si="5"/>
        <v>5746.4000000000005</v>
      </c>
      <c r="D82" s="4190">
        <f>7.6+60.9</f>
        <v>68.5</v>
      </c>
      <c r="E82" s="4184">
        <f>63.4+892.4</f>
        <v>955.8</v>
      </c>
      <c r="F82" s="4184">
        <f>1500.2+2972.3</f>
        <v>4472.5</v>
      </c>
      <c r="G82" s="4184">
        <v>1</v>
      </c>
      <c r="H82" s="4184">
        <v>17.5</v>
      </c>
      <c r="I82" s="4184">
        <v>231.1</v>
      </c>
      <c r="J82" s="4276">
        <f t="shared" si="6"/>
        <v>2119.7000000000003</v>
      </c>
      <c r="K82" s="4184">
        <v>7.9</v>
      </c>
      <c r="L82" s="4184">
        <v>103.7</v>
      </c>
      <c r="M82" s="4184">
        <v>805.7</v>
      </c>
      <c r="N82" s="1172">
        <v>1202.4000000000001</v>
      </c>
      <c r="O82" s="4661">
        <v>2001</v>
      </c>
      <c r="P82" s="4661"/>
      <c r="Q82" s="4661" t="s">
        <v>284</v>
      </c>
      <c r="R82" s="4662"/>
    </row>
    <row r="83" spans="2:32" s="1999" customFormat="1" ht="63.75" customHeight="1">
      <c r="B83" s="1413">
        <f t="shared" si="4"/>
        <v>8419.1</v>
      </c>
      <c r="C83" s="1569">
        <f t="shared" si="5"/>
        <v>6102.9</v>
      </c>
      <c r="D83" s="4183">
        <f>7.3+56.6</f>
        <v>63.9</v>
      </c>
      <c r="E83" s="4183">
        <f>49.3+800.8</f>
        <v>850.09999999999991</v>
      </c>
      <c r="F83" s="4183">
        <f>1557.2+3297</f>
        <v>4854.2</v>
      </c>
      <c r="G83" s="4183">
        <v>1.4</v>
      </c>
      <c r="H83" s="4183">
        <v>12</v>
      </c>
      <c r="I83" s="4183">
        <v>321.3</v>
      </c>
      <c r="J83" s="4274">
        <f t="shared" si="6"/>
        <v>2316.2000000000003</v>
      </c>
      <c r="K83" s="4183">
        <v>7.3</v>
      </c>
      <c r="L83" s="4183">
        <v>137</v>
      </c>
      <c r="M83" s="4183">
        <v>919.2</v>
      </c>
      <c r="N83" s="1195">
        <v>1252.7</v>
      </c>
      <c r="O83" s="4663">
        <v>2002</v>
      </c>
      <c r="P83" s="4663"/>
      <c r="Q83" s="4663" t="s">
        <v>285</v>
      </c>
      <c r="R83" s="4664"/>
    </row>
    <row r="84" spans="2:32" s="2066" customFormat="1" ht="63.75" customHeight="1">
      <c r="B84" s="1167">
        <f t="shared" si="4"/>
        <v>9465.7000000000007</v>
      </c>
      <c r="C84" s="1570">
        <f t="shared" si="5"/>
        <v>6545.7999999999993</v>
      </c>
      <c r="D84" s="4184">
        <f>8.2+69.7</f>
        <v>77.900000000000006</v>
      </c>
      <c r="E84" s="4184">
        <f>108.8+614.7</f>
        <v>723.5</v>
      </c>
      <c r="F84" s="4184">
        <f>1623.6+3638.9</f>
        <v>5262.5</v>
      </c>
      <c r="G84" s="4184">
        <v>1.4</v>
      </c>
      <c r="H84" s="4184">
        <v>39.299999999999997</v>
      </c>
      <c r="I84" s="4184">
        <v>441.2</v>
      </c>
      <c r="J84" s="4276">
        <f t="shared" si="6"/>
        <v>2919.9000000000005</v>
      </c>
      <c r="K84" s="4184">
        <v>10.3</v>
      </c>
      <c r="L84" s="4184">
        <v>196.5</v>
      </c>
      <c r="M84" s="4184">
        <v>1269.4000000000001</v>
      </c>
      <c r="N84" s="1172">
        <v>1443.7</v>
      </c>
      <c r="O84" s="4661">
        <v>2003</v>
      </c>
      <c r="P84" s="4661"/>
      <c r="Q84" s="4661" t="s">
        <v>286</v>
      </c>
      <c r="R84" s="4662"/>
    </row>
    <row r="85" spans="2:32" s="1999" customFormat="1" ht="63.75" customHeight="1">
      <c r="B85" s="1413">
        <f>C85+J85</f>
        <v>10571.4</v>
      </c>
      <c r="C85" s="1569">
        <f>I85+H85+G85+F85+E85+D85</f>
        <v>7378.4</v>
      </c>
      <c r="D85" s="4183">
        <f>81.1+9.6</f>
        <v>90.699999999999989</v>
      </c>
      <c r="E85" s="4183">
        <f>618.1+140</f>
        <v>758.1</v>
      </c>
      <c r="F85" s="4183">
        <f>3977.5+1915.2</f>
        <v>5892.7</v>
      </c>
      <c r="G85" s="4183">
        <v>1.1000000000000001</v>
      </c>
      <c r="H85" s="4183">
        <v>67.900000000000006</v>
      </c>
      <c r="I85" s="4183">
        <v>567.9</v>
      </c>
      <c r="J85" s="4274">
        <f>SUM(N85+M85+L85+K85)</f>
        <v>3193.0000000000005</v>
      </c>
      <c r="K85" s="4183">
        <v>11.4</v>
      </c>
      <c r="L85" s="4183">
        <v>130</v>
      </c>
      <c r="M85" s="4183">
        <v>1637.2</v>
      </c>
      <c r="N85" s="1195">
        <v>1414.4</v>
      </c>
      <c r="O85" s="4663">
        <v>2004</v>
      </c>
      <c r="P85" s="4663"/>
      <c r="Q85" s="4663" t="s">
        <v>287</v>
      </c>
      <c r="R85" s="4664"/>
    </row>
    <row r="86" spans="2:32" s="2066" customFormat="1" ht="63.75" customHeight="1">
      <c r="B86" s="1167">
        <f t="shared" si="4"/>
        <v>12363.999999999998</v>
      </c>
      <c r="C86" s="1570">
        <f t="shared" si="5"/>
        <v>8302.6999999999989</v>
      </c>
      <c r="D86" s="4184">
        <v>67.400000000000006</v>
      </c>
      <c r="E86" s="4184">
        <v>734.1</v>
      </c>
      <c r="F86" s="4184">
        <v>6879.3</v>
      </c>
      <c r="G86" s="4184">
        <v>1.4</v>
      </c>
      <c r="H86" s="4184">
        <v>50.7</v>
      </c>
      <c r="I86" s="4184">
        <v>569.79999999999995</v>
      </c>
      <c r="J86" s="4276">
        <f t="shared" si="6"/>
        <v>4061.2999999999993</v>
      </c>
      <c r="K86" s="4184">
        <v>12.2</v>
      </c>
      <c r="L86" s="4184">
        <v>104.2</v>
      </c>
      <c r="M86" s="4184">
        <v>2287.6</v>
      </c>
      <c r="N86" s="1172">
        <v>1657.3</v>
      </c>
      <c r="O86" s="4661">
        <v>2005</v>
      </c>
      <c r="P86" s="4661"/>
      <c r="Q86" s="4661" t="s">
        <v>288</v>
      </c>
      <c r="R86" s="4662"/>
    </row>
    <row r="87" spans="2:32" s="1999" customFormat="1" ht="63.75" customHeight="1">
      <c r="B87" s="1413">
        <f t="shared" si="4"/>
        <v>14109.7</v>
      </c>
      <c r="C87" s="1569">
        <f t="shared" si="5"/>
        <v>9543.3000000000011</v>
      </c>
      <c r="D87" s="4183">
        <f>77.8+6.3</f>
        <v>84.1</v>
      </c>
      <c r="E87" s="4183">
        <f>494.7+96.5</f>
        <v>591.20000000000005</v>
      </c>
      <c r="F87" s="4183">
        <f>8183</f>
        <v>8183</v>
      </c>
      <c r="G87" s="4183">
        <v>1.7</v>
      </c>
      <c r="H87" s="4183">
        <v>35</v>
      </c>
      <c r="I87" s="4183">
        <v>648.29999999999995</v>
      </c>
      <c r="J87" s="4274">
        <f t="shared" si="6"/>
        <v>4566.3999999999996</v>
      </c>
      <c r="K87" s="4183">
        <v>10.9</v>
      </c>
      <c r="L87" s="4183">
        <v>92.6</v>
      </c>
      <c r="M87" s="4183">
        <v>2435.5</v>
      </c>
      <c r="N87" s="1195">
        <v>2027.4</v>
      </c>
      <c r="O87" s="4663">
        <v>2006</v>
      </c>
      <c r="P87" s="4663"/>
      <c r="Q87" s="4663" t="s">
        <v>289</v>
      </c>
      <c r="R87" s="4664"/>
    </row>
    <row r="88" spans="2:32" s="1999" customFormat="1" ht="63.75" customHeight="1">
      <c r="B88" s="1167">
        <f t="shared" si="4"/>
        <v>15606.900000000001</v>
      </c>
      <c r="C88" s="1570">
        <f t="shared" si="5"/>
        <v>10773.7</v>
      </c>
      <c r="D88" s="4184">
        <f>71.6+14.1</f>
        <v>85.699999999999989</v>
      </c>
      <c r="E88" s="4184">
        <f>589+120.2</f>
        <v>709.2</v>
      </c>
      <c r="F88" s="4184">
        <f>9228.3</f>
        <v>9228.2999999999993</v>
      </c>
      <c r="G88" s="4184">
        <v>4.4000000000000004</v>
      </c>
      <c r="H88" s="4184">
        <v>48.8</v>
      </c>
      <c r="I88" s="4184">
        <v>697.3</v>
      </c>
      <c r="J88" s="4276">
        <f t="shared" si="6"/>
        <v>4833.2</v>
      </c>
      <c r="K88" s="4184">
        <v>12.3</v>
      </c>
      <c r="L88" s="4184">
        <v>75</v>
      </c>
      <c r="M88" s="4184">
        <v>2573.5</v>
      </c>
      <c r="N88" s="1172">
        <v>2172.4</v>
      </c>
      <c r="O88" s="4661">
        <v>2007</v>
      </c>
      <c r="P88" s="4661"/>
      <c r="Q88" s="4661" t="s">
        <v>290</v>
      </c>
      <c r="R88" s="4662"/>
    </row>
    <row r="89" spans="2:32" s="1999" customFormat="1" ht="63.75" customHeight="1">
      <c r="B89" s="1413">
        <f>C89+J89</f>
        <v>18304.300000000003</v>
      </c>
      <c r="C89" s="1569">
        <f t="shared" si="5"/>
        <v>12731.300000000001</v>
      </c>
      <c r="D89" s="4183">
        <v>85.8</v>
      </c>
      <c r="E89" s="4183">
        <v>870.9</v>
      </c>
      <c r="F89" s="4183">
        <f>8528.2+2164.2</f>
        <v>10692.400000000001</v>
      </c>
      <c r="G89" s="4183">
        <v>32.6</v>
      </c>
      <c r="H89" s="4183">
        <v>222.6</v>
      </c>
      <c r="I89" s="4183">
        <v>827</v>
      </c>
      <c r="J89" s="4274">
        <f t="shared" si="6"/>
        <v>5573</v>
      </c>
      <c r="K89" s="4183">
        <v>21.3</v>
      </c>
      <c r="L89" s="4183">
        <v>114.2</v>
      </c>
      <c r="M89" s="4183">
        <v>2772.7</v>
      </c>
      <c r="N89" s="1195">
        <v>2664.8</v>
      </c>
      <c r="O89" s="4663">
        <v>2008</v>
      </c>
      <c r="P89" s="4663"/>
      <c r="Q89" s="4663" t="s">
        <v>291</v>
      </c>
      <c r="R89" s="4664"/>
      <c r="S89" s="2067"/>
      <c r="T89" s="2067"/>
      <c r="U89" s="1982"/>
    </row>
    <row r="90" spans="2:32" s="1999" customFormat="1" ht="63.75" customHeight="1">
      <c r="B90" s="1167">
        <f t="shared" si="4"/>
        <v>20013.300000000003</v>
      </c>
      <c r="C90" s="1570">
        <f t="shared" si="5"/>
        <v>13973.800000000001</v>
      </c>
      <c r="D90" s="4184">
        <v>116.1</v>
      </c>
      <c r="E90" s="4184">
        <f>28.9+708.7</f>
        <v>737.6</v>
      </c>
      <c r="F90" s="4184">
        <f>10266.1+1697.1</f>
        <v>11963.2</v>
      </c>
      <c r="G90" s="4184">
        <v>25.2</v>
      </c>
      <c r="H90" s="4184">
        <v>72.2</v>
      </c>
      <c r="I90" s="4184">
        <v>1059.5</v>
      </c>
      <c r="J90" s="4276">
        <f t="shared" si="6"/>
        <v>6039.5</v>
      </c>
      <c r="K90" s="4184">
        <v>19.899999999999999</v>
      </c>
      <c r="L90" s="4184">
        <v>106.1</v>
      </c>
      <c r="M90" s="4184">
        <v>3234</v>
      </c>
      <c r="N90" s="1172">
        <v>2679.5</v>
      </c>
      <c r="O90" s="4661">
        <v>2009</v>
      </c>
      <c r="P90" s="4661"/>
      <c r="Q90" s="4661" t="s">
        <v>292</v>
      </c>
      <c r="R90" s="4662"/>
      <c r="S90" s="2067"/>
      <c r="T90" s="2067"/>
      <c r="U90" s="1982"/>
    </row>
    <row r="91" spans="2:32" s="1999" customFormat="1" ht="63.75" customHeight="1">
      <c r="B91" s="1413">
        <f t="shared" si="4"/>
        <v>22306.7</v>
      </c>
      <c r="C91" s="1569">
        <f t="shared" si="5"/>
        <v>15756.7</v>
      </c>
      <c r="D91" s="4183">
        <f>134.6+10.3</f>
        <v>144.9</v>
      </c>
      <c r="E91" s="4183">
        <f>775.9+17.6</f>
        <v>793.5</v>
      </c>
      <c r="F91" s="4183">
        <f>11614.7+1824.2</f>
        <v>13438.900000000001</v>
      </c>
      <c r="G91" s="4183">
        <v>40.5</v>
      </c>
      <c r="H91" s="4183">
        <v>33.6</v>
      </c>
      <c r="I91" s="4183">
        <v>1305.3</v>
      </c>
      <c r="J91" s="4274">
        <f t="shared" si="6"/>
        <v>6549.9999999999991</v>
      </c>
      <c r="K91" s="4183">
        <v>21.9</v>
      </c>
      <c r="L91" s="4183">
        <v>84.7</v>
      </c>
      <c r="M91" s="4183">
        <v>3599.7</v>
      </c>
      <c r="N91" s="1195">
        <v>2843.7</v>
      </c>
      <c r="O91" s="4663">
        <v>2010</v>
      </c>
      <c r="P91" s="4663"/>
      <c r="Q91" s="4663" t="s">
        <v>293</v>
      </c>
      <c r="R91" s="4664"/>
      <c r="S91" s="2067"/>
      <c r="T91" s="2067"/>
      <c r="U91" s="1982"/>
    </row>
    <row r="92" spans="2:32" s="1999" customFormat="1" ht="63.75" customHeight="1">
      <c r="B92" s="1167">
        <f t="shared" si="4"/>
        <v>24118.9</v>
      </c>
      <c r="C92" s="1570">
        <f t="shared" si="5"/>
        <v>16847.3</v>
      </c>
      <c r="D92" s="4184">
        <f>169.4+19.6</f>
        <v>189</v>
      </c>
      <c r="E92" s="4184">
        <f>803.1+16.8</f>
        <v>819.9</v>
      </c>
      <c r="F92" s="4184">
        <f>12349+1914.3</f>
        <v>14263.3</v>
      </c>
      <c r="G92" s="4184">
        <v>71.8</v>
      </c>
      <c r="H92" s="4184">
        <v>19.399999999999999</v>
      </c>
      <c r="I92" s="4184">
        <v>1483.9</v>
      </c>
      <c r="J92" s="4276">
        <f t="shared" si="6"/>
        <v>7271.6000000000013</v>
      </c>
      <c r="K92" s="4184">
        <v>22.6</v>
      </c>
      <c r="L92" s="4184">
        <v>71.099999999999994</v>
      </c>
      <c r="M92" s="4184">
        <v>4158.6000000000004</v>
      </c>
      <c r="N92" s="1172">
        <v>3019.3</v>
      </c>
      <c r="O92" s="4661">
        <v>2011</v>
      </c>
      <c r="P92" s="4661"/>
      <c r="Q92" s="4661" t="s">
        <v>294</v>
      </c>
      <c r="R92" s="4662"/>
      <c r="S92" s="2067"/>
      <c r="T92" s="2067"/>
      <c r="U92" s="1982"/>
    </row>
    <row r="93" spans="2:32" s="1999" customFormat="1" ht="63.75" customHeight="1">
      <c r="B93" s="1413">
        <f t="shared" si="4"/>
        <v>24945.1</v>
      </c>
      <c r="C93" s="1569">
        <f t="shared" si="5"/>
        <v>17733.999999999996</v>
      </c>
      <c r="D93" s="4183">
        <v>205.5</v>
      </c>
      <c r="E93" s="4183">
        <f>925.3+22.5</f>
        <v>947.8</v>
      </c>
      <c r="F93" s="4183">
        <f>11216.8+3056.3</f>
        <v>14273.099999999999</v>
      </c>
      <c r="G93" s="4183">
        <v>37.6</v>
      </c>
      <c r="H93" s="4183">
        <v>23.5</v>
      </c>
      <c r="I93" s="4183">
        <v>2246.5</v>
      </c>
      <c r="J93" s="4274">
        <f t="shared" si="6"/>
        <v>7211.1</v>
      </c>
      <c r="K93" s="4183">
        <v>35.5</v>
      </c>
      <c r="L93" s="4183">
        <v>93.1</v>
      </c>
      <c r="M93" s="4183">
        <v>3867.5</v>
      </c>
      <c r="N93" s="1195">
        <v>3215</v>
      </c>
      <c r="O93" s="4663">
        <v>2012</v>
      </c>
      <c r="P93" s="4663"/>
      <c r="Q93" s="4663" t="s">
        <v>295</v>
      </c>
      <c r="R93" s="4664"/>
      <c r="S93" s="2067"/>
      <c r="T93" s="2067"/>
      <c r="U93" s="1982"/>
    </row>
    <row r="94" spans="2:32" ht="63.75" customHeight="1">
      <c r="B94" s="1167">
        <f t="shared" si="4"/>
        <v>27363.4</v>
      </c>
      <c r="C94" s="1570">
        <f t="shared" si="5"/>
        <v>18955.000000000004</v>
      </c>
      <c r="D94" s="4184">
        <v>208.9</v>
      </c>
      <c r="E94" s="4184">
        <f>1129.2+11.2</f>
        <v>1140.4000000000001</v>
      </c>
      <c r="F94" s="4184">
        <f>12988.5+2441.6</f>
        <v>15430.1</v>
      </c>
      <c r="G94" s="4184">
        <v>45.7</v>
      </c>
      <c r="H94" s="4184">
        <v>21.7</v>
      </c>
      <c r="I94" s="4184">
        <v>2108.1999999999998</v>
      </c>
      <c r="J94" s="4276">
        <f t="shared" si="6"/>
        <v>8408.4</v>
      </c>
      <c r="K94" s="4184">
        <v>30.4</v>
      </c>
      <c r="L94" s="4184">
        <v>113.9</v>
      </c>
      <c r="M94" s="4184">
        <v>4657.5</v>
      </c>
      <c r="N94" s="1172">
        <v>3606.6</v>
      </c>
      <c r="O94" s="4661">
        <v>2013</v>
      </c>
      <c r="P94" s="4661"/>
      <c r="Q94" s="4661" t="s">
        <v>296</v>
      </c>
      <c r="R94" s="4662"/>
      <c r="T94" s="1982"/>
      <c r="U94" s="2068"/>
      <c r="V94" s="2068"/>
      <c r="W94" s="2069"/>
      <c r="X94" s="2070"/>
      <c r="Y94" s="2071"/>
      <c r="Z94" s="2072"/>
      <c r="AA94" s="2072"/>
      <c r="AB94" s="2073"/>
      <c r="AC94" s="1801"/>
      <c r="AD94" s="1801"/>
      <c r="AE94" s="1801"/>
      <c r="AF94" s="1801"/>
    </row>
    <row r="95" spans="2:32" ht="63.75" customHeight="1">
      <c r="B95" s="1413">
        <f t="shared" si="4"/>
        <v>29240.399999999994</v>
      </c>
      <c r="C95" s="1569">
        <f t="shared" si="5"/>
        <v>20008.699999999997</v>
      </c>
      <c r="D95" s="4183">
        <v>273.3</v>
      </c>
      <c r="E95" s="4183">
        <v>935.2</v>
      </c>
      <c r="F95" s="4183">
        <v>16557.899999999998</v>
      </c>
      <c r="G95" s="4183">
        <v>34.5</v>
      </c>
      <c r="H95" s="4183">
        <v>11.4</v>
      </c>
      <c r="I95" s="4183">
        <v>2196.4</v>
      </c>
      <c r="J95" s="4274">
        <f t="shared" si="6"/>
        <v>9231.6999999999989</v>
      </c>
      <c r="K95" s="4183">
        <v>58.4</v>
      </c>
      <c r="L95" s="4183">
        <v>146.30000000000001</v>
      </c>
      <c r="M95" s="4183">
        <v>5222.6000000000004</v>
      </c>
      <c r="N95" s="1195">
        <v>3804.4</v>
      </c>
      <c r="O95" s="4663">
        <v>2014</v>
      </c>
      <c r="P95" s="4663"/>
      <c r="Q95" s="4663" t="s">
        <v>295</v>
      </c>
      <c r="R95" s="4664"/>
      <c r="T95" s="1982"/>
      <c r="U95" s="2068"/>
      <c r="V95" s="2068"/>
      <c r="W95" s="2069"/>
      <c r="X95" s="2070"/>
      <c r="Y95" s="2071"/>
      <c r="Z95" s="2072"/>
      <c r="AA95" s="2072"/>
      <c r="AB95" s="2073"/>
      <c r="AC95" s="1801"/>
      <c r="AD95" s="1801"/>
      <c r="AE95" s="1801"/>
      <c r="AF95" s="1801"/>
    </row>
    <row r="96" spans="2:32" ht="63.75" customHeight="1">
      <c r="B96" s="1167">
        <f t="shared" si="4"/>
        <v>31605.5</v>
      </c>
      <c r="C96" s="1570">
        <f t="shared" si="5"/>
        <v>21725.300000000003</v>
      </c>
      <c r="D96" s="4184">
        <v>345.5</v>
      </c>
      <c r="E96" s="4184">
        <v>1233.5</v>
      </c>
      <c r="F96" s="4184">
        <v>17635.900000000001</v>
      </c>
      <c r="G96" s="4184">
        <v>42.7</v>
      </c>
      <c r="H96" s="4184">
        <v>13.8</v>
      </c>
      <c r="I96" s="4184">
        <v>2453.9</v>
      </c>
      <c r="J96" s="4276">
        <f t="shared" si="6"/>
        <v>9880.1999999999989</v>
      </c>
      <c r="K96" s="4184">
        <v>59.4</v>
      </c>
      <c r="L96" s="4184">
        <v>177.7</v>
      </c>
      <c r="M96" s="4184">
        <v>5709.9</v>
      </c>
      <c r="N96" s="1172">
        <v>3933.2</v>
      </c>
      <c r="O96" s="4661">
        <v>2015</v>
      </c>
      <c r="P96" s="4661"/>
      <c r="Q96" s="4661"/>
      <c r="R96" s="4662"/>
      <c r="T96" s="1982"/>
      <c r="U96" s="2068"/>
      <c r="V96" s="2068"/>
      <c r="W96" s="2069"/>
      <c r="X96" s="2070"/>
      <c r="Y96" s="2071"/>
      <c r="Z96" s="2072"/>
      <c r="AA96" s="2072"/>
      <c r="AB96" s="2073"/>
      <c r="AC96" s="1801"/>
      <c r="AD96" s="1801"/>
      <c r="AE96" s="1801"/>
      <c r="AF96" s="1801"/>
    </row>
    <row r="97" spans="2:32" ht="63.75" customHeight="1">
      <c r="B97" s="1413">
        <f t="shared" si="4"/>
        <v>32876.199999999997</v>
      </c>
      <c r="C97" s="1569">
        <f t="shared" si="5"/>
        <v>22489.3</v>
      </c>
      <c r="D97" s="4183">
        <v>318.10000000000002</v>
      </c>
      <c r="E97" s="4183">
        <v>1089.0999999999999</v>
      </c>
      <c r="F97" s="4183">
        <v>18305.2</v>
      </c>
      <c r="G97" s="4183">
        <v>14.4</v>
      </c>
      <c r="H97" s="4183">
        <v>8.9</v>
      </c>
      <c r="I97" s="4183">
        <v>2753.6</v>
      </c>
      <c r="J97" s="4274">
        <f t="shared" si="6"/>
        <v>10386.900000000001</v>
      </c>
      <c r="K97" s="4183">
        <v>68.099999999999994</v>
      </c>
      <c r="L97" s="4183">
        <v>243.4</v>
      </c>
      <c r="M97" s="4183">
        <v>5894.1</v>
      </c>
      <c r="N97" s="1195">
        <v>4181.3</v>
      </c>
      <c r="O97" s="4663">
        <v>2016</v>
      </c>
      <c r="P97" s="4663"/>
      <c r="Q97" s="4663"/>
      <c r="R97" s="4664"/>
      <c r="T97" s="1982"/>
      <c r="U97" s="2068"/>
      <c r="V97" s="2068"/>
      <c r="W97" s="2069"/>
      <c r="X97" s="2070"/>
      <c r="Y97" s="2071"/>
      <c r="Z97" s="2072"/>
      <c r="AA97" s="2072"/>
      <c r="AB97" s="2073"/>
      <c r="AC97" s="1801"/>
      <c r="AD97" s="1801"/>
      <c r="AE97" s="1801"/>
      <c r="AF97" s="1801"/>
    </row>
    <row r="98" spans="2:32" ht="63.75" customHeight="1">
      <c r="B98" s="1167">
        <f t="shared" si="4"/>
        <v>32957.599999999999</v>
      </c>
      <c r="C98" s="1570">
        <f t="shared" si="5"/>
        <v>22822.399999999998</v>
      </c>
      <c r="D98" s="4184">
        <v>245.3</v>
      </c>
      <c r="E98" s="4184">
        <v>1261.8</v>
      </c>
      <c r="F98" s="4184">
        <v>18654.5</v>
      </c>
      <c r="G98" s="4184">
        <v>11.5</v>
      </c>
      <c r="H98" s="4184">
        <v>6.5</v>
      </c>
      <c r="I98" s="4184">
        <v>2642.8</v>
      </c>
      <c r="J98" s="4276">
        <f t="shared" si="6"/>
        <v>10135.199999999999</v>
      </c>
      <c r="K98" s="4184">
        <v>77.3</v>
      </c>
      <c r="L98" s="4184">
        <v>112.5</v>
      </c>
      <c r="M98" s="4184">
        <v>5618.9</v>
      </c>
      <c r="N98" s="1172">
        <v>4326.5</v>
      </c>
      <c r="O98" s="4661">
        <v>2017</v>
      </c>
      <c r="P98" s="4661"/>
      <c r="Q98" s="4661"/>
      <c r="R98" s="4662"/>
      <c r="T98" s="1982"/>
      <c r="U98" s="2068"/>
      <c r="V98" s="2068"/>
      <c r="W98" s="2069"/>
      <c r="X98" s="2070"/>
      <c r="Y98" s="2071"/>
      <c r="Z98" s="2072"/>
      <c r="AA98" s="2072"/>
      <c r="AB98" s="2073"/>
      <c r="AC98" s="1801"/>
      <c r="AD98" s="1801"/>
      <c r="AE98" s="1801"/>
      <c r="AF98" s="1801"/>
    </row>
    <row r="99" spans="2:32" ht="63.75" customHeight="1">
      <c r="B99" s="1413">
        <f t="shared" si="4"/>
        <v>33359.300000000003</v>
      </c>
      <c r="C99" s="1569">
        <f t="shared" si="5"/>
        <v>23683.000000000004</v>
      </c>
      <c r="D99" s="4183">
        <v>279.2</v>
      </c>
      <c r="E99" s="4183">
        <v>1598.8999999999999</v>
      </c>
      <c r="F99" s="4183">
        <v>19228.2</v>
      </c>
      <c r="G99" s="4183">
        <v>24.5</v>
      </c>
      <c r="H99" s="4183">
        <v>8.5</v>
      </c>
      <c r="I99" s="4183">
        <v>2543.6999999999998</v>
      </c>
      <c r="J99" s="4274">
        <f t="shared" si="6"/>
        <v>9676.3000000000011</v>
      </c>
      <c r="K99" s="4183">
        <v>90.1</v>
      </c>
      <c r="L99" s="4183">
        <v>117.2</v>
      </c>
      <c r="M99" s="4183">
        <v>5172.6000000000004</v>
      </c>
      <c r="N99" s="1195">
        <v>4296.3999999999996</v>
      </c>
      <c r="O99" s="4663">
        <v>2018</v>
      </c>
      <c r="P99" s="4663"/>
      <c r="Q99" s="4663"/>
      <c r="R99" s="4664"/>
      <c r="T99" s="1982"/>
      <c r="U99" s="2068"/>
      <c r="V99" s="2068"/>
      <c r="W99" s="2069"/>
      <c r="X99" s="2070"/>
      <c r="Y99" s="2071"/>
      <c r="Z99" s="2072"/>
      <c r="AA99" s="2072"/>
      <c r="AB99" s="2073"/>
      <c r="AC99" s="1801"/>
      <c r="AD99" s="1801"/>
      <c r="AE99" s="1801"/>
      <c r="AF99" s="1801"/>
    </row>
    <row r="100" spans="2:32" ht="63.75" customHeight="1">
      <c r="B100" s="1167">
        <f t="shared" si="4"/>
        <v>34969.699999999997</v>
      </c>
      <c r="C100" s="1570">
        <f t="shared" si="5"/>
        <v>24646.899999999998</v>
      </c>
      <c r="D100" s="4184">
        <v>309.59999999999997</v>
      </c>
      <c r="E100" s="4184">
        <v>1570</v>
      </c>
      <c r="F100" s="4184">
        <v>20331.2</v>
      </c>
      <c r="G100" s="4184">
        <v>26.4</v>
      </c>
      <c r="H100" s="4184">
        <v>9.5</v>
      </c>
      <c r="I100" s="4184">
        <v>2400.1999999999998</v>
      </c>
      <c r="J100" s="4276">
        <f t="shared" si="6"/>
        <v>10322.799999999999</v>
      </c>
      <c r="K100" s="4184">
        <v>44.9</v>
      </c>
      <c r="L100" s="4184">
        <v>86.3</v>
      </c>
      <c r="M100" s="4184">
        <v>5560.6</v>
      </c>
      <c r="N100" s="1172">
        <v>4631</v>
      </c>
      <c r="O100" s="4661">
        <v>2019</v>
      </c>
      <c r="P100" s="4661"/>
      <c r="Q100" s="4661"/>
      <c r="R100" s="4662"/>
      <c r="T100" s="1982"/>
      <c r="U100" s="2068"/>
      <c r="V100" s="2068"/>
      <c r="W100" s="2069"/>
      <c r="X100" s="2070"/>
      <c r="Y100" s="2071"/>
      <c r="Z100" s="2072"/>
      <c r="AA100" s="2072"/>
      <c r="AB100" s="2073"/>
      <c r="AC100" s="1801"/>
      <c r="AD100" s="1801"/>
      <c r="AE100" s="1801"/>
      <c r="AF100" s="1801"/>
    </row>
    <row r="101" spans="2:32" ht="63.75" customHeight="1">
      <c r="B101" s="4313">
        <f t="shared" si="4"/>
        <v>37011.9</v>
      </c>
      <c r="C101" s="4317">
        <f t="shared" si="5"/>
        <v>24861.600000000002</v>
      </c>
      <c r="D101" s="4237">
        <v>340.4</v>
      </c>
      <c r="E101" s="4237">
        <v>1593</v>
      </c>
      <c r="F101" s="4237">
        <v>20178.100000000002</v>
      </c>
      <c r="G101" s="4237">
        <v>27.6</v>
      </c>
      <c r="H101" s="4237">
        <v>8.9</v>
      </c>
      <c r="I101" s="4237">
        <v>2713.6</v>
      </c>
      <c r="J101" s="4302">
        <f t="shared" si="6"/>
        <v>12150.3</v>
      </c>
      <c r="K101" s="4237">
        <v>47.9</v>
      </c>
      <c r="L101" s="4237">
        <v>203.6</v>
      </c>
      <c r="M101" s="4237">
        <v>5959.4</v>
      </c>
      <c r="N101" s="1166">
        <v>5939.4</v>
      </c>
      <c r="O101" s="4673">
        <v>2020</v>
      </c>
      <c r="P101" s="4673"/>
      <c r="Q101" s="4673"/>
      <c r="R101" s="4674"/>
      <c r="T101" s="1982"/>
      <c r="U101" s="2068"/>
      <c r="V101" s="2068"/>
      <c r="W101" s="2069"/>
      <c r="X101" s="2070"/>
      <c r="Y101" s="2071"/>
      <c r="Z101" s="2072"/>
      <c r="AA101" s="2072"/>
      <c r="AB101" s="2073"/>
      <c r="AC101" s="1801"/>
      <c r="AD101" s="1801"/>
      <c r="AE101" s="1801"/>
      <c r="AF101" s="1801"/>
    </row>
    <row r="102" spans="2:32" ht="6.95" customHeight="1">
      <c r="B102" s="1462"/>
      <c r="C102" s="2074"/>
      <c r="D102" s="1397"/>
      <c r="E102" s="1397"/>
      <c r="F102" s="1397"/>
      <c r="G102" s="1397"/>
      <c r="H102" s="2075"/>
      <c r="I102" s="2076"/>
      <c r="J102" s="2075"/>
      <c r="K102" s="1397"/>
      <c r="L102" s="1397"/>
      <c r="M102" s="1397"/>
      <c r="N102" s="2077"/>
      <c r="O102" s="2078"/>
      <c r="P102" s="2079"/>
      <c r="Q102" s="2080"/>
      <c r="R102" s="2080"/>
      <c r="T102" s="1982"/>
      <c r="U102" s="2068"/>
      <c r="V102" s="2068"/>
      <c r="W102" s="2069"/>
      <c r="X102" s="2070"/>
      <c r="Y102" s="2071"/>
      <c r="Z102" s="2072"/>
      <c r="AA102" s="2072"/>
      <c r="AB102" s="2073"/>
      <c r="AC102" s="1801"/>
      <c r="AD102" s="1801"/>
      <c r="AE102" s="1801"/>
      <c r="AF102" s="1801"/>
    </row>
    <row r="103" spans="2:32" s="1191" customFormat="1" ht="17.100000000000001" customHeight="1">
      <c r="B103" s="4159" t="s">
        <v>297</v>
      </c>
      <c r="C103" s="2081"/>
      <c r="D103" s="1318"/>
      <c r="E103" s="1318"/>
      <c r="F103" s="1318"/>
      <c r="G103" s="1318"/>
      <c r="H103" s="1850"/>
      <c r="I103" s="2082"/>
      <c r="J103" s="1850"/>
      <c r="K103" s="1318"/>
      <c r="L103" s="1318"/>
      <c r="M103" s="1318"/>
      <c r="N103" s="2083"/>
      <c r="O103" s="1268"/>
      <c r="P103" s="2084"/>
      <c r="Q103" s="4261" t="s">
        <v>298</v>
      </c>
      <c r="R103" s="2080"/>
      <c r="S103" s="1981"/>
      <c r="T103" s="2085"/>
      <c r="U103" s="2085"/>
      <c r="V103" s="2085"/>
      <c r="W103" s="2085"/>
      <c r="X103" s="2086"/>
      <c r="Y103" s="2086"/>
      <c r="Z103" s="2086"/>
      <c r="AA103" s="2086"/>
    </row>
    <row r="104" spans="2:32" s="1191" customFormat="1" ht="17.100000000000001" customHeight="1">
      <c r="B104" s="2081" t="s">
        <v>299</v>
      </c>
      <c r="C104" s="2081"/>
      <c r="D104" s="1318"/>
      <c r="E104" s="1318"/>
      <c r="F104" s="1318"/>
      <c r="G104" s="1185"/>
      <c r="H104" s="1318"/>
      <c r="I104" s="1185"/>
      <c r="J104" s="2082"/>
      <c r="K104" s="1318"/>
      <c r="L104" s="1318"/>
      <c r="M104" s="1318"/>
      <c r="N104" s="2083"/>
      <c r="O104" s="1268"/>
      <c r="P104" s="1318"/>
      <c r="Q104" s="2083" t="s">
        <v>300</v>
      </c>
      <c r="R104" s="2077"/>
      <c r="S104" s="1981"/>
      <c r="T104" s="1980"/>
      <c r="U104" s="1980"/>
      <c r="V104" s="1980"/>
      <c r="W104" s="1980"/>
    </row>
    <row r="105" spans="2:32" s="1191" customFormat="1" ht="17.100000000000001" customHeight="1">
      <c r="B105" s="4159" t="s">
        <v>301</v>
      </c>
      <c r="C105" s="2081"/>
      <c r="D105" s="1318"/>
      <c r="E105" s="1318"/>
      <c r="F105" s="1185"/>
      <c r="G105" s="2087"/>
      <c r="H105" s="1318"/>
      <c r="I105" s="1185"/>
      <c r="J105" s="1185"/>
      <c r="K105" s="1318"/>
      <c r="L105" s="1318"/>
      <c r="M105" s="1318"/>
      <c r="N105" s="2088"/>
      <c r="O105" s="1268"/>
      <c r="P105" s="2084"/>
      <c r="Q105" s="4261" t="s">
        <v>302</v>
      </c>
      <c r="R105" s="2080"/>
      <c r="S105" s="1980"/>
      <c r="T105" s="1980"/>
      <c r="W105" s="1980"/>
    </row>
    <row r="106" spans="2:32">
      <c r="G106" s="1980"/>
      <c r="I106" s="1191"/>
      <c r="J106" s="1191"/>
      <c r="O106" s="1192"/>
      <c r="P106" s="1192"/>
      <c r="T106" s="2070"/>
      <c r="U106" s="2069"/>
      <c r="V106" s="2069"/>
      <c r="W106" s="2069"/>
      <c r="X106" s="1801"/>
      <c r="Y106" s="1801"/>
      <c r="Z106" s="1801"/>
      <c r="AA106" s="1801"/>
      <c r="AB106" s="1801"/>
      <c r="AC106" s="1801"/>
      <c r="AD106" s="1801"/>
      <c r="AE106" s="1801"/>
      <c r="AF106" s="1801"/>
    </row>
    <row r="107" spans="2:32">
      <c r="F107" s="1843"/>
      <c r="I107" s="1191"/>
      <c r="J107" s="1191"/>
      <c r="O107" s="1192"/>
      <c r="P107" s="1192"/>
      <c r="T107" s="2071"/>
      <c r="U107" s="2068"/>
      <c r="V107" s="2068"/>
      <c r="W107" s="2069"/>
    </row>
    <row r="108" spans="2:32">
      <c r="B108" s="2089"/>
      <c r="C108" s="4249"/>
      <c r="D108" s="1350"/>
      <c r="E108" s="1350"/>
      <c r="F108" s="1843"/>
      <c r="H108" s="1843"/>
      <c r="I108" s="1191"/>
      <c r="J108" s="1191"/>
      <c r="K108" s="1262"/>
      <c r="L108" s="1262"/>
      <c r="M108" s="1350"/>
      <c r="N108" s="1350"/>
      <c r="O108" s="2090"/>
      <c r="P108" s="2091"/>
      <c r="Q108" s="2090"/>
      <c r="R108" s="2090"/>
      <c r="S108" s="1963"/>
      <c r="T108" s="2071"/>
      <c r="U108" s="2068"/>
      <c r="V108" s="2068"/>
      <c r="W108" s="2069"/>
    </row>
    <row r="109" spans="2:32">
      <c r="F109" s="1843"/>
      <c r="H109" s="1980"/>
      <c r="I109" s="1191"/>
      <c r="J109" s="1191"/>
      <c r="T109" s="2071"/>
      <c r="U109" s="2068"/>
      <c r="V109" s="2068"/>
      <c r="W109" s="2069"/>
    </row>
    <row r="110" spans="2:32">
      <c r="T110" s="2071"/>
      <c r="U110" s="2068"/>
      <c r="V110" s="2068"/>
      <c r="W110" s="2069"/>
    </row>
    <row r="111" spans="2:32">
      <c r="T111" s="2071"/>
      <c r="U111" s="2068"/>
      <c r="V111" s="2068"/>
      <c r="W111" s="2069"/>
    </row>
    <row r="112" spans="2:32">
      <c r="T112" s="2070"/>
      <c r="U112" s="2069"/>
      <c r="V112" s="2069"/>
      <c r="W112" s="2069"/>
    </row>
    <row r="113" spans="20:23">
      <c r="T113" s="2071"/>
      <c r="U113" s="2092"/>
      <c r="V113" s="2069"/>
      <c r="W113" s="2069"/>
    </row>
    <row r="114" spans="20:23">
      <c r="T114" s="2070"/>
      <c r="U114" s="2069"/>
      <c r="V114" s="2069"/>
      <c r="W114" s="2069"/>
    </row>
    <row r="115" spans="20:23">
      <c r="T115" s="2071"/>
      <c r="U115" s="2068"/>
      <c r="V115" s="2068"/>
      <c r="W115" s="2068"/>
    </row>
  </sheetData>
  <mergeCells count="84">
    <mergeCell ref="O93:R93"/>
    <mergeCell ref="O99:R99"/>
    <mergeCell ref="O100:R100"/>
    <mergeCell ref="O101:R101"/>
    <mergeCell ref="O94:R94"/>
    <mergeCell ref="O95:R95"/>
    <mergeCell ref="O96:R96"/>
    <mergeCell ref="O97:R97"/>
    <mergeCell ref="O98:R98"/>
    <mergeCell ref="O85:R85"/>
    <mergeCell ref="O89:R89"/>
    <mergeCell ref="O90:R90"/>
    <mergeCell ref="O91:R91"/>
    <mergeCell ref="O92:R92"/>
    <mergeCell ref="O75:R75"/>
    <mergeCell ref="O76:R76"/>
    <mergeCell ref="O77:R77"/>
    <mergeCell ref="O83:R83"/>
    <mergeCell ref="O84:R84"/>
    <mergeCell ref="B53:I53"/>
    <mergeCell ref="D65:F65"/>
    <mergeCell ref="G65:I65"/>
    <mergeCell ref="O73:R73"/>
    <mergeCell ref="O74:R74"/>
    <mergeCell ref="B54:J54"/>
    <mergeCell ref="K54:R54"/>
    <mergeCell ref="B56:R56"/>
    <mergeCell ref="B57:R57"/>
    <mergeCell ref="D60:I61"/>
    <mergeCell ref="O34:R34"/>
    <mergeCell ref="O35:R35"/>
    <mergeCell ref="O36:R36"/>
    <mergeCell ref="O37:R37"/>
    <mergeCell ref="O40:R40"/>
    <mergeCell ref="O38:R38"/>
    <mergeCell ref="O39:R39"/>
    <mergeCell ref="O22:R22"/>
    <mergeCell ref="O30:R30"/>
    <mergeCell ref="O31:R31"/>
    <mergeCell ref="O32:R32"/>
    <mergeCell ref="O33:R33"/>
    <mergeCell ref="O41:R41"/>
    <mergeCell ref="O42:R42"/>
    <mergeCell ref="O43:R43"/>
    <mergeCell ref="O44:R44"/>
    <mergeCell ref="O45:R45"/>
    <mergeCell ref="O46:R46"/>
    <mergeCell ref="O47:R47"/>
    <mergeCell ref="B49:H49"/>
    <mergeCell ref="K49:R49"/>
    <mergeCell ref="O88:R88"/>
    <mergeCell ref="O78:R78"/>
    <mergeCell ref="O79:R79"/>
    <mergeCell ref="O80:R80"/>
    <mergeCell ref="O81:R81"/>
    <mergeCell ref="O82:R82"/>
    <mergeCell ref="O86:R86"/>
    <mergeCell ref="O87:R87"/>
    <mergeCell ref="D62:I62"/>
    <mergeCell ref="D64:F64"/>
    <mergeCell ref="G64:I64"/>
    <mergeCell ref="J53:R53"/>
    <mergeCell ref="B3:R3"/>
    <mergeCell ref="B4:R4"/>
    <mergeCell ref="E7:G8"/>
    <mergeCell ref="K7:M8"/>
    <mergeCell ref="E9:G10"/>
    <mergeCell ref="K9:M10"/>
    <mergeCell ref="B18:C18"/>
    <mergeCell ref="B50:H50"/>
    <mergeCell ref="K50:R50"/>
    <mergeCell ref="J51:R51"/>
    <mergeCell ref="K52:R52"/>
    <mergeCell ref="O28:R28"/>
    <mergeCell ref="O29:R29"/>
    <mergeCell ref="O23:R23"/>
    <mergeCell ref="O24:R24"/>
    <mergeCell ref="O25:R25"/>
    <mergeCell ref="O26:R26"/>
    <mergeCell ref="O27:R27"/>
    <mergeCell ref="H18:I18"/>
    <mergeCell ref="O19:R19"/>
    <mergeCell ref="O20:R20"/>
    <mergeCell ref="O21:R21"/>
  </mergeCells>
  <printOptions horizontalCentered="1" verticalCentered="1"/>
  <pageMargins left="0.39370078740157483" right="0.43307086614173229" top="0" bottom="1.5748031496062993" header="0.51181102362204722" footer="0.51181102362204722"/>
  <pageSetup paperSize="9" scale="40" orientation="portrait" r:id="rId1"/>
  <headerFooter alignWithMargins="0">
    <oddFooter>&amp;C&amp;"Times,Regular"&amp;22-9-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5"/>
  <sheetViews>
    <sheetView showWhiteSpace="0" topLeftCell="A49" zoomScale="75" zoomScaleNormal="75" workbookViewId="0">
      <selection activeCell="U54" sqref="U54"/>
    </sheetView>
  </sheetViews>
  <sheetFormatPr defaultColWidth="10.7109375" defaultRowHeight="20.25"/>
  <cols>
    <col min="1" max="1" width="10.7109375" style="1174" customWidth="1"/>
    <col min="2" max="2" width="12.85546875" style="1963" customWidth="1"/>
    <col min="3" max="3" width="14.42578125" style="2095" customWidth="1"/>
    <col min="4" max="4" width="10.28515625" style="2095" customWidth="1"/>
    <col min="5" max="5" width="12.7109375" style="2095" customWidth="1"/>
    <col min="6" max="6" width="18" style="2095" customWidth="1"/>
    <col min="7" max="7" width="9.7109375" style="2095" customWidth="1"/>
    <col min="8" max="8" width="14.42578125" style="2095" customWidth="1"/>
    <col min="9" max="9" width="12.85546875" style="2095" customWidth="1"/>
    <col min="10" max="10" width="12.5703125" style="2095" customWidth="1"/>
    <col min="11" max="11" width="17.28515625" style="2095" customWidth="1"/>
    <col min="12" max="12" width="14.140625" style="2095" customWidth="1"/>
    <col min="13" max="13" width="14" style="2095" customWidth="1"/>
    <col min="14" max="14" width="10.28515625" style="2095" customWidth="1"/>
    <col min="15" max="15" width="11.7109375" style="2095" customWidth="1"/>
    <col min="16" max="16" width="1.7109375" style="1192" customWidth="1"/>
    <col min="17" max="17" width="10.42578125" style="1760" customWidth="1"/>
    <col min="18" max="18" width="1.7109375" style="1192" customWidth="1"/>
    <col min="19" max="16384" width="10.7109375" style="1174"/>
  </cols>
  <sheetData>
    <row r="1" spans="2:18" ht="20.100000000000001" customHeight="1"/>
    <row r="2" spans="2:18" ht="20.100000000000001" customHeight="1"/>
    <row r="3" spans="2:18" s="2096" customFormat="1" ht="35.1" customHeight="1">
      <c r="B3" s="2097"/>
      <c r="C3" s="4639" t="s">
        <v>385</v>
      </c>
      <c r="D3" s="4639"/>
      <c r="E3" s="4639"/>
      <c r="F3" s="4639"/>
      <c r="G3" s="4639"/>
      <c r="H3" s="4639"/>
      <c r="I3" s="4639"/>
      <c r="J3" s="4639"/>
      <c r="K3" s="4639"/>
      <c r="L3" s="4639"/>
      <c r="M3" s="4639"/>
      <c r="N3" s="4639"/>
      <c r="O3" s="4639"/>
      <c r="P3" s="4639"/>
      <c r="Q3" s="4639"/>
      <c r="R3" s="4639"/>
    </row>
    <row r="4" spans="2:18" s="1847" customFormat="1" ht="35.1" customHeight="1">
      <c r="B4" s="2098"/>
      <c r="C4" s="4640" t="s">
        <v>384</v>
      </c>
      <c r="D4" s="4640"/>
      <c r="E4" s="4640"/>
      <c r="F4" s="4640"/>
      <c r="G4" s="4640"/>
      <c r="H4" s="4640"/>
      <c r="I4" s="4640"/>
      <c r="J4" s="4640"/>
      <c r="K4" s="4640"/>
      <c r="L4" s="4640"/>
      <c r="M4" s="4640"/>
      <c r="N4" s="4640"/>
      <c r="O4" s="4640"/>
      <c r="P4" s="4640"/>
      <c r="Q4" s="4640"/>
      <c r="R4" s="4640"/>
    </row>
    <row r="5" spans="2:18" s="1849" customFormat="1" ht="18" customHeight="1">
      <c r="C5" s="1315" t="s">
        <v>347</v>
      </c>
      <c r="D5" s="2099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4690" t="s">
        <v>91</v>
      </c>
      <c r="R5" s="4690"/>
    </row>
    <row r="6" spans="2:18" ht="6" customHeight="1">
      <c r="B6" s="1964"/>
      <c r="C6" s="2101"/>
      <c r="D6" s="2101"/>
      <c r="E6" s="2101"/>
      <c r="F6" s="2101"/>
      <c r="G6" s="2101"/>
      <c r="H6" s="2101"/>
      <c r="I6" s="2101"/>
      <c r="J6" s="2101"/>
      <c r="K6" s="2102"/>
      <c r="L6" s="2102"/>
      <c r="M6" s="2102"/>
      <c r="N6" s="2102"/>
      <c r="O6" s="2102"/>
      <c r="P6" s="1323"/>
      <c r="Q6" s="2103"/>
      <c r="R6" s="2104"/>
    </row>
    <row r="7" spans="2:18" s="1986" customFormat="1" ht="24.95" customHeight="1">
      <c r="C7" s="2105"/>
      <c r="D7" s="2106" t="s">
        <v>383</v>
      </c>
      <c r="E7" s="2107"/>
      <c r="F7" s="2108"/>
      <c r="G7" s="4179"/>
      <c r="H7" s="4179"/>
      <c r="I7" s="4179"/>
      <c r="J7" s="4179"/>
      <c r="K7" s="2108"/>
      <c r="L7" s="2109" t="s">
        <v>382</v>
      </c>
      <c r="M7" s="4696" t="s">
        <v>381</v>
      </c>
      <c r="N7" s="4697"/>
      <c r="O7" s="4698"/>
      <c r="P7" s="2110"/>
      <c r="Q7" s="1229"/>
      <c r="R7" s="1230"/>
    </row>
    <row r="8" spans="2:18" ht="24.95" customHeight="1">
      <c r="C8" s="2111"/>
      <c r="D8" s="4228"/>
      <c r="E8" s="4228"/>
      <c r="F8" s="4228" t="s">
        <v>335</v>
      </c>
      <c r="G8" s="2112" t="s">
        <v>380</v>
      </c>
      <c r="H8" s="2113"/>
      <c r="I8" s="2114"/>
      <c r="J8" s="2115" t="s">
        <v>379</v>
      </c>
      <c r="K8" s="4226"/>
      <c r="L8" s="4226"/>
      <c r="M8" s="4699" t="s">
        <v>378</v>
      </c>
      <c r="N8" s="4700"/>
      <c r="O8" s="4701"/>
      <c r="P8" s="1283"/>
      <c r="Q8" s="1283"/>
      <c r="R8" s="1294"/>
    </row>
    <row r="9" spans="2:18" ht="24.95" customHeight="1">
      <c r="C9" s="2111"/>
      <c r="D9" s="4228"/>
      <c r="E9" s="4228"/>
      <c r="F9" s="4228" t="s">
        <v>377</v>
      </c>
      <c r="G9" s="4226"/>
      <c r="H9" s="1384"/>
      <c r="I9" s="4226"/>
      <c r="J9" s="4226"/>
      <c r="K9" s="4228" t="s">
        <v>376</v>
      </c>
      <c r="L9" s="1235"/>
      <c r="M9" s="1384"/>
      <c r="N9" s="1384"/>
      <c r="O9" s="1384"/>
      <c r="P9" s="1283"/>
      <c r="Q9" s="1283"/>
      <c r="R9" s="1294"/>
    </row>
    <row r="10" spans="2:18" ht="24.95" customHeight="1">
      <c r="C10" s="2111"/>
      <c r="D10" s="4228"/>
      <c r="E10" s="4228"/>
      <c r="F10" s="4228" t="s">
        <v>113</v>
      </c>
      <c r="G10" s="4228"/>
      <c r="H10" s="4228" t="s">
        <v>278</v>
      </c>
      <c r="I10" s="1235"/>
      <c r="J10" s="1235"/>
      <c r="K10" s="4228" t="s">
        <v>375</v>
      </c>
      <c r="L10" s="4228" t="s">
        <v>374</v>
      </c>
      <c r="M10" s="4228" t="s">
        <v>373</v>
      </c>
      <c r="N10" s="4228" t="s">
        <v>339</v>
      </c>
      <c r="O10" s="4228"/>
      <c r="P10" s="1283"/>
      <c r="Q10" s="1283"/>
      <c r="R10" s="1294"/>
    </row>
    <row r="11" spans="2:18" ht="24.95" customHeight="1">
      <c r="C11" s="2116" t="s">
        <v>338</v>
      </c>
      <c r="D11" s="4228" t="s">
        <v>337</v>
      </c>
      <c r="E11" s="4228" t="s">
        <v>372</v>
      </c>
      <c r="F11" s="4228" t="s">
        <v>105</v>
      </c>
      <c r="G11" s="1235"/>
      <c r="H11" s="4228" t="s">
        <v>371</v>
      </c>
      <c r="I11" s="4228" t="s">
        <v>168</v>
      </c>
      <c r="J11" s="4228"/>
      <c r="K11" s="4228" t="s">
        <v>370</v>
      </c>
      <c r="L11" s="4228" t="s">
        <v>369</v>
      </c>
      <c r="M11" s="4228" t="s">
        <v>368</v>
      </c>
      <c r="N11" s="4228" t="s">
        <v>333</v>
      </c>
      <c r="O11" s="4228"/>
      <c r="P11" s="4198"/>
      <c r="Q11" s="4198" t="s">
        <v>107</v>
      </c>
      <c r="R11" s="1294"/>
    </row>
    <row r="12" spans="2:18" ht="24.95" customHeight="1">
      <c r="C12" s="2116" t="s">
        <v>95</v>
      </c>
      <c r="D12" s="4228" t="s">
        <v>330</v>
      </c>
      <c r="E12" s="4228" t="s">
        <v>367</v>
      </c>
      <c r="F12" s="4228" t="s">
        <v>331</v>
      </c>
      <c r="G12" s="4228" t="s">
        <v>330</v>
      </c>
      <c r="H12" s="4228" t="s">
        <v>366</v>
      </c>
      <c r="I12" s="4228" t="s">
        <v>176</v>
      </c>
      <c r="J12" s="4228" t="s">
        <v>113</v>
      </c>
      <c r="K12" s="4229" t="s">
        <v>365</v>
      </c>
      <c r="L12" s="4228" t="s">
        <v>364</v>
      </c>
      <c r="M12" s="4228" t="s">
        <v>363</v>
      </c>
      <c r="N12" s="4228" t="s">
        <v>327</v>
      </c>
      <c r="O12" s="4228" t="s">
        <v>326</v>
      </c>
      <c r="P12" s="4198"/>
      <c r="Q12" s="4198" t="s">
        <v>116</v>
      </c>
      <c r="R12" s="1294"/>
    </row>
    <row r="13" spans="2:18" s="2117" customFormat="1" ht="24.95" customHeight="1">
      <c r="B13" s="2118"/>
      <c r="C13" s="2119"/>
      <c r="D13" s="2120"/>
      <c r="E13" s="2120"/>
      <c r="F13" s="2120" t="s">
        <v>362</v>
      </c>
      <c r="G13" s="2120"/>
      <c r="H13" s="2120"/>
      <c r="I13" s="2120"/>
      <c r="J13" s="2120"/>
      <c r="K13" s="2120" t="s">
        <v>361</v>
      </c>
      <c r="L13" s="2120"/>
      <c r="M13" s="2120"/>
      <c r="N13" s="2120"/>
      <c r="O13" s="2120"/>
      <c r="P13" s="4166"/>
      <c r="Q13" s="1283"/>
      <c r="R13" s="1294"/>
    </row>
    <row r="14" spans="2:18" s="2117" customFormat="1" ht="24.95" customHeight="1">
      <c r="B14" s="2118"/>
      <c r="C14" s="2119"/>
      <c r="D14" s="2120"/>
      <c r="E14" s="2120"/>
      <c r="F14" s="2120" t="s">
        <v>360</v>
      </c>
      <c r="G14" s="2120"/>
      <c r="H14" s="2120" t="s">
        <v>359</v>
      </c>
      <c r="I14" s="2120"/>
      <c r="J14" s="2120"/>
      <c r="K14" s="2120" t="s">
        <v>358</v>
      </c>
      <c r="L14" s="2120" t="s">
        <v>140</v>
      </c>
      <c r="M14" s="2120" t="s">
        <v>357</v>
      </c>
      <c r="N14" s="2120"/>
      <c r="O14" s="2120"/>
      <c r="P14" s="4166"/>
      <c r="Q14" s="4198"/>
      <c r="R14" s="1294"/>
    </row>
    <row r="15" spans="2:18" s="2117" customFormat="1" ht="24.95" customHeight="1">
      <c r="B15" s="2118"/>
      <c r="C15" s="2119" t="s">
        <v>187</v>
      </c>
      <c r="D15" s="2120" t="s">
        <v>119</v>
      </c>
      <c r="E15" s="2120" t="s">
        <v>323</v>
      </c>
      <c r="F15" s="2120" t="s">
        <v>356</v>
      </c>
      <c r="G15" s="2120"/>
      <c r="H15" s="2120" t="s">
        <v>355</v>
      </c>
      <c r="I15" s="2120" t="s">
        <v>184</v>
      </c>
      <c r="J15" s="2120" t="s">
        <v>121</v>
      </c>
      <c r="K15" s="4229" t="s">
        <v>48</v>
      </c>
      <c r="L15" s="2120" t="s">
        <v>354</v>
      </c>
      <c r="M15" s="2120" t="s">
        <v>135</v>
      </c>
      <c r="N15" s="2120"/>
      <c r="O15" s="2120"/>
      <c r="P15" s="4166"/>
      <c r="Q15" s="4198" t="s">
        <v>321</v>
      </c>
      <c r="R15" s="1294"/>
    </row>
    <row r="16" spans="2:18" s="2117" customFormat="1" ht="24.95" customHeight="1">
      <c r="B16" s="2118"/>
      <c r="C16" s="2121" t="s">
        <v>123</v>
      </c>
      <c r="D16" s="2122" t="s">
        <v>123</v>
      </c>
      <c r="E16" s="2122" t="s">
        <v>318</v>
      </c>
      <c r="F16" s="2122" t="s">
        <v>353</v>
      </c>
      <c r="G16" s="2122" t="s">
        <v>119</v>
      </c>
      <c r="H16" s="2122" t="s">
        <v>280</v>
      </c>
      <c r="I16" s="2122" t="s">
        <v>352</v>
      </c>
      <c r="J16" s="4207" t="s">
        <v>129</v>
      </c>
      <c r="K16" s="2122" t="s">
        <v>351</v>
      </c>
      <c r="L16" s="2122" t="s">
        <v>192</v>
      </c>
      <c r="M16" s="2122" t="s">
        <v>350</v>
      </c>
      <c r="N16" s="2122" t="s">
        <v>316</v>
      </c>
      <c r="O16" s="2122" t="s">
        <v>315</v>
      </c>
      <c r="P16" s="4148"/>
      <c r="Q16" s="4145" t="s">
        <v>144</v>
      </c>
      <c r="R16" s="2123"/>
    </row>
    <row r="17" spans="3:18" ht="35.25" customHeight="1">
      <c r="C17" s="1572">
        <f>SUM(D17:O17)</f>
        <v>25.900000000000002</v>
      </c>
      <c r="D17" s="4184">
        <v>0.1</v>
      </c>
      <c r="E17" s="4184">
        <v>0</v>
      </c>
      <c r="F17" s="4184">
        <v>0</v>
      </c>
      <c r="G17" s="4184">
        <v>0</v>
      </c>
      <c r="H17" s="4184">
        <v>0</v>
      </c>
      <c r="I17" s="4184">
        <v>0</v>
      </c>
      <c r="J17" s="4190">
        <v>0</v>
      </c>
      <c r="K17" s="4184">
        <v>0</v>
      </c>
      <c r="L17" s="4190">
        <v>0</v>
      </c>
      <c r="M17" s="4190">
        <v>25.8</v>
      </c>
      <c r="N17" s="4190">
        <v>0</v>
      </c>
      <c r="O17" s="4190">
        <v>0</v>
      </c>
      <c r="P17" s="4691">
        <v>1964</v>
      </c>
      <c r="Q17" s="4684"/>
      <c r="R17" s="4692"/>
    </row>
    <row r="18" spans="3:18" ht="35.25" customHeight="1">
      <c r="C18" s="1571">
        <f>SUM(D18:O18)</f>
        <v>49.1</v>
      </c>
      <c r="D18" s="4183">
        <v>0.1</v>
      </c>
      <c r="E18" s="4183">
        <v>0</v>
      </c>
      <c r="F18" s="4183">
        <v>0</v>
      </c>
      <c r="G18" s="4183">
        <v>0</v>
      </c>
      <c r="H18" s="4183">
        <v>0</v>
      </c>
      <c r="I18" s="4183">
        <v>0</v>
      </c>
      <c r="J18" s="4255">
        <v>0</v>
      </c>
      <c r="K18" s="4183">
        <v>0</v>
      </c>
      <c r="L18" s="4255">
        <v>0</v>
      </c>
      <c r="M18" s="4255">
        <v>47.8</v>
      </c>
      <c r="N18" s="4255">
        <v>0</v>
      </c>
      <c r="O18" s="4255">
        <v>1.2</v>
      </c>
      <c r="P18" s="4693">
        <f>P17+1</f>
        <v>1965</v>
      </c>
      <c r="Q18" s="4694"/>
      <c r="R18" s="4695"/>
    </row>
    <row r="19" spans="3:18" ht="35.25" customHeight="1">
      <c r="C19" s="1572">
        <f t="shared" ref="C19:C45" si="0">SUM(D19:O19)</f>
        <v>58.900000000000006</v>
      </c>
      <c r="D19" s="4184">
        <v>0</v>
      </c>
      <c r="E19" s="4184">
        <v>0</v>
      </c>
      <c r="F19" s="4184">
        <v>0</v>
      </c>
      <c r="G19" s="4184">
        <v>0</v>
      </c>
      <c r="H19" s="4184">
        <v>0</v>
      </c>
      <c r="I19" s="4184">
        <v>0.1</v>
      </c>
      <c r="J19" s="4190">
        <v>0</v>
      </c>
      <c r="K19" s="4184">
        <v>0</v>
      </c>
      <c r="L19" s="4190">
        <v>0</v>
      </c>
      <c r="M19" s="4190">
        <v>57.6</v>
      </c>
      <c r="N19" s="4190">
        <v>0</v>
      </c>
      <c r="O19" s="4190">
        <v>1.2</v>
      </c>
      <c r="P19" s="4691">
        <v>1966</v>
      </c>
      <c r="Q19" s="4684">
        <f>P18+1</f>
        <v>1966</v>
      </c>
      <c r="R19" s="4692"/>
    </row>
    <row r="20" spans="3:18" ht="35.25" customHeight="1">
      <c r="C20" s="1571">
        <f t="shared" si="0"/>
        <v>92.600000000000009</v>
      </c>
      <c r="D20" s="4183">
        <v>5.3</v>
      </c>
      <c r="E20" s="4183">
        <v>0</v>
      </c>
      <c r="F20" s="4183">
        <v>0</v>
      </c>
      <c r="G20" s="4183">
        <v>0.1</v>
      </c>
      <c r="H20" s="4183">
        <v>0</v>
      </c>
      <c r="I20" s="4183">
        <v>0</v>
      </c>
      <c r="J20" s="4255">
        <v>0</v>
      </c>
      <c r="K20" s="4183">
        <v>0</v>
      </c>
      <c r="L20" s="4255">
        <v>0</v>
      </c>
      <c r="M20" s="4255">
        <v>86</v>
      </c>
      <c r="N20" s="4255">
        <v>0</v>
      </c>
      <c r="O20" s="4255">
        <v>1.2</v>
      </c>
      <c r="P20" s="4693">
        <v>1967</v>
      </c>
      <c r="Q20" s="4694">
        <f t="shared" ref="Q20:Q45" si="1">Q19+1</f>
        <v>1967</v>
      </c>
      <c r="R20" s="4695"/>
    </row>
    <row r="21" spans="3:18" ht="35.25" customHeight="1">
      <c r="C21" s="1572">
        <f t="shared" si="0"/>
        <v>106.5</v>
      </c>
      <c r="D21" s="4184">
        <v>4.8</v>
      </c>
      <c r="E21" s="4184">
        <v>0</v>
      </c>
      <c r="F21" s="4184">
        <v>0</v>
      </c>
      <c r="G21" s="4184">
        <v>0.1</v>
      </c>
      <c r="H21" s="4184">
        <v>0</v>
      </c>
      <c r="I21" s="4184">
        <v>0</v>
      </c>
      <c r="J21" s="4190">
        <v>0</v>
      </c>
      <c r="K21" s="4184">
        <v>0</v>
      </c>
      <c r="L21" s="4190">
        <v>0</v>
      </c>
      <c r="M21" s="4190">
        <v>91</v>
      </c>
      <c r="N21" s="4190">
        <v>0</v>
      </c>
      <c r="O21" s="4190">
        <v>10.6</v>
      </c>
      <c r="P21" s="4691">
        <v>1968</v>
      </c>
      <c r="Q21" s="4684">
        <f t="shared" si="1"/>
        <v>1968</v>
      </c>
      <c r="R21" s="4692"/>
    </row>
    <row r="22" spans="3:18" ht="35.25" customHeight="1">
      <c r="C22" s="1571">
        <f t="shared" si="0"/>
        <v>101.1</v>
      </c>
      <c r="D22" s="4183">
        <v>3.4</v>
      </c>
      <c r="E22" s="4183">
        <v>3.9</v>
      </c>
      <c r="F22" s="4183">
        <v>0</v>
      </c>
      <c r="G22" s="4183">
        <v>0.1</v>
      </c>
      <c r="H22" s="4183">
        <v>0</v>
      </c>
      <c r="I22" s="4183">
        <v>0</v>
      </c>
      <c r="J22" s="4255">
        <v>0</v>
      </c>
      <c r="K22" s="4183">
        <v>0</v>
      </c>
      <c r="L22" s="4255">
        <v>0</v>
      </c>
      <c r="M22" s="4255">
        <v>83.1</v>
      </c>
      <c r="N22" s="4255">
        <v>0</v>
      </c>
      <c r="O22" s="4255">
        <v>10.6</v>
      </c>
      <c r="P22" s="4693">
        <v>1969</v>
      </c>
      <c r="Q22" s="4694">
        <f t="shared" si="1"/>
        <v>1969</v>
      </c>
      <c r="R22" s="4695"/>
    </row>
    <row r="23" spans="3:18" ht="35.25" customHeight="1">
      <c r="C23" s="1572">
        <f t="shared" si="0"/>
        <v>107.10000000000001</v>
      </c>
      <c r="D23" s="4184">
        <v>2.7</v>
      </c>
      <c r="E23" s="4184">
        <v>8.1999999999999993</v>
      </c>
      <c r="F23" s="4184">
        <v>0</v>
      </c>
      <c r="G23" s="4184">
        <v>0.1</v>
      </c>
      <c r="H23" s="4184">
        <v>0</v>
      </c>
      <c r="I23" s="4184">
        <v>1.7</v>
      </c>
      <c r="J23" s="4190">
        <v>1.7</v>
      </c>
      <c r="K23" s="4184">
        <v>0</v>
      </c>
      <c r="L23" s="4190">
        <v>1.3</v>
      </c>
      <c r="M23" s="4190">
        <v>80.400000000000006</v>
      </c>
      <c r="N23" s="4190">
        <v>1</v>
      </c>
      <c r="O23" s="4190">
        <v>10</v>
      </c>
      <c r="P23" s="4691">
        <v>1970</v>
      </c>
      <c r="Q23" s="4684">
        <f t="shared" si="1"/>
        <v>1970</v>
      </c>
      <c r="R23" s="4692"/>
    </row>
    <row r="24" spans="3:18" ht="35.25" customHeight="1">
      <c r="C24" s="1571">
        <f t="shared" si="0"/>
        <v>112.6</v>
      </c>
      <c r="D24" s="4183">
        <v>0</v>
      </c>
      <c r="E24" s="4183">
        <v>12.6</v>
      </c>
      <c r="F24" s="4183">
        <v>0</v>
      </c>
      <c r="G24" s="4183">
        <v>0.3</v>
      </c>
      <c r="H24" s="4183">
        <v>0.2</v>
      </c>
      <c r="I24" s="4183">
        <v>1.3</v>
      </c>
      <c r="J24" s="4255">
        <v>3.1</v>
      </c>
      <c r="K24" s="4183">
        <v>0.4</v>
      </c>
      <c r="L24" s="4255">
        <v>5.8</v>
      </c>
      <c r="M24" s="4255">
        <v>77.099999999999994</v>
      </c>
      <c r="N24" s="4255">
        <v>1.8</v>
      </c>
      <c r="O24" s="4255">
        <v>10</v>
      </c>
      <c r="P24" s="4693">
        <v>1971</v>
      </c>
      <c r="Q24" s="4694">
        <f t="shared" si="1"/>
        <v>1971</v>
      </c>
      <c r="R24" s="4695"/>
    </row>
    <row r="25" spans="3:18" ht="35.25" customHeight="1">
      <c r="C25" s="1572">
        <f t="shared" si="0"/>
        <v>110.39999999999999</v>
      </c>
      <c r="D25" s="4184">
        <v>0.2</v>
      </c>
      <c r="E25" s="4184">
        <v>5</v>
      </c>
      <c r="F25" s="4184">
        <v>1.2</v>
      </c>
      <c r="G25" s="4184">
        <v>0.2</v>
      </c>
      <c r="H25" s="4184">
        <v>0.8</v>
      </c>
      <c r="I25" s="4184">
        <v>0.4</v>
      </c>
      <c r="J25" s="4190">
        <v>0.7</v>
      </c>
      <c r="K25" s="4184">
        <v>0.5</v>
      </c>
      <c r="L25" s="4190">
        <v>5.0999999999999996</v>
      </c>
      <c r="M25" s="4190">
        <v>82.6</v>
      </c>
      <c r="N25" s="4190">
        <v>2.9</v>
      </c>
      <c r="O25" s="4190">
        <v>10.8</v>
      </c>
      <c r="P25" s="4691">
        <v>1972</v>
      </c>
      <c r="Q25" s="4684">
        <f t="shared" si="1"/>
        <v>1972</v>
      </c>
      <c r="R25" s="4692"/>
    </row>
    <row r="26" spans="3:18" ht="35.25" customHeight="1">
      <c r="C26" s="1571">
        <f t="shared" si="0"/>
        <v>133.1</v>
      </c>
      <c r="D26" s="4183">
        <v>0.2</v>
      </c>
      <c r="E26" s="4183">
        <v>8.1999999999999993</v>
      </c>
      <c r="F26" s="4183">
        <v>2.5</v>
      </c>
      <c r="G26" s="4183">
        <v>0.2</v>
      </c>
      <c r="H26" s="4183">
        <v>2.2000000000000002</v>
      </c>
      <c r="I26" s="4183">
        <v>0</v>
      </c>
      <c r="J26" s="4255">
        <v>14.4</v>
      </c>
      <c r="K26" s="4183">
        <v>0.9</v>
      </c>
      <c r="L26" s="4255">
        <v>4.8</v>
      </c>
      <c r="M26" s="4255">
        <v>86</v>
      </c>
      <c r="N26" s="4255">
        <v>2.9</v>
      </c>
      <c r="O26" s="4255">
        <v>10.8</v>
      </c>
      <c r="P26" s="4693">
        <v>1973</v>
      </c>
      <c r="Q26" s="4694">
        <f t="shared" si="1"/>
        <v>1973</v>
      </c>
      <c r="R26" s="4695"/>
    </row>
    <row r="27" spans="3:18" ht="35.25" customHeight="1">
      <c r="C27" s="1572">
        <f t="shared" si="0"/>
        <v>153.80000000000001</v>
      </c>
      <c r="D27" s="4184">
        <v>6.8</v>
      </c>
      <c r="E27" s="4184">
        <v>15.6</v>
      </c>
      <c r="F27" s="4184">
        <v>3.9</v>
      </c>
      <c r="G27" s="4184">
        <v>0.2</v>
      </c>
      <c r="H27" s="4184">
        <v>4</v>
      </c>
      <c r="I27" s="4184">
        <v>0</v>
      </c>
      <c r="J27" s="4190">
        <v>8</v>
      </c>
      <c r="K27" s="4184">
        <v>1.4</v>
      </c>
      <c r="L27" s="4190">
        <v>4.5999999999999996</v>
      </c>
      <c r="M27" s="4190">
        <v>95.6</v>
      </c>
      <c r="N27" s="4190">
        <v>2.9</v>
      </c>
      <c r="O27" s="4190">
        <v>10.8</v>
      </c>
      <c r="P27" s="4691">
        <v>1974</v>
      </c>
      <c r="Q27" s="4684">
        <f t="shared" si="1"/>
        <v>1974</v>
      </c>
      <c r="R27" s="4692"/>
    </row>
    <row r="28" spans="3:18" ht="35.25" customHeight="1">
      <c r="C28" s="1571">
        <f t="shared" si="0"/>
        <v>199.90000000000003</v>
      </c>
      <c r="D28" s="4183">
        <v>3.8</v>
      </c>
      <c r="E28" s="4183">
        <v>9.3000000000000007</v>
      </c>
      <c r="F28" s="4183">
        <v>1.5</v>
      </c>
      <c r="G28" s="4183">
        <v>0.3</v>
      </c>
      <c r="H28" s="4183">
        <v>4.3</v>
      </c>
      <c r="I28" s="4183">
        <v>0</v>
      </c>
      <c r="J28" s="4255">
        <v>13.4</v>
      </c>
      <c r="K28" s="4183">
        <v>2.8</v>
      </c>
      <c r="L28" s="4255">
        <v>4</v>
      </c>
      <c r="M28" s="4255">
        <v>146.80000000000001</v>
      </c>
      <c r="N28" s="4255">
        <v>2.9</v>
      </c>
      <c r="O28" s="4255">
        <v>10.8</v>
      </c>
      <c r="P28" s="4693">
        <v>1975</v>
      </c>
      <c r="Q28" s="4694">
        <f t="shared" si="1"/>
        <v>1975</v>
      </c>
      <c r="R28" s="4695"/>
    </row>
    <row r="29" spans="3:18" ht="35.25" customHeight="1">
      <c r="C29" s="1572">
        <f t="shared" si="0"/>
        <v>252.6</v>
      </c>
      <c r="D29" s="4184">
        <v>11.6</v>
      </c>
      <c r="E29" s="4184">
        <v>18.100000000000001</v>
      </c>
      <c r="F29" s="4184">
        <v>0.1</v>
      </c>
      <c r="G29" s="4184">
        <v>0.5</v>
      </c>
      <c r="H29" s="4184">
        <v>6.9</v>
      </c>
      <c r="I29" s="4184">
        <v>4.3</v>
      </c>
      <c r="J29" s="4190">
        <v>20.3</v>
      </c>
      <c r="K29" s="4184">
        <v>4.7</v>
      </c>
      <c r="L29" s="4190">
        <v>3.8</v>
      </c>
      <c r="M29" s="4190">
        <v>153.19999999999999</v>
      </c>
      <c r="N29" s="4190">
        <v>2.9</v>
      </c>
      <c r="O29" s="4190">
        <v>26.2</v>
      </c>
      <c r="P29" s="4691">
        <v>1976</v>
      </c>
      <c r="Q29" s="4684">
        <f t="shared" si="1"/>
        <v>1976</v>
      </c>
      <c r="R29" s="4692"/>
    </row>
    <row r="30" spans="3:18" ht="35.25" customHeight="1">
      <c r="C30" s="1571">
        <f t="shared" si="0"/>
        <v>309.39999999999998</v>
      </c>
      <c r="D30" s="4183">
        <v>3.4</v>
      </c>
      <c r="E30" s="4183">
        <v>14.8</v>
      </c>
      <c r="F30" s="4183">
        <v>6.3</v>
      </c>
      <c r="G30" s="4183">
        <v>1.3</v>
      </c>
      <c r="H30" s="4183">
        <v>8.1</v>
      </c>
      <c r="I30" s="4183">
        <v>6.5</v>
      </c>
      <c r="J30" s="4255">
        <v>28.8</v>
      </c>
      <c r="K30" s="4183">
        <v>7.3</v>
      </c>
      <c r="L30" s="4255">
        <v>3.7</v>
      </c>
      <c r="M30" s="4255">
        <v>199.8</v>
      </c>
      <c r="N30" s="4255">
        <v>2.9</v>
      </c>
      <c r="O30" s="4255">
        <v>26.5</v>
      </c>
      <c r="P30" s="4693">
        <v>1977</v>
      </c>
      <c r="Q30" s="4694">
        <f t="shared" si="1"/>
        <v>1977</v>
      </c>
      <c r="R30" s="4695"/>
    </row>
    <row r="31" spans="3:18" ht="35.25" customHeight="1">
      <c r="C31" s="1572">
        <f t="shared" si="0"/>
        <v>368.59999999999997</v>
      </c>
      <c r="D31" s="4184">
        <v>4.8</v>
      </c>
      <c r="E31" s="4184">
        <v>1</v>
      </c>
      <c r="F31" s="4184">
        <v>8.3000000000000007</v>
      </c>
      <c r="G31" s="4184">
        <v>1</v>
      </c>
      <c r="H31" s="4184">
        <v>9.4</v>
      </c>
      <c r="I31" s="4184">
        <v>8.6</v>
      </c>
      <c r="J31" s="4190">
        <v>37.200000000000003</v>
      </c>
      <c r="K31" s="4184">
        <v>8.6</v>
      </c>
      <c r="L31" s="4190">
        <v>3.4</v>
      </c>
      <c r="M31" s="4190">
        <v>256.7</v>
      </c>
      <c r="N31" s="4190">
        <v>2.9</v>
      </c>
      <c r="O31" s="4190">
        <v>26.7</v>
      </c>
      <c r="P31" s="4691">
        <v>1978</v>
      </c>
      <c r="Q31" s="4684">
        <f t="shared" si="1"/>
        <v>1978</v>
      </c>
      <c r="R31" s="4692"/>
    </row>
    <row r="32" spans="3:18" ht="35.25" customHeight="1">
      <c r="C32" s="1571">
        <f t="shared" si="0"/>
        <v>456.7</v>
      </c>
      <c r="D32" s="4183">
        <v>6.1</v>
      </c>
      <c r="E32" s="4183">
        <v>10.8</v>
      </c>
      <c r="F32" s="4183">
        <v>10.5</v>
      </c>
      <c r="G32" s="4183">
        <v>2.4</v>
      </c>
      <c r="H32" s="4183">
        <v>9.1999999999999993</v>
      </c>
      <c r="I32" s="4183">
        <v>7.2</v>
      </c>
      <c r="J32" s="4255">
        <v>25.4</v>
      </c>
      <c r="K32" s="4183">
        <v>11.3</v>
      </c>
      <c r="L32" s="4255">
        <v>3</v>
      </c>
      <c r="M32" s="4255">
        <v>339.8</v>
      </c>
      <c r="N32" s="4255">
        <v>4.2</v>
      </c>
      <c r="O32" s="4255">
        <v>26.8</v>
      </c>
      <c r="P32" s="4693">
        <v>1979</v>
      </c>
      <c r="Q32" s="4694">
        <f t="shared" si="1"/>
        <v>1979</v>
      </c>
      <c r="R32" s="4695"/>
    </row>
    <row r="33" spans="2:18" ht="35.25" customHeight="1">
      <c r="C33" s="1572">
        <f t="shared" si="0"/>
        <v>578.4</v>
      </c>
      <c r="D33" s="4184">
        <v>11.2</v>
      </c>
      <c r="E33" s="4184">
        <v>31.2</v>
      </c>
      <c r="F33" s="4184">
        <v>28.1</v>
      </c>
      <c r="G33" s="4184">
        <v>1.9</v>
      </c>
      <c r="H33" s="4184">
        <v>11.4</v>
      </c>
      <c r="I33" s="4184">
        <v>10</v>
      </c>
      <c r="J33" s="4190">
        <v>50.8</v>
      </c>
      <c r="K33" s="4184">
        <v>13.2</v>
      </c>
      <c r="L33" s="4190">
        <v>2.6</v>
      </c>
      <c r="M33" s="4190">
        <v>349.2</v>
      </c>
      <c r="N33" s="4190">
        <v>4.5</v>
      </c>
      <c r="O33" s="4190">
        <v>64.3</v>
      </c>
      <c r="P33" s="4691">
        <v>1980</v>
      </c>
      <c r="Q33" s="4684">
        <f t="shared" si="1"/>
        <v>1980</v>
      </c>
      <c r="R33" s="4692"/>
    </row>
    <row r="34" spans="2:18" ht="35.25" customHeight="1">
      <c r="C34" s="1571">
        <f t="shared" si="0"/>
        <v>631.20000000000005</v>
      </c>
      <c r="D34" s="4183">
        <v>11</v>
      </c>
      <c r="E34" s="4183">
        <v>41</v>
      </c>
      <c r="F34" s="4183">
        <v>22.7</v>
      </c>
      <c r="G34" s="4183">
        <v>4</v>
      </c>
      <c r="H34" s="4183">
        <v>19.2</v>
      </c>
      <c r="I34" s="4183">
        <v>14.9</v>
      </c>
      <c r="J34" s="4255">
        <v>65</v>
      </c>
      <c r="K34" s="4183">
        <v>17.600000000000001</v>
      </c>
      <c r="L34" s="4255">
        <v>2.2000000000000002</v>
      </c>
      <c r="M34" s="4255">
        <v>360.4</v>
      </c>
      <c r="N34" s="4255">
        <v>6</v>
      </c>
      <c r="O34" s="4255">
        <v>67.2</v>
      </c>
      <c r="P34" s="4693">
        <v>1981</v>
      </c>
      <c r="Q34" s="4694">
        <f t="shared" si="1"/>
        <v>1981</v>
      </c>
      <c r="R34" s="4695"/>
    </row>
    <row r="35" spans="2:18" ht="35.25" customHeight="1">
      <c r="C35" s="1572">
        <f t="shared" si="0"/>
        <v>690.3</v>
      </c>
      <c r="D35" s="4184">
        <v>51.9</v>
      </c>
      <c r="E35" s="4184">
        <v>49.3</v>
      </c>
      <c r="F35" s="4184">
        <v>38.1</v>
      </c>
      <c r="G35" s="4184">
        <v>4.8</v>
      </c>
      <c r="H35" s="4184">
        <v>31</v>
      </c>
      <c r="I35" s="4184">
        <v>36.299999999999997</v>
      </c>
      <c r="J35" s="4190">
        <v>84.5</v>
      </c>
      <c r="K35" s="4184">
        <v>19.600000000000001</v>
      </c>
      <c r="L35" s="4190">
        <v>1.8</v>
      </c>
      <c r="M35" s="4190">
        <v>297.8</v>
      </c>
      <c r="N35" s="4190">
        <v>6.4</v>
      </c>
      <c r="O35" s="4190">
        <v>68.8</v>
      </c>
      <c r="P35" s="4691">
        <v>1982</v>
      </c>
      <c r="Q35" s="4684">
        <f t="shared" si="1"/>
        <v>1982</v>
      </c>
      <c r="R35" s="4692"/>
    </row>
    <row r="36" spans="2:18" ht="35.25" customHeight="1">
      <c r="C36" s="1571">
        <f t="shared" si="0"/>
        <v>759.4</v>
      </c>
      <c r="D36" s="4183">
        <v>27.8</v>
      </c>
      <c r="E36" s="4183">
        <v>32.4</v>
      </c>
      <c r="F36" s="4183">
        <v>40.200000000000003</v>
      </c>
      <c r="G36" s="4183">
        <v>12.7</v>
      </c>
      <c r="H36" s="4183">
        <v>43.5</v>
      </c>
      <c r="I36" s="4183">
        <v>62.6</v>
      </c>
      <c r="J36" s="4255">
        <v>106.4</v>
      </c>
      <c r="K36" s="4183">
        <v>23.9</v>
      </c>
      <c r="L36" s="4255">
        <v>1.4</v>
      </c>
      <c r="M36" s="4255">
        <v>327.7</v>
      </c>
      <c r="N36" s="4255">
        <v>6.7</v>
      </c>
      <c r="O36" s="4255">
        <v>74.099999999999994</v>
      </c>
      <c r="P36" s="4693">
        <v>1983</v>
      </c>
      <c r="Q36" s="4694">
        <f t="shared" si="1"/>
        <v>1983</v>
      </c>
      <c r="R36" s="4695"/>
    </row>
    <row r="37" spans="2:18" ht="35.25" customHeight="1">
      <c r="C37" s="1572">
        <f t="shared" si="0"/>
        <v>750.6</v>
      </c>
      <c r="D37" s="4184">
        <v>53.5</v>
      </c>
      <c r="E37" s="4184">
        <v>0</v>
      </c>
      <c r="F37" s="4184">
        <v>28.8</v>
      </c>
      <c r="G37" s="4184">
        <v>21.2</v>
      </c>
      <c r="H37" s="4184">
        <v>28.2</v>
      </c>
      <c r="I37" s="4184">
        <v>82.5</v>
      </c>
      <c r="J37" s="4190">
        <v>121.5</v>
      </c>
      <c r="K37" s="4184">
        <v>26.4</v>
      </c>
      <c r="L37" s="4190">
        <v>1</v>
      </c>
      <c r="M37" s="4190">
        <v>311.7</v>
      </c>
      <c r="N37" s="4190">
        <v>6.1</v>
      </c>
      <c r="O37" s="4190">
        <v>69.7</v>
      </c>
      <c r="P37" s="4691">
        <v>1984</v>
      </c>
      <c r="Q37" s="4684">
        <f t="shared" si="1"/>
        <v>1984</v>
      </c>
      <c r="R37" s="4692"/>
    </row>
    <row r="38" spans="2:18" ht="35.25" customHeight="1">
      <c r="C38" s="1571">
        <f t="shared" si="0"/>
        <v>763.9</v>
      </c>
      <c r="D38" s="4183">
        <v>57.4</v>
      </c>
      <c r="E38" s="4183">
        <v>0</v>
      </c>
      <c r="F38" s="4183">
        <v>16.899999999999999</v>
      </c>
      <c r="G38" s="4183">
        <v>22.6</v>
      </c>
      <c r="H38" s="4183">
        <v>30.4</v>
      </c>
      <c r="I38" s="4183">
        <v>97</v>
      </c>
      <c r="J38" s="4255">
        <v>129.19999999999999</v>
      </c>
      <c r="K38" s="4183">
        <v>30.9</v>
      </c>
      <c r="L38" s="4255">
        <v>0.6</v>
      </c>
      <c r="M38" s="4255">
        <v>300.60000000000002</v>
      </c>
      <c r="N38" s="4255">
        <v>8.5</v>
      </c>
      <c r="O38" s="4255">
        <v>69.8</v>
      </c>
      <c r="P38" s="4693">
        <v>1985</v>
      </c>
      <c r="Q38" s="4694">
        <f t="shared" si="1"/>
        <v>1985</v>
      </c>
      <c r="R38" s="4695"/>
    </row>
    <row r="39" spans="2:18" ht="35.25" customHeight="1">
      <c r="C39" s="1572">
        <f t="shared" si="0"/>
        <v>820.00000000000011</v>
      </c>
      <c r="D39" s="4184">
        <v>51.6</v>
      </c>
      <c r="E39" s="4184">
        <v>5.0999999999999996</v>
      </c>
      <c r="F39" s="4184">
        <v>24.7</v>
      </c>
      <c r="G39" s="4184">
        <v>27.8</v>
      </c>
      <c r="H39" s="4184">
        <v>32.6</v>
      </c>
      <c r="I39" s="4184">
        <v>109.1</v>
      </c>
      <c r="J39" s="4190">
        <v>133.80000000000001</v>
      </c>
      <c r="K39" s="4184">
        <v>33.700000000000003</v>
      </c>
      <c r="L39" s="4190">
        <v>0.2</v>
      </c>
      <c r="M39" s="4190">
        <v>323.8</v>
      </c>
      <c r="N39" s="4190">
        <v>7.6</v>
      </c>
      <c r="O39" s="4190">
        <v>70</v>
      </c>
      <c r="P39" s="4691">
        <v>1986</v>
      </c>
      <c r="Q39" s="4684">
        <f t="shared" si="1"/>
        <v>1986</v>
      </c>
      <c r="R39" s="4692"/>
    </row>
    <row r="40" spans="2:18" ht="35.25" customHeight="1">
      <c r="C40" s="1571">
        <f t="shared" si="0"/>
        <v>930.49999999999989</v>
      </c>
      <c r="D40" s="4255">
        <f>40.8</f>
        <v>40.799999999999997</v>
      </c>
      <c r="E40" s="4255">
        <v>2.5</v>
      </c>
      <c r="F40" s="4255">
        <v>24</v>
      </c>
      <c r="G40" s="4255">
        <f>4.7+29.5</f>
        <v>34.200000000000003</v>
      </c>
      <c r="H40" s="4255">
        <v>34.1</v>
      </c>
      <c r="I40" s="4255">
        <v>110.1</v>
      </c>
      <c r="J40" s="4255">
        <v>261.7</v>
      </c>
      <c r="K40" s="4255">
        <v>32</v>
      </c>
      <c r="L40" s="4255">
        <v>0</v>
      </c>
      <c r="M40" s="4255">
        <v>322</v>
      </c>
      <c r="N40" s="4255">
        <v>3.3</v>
      </c>
      <c r="O40" s="4255">
        <v>65.8</v>
      </c>
      <c r="P40" s="4693">
        <v>1987</v>
      </c>
      <c r="Q40" s="4694">
        <f t="shared" si="1"/>
        <v>1987</v>
      </c>
      <c r="R40" s="4695"/>
    </row>
    <row r="41" spans="2:18" ht="35.25" customHeight="1">
      <c r="C41" s="1572">
        <f t="shared" si="0"/>
        <v>1072.9000000000001</v>
      </c>
      <c r="D41" s="4184">
        <v>36.299999999999997</v>
      </c>
      <c r="E41" s="4184">
        <v>85.8</v>
      </c>
      <c r="F41" s="4184">
        <v>50.8</v>
      </c>
      <c r="G41" s="4184">
        <f>5.8+28.9</f>
        <v>34.699999999999996</v>
      </c>
      <c r="H41" s="4184">
        <v>37.299999999999997</v>
      </c>
      <c r="I41" s="4184">
        <v>114.4</v>
      </c>
      <c r="J41" s="4190">
        <v>463.1</v>
      </c>
      <c r="K41" s="4184">
        <v>32</v>
      </c>
      <c r="L41" s="4190">
        <v>0</v>
      </c>
      <c r="M41" s="4190">
        <v>152.5</v>
      </c>
      <c r="N41" s="4190">
        <v>0</v>
      </c>
      <c r="O41" s="4190">
        <v>66</v>
      </c>
      <c r="P41" s="4691">
        <v>1988</v>
      </c>
      <c r="Q41" s="4684">
        <f t="shared" si="1"/>
        <v>1988</v>
      </c>
      <c r="R41" s="4692"/>
    </row>
    <row r="42" spans="2:18" ht="35.25" customHeight="1">
      <c r="C42" s="1571">
        <f t="shared" si="0"/>
        <v>1357.489</v>
      </c>
      <c r="D42" s="4255">
        <f>71.6</f>
        <v>71.599999999999994</v>
      </c>
      <c r="E42" s="4255">
        <v>51.3</v>
      </c>
      <c r="F42" s="4255">
        <v>47</v>
      </c>
      <c r="G42" s="4255">
        <f>3.3+33.2</f>
        <v>36.5</v>
      </c>
      <c r="H42" s="4255">
        <v>33.700000000000003</v>
      </c>
      <c r="I42" s="4255">
        <v>219</v>
      </c>
      <c r="J42" s="4255">
        <v>536.1</v>
      </c>
      <c r="K42" s="4255">
        <v>32.200000000000003</v>
      </c>
      <c r="L42" s="4255">
        <v>0</v>
      </c>
      <c r="M42" s="4255">
        <v>260.5</v>
      </c>
      <c r="N42" s="4255">
        <v>3.2</v>
      </c>
      <c r="O42" s="4255">
        <v>66.388999999999996</v>
      </c>
      <c r="P42" s="4693">
        <v>1989</v>
      </c>
      <c r="Q42" s="4694">
        <f t="shared" si="1"/>
        <v>1989</v>
      </c>
      <c r="R42" s="4695"/>
    </row>
    <row r="43" spans="2:18" ht="35.25" customHeight="1">
      <c r="C43" s="1572">
        <f t="shared" si="0"/>
        <v>1631.4690000000001</v>
      </c>
      <c r="D43" s="4184">
        <f>69.6</f>
        <v>69.599999999999994</v>
      </c>
      <c r="E43" s="4184">
        <v>18.5</v>
      </c>
      <c r="F43" s="4184">
        <v>47.6</v>
      </c>
      <c r="G43" s="4184">
        <f>3.4+3.4</f>
        <v>6.8</v>
      </c>
      <c r="H43" s="4184">
        <v>31.7</v>
      </c>
      <c r="I43" s="4184">
        <v>481.5</v>
      </c>
      <c r="J43" s="4190">
        <v>572.79999999999995</v>
      </c>
      <c r="K43" s="4184">
        <v>32.200000000000003</v>
      </c>
      <c r="L43" s="4190">
        <v>0</v>
      </c>
      <c r="M43" s="4190">
        <v>303.60000000000002</v>
      </c>
      <c r="N43" s="4190">
        <v>0.3</v>
      </c>
      <c r="O43" s="4190">
        <v>66.869</v>
      </c>
      <c r="P43" s="4691">
        <v>1990</v>
      </c>
      <c r="Q43" s="4684">
        <f t="shared" si="1"/>
        <v>1990</v>
      </c>
      <c r="R43" s="4692"/>
    </row>
    <row r="44" spans="2:18" ht="35.25" customHeight="1">
      <c r="C44" s="1571">
        <f t="shared" si="0"/>
        <v>2019.0709999999999</v>
      </c>
      <c r="D44" s="4255">
        <f>37.9</f>
        <v>37.9</v>
      </c>
      <c r="E44" s="4255">
        <v>0</v>
      </c>
      <c r="F44" s="4255">
        <v>0.8</v>
      </c>
      <c r="G44" s="4255">
        <f>3.7+2.1</f>
        <v>5.8000000000000007</v>
      </c>
      <c r="H44" s="4255">
        <v>23.9</v>
      </c>
      <c r="I44" s="4255">
        <v>390.5</v>
      </c>
      <c r="J44" s="4255">
        <v>574.9</v>
      </c>
      <c r="K44" s="4255">
        <v>32.200000000000003</v>
      </c>
      <c r="L44" s="4255">
        <v>4</v>
      </c>
      <c r="M44" s="4255">
        <v>878.7</v>
      </c>
      <c r="N44" s="4255">
        <v>0.3</v>
      </c>
      <c r="O44" s="4255">
        <v>70.070999999999998</v>
      </c>
      <c r="P44" s="4693">
        <v>1991</v>
      </c>
      <c r="Q44" s="4694">
        <f t="shared" si="1"/>
        <v>1991</v>
      </c>
      <c r="R44" s="4695"/>
    </row>
    <row r="45" spans="2:18" ht="38.25" customHeight="1">
      <c r="C45" s="1643">
        <f t="shared" si="0"/>
        <v>2012.7709999999997</v>
      </c>
      <c r="D45" s="4195">
        <f>20.8</f>
        <v>20.8</v>
      </c>
      <c r="E45" s="4195">
        <v>0</v>
      </c>
      <c r="F45" s="4195">
        <v>390.2</v>
      </c>
      <c r="G45" s="4195">
        <f>4.4+1.1</f>
        <v>5.5</v>
      </c>
      <c r="H45" s="4195">
        <v>21.4</v>
      </c>
      <c r="I45" s="4195">
        <v>361.9</v>
      </c>
      <c r="J45" s="4195">
        <v>175.7</v>
      </c>
      <c r="K45" s="4195">
        <v>32.200000000000003</v>
      </c>
      <c r="L45" s="4195">
        <v>4</v>
      </c>
      <c r="M45" s="4195">
        <v>917.9</v>
      </c>
      <c r="N45" s="4195">
        <v>13.1</v>
      </c>
      <c r="O45" s="4195">
        <v>70.070999999999998</v>
      </c>
      <c r="P45" s="4687">
        <v>1992</v>
      </c>
      <c r="Q45" s="4688">
        <f t="shared" si="1"/>
        <v>1992</v>
      </c>
      <c r="R45" s="4689"/>
    </row>
    <row r="46" spans="2:18" s="1801" customFormat="1" ht="15" customHeight="1">
      <c r="B46" s="1964"/>
      <c r="C46" s="2124"/>
      <c r="D46" s="2125"/>
      <c r="E46" s="2125"/>
      <c r="F46" s="2125"/>
      <c r="G46" s="2125"/>
      <c r="H46" s="2125"/>
      <c r="I46" s="2125"/>
      <c r="J46" s="2125"/>
      <c r="K46" s="2125"/>
      <c r="L46" s="2125"/>
      <c r="M46" s="2125"/>
      <c r="N46" s="2125"/>
      <c r="O46" s="2125"/>
      <c r="P46" s="2125"/>
      <c r="Q46" s="2126"/>
      <c r="R46" s="2127"/>
    </row>
    <row r="47" spans="2:18" s="1801" customFormat="1" ht="20.100000000000001" customHeight="1">
      <c r="B47" s="1964"/>
      <c r="C47" s="2124"/>
      <c r="D47" s="2125"/>
      <c r="E47" s="2125"/>
      <c r="F47" s="2125"/>
      <c r="G47" s="2125"/>
      <c r="H47" s="2125"/>
      <c r="I47" s="2125"/>
      <c r="J47" s="2125"/>
      <c r="K47" s="2125"/>
      <c r="L47" s="2125"/>
      <c r="M47" s="2125"/>
      <c r="N47" s="2125"/>
      <c r="O47" s="2125"/>
      <c r="P47" s="2125"/>
      <c r="Q47" s="2126"/>
      <c r="R47" s="2127"/>
    </row>
    <row r="48" spans="2:18" s="1801" customFormat="1" ht="20.100000000000001" customHeight="1">
      <c r="B48" s="1964"/>
      <c r="C48" s="2124"/>
      <c r="D48" s="2125"/>
      <c r="E48" s="2125"/>
      <c r="F48" s="2125"/>
      <c r="G48" s="2125"/>
      <c r="H48" s="2125"/>
      <c r="I48" s="2125"/>
      <c r="J48" s="2125"/>
      <c r="K48" s="2125"/>
      <c r="L48" s="2125"/>
      <c r="M48" s="2125"/>
      <c r="N48" s="2125"/>
      <c r="O48" s="2125"/>
      <c r="P48" s="2125"/>
      <c r="Q48" s="2126"/>
      <c r="R48" s="2127"/>
    </row>
    <row r="49" spans="1:18" s="2096" customFormat="1" ht="35.1" customHeight="1">
      <c r="B49" s="2097"/>
      <c r="C49" s="4639" t="s">
        <v>349</v>
      </c>
      <c r="D49" s="4639"/>
      <c r="E49" s="4639"/>
      <c r="F49" s="4639"/>
      <c r="G49" s="4639"/>
      <c r="H49" s="4639"/>
      <c r="I49" s="4639"/>
      <c r="J49" s="4639"/>
      <c r="K49" s="4639"/>
      <c r="L49" s="4639"/>
      <c r="M49" s="4639"/>
      <c r="N49" s="4639"/>
      <c r="O49" s="4639"/>
      <c r="P49" s="4639"/>
      <c r="Q49" s="4639"/>
      <c r="R49" s="4639"/>
    </row>
    <row r="50" spans="1:18" s="1847" customFormat="1" ht="35.1" customHeight="1">
      <c r="B50" s="2098"/>
      <c r="C50" s="4640" t="s">
        <v>348</v>
      </c>
      <c r="D50" s="4640"/>
      <c r="E50" s="4640"/>
      <c r="F50" s="4640"/>
      <c r="G50" s="4640"/>
      <c r="H50" s="4640"/>
      <c r="I50" s="4640"/>
      <c r="J50" s="4640"/>
      <c r="K50" s="4640"/>
      <c r="L50" s="4640"/>
      <c r="M50" s="4640"/>
      <c r="N50" s="4640"/>
      <c r="O50" s="4640"/>
      <c r="P50" s="4640"/>
      <c r="Q50" s="4640"/>
      <c r="R50" s="4640"/>
    </row>
    <row r="51" spans="1:18" s="1849" customFormat="1" ht="18" customHeight="1">
      <c r="C51" s="1315" t="s">
        <v>347</v>
      </c>
      <c r="D51" s="2099"/>
      <c r="E51" s="2100"/>
      <c r="F51" s="2100"/>
      <c r="G51" s="2100"/>
      <c r="H51" s="2100"/>
      <c r="I51" s="2100"/>
      <c r="J51" s="2100"/>
      <c r="K51" s="2100"/>
      <c r="L51" s="2100"/>
      <c r="M51" s="2100"/>
      <c r="N51" s="2100"/>
      <c r="O51" s="2100"/>
      <c r="P51" s="2100"/>
      <c r="Q51" s="4690" t="s">
        <v>91</v>
      </c>
      <c r="R51" s="4690"/>
    </row>
    <row r="52" spans="1:18" s="1801" customFormat="1" ht="6" customHeight="1">
      <c r="B52" s="4259"/>
      <c r="C52" s="2044"/>
      <c r="D52" s="2044"/>
      <c r="E52" s="2044"/>
      <c r="F52" s="2044"/>
      <c r="G52" s="2044"/>
      <c r="H52" s="2044"/>
      <c r="I52" s="2044"/>
      <c r="J52" s="2044"/>
      <c r="K52" s="2044"/>
      <c r="L52" s="2044"/>
      <c r="M52" s="2044"/>
      <c r="N52" s="2044"/>
      <c r="O52" s="2044"/>
      <c r="P52" s="2044"/>
      <c r="Q52" s="2128"/>
      <c r="R52" s="2104"/>
    </row>
    <row r="53" spans="1:18" ht="24.95" customHeight="1">
      <c r="C53" s="2129"/>
      <c r="D53" s="2106" t="s">
        <v>346</v>
      </c>
      <c r="E53" s="2130"/>
      <c r="F53" s="2108"/>
      <c r="G53" s="1816"/>
      <c r="H53" s="2108"/>
      <c r="I53" s="2108"/>
      <c r="J53" s="2109" t="s">
        <v>345</v>
      </c>
      <c r="K53" s="2106" t="s">
        <v>344</v>
      </c>
      <c r="L53" s="1816"/>
      <c r="M53" s="2108"/>
      <c r="N53" s="2131"/>
      <c r="O53" s="2109" t="s">
        <v>343</v>
      </c>
      <c r="P53" s="2132"/>
      <c r="Q53" s="1992"/>
      <c r="R53" s="2133"/>
    </row>
    <row r="54" spans="1:18" ht="24.95" customHeight="1">
      <c r="C54" s="1231"/>
      <c r="D54" s="2134"/>
      <c r="E54" s="4226" t="s">
        <v>158</v>
      </c>
      <c r="F54" s="2135" t="s">
        <v>158</v>
      </c>
      <c r="G54" s="2136"/>
      <c r="H54" s="4227" t="s">
        <v>158</v>
      </c>
      <c r="I54" s="4226" t="s">
        <v>158</v>
      </c>
      <c r="J54" s="4226" t="s">
        <v>158</v>
      </c>
      <c r="K54" s="2137"/>
      <c r="L54" s="2138"/>
      <c r="M54" s="4227" t="s">
        <v>342</v>
      </c>
      <c r="N54" s="4227"/>
      <c r="O54" s="1384"/>
      <c r="P54" s="1283"/>
      <c r="Q54" s="1283"/>
      <c r="R54" s="1294"/>
    </row>
    <row r="55" spans="1:18" ht="24.95" customHeight="1">
      <c r="C55" s="1231"/>
      <c r="D55" s="2139"/>
      <c r="E55" s="4228" t="s">
        <v>160</v>
      </c>
      <c r="F55" s="1284" t="s">
        <v>160</v>
      </c>
      <c r="G55" s="1239"/>
      <c r="H55" s="4228" t="s">
        <v>160</v>
      </c>
      <c r="I55" s="4229" t="s">
        <v>160</v>
      </c>
      <c r="J55" s="4229" t="s">
        <v>160</v>
      </c>
      <c r="K55" s="4229" t="s">
        <v>341</v>
      </c>
      <c r="L55" s="4229"/>
      <c r="M55" s="4229" t="s">
        <v>340</v>
      </c>
      <c r="N55" s="4229" t="s">
        <v>339</v>
      </c>
      <c r="O55" s="4228"/>
      <c r="P55" s="1283"/>
      <c r="Q55" s="1283"/>
      <c r="R55" s="1294"/>
    </row>
    <row r="56" spans="1:18" ht="24.95" customHeight="1">
      <c r="C56" s="2140" t="s">
        <v>338</v>
      </c>
      <c r="D56" s="4228" t="s">
        <v>337</v>
      </c>
      <c r="E56" s="4228" t="s">
        <v>97</v>
      </c>
      <c r="F56" s="2141" t="s">
        <v>165</v>
      </c>
      <c r="G56" s="1239"/>
      <c r="H56" s="4228" t="s">
        <v>168</v>
      </c>
      <c r="I56" s="4229" t="s">
        <v>165</v>
      </c>
      <c r="J56" s="4229" t="s">
        <v>113</v>
      </c>
      <c r="K56" s="4229" t="s">
        <v>336</v>
      </c>
      <c r="L56" s="4229" t="s">
        <v>335</v>
      </c>
      <c r="M56" s="4229" t="s">
        <v>334</v>
      </c>
      <c r="N56" s="4229" t="s">
        <v>333</v>
      </c>
      <c r="O56" s="4228"/>
      <c r="P56" s="1283"/>
      <c r="Q56" s="4198" t="s">
        <v>107</v>
      </c>
      <c r="R56" s="1294"/>
    </row>
    <row r="57" spans="1:18" ht="24.95" customHeight="1">
      <c r="C57" s="2140" t="s">
        <v>95</v>
      </c>
      <c r="D57" s="4228" t="s">
        <v>330</v>
      </c>
      <c r="E57" s="4228" t="s">
        <v>106</v>
      </c>
      <c r="F57" s="2141" t="s">
        <v>332</v>
      </c>
      <c r="G57" s="1239"/>
      <c r="H57" s="4228" t="s">
        <v>176</v>
      </c>
      <c r="I57" s="4229" t="s">
        <v>331</v>
      </c>
      <c r="J57" s="4229" t="s">
        <v>166</v>
      </c>
      <c r="K57" s="4229" t="s">
        <v>330</v>
      </c>
      <c r="L57" s="4229" t="s">
        <v>329</v>
      </c>
      <c r="M57" s="4229" t="s">
        <v>328</v>
      </c>
      <c r="N57" s="4170" t="s">
        <v>327</v>
      </c>
      <c r="O57" s="4228" t="s">
        <v>326</v>
      </c>
      <c r="P57" s="4166"/>
      <c r="Q57" s="4198" t="s">
        <v>116</v>
      </c>
      <c r="R57" s="1294"/>
    </row>
    <row r="58" spans="1:18" s="2117" customFormat="1" ht="24.95" customHeight="1">
      <c r="B58" s="2118"/>
      <c r="C58" s="1231"/>
      <c r="D58" s="2142"/>
      <c r="E58" s="4228"/>
      <c r="F58" s="1284"/>
      <c r="G58" s="1239"/>
      <c r="H58" s="4228"/>
      <c r="I58" s="1235"/>
      <c r="J58" s="1235"/>
      <c r="K58" s="1235"/>
      <c r="L58" s="4229"/>
      <c r="M58" s="4170"/>
      <c r="N58" s="1235"/>
      <c r="O58" s="1235"/>
      <c r="P58" s="4166"/>
      <c r="Q58" s="1283"/>
      <c r="R58" s="1294"/>
    </row>
    <row r="59" spans="1:18" s="2117" customFormat="1" ht="24.95" customHeight="1">
      <c r="B59" s="2118"/>
      <c r="C59" s="1231"/>
      <c r="D59" s="2120"/>
      <c r="E59" s="2120" t="s">
        <v>118</v>
      </c>
      <c r="F59" s="2143" t="s">
        <v>118</v>
      </c>
      <c r="G59" s="1239"/>
      <c r="H59" s="4228" t="s">
        <v>118</v>
      </c>
      <c r="I59" s="4229" t="s">
        <v>118</v>
      </c>
      <c r="J59" s="4229" t="s">
        <v>118</v>
      </c>
      <c r="K59" s="4170" t="s">
        <v>119</v>
      </c>
      <c r="L59" s="4229" t="s">
        <v>325</v>
      </c>
      <c r="M59" s="4170" t="s">
        <v>324</v>
      </c>
      <c r="N59" s="4170"/>
      <c r="O59" s="2144"/>
      <c r="P59" s="4166"/>
      <c r="Q59" s="4198"/>
      <c r="R59" s="1294"/>
    </row>
    <row r="60" spans="1:18" s="2117" customFormat="1" ht="24.95" customHeight="1">
      <c r="B60" s="2118"/>
      <c r="C60" s="2140" t="s">
        <v>187</v>
      </c>
      <c r="D60" s="2120" t="s">
        <v>119</v>
      </c>
      <c r="E60" s="2120" t="s">
        <v>125</v>
      </c>
      <c r="F60" s="2143" t="s">
        <v>180</v>
      </c>
      <c r="G60" s="1239"/>
      <c r="H60" s="2120" t="s">
        <v>184</v>
      </c>
      <c r="I60" s="4170" t="s">
        <v>181</v>
      </c>
      <c r="J60" s="4170" t="s">
        <v>185</v>
      </c>
      <c r="K60" s="4170" t="s">
        <v>128</v>
      </c>
      <c r="L60" s="4229" t="s">
        <v>323</v>
      </c>
      <c r="M60" s="4170" t="s">
        <v>322</v>
      </c>
      <c r="N60" s="4170"/>
      <c r="O60" s="2120"/>
      <c r="P60" s="4171"/>
      <c r="Q60" s="4198" t="s">
        <v>321</v>
      </c>
      <c r="R60" s="1294"/>
    </row>
    <row r="61" spans="1:18" s="2117" customFormat="1" ht="24.95" customHeight="1">
      <c r="B61" s="2118"/>
      <c r="C61" s="2145" t="s">
        <v>123</v>
      </c>
      <c r="D61" s="2122" t="s">
        <v>123</v>
      </c>
      <c r="E61" s="2122" t="s">
        <v>134</v>
      </c>
      <c r="F61" s="2146" t="s">
        <v>280</v>
      </c>
      <c r="G61" s="1289"/>
      <c r="H61" s="2122" t="s">
        <v>192</v>
      </c>
      <c r="I61" s="4207" t="s">
        <v>228</v>
      </c>
      <c r="J61" s="4207" t="s">
        <v>320</v>
      </c>
      <c r="K61" s="4207" t="s">
        <v>319</v>
      </c>
      <c r="L61" s="4207" t="s">
        <v>318</v>
      </c>
      <c r="M61" s="4207" t="s">
        <v>317</v>
      </c>
      <c r="N61" s="4207" t="s">
        <v>316</v>
      </c>
      <c r="O61" s="2122" t="s">
        <v>315</v>
      </c>
      <c r="P61" s="2147"/>
      <c r="Q61" s="4145" t="s">
        <v>144</v>
      </c>
      <c r="R61" s="2123"/>
    </row>
    <row r="62" spans="1:18" s="2149" customFormat="1" ht="48.75" customHeight="1">
      <c r="A62" s="2148"/>
      <c r="B62" s="2148"/>
      <c r="C62" s="1572">
        <f>D62+E62+F62+H62+I62+J62+K62+L62+M62+N62+O62</f>
        <v>2790.1000000000004</v>
      </c>
      <c r="D62" s="4190">
        <v>22.1</v>
      </c>
      <c r="E62" s="4190">
        <v>5.7</v>
      </c>
      <c r="F62" s="2015">
        <v>25.7</v>
      </c>
      <c r="G62" s="2015"/>
      <c r="H62" s="4190">
        <v>348.1</v>
      </c>
      <c r="I62" s="4190">
        <v>0.1</v>
      </c>
      <c r="J62" s="4190">
        <v>698.8</v>
      </c>
      <c r="K62" s="4190">
        <v>465.7</v>
      </c>
      <c r="L62" s="4190">
        <v>130.4</v>
      </c>
      <c r="M62" s="4190">
        <v>1018.4</v>
      </c>
      <c r="N62" s="4190">
        <v>4.8</v>
      </c>
      <c r="O62" s="4190">
        <v>70.3</v>
      </c>
      <c r="P62" s="4691" t="s">
        <v>314</v>
      </c>
      <c r="Q62" s="4684"/>
      <c r="R62" s="4692"/>
    </row>
    <row r="63" spans="1:18" ht="48.75" customHeight="1">
      <c r="A63" s="2148"/>
      <c r="C63" s="1571">
        <f>D63+E63+F63+H63+I63+J63+K63+L63+M63+N63+O63</f>
        <v>3113.7000000000003</v>
      </c>
      <c r="D63" s="4183">
        <v>18.7</v>
      </c>
      <c r="E63" s="4183">
        <v>6.5</v>
      </c>
      <c r="F63" s="1412">
        <v>29.7</v>
      </c>
      <c r="G63" s="1412"/>
      <c r="H63" s="4183">
        <v>367.6</v>
      </c>
      <c r="I63" s="4183">
        <v>0.1</v>
      </c>
      <c r="J63" s="4183">
        <v>786.8</v>
      </c>
      <c r="K63" s="4183">
        <v>643.9</v>
      </c>
      <c r="L63" s="4183">
        <v>162.19999999999999</v>
      </c>
      <c r="M63" s="4183">
        <v>958.6</v>
      </c>
      <c r="N63" s="4183">
        <v>0.5</v>
      </c>
      <c r="O63" s="4183">
        <v>139.1</v>
      </c>
      <c r="P63" s="4665">
        <f>Q45+2</f>
        <v>1994</v>
      </c>
      <c r="Q63" s="4663"/>
      <c r="R63" s="4664"/>
    </row>
    <row r="64" spans="1:18" s="2149" customFormat="1" ht="48.75" customHeight="1">
      <c r="A64" s="2148"/>
      <c r="B64" s="2148"/>
      <c r="C64" s="1572">
        <f>D64+E64+F64+H64+I64+J64+K64+L64+M64+N64+O64</f>
        <v>3288.1</v>
      </c>
      <c r="D64" s="4184">
        <v>21.7</v>
      </c>
      <c r="E64" s="4184">
        <v>7.6</v>
      </c>
      <c r="F64" s="1168">
        <v>33.5</v>
      </c>
      <c r="G64" s="1168"/>
      <c r="H64" s="4184">
        <v>369</v>
      </c>
      <c r="I64" s="4184">
        <v>0.1</v>
      </c>
      <c r="J64" s="4184">
        <v>671</v>
      </c>
      <c r="K64" s="4184">
        <v>862.1</v>
      </c>
      <c r="L64" s="4184">
        <v>97.7</v>
      </c>
      <c r="M64" s="4184">
        <v>1085.5999999999999</v>
      </c>
      <c r="N64" s="4184">
        <v>0.9</v>
      </c>
      <c r="O64" s="4184">
        <v>138.9</v>
      </c>
      <c r="P64" s="4667">
        <f>P63+1</f>
        <v>1995</v>
      </c>
      <c r="Q64" s="4661"/>
      <c r="R64" s="4662"/>
    </row>
    <row r="65" spans="1:18" ht="48.75" customHeight="1">
      <c r="A65" s="2148"/>
      <c r="C65" s="1571">
        <f>D65+E65+F65+H65+I65+J65+K65+L65+M65+N65+O65</f>
        <v>3414.4</v>
      </c>
      <c r="D65" s="4183">
        <v>47.5</v>
      </c>
      <c r="E65" s="4183">
        <v>8</v>
      </c>
      <c r="F65" s="1412">
        <v>32.299999999999997</v>
      </c>
      <c r="G65" s="1412"/>
      <c r="H65" s="4183">
        <v>399</v>
      </c>
      <c r="I65" s="4183">
        <v>0.7</v>
      </c>
      <c r="J65" s="4183">
        <v>673</v>
      </c>
      <c r="K65" s="4183">
        <v>866.4</v>
      </c>
      <c r="L65" s="4183">
        <v>63.9</v>
      </c>
      <c r="M65" s="4183">
        <v>1182.8</v>
      </c>
      <c r="N65" s="4183">
        <v>0.6</v>
      </c>
      <c r="O65" s="4183">
        <v>140.19999999999999</v>
      </c>
      <c r="P65" s="4665">
        <v>1996</v>
      </c>
      <c r="Q65" s="4663" t="s">
        <v>313</v>
      </c>
      <c r="R65" s="4664"/>
    </row>
    <row r="66" spans="1:18" s="2149" customFormat="1" ht="48.75" customHeight="1">
      <c r="A66" s="2148"/>
      <c r="B66" s="2148"/>
      <c r="C66" s="1572">
        <f>D66+E66+F66+H66+I66+J66+K66+L66+M66+N66+O66</f>
        <v>3694.5</v>
      </c>
      <c r="D66" s="4184">
        <v>65.599999999999994</v>
      </c>
      <c r="E66" s="4184">
        <v>8.6999999999999993</v>
      </c>
      <c r="F66" s="1168">
        <v>31.3</v>
      </c>
      <c r="G66" s="1168"/>
      <c r="H66" s="4184">
        <v>361.1</v>
      </c>
      <c r="I66" s="4184">
        <v>0.3</v>
      </c>
      <c r="J66" s="4184">
        <v>670.4</v>
      </c>
      <c r="K66" s="4184">
        <v>854.8</v>
      </c>
      <c r="L66" s="4184">
        <v>58.4</v>
      </c>
      <c r="M66" s="4184">
        <v>1501.5</v>
      </c>
      <c r="N66" s="4184">
        <v>0.1</v>
      </c>
      <c r="O66" s="4184">
        <v>142.30000000000001</v>
      </c>
      <c r="P66" s="4667">
        <v>1997</v>
      </c>
      <c r="Q66" s="4661" t="s">
        <v>312</v>
      </c>
      <c r="R66" s="4662"/>
    </row>
    <row r="67" spans="1:18" ht="48.75" customHeight="1">
      <c r="A67" s="2148"/>
      <c r="C67" s="1571">
        <f t="shared" ref="C67:C89" si="2">D67+E67+F67+H67+I67+J67+K67+L67+M67+N67+O67</f>
        <v>3383.2999999999997</v>
      </c>
      <c r="D67" s="4183">
        <v>10.8</v>
      </c>
      <c r="E67" s="4183">
        <v>9.5</v>
      </c>
      <c r="F67" s="1412">
        <v>29.2</v>
      </c>
      <c r="G67" s="1412"/>
      <c r="H67" s="4183">
        <v>347.8</v>
      </c>
      <c r="I67" s="4183">
        <v>0.1</v>
      </c>
      <c r="J67" s="4183">
        <v>688.2</v>
      </c>
      <c r="K67" s="4183">
        <v>911.8</v>
      </c>
      <c r="L67" s="4183">
        <v>63.7</v>
      </c>
      <c r="M67" s="4183">
        <v>1176.8</v>
      </c>
      <c r="N67" s="4183">
        <v>0.6</v>
      </c>
      <c r="O67" s="4183">
        <v>144.80000000000001</v>
      </c>
      <c r="P67" s="4703" t="s">
        <v>311</v>
      </c>
      <c r="Q67" s="4694"/>
      <c r="R67" s="4695"/>
    </row>
    <row r="68" spans="1:18" s="2149" customFormat="1" ht="48.75" customHeight="1">
      <c r="A68" s="2148"/>
      <c r="B68" s="2148"/>
      <c r="C68" s="1572">
        <f t="shared" si="2"/>
        <v>3927.7</v>
      </c>
      <c r="D68" s="4184">
        <v>13.9</v>
      </c>
      <c r="E68" s="4184">
        <v>11.9</v>
      </c>
      <c r="F68" s="1168">
        <v>33.6</v>
      </c>
      <c r="G68" s="1168"/>
      <c r="H68" s="4184">
        <v>326.10000000000002</v>
      </c>
      <c r="I68" s="4184">
        <v>0.1</v>
      </c>
      <c r="J68" s="4184">
        <v>652.5</v>
      </c>
      <c r="K68" s="4184">
        <v>940.5</v>
      </c>
      <c r="L68" s="4184">
        <v>74.8</v>
      </c>
      <c r="M68" s="4184">
        <v>1789</v>
      </c>
      <c r="N68" s="4184">
        <v>0.2</v>
      </c>
      <c r="O68" s="4184">
        <v>85.1</v>
      </c>
      <c r="P68" s="4667">
        <v>1999</v>
      </c>
      <c r="Q68" s="4661">
        <f>Q66+2</f>
        <v>1999</v>
      </c>
      <c r="R68" s="4662"/>
    </row>
    <row r="69" spans="1:18" ht="48.75" customHeight="1">
      <c r="A69" s="2148"/>
      <c r="C69" s="1571">
        <f t="shared" si="2"/>
        <v>4423.2</v>
      </c>
      <c r="D69" s="4183">
        <v>11</v>
      </c>
      <c r="E69" s="4183">
        <v>13.2</v>
      </c>
      <c r="F69" s="1412">
        <v>30.7</v>
      </c>
      <c r="G69" s="1412"/>
      <c r="H69" s="4183">
        <v>317.89999999999998</v>
      </c>
      <c r="I69" s="4183">
        <v>0</v>
      </c>
      <c r="J69" s="4183">
        <v>782.9</v>
      </c>
      <c r="K69" s="4183">
        <v>835.3</v>
      </c>
      <c r="L69" s="4183">
        <v>371.2</v>
      </c>
      <c r="M69" s="4183">
        <v>1990.2</v>
      </c>
      <c r="N69" s="4183">
        <v>0.5</v>
      </c>
      <c r="O69" s="4183">
        <v>70.3</v>
      </c>
      <c r="P69" s="4665">
        <v>2000</v>
      </c>
      <c r="Q69" s="4663">
        <f>Q68+1</f>
        <v>2000</v>
      </c>
      <c r="R69" s="4664"/>
    </row>
    <row r="70" spans="1:18" s="2149" customFormat="1" ht="48.75" customHeight="1">
      <c r="A70" s="2148"/>
      <c r="B70" s="2148"/>
      <c r="C70" s="1572">
        <f t="shared" si="2"/>
        <v>4246.5</v>
      </c>
      <c r="D70" s="4184">
        <v>40.700000000000003</v>
      </c>
      <c r="E70" s="4184">
        <v>13.7</v>
      </c>
      <c r="F70" s="1168">
        <v>20.399999999999999</v>
      </c>
      <c r="G70" s="1168"/>
      <c r="H70" s="4184">
        <v>332.5</v>
      </c>
      <c r="I70" s="4184">
        <v>0</v>
      </c>
      <c r="J70" s="4184">
        <v>775</v>
      </c>
      <c r="K70" s="4184">
        <v>813.6</v>
      </c>
      <c r="L70" s="4184">
        <v>844.1</v>
      </c>
      <c r="M70" s="4184">
        <v>1326.1</v>
      </c>
      <c r="N70" s="4184">
        <v>0.9</v>
      </c>
      <c r="O70" s="4184">
        <v>79.5</v>
      </c>
      <c r="P70" s="4667">
        <v>2001</v>
      </c>
      <c r="Q70" s="4661">
        <f>Q69+1</f>
        <v>2001</v>
      </c>
      <c r="R70" s="4662"/>
    </row>
    <row r="71" spans="1:18" ht="48.75" customHeight="1">
      <c r="A71" s="2148"/>
      <c r="C71" s="1571">
        <f t="shared" si="2"/>
        <v>4735.5</v>
      </c>
      <c r="D71" s="4183">
        <v>34.9</v>
      </c>
      <c r="E71" s="4183">
        <v>14.5</v>
      </c>
      <c r="F71" s="1412">
        <v>25.9</v>
      </c>
      <c r="G71" s="1412"/>
      <c r="H71" s="4183">
        <v>317.7</v>
      </c>
      <c r="I71" s="4183">
        <v>0</v>
      </c>
      <c r="J71" s="4183">
        <v>648.6</v>
      </c>
      <c r="K71" s="4183">
        <v>774.9</v>
      </c>
      <c r="L71" s="4183">
        <v>1180.7</v>
      </c>
      <c r="M71" s="4183">
        <v>1637.6</v>
      </c>
      <c r="N71" s="4183">
        <v>0.6</v>
      </c>
      <c r="O71" s="4183">
        <v>100.1</v>
      </c>
      <c r="P71" s="4665">
        <v>2002</v>
      </c>
      <c r="Q71" s="4663">
        <f>Q70+1</f>
        <v>2002</v>
      </c>
      <c r="R71" s="4664"/>
    </row>
    <row r="72" spans="1:18" s="2127" customFormat="1" ht="48.75" customHeight="1">
      <c r="A72" s="2148"/>
      <c r="C72" s="1572">
        <f t="shared" si="2"/>
        <v>5635.4000000000005</v>
      </c>
      <c r="D72" s="4184">
        <v>48</v>
      </c>
      <c r="E72" s="4184">
        <v>15.1</v>
      </c>
      <c r="F72" s="1168">
        <v>27.3</v>
      </c>
      <c r="G72" s="1168"/>
      <c r="H72" s="4184">
        <v>351.7</v>
      </c>
      <c r="I72" s="4184">
        <v>0</v>
      </c>
      <c r="J72" s="4184">
        <v>622.20000000000005</v>
      </c>
      <c r="K72" s="4184">
        <v>766.9</v>
      </c>
      <c r="L72" s="4184">
        <v>1601.1</v>
      </c>
      <c r="M72" s="4184">
        <v>2080.8000000000002</v>
      </c>
      <c r="N72" s="4184">
        <v>0.8</v>
      </c>
      <c r="O72" s="4184">
        <v>121.5</v>
      </c>
      <c r="P72" s="4667">
        <v>2003</v>
      </c>
      <c r="Q72" s="4661">
        <f>Q71+1</f>
        <v>2003</v>
      </c>
      <c r="R72" s="4662"/>
    </row>
    <row r="73" spans="1:18" s="1801" customFormat="1" ht="48.75" customHeight="1">
      <c r="A73" s="2148"/>
      <c r="C73" s="1571">
        <f>D73+E73+F73+H73+I73+J73+K73+L73+M73+N73+O73</f>
        <v>5928.7000000000007</v>
      </c>
      <c r="D73" s="4183">
        <v>247.4</v>
      </c>
      <c r="E73" s="4183">
        <v>18.3</v>
      </c>
      <c r="F73" s="1412">
        <v>31.1</v>
      </c>
      <c r="G73" s="1412"/>
      <c r="H73" s="4183">
        <v>370.8</v>
      </c>
      <c r="I73" s="4183">
        <v>0</v>
      </c>
      <c r="J73" s="4183">
        <v>632.9</v>
      </c>
      <c r="K73" s="4183">
        <v>766.9</v>
      </c>
      <c r="L73" s="4183">
        <v>1295</v>
      </c>
      <c r="M73" s="4183">
        <v>2437.6999999999998</v>
      </c>
      <c r="N73" s="4183">
        <v>1.3</v>
      </c>
      <c r="O73" s="4183">
        <v>127.3</v>
      </c>
      <c r="P73" s="4665">
        <v>2004</v>
      </c>
      <c r="Q73" s="4663">
        <v>2004</v>
      </c>
      <c r="R73" s="4664"/>
    </row>
    <row r="74" spans="1:18" s="2127" customFormat="1" ht="48.75" customHeight="1">
      <c r="A74" s="2148"/>
      <c r="C74" s="1572">
        <f t="shared" si="2"/>
        <v>6152</v>
      </c>
      <c r="D74" s="4184">
        <v>52.4</v>
      </c>
      <c r="E74" s="4184">
        <v>18.2</v>
      </c>
      <c r="F74" s="1168">
        <v>79.3</v>
      </c>
      <c r="G74" s="1168"/>
      <c r="H74" s="4184">
        <v>492.2</v>
      </c>
      <c r="I74" s="4184">
        <v>0</v>
      </c>
      <c r="J74" s="4184">
        <v>880.4</v>
      </c>
      <c r="K74" s="4184">
        <v>766.9</v>
      </c>
      <c r="L74" s="4184">
        <v>1394.3</v>
      </c>
      <c r="M74" s="4184">
        <v>2317.1999999999998</v>
      </c>
      <c r="N74" s="4184">
        <v>0.6</v>
      </c>
      <c r="O74" s="4184">
        <v>150.5</v>
      </c>
      <c r="P74" s="4667">
        <v>2005</v>
      </c>
      <c r="Q74" s="4661">
        <v>2005</v>
      </c>
      <c r="R74" s="4662"/>
    </row>
    <row r="75" spans="1:18" s="1801" customFormat="1" ht="48.75" customHeight="1">
      <c r="A75" s="2148"/>
      <c r="C75" s="1571">
        <f t="shared" si="2"/>
        <v>7076.6</v>
      </c>
      <c r="D75" s="4183">
        <v>165.5</v>
      </c>
      <c r="E75" s="4183">
        <v>17.7</v>
      </c>
      <c r="F75" s="1412">
        <v>96.8</v>
      </c>
      <c r="G75" s="1412"/>
      <c r="H75" s="4183">
        <v>448.3</v>
      </c>
      <c r="I75" s="4183">
        <v>0</v>
      </c>
      <c r="J75" s="4183">
        <v>633.79999999999995</v>
      </c>
      <c r="K75" s="4183">
        <v>766.9</v>
      </c>
      <c r="L75" s="4183">
        <v>1341.2</v>
      </c>
      <c r="M75" s="4183">
        <v>3423</v>
      </c>
      <c r="N75" s="4183">
        <v>1.1000000000000001</v>
      </c>
      <c r="O75" s="4183">
        <v>182.3</v>
      </c>
      <c r="P75" s="4665">
        <v>2006</v>
      </c>
      <c r="Q75" s="4663">
        <v>2006</v>
      </c>
      <c r="R75" s="4664"/>
    </row>
    <row r="76" spans="1:18" s="2149" customFormat="1" ht="48.75" customHeight="1">
      <c r="A76" s="2148"/>
      <c r="B76" s="2148"/>
      <c r="C76" s="1572">
        <f t="shared" si="2"/>
        <v>7630.2</v>
      </c>
      <c r="D76" s="4184">
        <v>105.5</v>
      </c>
      <c r="E76" s="4184">
        <v>17.8</v>
      </c>
      <c r="F76" s="1168">
        <v>100.4</v>
      </c>
      <c r="G76" s="1168"/>
      <c r="H76" s="4184">
        <v>414</v>
      </c>
      <c r="I76" s="4184">
        <v>0</v>
      </c>
      <c r="J76" s="4184">
        <v>604</v>
      </c>
      <c r="K76" s="4184">
        <v>766.9</v>
      </c>
      <c r="L76" s="4184">
        <v>1558.7</v>
      </c>
      <c r="M76" s="4184">
        <v>3786.7</v>
      </c>
      <c r="N76" s="4184">
        <v>1.8</v>
      </c>
      <c r="O76" s="4184">
        <v>274.39999999999998</v>
      </c>
      <c r="P76" s="4667">
        <v>2007</v>
      </c>
      <c r="Q76" s="4661">
        <v>2007</v>
      </c>
      <c r="R76" s="4662"/>
    </row>
    <row r="77" spans="1:18" ht="48.75" customHeight="1">
      <c r="A77" s="2148"/>
      <c r="C77" s="1571">
        <f t="shared" si="2"/>
        <v>8872</v>
      </c>
      <c r="D77" s="4183">
        <v>54.3</v>
      </c>
      <c r="E77" s="4183">
        <v>19</v>
      </c>
      <c r="F77" s="1412">
        <v>89</v>
      </c>
      <c r="G77" s="1412"/>
      <c r="H77" s="4183">
        <v>376.4</v>
      </c>
      <c r="I77" s="4183">
        <v>0</v>
      </c>
      <c r="J77" s="4183">
        <v>1243.3</v>
      </c>
      <c r="K77" s="4183">
        <v>766.9</v>
      </c>
      <c r="L77" s="4183">
        <v>4073.7</v>
      </c>
      <c r="M77" s="4183">
        <v>1994</v>
      </c>
      <c r="N77" s="4183">
        <v>2.6</v>
      </c>
      <c r="O77" s="4183">
        <v>252.8</v>
      </c>
      <c r="P77" s="4665">
        <v>2008</v>
      </c>
      <c r="Q77" s="4663">
        <v>2008</v>
      </c>
      <c r="R77" s="4664"/>
    </row>
    <row r="78" spans="1:18" ht="48.75" customHeight="1">
      <c r="A78" s="2148"/>
      <c r="C78" s="1572">
        <f t="shared" si="2"/>
        <v>11055.3</v>
      </c>
      <c r="D78" s="4184">
        <v>51.2</v>
      </c>
      <c r="E78" s="4184">
        <v>19</v>
      </c>
      <c r="F78" s="1168">
        <v>71.599999999999994</v>
      </c>
      <c r="G78" s="1168"/>
      <c r="H78" s="4184">
        <v>352</v>
      </c>
      <c r="I78" s="4184">
        <v>0</v>
      </c>
      <c r="J78" s="4184">
        <v>1188.2</v>
      </c>
      <c r="K78" s="4184">
        <v>766.9</v>
      </c>
      <c r="L78" s="4184">
        <v>4116.6000000000004</v>
      </c>
      <c r="M78" s="4184">
        <v>4007.6</v>
      </c>
      <c r="N78" s="4184">
        <v>162.80000000000001</v>
      </c>
      <c r="O78" s="4184">
        <v>319.39999999999998</v>
      </c>
      <c r="P78" s="4667">
        <v>2009</v>
      </c>
      <c r="Q78" s="4661">
        <v>2009</v>
      </c>
      <c r="R78" s="4662"/>
    </row>
    <row r="79" spans="1:18" ht="48.75" customHeight="1">
      <c r="A79" s="2148"/>
      <c r="C79" s="1571">
        <f t="shared" si="2"/>
        <v>12067.5</v>
      </c>
      <c r="D79" s="4183">
        <v>48.8</v>
      </c>
      <c r="E79" s="4183">
        <v>19</v>
      </c>
      <c r="F79" s="1412">
        <v>76.400000000000006</v>
      </c>
      <c r="G79" s="1412"/>
      <c r="H79" s="4183">
        <v>398.9</v>
      </c>
      <c r="I79" s="4183">
        <v>0</v>
      </c>
      <c r="J79" s="4183">
        <v>1089.5</v>
      </c>
      <c r="K79" s="4183">
        <v>766.9</v>
      </c>
      <c r="L79" s="4183">
        <v>4891.5</v>
      </c>
      <c r="M79" s="4183">
        <v>4205.3</v>
      </c>
      <c r="N79" s="4183">
        <v>159.69999999999999</v>
      </c>
      <c r="O79" s="4183">
        <v>411.5</v>
      </c>
      <c r="P79" s="4665">
        <v>2010</v>
      </c>
      <c r="Q79" s="4663">
        <v>2010</v>
      </c>
      <c r="R79" s="4664"/>
    </row>
    <row r="80" spans="1:18" ht="48.75" customHeight="1">
      <c r="A80" s="2148"/>
      <c r="C80" s="1572">
        <f t="shared" si="2"/>
        <v>11142.2</v>
      </c>
      <c r="D80" s="4184">
        <v>33.5</v>
      </c>
      <c r="E80" s="4184">
        <v>19.600000000000001</v>
      </c>
      <c r="F80" s="1168">
        <v>76.400000000000006</v>
      </c>
      <c r="G80" s="1168"/>
      <c r="H80" s="4184">
        <v>431.5</v>
      </c>
      <c r="I80" s="4184">
        <v>0</v>
      </c>
      <c r="J80" s="4184">
        <v>1217.9000000000001</v>
      </c>
      <c r="K80" s="4184">
        <v>766.9</v>
      </c>
      <c r="L80" s="4184">
        <v>4374.3999999999996</v>
      </c>
      <c r="M80" s="4184">
        <v>3609.3</v>
      </c>
      <c r="N80" s="4184">
        <v>160.6</v>
      </c>
      <c r="O80" s="4184">
        <v>452.1</v>
      </c>
      <c r="P80" s="4667">
        <v>2011</v>
      </c>
      <c r="Q80" s="4661">
        <v>2011</v>
      </c>
      <c r="R80" s="4662"/>
    </row>
    <row r="81" spans="1:21" ht="48.75" customHeight="1">
      <c r="A81" s="2148"/>
      <c r="C81" s="1571">
        <f t="shared" si="2"/>
        <v>10314.400000000001</v>
      </c>
      <c r="D81" s="4183">
        <v>701</v>
      </c>
      <c r="E81" s="4183">
        <v>20</v>
      </c>
      <c r="F81" s="1412">
        <v>81.599999999999994</v>
      </c>
      <c r="G81" s="1412"/>
      <c r="H81" s="4183">
        <v>432.3</v>
      </c>
      <c r="I81" s="4183">
        <v>0</v>
      </c>
      <c r="J81" s="4183">
        <v>2052.5</v>
      </c>
      <c r="K81" s="4183">
        <v>766.9</v>
      </c>
      <c r="L81" s="4183">
        <v>2976.3</v>
      </c>
      <c r="M81" s="4183">
        <v>2602.6</v>
      </c>
      <c r="N81" s="4183">
        <v>156.6</v>
      </c>
      <c r="O81" s="4183">
        <v>524.6</v>
      </c>
      <c r="P81" s="4665">
        <v>2012</v>
      </c>
      <c r="Q81" s="4663">
        <v>2012</v>
      </c>
      <c r="R81" s="4664"/>
    </row>
    <row r="82" spans="1:21" ht="48.75" customHeight="1">
      <c r="A82" s="2148"/>
      <c r="C82" s="1572">
        <f t="shared" si="2"/>
        <v>13203.9</v>
      </c>
      <c r="D82" s="4184">
        <v>447.7</v>
      </c>
      <c r="E82" s="4184">
        <v>20.6</v>
      </c>
      <c r="F82" s="1168">
        <v>76.3</v>
      </c>
      <c r="G82" s="1168"/>
      <c r="H82" s="4184">
        <v>453.7</v>
      </c>
      <c r="I82" s="4184">
        <v>0</v>
      </c>
      <c r="J82" s="4184">
        <v>1637.5</v>
      </c>
      <c r="K82" s="4184">
        <v>766.9</v>
      </c>
      <c r="L82" s="4184">
        <v>5002.5</v>
      </c>
      <c r="M82" s="4184">
        <v>4221.3</v>
      </c>
      <c r="N82" s="4184">
        <v>151.80000000000001</v>
      </c>
      <c r="O82" s="4184">
        <v>425.6</v>
      </c>
      <c r="P82" s="4667">
        <v>2013</v>
      </c>
      <c r="Q82" s="4661">
        <v>2013</v>
      </c>
      <c r="R82" s="4662"/>
    </row>
    <row r="83" spans="1:21" ht="48.75" customHeight="1">
      <c r="A83" s="2148"/>
      <c r="C83" s="1571">
        <f t="shared" si="2"/>
        <v>14032.800000000001</v>
      </c>
      <c r="D83" s="4183">
        <v>111</v>
      </c>
      <c r="E83" s="4183">
        <v>22.4</v>
      </c>
      <c r="F83" s="1412">
        <v>76.3</v>
      </c>
      <c r="G83" s="1412"/>
      <c r="H83" s="4183">
        <v>511.2</v>
      </c>
      <c r="I83" s="4183">
        <v>0</v>
      </c>
      <c r="J83" s="4183">
        <v>1169.7</v>
      </c>
      <c r="K83" s="4183">
        <v>766.9</v>
      </c>
      <c r="L83" s="4183">
        <v>4828</v>
      </c>
      <c r="M83" s="4183">
        <v>5892.1</v>
      </c>
      <c r="N83" s="4183">
        <v>127.2</v>
      </c>
      <c r="O83" s="4183">
        <v>528</v>
      </c>
      <c r="P83" s="4665">
        <v>2014</v>
      </c>
      <c r="Q83" s="4663">
        <v>2012</v>
      </c>
      <c r="R83" s="4664"/>
    </row>
    <row r="84" spans="1:21" ht="48.75" customHeight="1">
      <c r="A84" s="2148"/>
      <c r="C84" s="1572">
        <f t="shared" si="2"/>
        <v>14329.4</v>
      </c>
      <c r="D84" s="4184">
        <v>355.9</v>
      </c>
      <c r="E84" s="4184">
        <v>23.2</v>
      </c>
      <c r="F84" s="1168">
        <v>76.2</v>
      </c>
      <c r="G84" s="1168"/>
      <c r="H84" s="4184">
        <v>355.6</v>
      </c>
      <c r="I84" s="4184">
        <v>0</v>
      </c>
      <c r="J84" s="4184">
        <v>1003.8000000000001</v>
      </c>
      <c r="K84" s="4184">
        <v>766.9</v>
      </c>
      <c r="L84" s="4184">
        <v>5829.5</v>
      </c>
      <c r="M84" s="4184">
        <v>4823.1000000000004</v>
      </c>
      <c r="N84" s="4184">
        <v>97.3</v>
      </c>
      <c r="O84" s="4184">
        <v>997.9</v>
      </c>
      <c r="P84" s="4667">
        <v>2015</v>
      </c>
      <c r="Q84" s="4661"/>
      <c r="R84" s="4662"/>
    </row>
    <row r="85" spans="1:21" ht="48.75" customHeight="1">
      <c r="A85" s="2148"/>
      <c r="C85" s="1571">
        <f t="shared" si="2"/>
        <v>13453</v>
      </c>
      <c r="D85" s="4183">
        <v>271.7</v>
      </c>
      <c r="E85" s="4183">
        <v>22.9</v>
      </c>
      <c r="F85" s="1412">
        <v>97</v>
      </c>
      <c r="G85" s="1412"/>
      <c r="H85" s="4183">
        <v>338.2</v>
      </c>
      <c r="I85" s="4183">
        <v>0</v>
      </c>
      <c r="J85" s="4183">
        <v>938.40000000000009</v>
      </c>
      <c r="K85" s="4183">
        <v>766.9</v>
      </c>
      <c r="L85" s="4183">
        <v>5020.3</v>
      </c>
      <c r="M85" s="4183">
        <v>4851.3</v>
      </c>
      <c r="N85" s="4183">
        <v>67.8</v>
      </c>
      <c r="O85" s="4183">
        <v>1078.5</v>
      </c>
      <c r="P85" s="4665">
        <v>2016</v>
      </c>
      <c r="Q85" s="4663"/>
      <c r="R85" s="4664"/>
    </row>
    <row r="86" spans="1:21" ht="48.75" customHeight="1">
      <c r="A86" s="2148"/>
      <c r="C86" s="1572">
        <f>D86+E86+F86+H86+I86+J86+K86+L86+M86+N86+O86</f>
        <v>13367.6</v>
      </c>
      <c r="D86" s="4184">
        <v>162</v>
      </c>
      <c r="E86" s="4184">
        <v>22.9</v>
      </c>
      <c r="F86" s="1168">
        <v>194.3</v>
      </c>
      <c r="G86" s="1168"/>
      <c r="H86" s="4184">
        <v>349.8</v>
      </c>
      <c r="I86" s="4184">
        <v>0</v>
      </c>
      <c r="J86" s="4184">
        <v>824.8</v>
      </c>
      <c r="K86" s="4184">
        <v>766.9</v>
      </c>
      <c r="L86" s="4184">
        <v>4640.3999999999996</v>
      </c>
      <c r="M86" s="4184">
        <v>4889.7</v>
      </c>
      <c r="N86" s="4184">
        <v>43.1</v>
      </c>
      <c r="O86" s="4184">
        <v>1473.7</v>
      </c>
      <c r="P86" s="4667">
        <v>2017</v>
      </c>
      <c r="Q86" s="4661"/>
      <c r="R86" s="4662"/>
    </row>
    <row r="87" spans="1:21" ht="48.75" customHeight="1">
      <c r="A87" s="2148"/>
      <c r="C87" s="1571">
        <f t="shared" ref="C87:C88" si="3">D87+E87+F87+H87+I87+J87+K87+L87+M87+N87+O87</f>
        <v>12901.600000000002</v>
      </c>
      <c r="D87" s="4183">
        <v>404.7</v>
      </c>
      <c r="E87" s="4183">
        <v>22.8</v>
      </c>
      <c r="F87" s="1412">
        <v>254.2</v>
      </c>
      <c r="G87" s="1412"/>
      <c r="H87" s="4183">
        <v>365.4</v>
      </c>
      <c r="I87" s="4183">
        <v>0</v>
      </c>
      <c r="J87" s="4183">
        <v>752.90000000000009</v>
      </c>
      <c r="K87" s="4183">
        <v>766.9</v>
      </c>
      <c r="L87" s="4183">
        <v>3580.4</v>
      </c>
      <c r="M87" s="4183">
        <v>5429.4</v>
      </c>
      <c r="N87" s="4183">
        <v>22.7</v>
      </c>
      <c r="O87" s="4183">
        <v>1302.2</v>
      </c>
      <c r="P87" s="4665">
        <v>2018</v>
      </c>
      <c r="Q87" s="4663"/>
      <c r="R87" s="4664"/>
    </row>
    <row r="88" spans="1:21" ht="48.75" customHeight="1">
      <c r="A88" s="2148"/>
      <c r="C88" s="1572">
        <f t="shared" si="3"/>
        <v>13709.5</v>
      </c>
      <c r="D88" s="4184">
        <v>381.1</v>
      </c>
      <c r="E88" s="4184">
        <v>22.9</v>
      </c>
      <c r="F88" s="1168">
        <v>453.8</v>
      </c>
      <c r="G88" s="1168"/>
      <c r="H88" s="4184">
        <v>342.5</v>
      </c>
      <c r="I88" s="4184">
        <v>0</v>
      </c>
      <c r="J88" s="4184">
        <v>822.8</v>
      </c>
      <c r="K88" s="4184">
        <v>766.9</v>
      </c>
      <c r="L88" s="4184">
        <v>3512.3</v>
      </c>
      <c r="M88" s="4184">
        <v>5876.5</v>
      </c>
      <c r="N88" s="4184">
        <v>11.7</v>
      </c>
      <c r="O88" s="4184">
        <v>1519</v>
      </c>
      <c r="P88" s="4667">
        <v>2019</v>
      </c>
      <c r="Q88" s="4661"/>
      <c r="R88" s="4662"/>
    </row>
    <row r="89" spans="1:21" ht="48.75" customHeight="1">
      <c r="A89" s="2148"/>
      <c r="C89" s="4318">
        <f t="shared" si="2"/>
        <v>16025.6</v>
      </c>
      <c r="D89" s="4237">
        <v>550.6</v>
      </c>
      <c r="E89" s="4237">
        <v>23.1</v>
      </c>
      <c r="F89" s="4314">
        <v>770.8</v>
      </c>
      <c r="G89" s="4314"/>
      <c r="H89" s="4237">
        <v>935.9</v>
      </c>
      <c r="I89" s="4237">
        <v>0</v>
      </c>
      <c r="J89" s="4237">
        <v>953.90000000000009</v>
      </c>
      <c r="K89" s="4237">
        <v>766.9</v>
      </c>
      <c r="L89" s="4237">
        <v>2791</v>
      </c>
      <c r="M89" s="4237">
        <v>6573.6</v>
      </c>
      <c r="N89" s="4237">
        <v>13.8</v>
      </c>
      <c r="O89" s="4237">
        <v>2646</v>
      </c>
      <c r="P89" s="4702">
        <v>2020</v>
      </c>
      <c r="Q89" s="4673"/>
      <c r="R89" s="4674"/>
    </row>
    <row r="90" spans="1:21" ht="6.95" customHeight="1">
      <c r="A90" s="2148"/>
      <c r="C90" s="2150"/>
      <c r="D90" s="1647"/>
      <c r="E90" s="2076"/>
      <c r="F90" s="2076"/>
      <c r="G90" s="2076"/>
      <c r="H90" s="1397"/>
      <c r="I90" s="1397"/>
      <c r="J90" s="1397"/>
      <c r="K90" s="2076"/>
      <c r="L90" s="2076"/>
      <c r="M90" s="2076"/>
      <c r="N90" s="2076"/>
      <c r="O90" s="2151"/>
      <c r="P90" s="2152"/>
      <c r="Q90" s="2153"/>
      <c r="R90" s="2076"/>
    </row>
    <row r="91" spans="1:21" s="1980" customFormat="1" ht="18" customHeight="1">
      <c r="C91" s="2154" t="s">
        <v>310</v>
      </c>
      <c r="D91" s="4169"/>
      <c r="E91" s="2082"/>
      <c r="F91" s="2082"/>
      <c r="G91" s="2082"/>
      <c r="H91" s="1318"/>
      <c r="I91" s="1318"/>
      <c r="J91" s="1318"/>
      <c r="K91" s="2082"/>
      <c r="L91" s="2082"/>
      <c r="M91" s="2082"/>
      <c r="N91" s="2082"/>
      <c r="O91" s="2088"/>
      <c r="P91" s="2155"/>
      <c r="Q91" s="2156" t="s">
        <v>309</v>
      </c>
      <c r="R91" s="2082"/>
      <c r="S91" s="1191"/>
      <c r="T91" s="1191"/>
      <c r="U91" s="1191"/>
    </row>
    <row r="92" spans="1:21" s="1191" customFormat="1" ht="18.75" customHeight="1">
      <c r="C92" s="2157" t="s">
        <v>308</v>
      </c>
      <c r="D92" s="1838"/>
      <c r="E92" s="2158"/>
      <c r="F92" s="1318"/>
      <c r="G92" s="1318"/>
      <c r="H92" s="1318"/>
      <c r="I92" s="1318"/>
      <c r="J92" s="1318"/>
      <c r="K92" s="1318"/>
      <c r="L92" s="1318"/>
      <c r="M92" s="1318"/>
      <c r="N92" s="1318"/>
      <c r="O92" s="2088"/>
      <c r="P92" s="1275"/>
      <c r="Q92" s="2156" t="s">
        <v>307</v>
      </c>
      <c r="R92" s="1318"/>
    </row>
    <row r="93" spans="1:21" s="1191" customFormat="1" ht="18" customHeight="1">
      <c r="C93" s="2159" t="s">
        <v>306</v>
      </c>
      <c r="D93" s="2159"/>
      <c r="E93" s="2158"/>
      <c r="F93" s="1318"/>
      <c r="G93" s="1318"/>
      <c r="H93" s="1318"/>
      <c r="I93" s="1318"/>
      <c r="J93" s="1318"/>
      <c r="K93" s="1318"/>
      <c r="L93" s="1318"/>
      <c r="M93" s="1318"/>
      <c r="N93" s="1318"/>
      <c r="O93" s="2088"/>
      <c r="P93" s="1318"/>
      <c r="Q93" s="2088" t="s">
        <v>305</v>
      </c>
      <c r="R93" s="2159"/>
    </row>
    <row r="94" spans="1:21" s="1191" customFormat="1" ht="17.25" customHeight="1">
      <c r="C94" s="2157" t="s">
        <v>304</v>
      </c>
      <c r="D94" s="2081"/>
      <c r="E94" s="1318"/>
      <c r="F94" s="1318"/>
      <c r="G94" s="1318"/>
      <c r="H94" s="1318"/>
      <c r="I94" s="2082"/>
      <c r="J94" s="1318"/>
      <c r="K94" s="1318"/>
      <c r="L94" s="1318"/>
      <c r="M94" s="1318"/>
      <c r="N94" s="1318"/>
      <c r="O94" s="2088"/>
      <c r="P94" s="2155"/>
      <c r="Q94" s="2156" t="s">
        <v>303</v>
      </c>
      <c r="R94" s="2082"/>
    </row>
    <row r="95" spans="1:21">
      <c r="B95" s="1174"/>
      <c r="C95" s="1192"/>
      <c r="D95" s="1192"/>
      <c r="E95" s="1192"/>
      <c r="F95" s="1192"/>
      <c r="G95" s="1192"/>
      <c r="H95" s="1192"/>
      <c r="I95" s="1192"/>
      <c r="J95" s="1192"/>
      <c r="K95" s="1192"/>
      <c r="L95" s="1192"/>
      <c r="M95" s="1192"/>
      <c r="N95" s="1192"/>
      <c r="O95" s="2160"/>
      <c r="P95" s="1263" t="s">
        <v>8</v>
      </c>
      <c r="Q95" s="2161"/>
    </row>
    <row r="96" spans="1:21" ht="20.100000000000001" customHeight="1">
      <c r="B96" s="1174"/>
      <c r="C96" s="1192"/>
      <c r="D96" s="1192"/>
      <c r="E96" s="1192"/>
      <c r="F96" s="1192"/>
      <c r="G96" s="1192"/>
      <c r="H96" s="1192"/>
      <c r="I96" s="1192"/>
      <c r="J96" s="1192"/>
      <c r="K96" s="1192"/>
      <c r="L96" s="1192"/>
      <c r="M96" s="1192"/>
      <c r="N96" s="1192"/>
      <c r="O96" s="2160"/>
      <c r="Q96" s="1192"/>
    </row>
    <row r="97" spans="2:17" ht="20.100000000000001" customHeight="1">
      <c r="B97" s="1174"/>
      <c r="C97" s="1192"/>
      <c r="D97" s="1192"/>
      <c r="E97" s="1192"/>
      <c r="F97" s="1192"/>
      <c r="G97" s="1192"/>
      <c r="H97" s="1192"/>
      <c r="I97" s="1192"/>
      <c r="J97" s="1192"/>
      <c r="K97" s="1192"/>
      <c r="L97" s="1192"/>
      <c r="M97" s="1192"/>
      <c r="N97" s="1192"/>
      <c r="O97" s="1192"/>
      <c r="Q97" s="1192"/>
    </row>
    <row r="98" spans="2:17" ht="20.100000000000001" customHeight="1">
      <c r="B98" s="1174"/>
      <c r="C98" s="1192"/>
      <c r="D98" s="1192"/>
      <c r="E98" s="1192"/>
      <c r="F98" s="1192"/>
      <c r="G98" s="1192"/>
      <c r="H98" s="1192"/>
      <c r="I98" s="1192"/>
      <c r="J98" s="1192"/>
      <c r="K98" s="1192"/>
      <c r="L98" s="1192"/>
      <c r="M98" s="1192"/>
      <c r="N98" s="1192"/>
      <c r="O98" s="1192"/>
      <c r="Q98" s="1192"/>
    </row>
    <row r="99" spans="2:17" ht="20.100000000000001" customHeight="1">
      <c r="B99" s="1174"/>
      <c r="C99" s="1192"/>
      <c r="D99" s="1192"/>
      <c r="E99" s="1192"/>
      <c r="F99" s="1192"/>
      <c r="G99" s="1192"/>
      <c r="H99" s="1192"/>
      <c r="I99" s="1192"/>
      <c r="J99" s="1192"/>
      <c r="K99" s="1192"/>
      <c r="L99" s="1192"/>
      <c r="M99" s="1192"/>
      <c r="N99" s="1192"/>
      <c r="O99" s="1192"/>
      <c r="Q99" s="1192"/>
    </row>
    <row r="100" spans="2:17" ht="20.100000000000001" customHeight="1">
      <c r="B100" s="1174"/>
      <c r="C100" s="1192"/>
      <c r="D100" s="1192"/>
      <c r="E100" s="1192"/>
      <c r="F100" s="1192"/>
      <c r="G100" s="1192"/>
      <c r="H100" s="1192"/>
      <c r="I100" s="1192"/>
      <c r="J100" s="1192"/>
      <c r="K100" s="1192"/>
      <c r="L100" s="1192"/>
      <c r="M100" s="1192"/>
      <c r="N100" s="1192"/>
      <c r="O100" s="1192"/>
      <c r="Q100" s="1192"/>
    </row>
    <row r="101" spans="2:17" ht="6" customHeight="1">
      <c r="B101" s="1174"/>
      <c r="C101" s="1192"/>
      <c r="D101" s="1192"/>
      <c r="E101" s="1192"/>
      <c r="F101" s="1192"/>
      <c r="G101" s="1192"/>
      <c r="H101" s="1192"/>
      <c r="I101" s="1192"/>
      <c r="J101" s="1192"/>
      <c r="K101" s="1192"/>
      <c r="L101" s="1192"/>
      <c r="M101" s="1192"/>
      <c r="N101" s="1192"/>
      <c r="O101" s="1192"/>
      <c r="Q101" s="1192"/>
    </row>
    <row r="102" spans="2:17" ht="21.95" customHeight="1">
      <c r="B102" s="1174"/>
      <c r="C102" s="1192"/>
      <c r="D102" s="1192"/>
      <c r="E102" s="1192"/>
      <c r="F102" s="1192"/>
      <c r="G102" s="1192"/>
      <c r="H102" s="1192"/>
      <c r="I102" s="1192"/>
      <c r="J102" s="1192"/>
      <c r="K102" s="1192"/>
      <c r="L102" s="1192"/>
      <c r="M102" s="1192"/>
      <c r="N102" s="1192"/>
      <c r="O102" s="1192"/>
      <c r="Q102" s="1192"/>
    </row>
    <row r="103" spans="2:17">
      <c r="B103" s="1174"/>
      <c r="C103" s="1192"/>
      <c r="D103" s="1192"/>
      <c r="E103" s="1192"/>
      <c r="F103" s="1192"/>
      <c r="G103" s="1192"/>
      <c r="H103" s="1192"/>
      <c r="I103" s="1192"/>
      <c r="J103" s="1192"/>
      <c r="K103" s="1192"/>
      <c r="L103" s="1192"/>
      <c r="M103" s="1192"/>
      <c r="N103" s="1192"/>
      <c r="O103" s="1192"/>
      <c r="Q103" s="1192"/>
    </row>
    <row r="104" spans="2:17">
      <c r="B104" s="1174"/>
      <c r="C104" s="1192"/>
      <c r="D104" s="1192"/>
      <c r="E104" s="1192"/>
      <c r="F104" s="1192"/>
      <c r="G104" s="1192"/>
      <c r="H104" s="1192"/>
      <c r="I104" s="1192"/>
      <c r="J104" s="1192"/>
      <c r="K104" s="1192"/>
      <c r="L104" s="1192"/>
      <c r="M104" s="1192"/>
      <c r="N104" s="1192"/>
      <c r="O104" s="1192"/>
      <c r="Q104" s="1192"/>
    </row>
    <row r="105" spans="2:17">
      <c r="B105" s="1174"/>
      <c r="C105" s="1192"/>
      <c r="D105" s="1192"/>
      <c r="E105" s="1192"/>
      <c r="F105" s="1192"/>
      <c r="G105" s="1192"/>
      <c r="H105" s="1192"/>
      <c r="I105" s="1192"/>
      <c r="J105" s="1192"/>
      <c r="K105" s="1192"/>
      <c r="L105" s="1192"/>
      <c r="M105" s="1192"/>
      <c r="N105" s="1192"/>
      <c r="O105" s="1192"/>
      <c r="Q105" s="1192"/>
    </row>
  </sheetData>
  <mergeCells count="65">
    <mergeCell ref="P89:R89"/>
    <mergeCell ref="P32:R32"/>
    <mergeCell ref="P33:R33"/>
    <mergeCell ref="P67:R67"/>
    <mergeCell ref="P68:R68"/>
    <mergeCell ref="P69:R69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P43:R43"/>
    <mergeCell ref="P44:R44"/>
    <mergeCell ref="C3:R3"/>
    <mergeCell ref="C4:R4"/>
    <mergeCell ref="Q5:R5"/>
    <mergeCell ref="M7:O7"/>
    <mergeCell ref="M8:O8"/>
    <mergeCell ref="P17:R17"/>
    <mergeCell ref="P18:R18"/>
    <mergeCell ref="P19:R19"/>
    <mergeCell ref="P20:R20"/>
    <mergeCell ref="P21:R21"/>
    <mergeCell ref="P22:R22"/>
    <mergeCell ref="P23:R23"/>
    <mergeCell ref="P24:R24"/>
    <mergeCell ref="P25:R25"/>
    <mergeCell ref="P26:R26"/>
    <mergeCell ref="P27:R27"/>
    <mergeCell ref="P28:R28"/>
    <mergeCell ref="P29:R29"/>
    <mergeCell ref="P30:R30"/>
    <mergeCell ref="P31:R31"/>
    <mergeCell ref="P45:R45"/>
    <mergeCell ref="C49:R49"/>
    <mergeCell ref="C50:R50"/>
    <mergeCell ref="Q51:R51"/>
    <mergeCell ref="P62:R62"/>
    <mergeCell ref="P63:R63"/>
    <mergeCell ref="P64:R64"/>
    <mergeCell ref="P65:R65"/>
    <mergeCell ref="P66:R66"/>
    <mergeCell ref="P74:R74"/>
    <mergeCell ref="P75:R75"/>
    <mergeCell ref="P72:R72"/>
    <mergeCell ref="P73:R73"/>
    <mergeCell ref="P70:R70"/>
    <mergeCell ref="P71:R71"/>
    <mergeCell ref="P76:R76"/>
    <mergeCell ref="P77:R77"/>
    <mergeCell ref="P78:R78"/>
    <mergeCell ref="P84:R84"/>
    <mergeCell ref="P85:R85"/>
    <mergeCell ref="P86:R86"/>
    <mergeCell ref="P88:R88"/>
    <mergeCell ref="P79:R79"/>
    <mergeCell ref="P80:R80"/>
    <mergeCell ref="P81:R81"/>
    <mergeCell ref="P82:R82"/>
    <mergeCell ref="P83:R83"/>
    <mergeCell ref="P87:R87"/>
  </mergeCells>
  <printOptions horizontalCentered="1" verticalCentered="1"/>
  <pageMargins left="0.62992125984251968" right="0.62992125984251968" top="0" bottom="1.9685039370078741" header="0.51181102362204722" footer="0.51181102362204722"/>
  <pageSetup paperSize="9" scale="48" orientation="portrait" horizontalDpi="300" verticalDpi="300" r:id="rId1"/>
  <headerFooter alignWithMargins="0">
    <oddFooter>&amp;C&amp;"Times,Regular"&amp;22-11-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91"/>
  <sheetViews>
    <sheetView topLeftCell="A46" zoomScale="75" zoomScaleNormal="75" workbookViewId="0">
      <selection activeCell="W54" sqref="W54"/>
    </sheetView>
  </sheetViews>
  <sheetFormatPr defaultColWidth="10.7109375" defaultRowHeight="18" customHeight="1"/>
  <cols>
    <col min="1" max="1" width="9.140625" style="2165" customWidth="1"/>
    <col min="2" max="2" width="10.7109375" style="2165" customWidth="1"/>
    <col min="3" max="3" width="16.7109375" style="2166" customWidth="1"/>
    <col min="4" max="4" width="13" style="2166" customWidth="1"/>
    <col min="5" max="5" width="13.5703125" style="2166" customWidth="1"/>
    <col min="6" max="6" width="15.28515625" style="2166" customWidth="1"/>
    <col min="7" max="7" width="12.42578125" style="2166" customWidth="1"/>
    <col min="8" max="8" width="11.85546875" style="2166" customWidth="1"/>
    <col min="9" max="9" width="16" style="2166" customWidth="1"/>
    <col min="10" max="10" width="17.85546875" style="2166" customWidth="1"/>
    <col min="11" max="11" width="13.85546875" style="2166" customWidth="1"/>
    <col min="12" max="12" width="11.85546875" style="2166" customWidth="1"/>
    <col min="13" max="13" width="13.28515625" style="2166" customWidth="1"/>
    <col min="14" max="14" width="10.7109375" style="2166" customWidth="1"/>
    <col min="15" max="15" width="12.140625" style="2166" customWidth="1"/>
    <col min="16" max="16" width="4" style="1918" customWidth="1"/>
    <col min="17" max="17" width="1" style="2166" customWidth="1"/>
    <col min="18" max="18" width="5.140625" style="2166" customWidth="1"/>
    <col min="19" max="19" width="1.42578125" style="1918" customWidth="1"/>
    <col min="20" max="16384" width="10.7109375" style="2165"/>
  </cols>
  <sheetData>
    <row r="1" spans="3:21" ht="20.100000000000001" customHeight="1"/>
    <row r="2" spans="3:21" ht="20.100000000000001" customHeight="1"/>
    <row r="3" spans="3:21" s="2167" customFormat="1" ht="35.1" customHeight="1">
      <c r="C3" s="4602" t="s">
        <v>386</v>
      </c>
      <c r="D3" s="4602"/>
      <c r="E3" s="4602"/>
      <c r="F3" s="4602"/>
      <c r="G3" s="4602"/>
      <c r="H3" s="4602"/>
      <c r="I3" s="4602"/>
      <c r="J3" s="4602"/>
      <c r="K3" s="4602"/>
      <c r="L3" s="4602"/>
      <c r="M3" s="4602"/>
      <c r="N3" s="4602"/>
      <c r="O3" s="4602"/>
      <c r="P3" s="4602"/>
      <c r="Q3" s="4602"/>
      <c r="R3" s="4602"/>
      <c r="S3" s="4602"/>
    </row>
    <row r="4" spans="3:21" s="2168" customFormat="1" ht="35.1" customHeight="1">
      <c r="C4" s="4713" t="s">
        <v>387</v>
      </c>
      <c r="D4" s="4713"/>
      <c r="E4" s="4713"/>
      <c r="F4" s="4713"/>
      <c r="G4" s="4713"/>
      <c r="H4" s="4713"/>
      <c r="I4" s="4713"/>
      <c r="J4" s="4713"/>
      <c r="K4" s="4713"/>
      <c r="L4" s="4713"/>
      <c r="M4" s="4713"/>
      <c r="N4" s="4713"/>
      <c r="O4" s="4713"/>
      <c r="P4" s="4713"/>
      <c r="Q4" s="4713"/>
      <c r="R4" s="4713"/>
      <c r="S4" s="4713"/>
    </row>
    <row r="5" spans="3:21" s="2169" customFormat="1" ht="18" customHeight="1">
      <c r="C5" s="2170" t="s">
        <v>90</v>
      </c>
      <c r="D5" s="2171"/>
      <c r="E5" s="2172"/>
      <c r="F5" s="2172"/>
      <c r="G5" s="2172"/>
      <c r="H5" s="2172"/>
      <c r="I5" s="2172"/>
      <c r="J5" s="2172"/>
      <c r="K5" s="2172"/>
      <c r="L5" s="2172"/>
      <c r="M5" s="2172"/>
      <c r="N5" s="2172"/>
      <c r="O5" s="2172"/>
      <c r="P5" s="2173"/>
      <c r="Q5" s="2174"/>
      <c r="R5" s="2172"/>
      <c r="S5" s="2175" t="s">
        <v>91</v>
      </c>
      <c r="T5" s="2176"/>
      <c r="U5" s="2176"/>
    </row>
    <row r="6" spans="3:21" ht="6" customHeight="1">
      <c r="C6" s="2177"/>
      <c r="D6" s="2177"/>
      <c r="E6" s="2177" t="s">
        <v>8</v>
      </c>
      <c r="F6" s="2177"/>
      <c r="G6" s="2177"/>
      <c r="H6" s="2177"/>
      <c r="I6" s="2177"/>
      <c r="J6" s="2177"/>
      <c r="K6" s="2177"/>
      <c r="L6" s="2177"/>
      <c r="M6" s="2177"/>
      <c r="N6" s="2177"/>
      <c r="O6" s="2177"/>
      <c r="P6" s="2178"/>
      <c r="Q6" s="2177"/>
      <c r="R6" s="2177"/>
      <c r="S6" s="2177"/>
    </row>
    <row r="7" spans="3:21" ht="24.95" customHeight="1">
      <c r="C7" s="2179"/>
      <c r="D7" s="2180"/>
      <c r="E7" s="2181"/>
      <c r="F7" s="2181"/>
      <c r="G7" s="2181"/>
      <c r="H7" s="2181"/>
      <c r="I7" s="1994"/>
      <c r="J7" s="1992"/>
      <c r="K7" s="1992"/>
      <c r="L7" s="1992"/>
      <c r="M7" s="1992"/>
      <c r="N7" s="2182"/>
      <c r="O7" s="2180"/>
      <c r="P7" s="2183"/>
      <c r="Q7" s="2184"/>
      <c r="R7" s="2184"/>
      <c r="S7" s="2185"/>
    </row>
    <row r="8" spans="3:21" ht="24.95" customHeight="1">
      <c r="C8" s="2186"/>
      <c r="D8" s="1240"/>
      <c r="E8" s="2187"/>
      <c r="F8" s="2187"/>
      <c r="G8" s="2187"/>
      <c r="H8" s="2187"/>
      <c r="I8" s="2188" t="s">
        <v>388</v>
      </c>
      <c r="J8" s="2189"/>
      <c r="K8" s="2189"/>
      <c r="L8" s="2189"/>
      <c r="M8" s="2189"/>
      <c r="N8" s="2190" t="s">
        <v>389</v>
      </c>
      <c r="O8" s="2180"/>
      <c r="P8" s="2191"/>
      <c r="Q8" s="2192"/>
      <c r="R8" s="2192"/>
      <c r="S8" s="2193"/>
    </row>
    <row r="9" spans="3:21" s="1963" customFormat="1" ht="24.95" customHeight="1">
      <c r="C9" s="2194"/>
      <c r="D9" s="1240"/>
      <c r="E9" s="2195"/>
      <c r="F9" s="4228"/>
      <c r="G9" s="4228"/>
      <c r="H9" s="4228"/>
      <c r="I9" s="4226"/>
      <c r="J9" s="4226" t="s">
        <v>97</v>
      </c>
      <c r="K9" s="4226" t="s">
        <v>390</v>
      </c>
      <c r="L9" s="2196"/>
      <c r="M9" s="2196"/>
      <c r="N9" s="4226" t="s">
        <v>8</v>
      </c>
      <c r="O9" s="4194" t="s">
        <v>8</v>
      </c>
      <c r="P9" s="2191"/>
      <c r="Q9" s="2192"/>
      <c r="R9" s="2192"/>
      <c r="S9" s="2193"/>
    </row>
    <row r="10" spans="3:21" s="1963" customFormat="1" ht="24.95" customHeight="1">
      <c r="C10" s="2186" t="s">
        <v>338</v>
      </c>
      <c r="D10" s="1240"/>
      <c r="E10" s="2197" t="s">
        <v>391</v>
      </c>
      <c r="F10" s="4228"/>
      <c r="G10" s="4228" t="s">
        <v>392</v>
      </c>
      <c r="H10" s="4228" t="s">
        <v>393</v>
      </c>
      <c r="I10" s="4228"/>
      <c r="J10" s="4228" t="s">
        <v>106</v>
      </c>
      <c r="K10" s="4228" t="s">
        <v>215</v>
      </c>
      <c r="L10" s="4228" t="s">
        <v>168</v>
      </c>
      <c r="M10" s="4228" t="s">
        <v>375</v>
      </c>
      <c r="N10" s="4228" t="s">
        <v>8</v>
      </c>
      <c r="O10" s="4194" t="s">
        <v>103</v>
      </c>
      <c r="P10" s="4714" t="s">
        <v>107</v>
      </c>
      <c r="Q10" s="4715"/>
      <c r="R10" s="4715"/>
      <c r="S10" s="4716"/>
    </row>
    <row r="11" spans="3:21" s="1963" customFormat="1" ht="24.95" customHeight="1">
      <c r="C11" s="2186" t="s">
        <v>100</v>
      </c>
      <c r="D11" s="1240"/>
      <c r="E11" s="2197" t="s">
        <v>330</v>
      </c>
      <c r="F11" s="4228" t="s">
        <v>394</v>
      </c>
      <c r="G11" s="4228" t="s">
        <v>395</v>
      </c>
      <c r="H11" s="4228" t="s">
        <v>396</v>
      </c>
      <c r="I11" s="2120" t="s">
        <v>330</v>
      </c>
      <c r="J11" s="2120" t="s">
        <v>172</v>
      </c>
      <c r="K11" s="2120" t="s">
        <v>397</v>
      </c>
      <c r="L11" s="4228" t="s">
        <v>176</v>
      </c>
      <c r="M11" s="4228" t="s">
        <v>331</v>
      </c>
      <c r="N11" s="4228" t="s">
        <v>113</v>
      </c>
      <c r="O11" s="4194" t="s">
        <v>398</v>
      </c>
      <c r="P11" s="4714" t="s">
        <v>116</v>
      </c>
      <c r="Q11" s="4715"/>
      <c r="R11" s="4715"/>
      <c r="S11" s="4716"/>
    </row>
    <row r="12" spans="3:21" s="2198" customFormat="1" ht="24.95" customHeight="1">
      <c r="C12" s="2199"/>
      <c r="D12" s="1240"/>
      <c r="E12" s="1235"/>
      <c r="F12" s="4228"/>
      <c r="G12" s="1235"/>
      <c r="H12" s="4228" t="s">
        <v>8</v>
      </c>
      <c r="I12" s="4228" t="s">
        <v>8</v>
      </c>
      <c r="J12" s="2120" t="s">
        <v>125</v>
      </c>
      <c r="K12" s="2120" t="s">
        <v>399</v>
      </c>
      <c r="L12" s="1235"/>
      <c r="M12" s="1235"/>
      <c r="N12" s="1235"/>
      <c r="O12" s="1250"/>
      <c r="P12" s="2191"/>
      <c r="Q12" s="4193"/>
      <c r="R12" s="2192"/>
      <c r="S12" s="2193"/>
    </row>
    <row r="13" spans="3:21" s="2198" customFormat="1" ht="24.95" customHeight="1">
      <c r="C13" s="2186" t="s">
        <v>187</v>
      </c>
      <c r="D13" s="1240"/>
      <c r="E13" s="2197" t="s">
        <v>400</v>
      </c>
      <c r="F13" s="1235"/>
      <c r="G13" s="4228" t="s">
        <v>401</v>
      </c>
      <c r="H13" s="1235"/>
      <c r="I13" s="1235"/>
      <c r="J13" s="4228" t="s">
        <v>134</v>
      </c>
      <c r="K13" s="4228" t="s">
        <v>402</v>
      </c>
      <c r="L13" s="4228" t="s">
        <v>184</v>
      </c>
      <c r="M13" s="2197" t="s">
        <v>403</v>
      </c>
      <c r="N13" s="4228" t="s">
        <v>121</v>
      </c>
      <c r="O13" s="4194" t="s">
        <v>224</v>
      </c>
      <c r="P13" s="4717" t="s">
        <v>136</v>
      </c>
      <c r="Q13" s="4718"/>
      <c r="R13" s="4718"/>
      <c r="S13" s="4719"/>
    </row>
    <row r="14" spans="3:21" s="2200" customFormat="1" ht="24.95" customHeight="1">
      <c r="C14" s="2201" t="s">
        <v>139</v>
      </c>
      <c r="D14" s="1289"/>
      <c r="E14" s="2202" t="s">
        <v>139</v>
      </c>
      <c r="F14" s="2203" t="s">
        <v>138</v>
      </c>
      <c r="G14" s="2203" t="s">
        <v>404</v>
      </c>
      <c r="H14" s="2203" t="s">
        <v>58</v>
      </c>
      <c r="I14" s="2203" t="s">
        <v>119</v>
      </c>
      <c r="J14" s="2203" t="s">
        <v>189</v>
      </c>
      <c r="K14" s="2203" t="s">
        <v>280</v>
      </c>
      <c r="L14" s="2203" t="s">
        <v>192</v>
      </c>
      <c r="M14" s="2203" t="s">
        <v>228</v>
      </c>
      <c r="N14" s="2203" t="s">
        <v>129</v>
      </c>
      <c r="O14" s="4187" t="s">
        <v>405</v>
      </c>
      <c r="P14" s="4720" t="s">
        <v>144</v>
      </c>
      <c r="Q14" s="4721"/>
      <c r="R14" s="4721"/>
      <c r="S14" s="4722"/>
    </row>
    <row r="15" spans="3:21" ht="45" customHeight="1">
      <c r="C15" s="1572">
        <f t="shared" ref="C15:C43" si="0">SUM(E15:O15)</f>
        <v>25.9</v>
      </c>
      <c r="D15" s="2015"/>
      <c r="E15" s="1168">
        <v>0.1</v>
      </c>
      <c r="F15" s="4184">
        <v>0</v>
      </c>
      <c r="G15" s="4184">
        <v>0</v>
      </c>
      <c r="H15" s="4184">
        <v>1</v>
      </c>
      <c r="I15" s="4191">
        <v>0</v>
      </c>
      <c r="J15" s="4191">
        <v>0</v>
      </c>
      <c r="K15" s="4191">
        <v>0</v>
      </c>
      <c r="L15" s="4191">
        <v>0.4</v>
      </c>
      <c r="M15" s="4184">
        <v>0</v>
      </c>
      <c r="N15" s="4184">
        <v>0</v>
      </c>
      <c r="O15" s="4184">
        <v>24.4</v>
      </c>
      <c r="P15" s="4704">
        <v>1964</v>
      </c>
      <c r="Q15" s="4705"/>
      <c r="R15" s="4705"/>
      <c r="S15" s="4706"/>
    </row>
    <row r="16" spans="3:21" ht="45" customHeight="1">
      <c r="C16" s="2204">
        <f t="shared" si="0"/>
        <v>49.1</v>
      </c>
      <c r="D16" s="1170"/>
      <c r="E16" s="1412">
        <v>1.4</v>
      </c>
      <c r="F16" s="4254">
        <v>0</v>
      </c>
      <c r="G16" s="4254">
        <v>0.8</v>
      </c>
      <c r="H16" s="4254">
        <v>1</v>
      </c>
      <c r="I16" s="1149">
        <v>0.1</v>
      </c>
      <c r="J16" s="1149">
        <v>0</v>
      </c>
      <c r="K16" s="1149">
        <v>0</v>
      </c>
      <c r="L16" s="1149">
        <v>7.8</v>
      </c>
      <c r="M16" s="4254">
        <v>0.2</v>
      </c>
      <c r="N16" s="4254">
        <v>10.199999999999999</v>
      </c>
      <c r="O16" s="4254">
        <v>27.6</v>
      </c>
      <c r="P16" s="4707">
        <v>1965</v>
      </c>
      <c r="Q16" s="4708"/>
      <c r="R16" s="4708"/>
      <c r="S16" s="4709"/>
    </row>
    <row r="17" spans="3:19" ht="45" customHeight="1">
      <c r="C17" s="1572">
        <f t="shared" si="0"/>
        <v>58.9</v>
      </c>
      <c r="D17" s="2015"/>
      <c r="E17" s="1168">
        <v>0.4</v>
      </c>
      <c r="F17" s="4184">
        <v>0</v>
      </c>
      <c r="G17" s="4184">
        <v>0.7</v>
      </c>
      <c r="H17" s="4184">
        <v>2</v>
      </c>
      <c r="I17" s="4191">
        <v>0.4</v>
      </c>
      <c r="J17" s="4191">
        <v>0</v>
      </c>
      <c r="K17" s="4191">
        <v>0</v>
      </c>
      <c r="L17" s="4191">
        <v>13.5</v>
      </c>
      <c r="M17" s="4184">
        <v>0.2</v>
      </c>
      <c r="N17" s="4184">
        <v>9.8000000000000007</v>
      </c>
      <c r="O17" s="4184">
        <v>31.9</v>
      </c>
      <c r="P17" s="4704">
        <v>1966</v>
      </c>
      <c r="Q17" s="4705"/>
      <c r="R17" s="4705" t="s">
        <v>406</v>
      </c>
      <c r="S17" s="4706"/>
    </row>
    <row r="18" spans="3:19" ht="45" customHeight="1">
      <c r="C18" s="2204">
        <f t="shared" si="0"/>
        <v>92.6</v>
      </c>
      <c r="D18" s="1170"/>
      <c r="E18" s="1412">
        <v>0.1</v>
      </c>
      <c r="F18" s="4254">
        <v>0</v>
      </c>
      <c r="G18" s="4254">
        <v>1.1000000000000001</v>
      </c>
      <c r="H18" s="4254">
        <v>2</v>
      </c>
      <c r="I18" s="1149">
        <v>0.9</v>
      </c>
      <c r="J18" s="1149">
        <v>0</v>
      </c>
      <c r="K18" s="1149">
        <v>0</v>
      </c>
      <c r="L18" s="1149">
        <v>16.899999999999999</v>
      </c>
      <c r="M18" s="4254">
        <v>0.4</v>
      </c>
      <c r="N18" s="4254">
        <v>18.2</v>
      </c>
      <c r="O18" s="4254">
        <v>53</v>
      </c>
      <c r="P18" s="4707">
        <v>1967</v>
      </c>
      <c r="Q18" s="4708"/>
      <c r="R18" s="4708" t="s">
        <v>407</v>
      </c>
      <c r="S18" s="4709"/>
    </row>
    <row r="19" spans="3:19" ht="45" customHeight="1">
      <c r="C19" s="1572">
        <f t="shared" si="0"/>
        <v>106.5</v>
      </c>
      <c r="D19" s="2015"/>
      <c r="E19" s="1168">
        <v>0</v>
      </c>
      <c r="F19" s="4184">
        <v>0</v>
      </c>
      <c r="G19" s="4184">
        <v>1.7</v>
      </c>
      <c r="H19" s="4184">
        <v>2</v>
      </c>
      <c r="I19" s="4191">
        <v>0</v>
      </c>
      <c r="J19" s="4191">
        <v>0</v>
      </c>
      <c r="K19" s="4191">
        <v>0.3</v>
      </c>
      <c r="L19" s="4191">
        <v>15.6</v>
      </c>
      <c r="M19" s="4184">
        <v>0.4</v>
      </c>
      <c r="N19" s="4184">
        <v>21.2</v>
      </c>
      <c r="O19" s="4184">
        <v>65.3</v>
      </c>
      <c r="P19" s="4704">
        <v>1968</v>
      </c>
      <c r="Q19" s="4705"/>
      <c r="R19" s="4705" t="s">
        <v>408</v>
      </c>
      <c r="S19" s="4706"/>
    </row>
    <row r="20" spans="3:19" ht="45" customHeight="1">
      <c r="C20" s="2204">
        <f t="shared" si="0"/>
        <v>101.1</v>
      </c>
      <c r="D20" s="1170"/>
      <c r="E20" s="1412">
        <v>0</v>
      </c>
      <c r="F20" s="4254">
        <v>0</v>
      </c>
      <c r="G20" s="4254">
        <v>2.6</v>
      </c>
      <c r="H20" s="4254">
        <v>2</v>
      </c>
      <c r="I20" s="1149">
        <v>0</v>
      </c>
      <c r="J20" s="1149">
        <v>0</v>
      </c>
      <c r="K20" s="1149">
        <v>0.1</v>
      </c>
      <c r="L20" s="1149">
        <v>12.6</v>
      </c>
      <c r="M20" s="4254">
        <v>0.2</v>
      </c>
      <c r="N20" s="4254">
        <v>10.5</v>
      </c>
      <c r="O20" s="4254">
        <v>73.099999999999994</v>
      </c>
      <c r="P20" s="4707">
        <v>1969</v>
      </c>
      <c r="Q20" s="4708"/>
      <c r="R20" s="4708" t="s">
        <v>409</v>
      </c>
      <c r="S20" s="4709"/>
    </row>
    <row r="21" spans="3:19" ht="45" customHeight="1">
      <c r="C21" s="1572">
        <f t="shared" si="0"/>
        <v>107</v>
      </c>
      <c r="D21" s="2015"/>
      <c r="E21" s="1168">
        <v>0</v>
      </c>
      <c r="F21" s="4184">
        <v>1</v>
      </c>
      <c r="G21" s="4184">
        <v>3.7</v>
      </c>
      <c r="H21" s="4184">
        <v>2</v>
      </c>
      <c r="I21" s="4191">
        <v>0.1</v>
      </c>
      <c r="J21" s="4191">
        <v>0</v>
      </c>
      <c r="K21" s="4191">
        <v>0.2</v>
      </c>
      <c r="L21" s="4191">
        <v>12.8</v>
      </c>
      <c r="M21" s="4184">
        <v>0.3</v>
      </c>
      <c r="N21" s="4184">
        <v>2.5</v>
      </c>
      <c r="O21" s="4184">
        <v>84.4</v>
      </c>
      <c r="P21" s="4704">
        <v>1970</v>
      </c>
      <c r="Q21" s="4705"/>
      <c r="R21" s="4705" t="s">
        <v>232</v>
      </c>
      <c r="S21" s="4706"/>
    </row>
    <row r="22" spans="3:19" ht="45" customHeight="1">
      <c r="C22" s="2204">
        <f t="shared" si="0"/>
        <v>112.5</v>
      </c>
      <c r="D22" s="1170"/>
      <c r="E22" s="1412">
        <v>0</v>
      </c>
      <c r="F22" s="4254">
        <v>5.4</v>
      </c>
      <c r="G22" s="4254">
        <v>3.1</v>
      </c>
      <c r="H22" s="4254">
        <v>2</v>
      </c>
      <c r="I22" s="1149">
        <v>0</v>
      </c>
      <c r="J22" s="1149">
        <v>0</v>
      </c>
      <c r="K22" s="1149">
        <v>0.2</v>
      </c>
      <c r="L22" s="1149">
        <v>14.9</v>
      </c>
      <c r="M22" s="4254">
        <v>0.6</v>
      </c>
      <c r="N22" s="4254">
        <v>1.7</v>
      </c>
      <c r="O22" s="4254">
        <v>84.6</v>
      </c>
      <c r="P22" s="4707">
        <v>1971</v>
      </c>
      <c r="Q22" s="4708"/>
      <c r="R22" s="4708" t="s">
        <v>233</v>
      </c>
      <c r="S22" s="4709"/>
    </row>
    <row r="23" spans="3:19" ht="45" customHeight="1">
      <c r="C23" s="1572">
        <f t="shared" si="0"/>
        <v>110.5</v>
      </c>
      <c r="D23" s="2015"/>
      <c r="E23" s="1168">
        <v>0.8</v>
      </c>
      <c r="F23" s="4184">
        <v>0</v>
      </c>
      <c r="G23" s="4184">
        <v>4</v>
      </c>
      <c r="H23" s="4184">
        <v>2</v>
      </c>
      <c r="I23" s="4191">
        <v>0.1</v>
      </c>
      <c r="J23" s="4191">
        <v>0</v>
      </c>
      <c r="K23" s="4191">
        <v>0.2</v>
      </c>
      <c r="L23" s="4191">
        <v>17.2</v>
      </c>
      <c r="M23" s="4184">
        <v>0.4</v>
      </c>
      <c r="N23" s="4184">
        <v>2.4</v>
      </c>
      <c r="O23" s="4184">
        <v>83.4</v>
      </c>
      <c r="P23" s="4704">
        <v>1972</v>
      </c>
      <c r="Q23" s="4705"/>
      <c r="R23" s="4705" t="s">
        <v>234</v>
      </c>
      <c r="S23" s="4706"/>
    </row>
    <row r="24" spans="3:19" ht="45" customHeight="1">
      <c r="C24" s="2204">
        <f t="shared" si="0"/>
        <v>133.1</v>
      </c>
      <c r="D24" s="1170"/>
      <c r="E24" s="1412">
        <v>2.2999999999999998</v>
      </c>
      <c r="F24" s="4254">
        <v>0.1</v>
      </c>
      <c r="G24" s="4254">
        <v>4</v>
      </c>
      <c r="H24" s="4254">
        <v>2</v>
      </c>
      <c r="I24" s="1149">
        <v>0.3</v>
      </c>
      <c r="J24" s="1149">
        <v>0</v>
      </c>
      <c r="K24" s="1149">
        <v>0.4</v>
      </c>
      <c r="L24" s="1149">
        <v>16.7</v>
      </c>
      <c r="M24" s="4254">
        <v>1.1000000000000001</v>
      </c>
      <c r="N24" s="4254">
        <v>6.7</v>
      </c>
      <c r="O24" s="4254">
        <v>99.5</v>
      </c>
      <c r="P24" s="4707">
        <v>1973</v>
      </c>
      <c r="Q24" s="4708"/>
      <c r="R24" s="4708" t="s">
        <v>235</v>
      </c>
      <c r="S24" s="4709"/>
    </row>
    <row r="25" spans="3:19" ht="45" customHeight="1">
      <c r="C25" s="1572">
        <f t="shared" si="0"/>
        <v>153.9</v>
      </c>
      <c r="D25" s="2015"/>
      <c r="E25" s="1168">
        <v>0.3</v>
      </c>
      <c r="F25" s="4184">
        <v>1.2</v>
      </c>
      <c r="G25" s="4184">
        <v>4</v>
      </c>
      <c r="H25" s="4184">
        <v>2</v>
      </c>
      <c r="I25" s="4191">
        <v>0.1</v>
      </c>
      <c r="J25" s="4191">
        <v>0.4</v>
      </c>
      <c r="K25" s="4191">
        <v>0.6</v>
      </c>
      <c r="L25" s="4191">
        <v>21.8</v>
      </c>
      <c r="M25" s="4184">
        <v>1.3</v>
      </c>
      <c r="N25" s="4184">
        <v>4.2</v>
      </c>
      <c r="O25" s="4184">
        <v>118</v>
      </c>
      <c r="P25" s="4704">
        <v>1974</v>
      </c>
      <c r="Q25" s="4705"/>
      <c r="R25" s="4705" t="s">
        <v>236</v>
      </c>
      <c r="S25" s="4706"/>
    </row>
    <row r="26" spans="3:19" ht="45" customHeight="1">
      <c r="C26" s="2204">
        <f t="shared" si="0"/>
        <v>199.9</v>
      </c>
      <c r="D26" s="1170"/>
      <c r="E26" s="1412">
        <v>0.5</v>
      </c>
      <c r="F26" s="4254">
        <v>1.3</v>
      </c>
      <c r="G26" s="4254">
        <v>4</v>
      </c>
      <c r="H26" s="4254">
        <v>2</v>
      </c>
      <c r="I26" s="1149">
        <v>0.6</v>
      </c>
      <c r="J26" s="1149">
        <v>3.1</v>
      </c>
      <c r="K26" s="1149">
        <v>0.5</v>
      </c>
      <c r="L26" s="1149">
        <v>30.5</v>
      </c>
      <c r="M26" s="4254">
        <v>1.4</v>
      </c>
      <c r="N26" s="4254">
        <v>14.1</v>
      </c>
      <c r="O26" s="4254">
        <v>141.9</v>
      </c>
      <c r="P26" s="4707">
        <v>1975</v>
      </c>
      <c r="Q26" s="4708"/>
      <c r="R26" s="4708" t="s">
        <v>237</v>
      </c>
      <c r="S26" s="4709"/>
    </row>
    <row r="27" spans="3:19" ht="45" customHeight="1">
      <c r="C27" s="1572">
        <f t="shared" si="0"/>
        <v>252.60000000000002</v>
      </c>
      <c r="D27" s="2015"/>
      <c r="E27" s="1168">
        <v>3.1</v>
      </c>
      <c r="F27" s="4184">
        <v>5.2</v>
      </c>
      <c r="G27" s="4184">
        <v>4</v>
      </c>
      <c r="H27" s="4184">
        <v>2</v>
      </c>
      <c r="I27" s="4191">
        <v>0.1</v>
      </c>
      <c r="J27" s="4191">
        <v>10.9</v>
      </c>
      <c r="K27" s="4191">
        <v>0.2</v>
      </c>
      <c r="L27" s="4191">
        <v>50.2</v>
      </c>
      <c r="M27" s="4184">
        <v>2</v>
      </c>
      <c r="N27" s="4184">
        <v>10</v>
      </c>
      <c r="O27" s="4184">
        <v>164.9</v>
      </c>
      <c r="P27" s="4704">
        <v>1976</v>
      </c>
      <c r="Q27" s="4705"/>
      <c r="R27" s="4705" t="s">
        <v>238</v>
      </c>
      <c r="S27" s="4706"/>
    </row>
    <row r="28" spans="3:19" ht="45" customHeight="1">
      <c r="C28" s="2204">
        <f t="shared" si="0"/>
        <v>309.39999999999998</v>
      </c>
      <c r="D28" s="1170"/>
      <c r="E28" s="1412">
        <v>4.4000000000000004</v>
      </c>
      <c r="F28" s="4254">
        <v>9.6</v>
      </c>
      <c r="G28" s="4254">
        <v>4</v>
      </c>
      <c r="H28" s="4254">
        <v>2</v>
      </c>
      <c r="I28" s="1149">
        <v>2.6</v>
      </c>
      <c r="J28" s="1149">
        <v>6.9</v>
      </c>
      <c r="K28" s="1149">
        <v>0.4</v>
      </c>
      <c r="L28" s="1149">
        <v>61.8</v>
      </c>
      <c r="M28" s="4254">
        <v>1.4</v>
      </c>
      <c r="N28" s="4254">
        <v>23.9</v>
      </c>
      <c r="O28" s="4254">
        <v>192.4</v>
      </c>
      <c r="P28" s="4707">
        <v>1977</v>
      </c>
      <c r="Q28" s="4708"/>
      <c r="R28" s="4708" t="s">
        <v>239</v>
      </c>
      <c r="S28" s="4709"/>
    </row>
    <row r="29" spans="3:19" ht="45" customHeight="1">
      <c r="C29" s="1572">
        <f t="shared" si="0"/>
        <v>368.6</v>
      </c>
      <c r="D29" s="2015"/>
      <c r="E29" s="1168">
        <v>2.2999999999999998</v>
      </c>
      <c r="F29" s="4184">
        <v>18.3</v>
      </c>
      <c r="G29" s="4184">
        <v>4</v>
      </c>
      <c r="H29" s="4184">
        <v>2</v>
      </c>
      <c r="I29" s="4191">
        <v>2.4</v>
      </c>
      <c r="J29" s="4191">
        <v>7.9</v>
      </c>
      <c r="K29" s="4191">
        <v>0.4</v>
      </c>
      <c r="L29" s="4191">
        <v>74.2</v>
      </c>
      <c r="M29" s="4184">
        <v>1.1000000000000001</v>
      </c>
      <c r="N29" s="4184">
        <v>31.4</v>
      </c>
      <c r="O29" s="4184">
        <v>224.6</v>
      </c>
      <c r="P29" s="4704">
        <v>1978</v>
      </c>
      <c r="Q29" s="4705"/>
      <c r="R29" s="4705" t="s">
        <v>240</v>
      </c>
      <c r="S29" s="4706"/>
    </row>
    <row r="30" spans="3:19" ht="45" customHeight="1">
      <c r="C30" s="2204">
        <f t="shared" si="0"/>
        <v>456.7</v>
      </c>
      <c r="D30" s="1170"/>
      <c r="E30" s="1412">
        <v>4.3</v>
      </c>
      <c r="F30" s="4254">
        <v>24</v>
      </c>
      <c r="G30" s="4254">
        <v>4</v>
      </c>
      <c r="H30" s="4254">
        <v>2</v>
      </c>
      <c r="I30" s="1149">
        <v>3.3</v>
      </c>
      <c r="J30" s="1149">
        <v>3.8</v>
      </c>
      <c r="K30" s="1149">
        <v>3.4</v>
      </c>
      <c r="L30" s="1149">
        <v>90.2</v>
      </c>
      <c r="M30" s="4254">
        <v>8.3000000000000007</v>
      </c>
      <c r="N30" s="4254">
        <v>31.5</v>
      </c>
      <c r="O30" s="4254">
        <v>281.89999999999998</v>
      </c>
      <c r="P30" s="4707">
        <v>1979</v>
      </c>
      <c r="Q30" s="4708"/>
      <c r="R30" s="4708" t="s">
        <v>241</v>
      </c>
      <c r="S30" s="4709"/>
    </row>
    <row r="31" spans="3:19" ht="45" customHeight="1">
      <c r="C31" s="1572">
        <f t="shared" si="0"/>
        <v>578.5</v>
      </c>
      <c r="D31" s="2015"/>
      <c r="E31" s="1168">
        <v>4.9000000000000004</v>
      </c>
      <c r="F31" s="4184">
        <v>35.4</v>
      </c>
      <c r="G31" s="4184">
        <v>4</v>
      </c>
      <c r="H31" s="4184">
        <v>2</v>
      </c>
      <c r="I31" s="4191">
        <v>10.1</v>
      </c>
      <c r="J31" s="4191">
        <v>1.6</v>
      </c>
      <c r="K31" s="4191">
        <v>0.5</v>
      </c>
      <c r="L31" s="4191">
        <v>104.9</v>
      </c>
      <c r="M31" s="4184">
        <v>21.5</v>
      </c>
      <c r="N31" s="4184">
        <v>35</v>
      </c>
      <c r="O31" s="4184">
        <v>358.6</v>
      </c>
      <c r="P31" s="4704">
        <v>1980</v>
      </c>
      <c r="Q31" s="4705"/>
      <c r="R31" s="4705" t="s">
        <v>242</v>
      </c>
      <c r="S31" s="4706"/>
    </row>
    <row r="32" spans="3:19" ht="45" customHeight="1">
      <c r="C32" s="2204">
        <f t="shared" si="0"/>
        <v>631.20000000000005</v>
      </c>
      <c r="D32" s="1170"/>
      <c r="E32" s="1412">
        <v>10.3</v>
      </c>
      <c r="F32" s="4254">
        <v>35</v>
      </c>
      <c r="G32" s="4254">
        <v>4</v>
      </c>
      <c r="H32" s="4254">
        <v>2</v>
      </c>
      <c r="I32" s="1149">
        <v>0.7</v>
      </c>
      <c r="J32" s="1149">
        <v>3.1</v>
      </c>
      <c r="K32" s="1149">
        <v>1.2</v>
      </c>
      <c r="L32" s="1149">
        <v>104</v>
      </c>
      <c r="M32" s="4254">
        <v>10.7</v>
      </c>
      <c r="N32" s="4254">
        <v>39.299999999999997</v>
      </c>
      <c r="O32" s="4254">
        <v>420.9</v>
      </c>
      <c r="P32" s="4707">
        <v>1981</v>
      </c>
      <c r="Q32" s="4708"/>
      <c r="R32" s="4708" t="s">
        <v>243</v>
      </c>
      <c r="S32" s="4709"/>
    </row>
    <row r="33" spans="3:19" ht="45" customHeight="1">
      <c r="C33" s="1572">
        <f t="shared" si="0"/>
        <v>690.2</v>
      </c>
      <c r="D33" s="2015"/>
      <c r="E33" s="1168">
        <v>25.8</v>
      </c>
      <c r="F33" s="4184">
        <v>28.5</v>
      </c>
      <c r="G33" s="4184">
        <v>4</v>
      </c>
      <c r="H33" s="4184">
        <v>6</v>
      </c>
      <c r="I33" s="4191">
        <v>1.7</v>
      </c>
      <c r="J33" s="4191">
        <v>1.8</v>
      </c>
      <c r="K33" s="4191">
        <v>0.9</v>
      </c>
      <c r="L33" s="4191">
        <v>103.6</v>
      </c>
      <c r="M33" s="4184">
        <v>13.8</v>
      </c>
      <c r="N33" s="4184">
        <v>23.6</v>
      </c>
      <c r="O33" s="4184">
        <v>480.5</v>
      </c>
      <c r="P33" s="4704">
        <v>1982</v>
      </c>
      <c r="Q33" s="4705"/>
      <c r="R33" s="4705" t="s">
        <v>244</v>
      </c>
      <c r="S33" s="4706"/>
    </row>
    <row r="34" spans="3:19" ht="45" customHeight="1">
      <c r="C34" s="2204">
        <f t="shared" si="0"/>
        <v>759.40000000000009</v>
      </c>
      <c r="D34" s="1170"/>
      <c r="E34" s="1412">
        <v>16.100000000000001</v>
      </c>
      <c r="F34" s="4254">
        <v>23.5</v>
      </c>
      <c r="G34" s="4254">
        <v>6</v>
      </c>
      <c r="H34" s="4254">
        <v>6</v>
      </c>
      <c r="I34" s="1149">
        <v>0.7</v>
      </c>
      <c r="J34" s="1149">
        <v>2.1</v>
      </c>
      <c r="K34" s="1149">
        <v>0.6</v>
      </c>
      <c r="L34" s="1149">
        <v>120.3</v>
      </c>
      <c r="M34" s="4254">
        <v>15.2</v>
      </c>
      <c r="N34" s="4254">
        <v>40.299999999999997</v>
      </c>
      <c r="O34" s="4254">
        <v>528.6</v>
      </c>
      <c r="P34" s="4707">
        <v>1983</v>
      </c>
      <c r="Q34" s="4708"/>
      <c r="R34" s="4708" t="s">
        <v>245</v>
      </c>
      <c r="S34" s="4709"/>
    </row>
    <row r="35" spans="3:19" ht="45" customHeight="1">
      <c r="C35" s="1572">
        <f t="shared" si="0"/>
        <v>750.6</v>
      </c>
      <c r="D35" s="2015"/>
      <c r="E35" s="1168">
        <v>8.5</v>
      </c>
      <c r="F35" s="4184">
        <v>23</v>
      </c>
      <c r="G35" s="4184">
        <v>12</v>
      </c>
      <c r="H35" s="4184">
        <v>6</v>
      </c>
      <c r="I35" s="4191">
        <v>1.1000000000000001</v>
      </c>
      <c r="J35" s="4191">
        <v>3.5</v>
      </c>
      <c r="K35" s="4191">
        <v>1.1000000000000001</v>
      </c>
      <c r="L35" s="4191">
        <v>122.6</v>
      </c>
      <c r="M35" s="4184">
        <v>12.8</v>
      </c>
      <c r="N35" s="4184">
        <v>17.5</v>
      </c>
      <c r="O35" s="4184">
        <v>542.5</v>
      </c>
      <c r="P35" s="4704">
        <v>1984</v>
      </c>
      <c r="Q35" s="4705"/>
      <c r="R35" s="4705" t="s">
        <v>246</v>
      </c>
      <c r="S35" s="4706"/>
    </row>
    <row r="36" spans="3:19" ht="45" customHeight="1">
      <c r="C36" s="2204">
        <f t="shared" si="0"/>
        <v>764</v>
      </c>
      <c r="D36" s="1170"/>
      <c r="E36" s="1412">
        <v>8.5</v>
      </c>
      <c r="F36" s="4254">
        <v>20.6</v>
      </c>
      <c r="G36" s="4254">
        <v>12</v>
      </c>
      <c r="H36" s="4254">
        <v>6</v>
      </c>
      <c r="I36" s="1149">
        <v>1.1000000000000001</v>
      </c>
      <c r="J36" s="1149">
        <v>3.2</v>
      </c>
      <c r="K36" s="1149">
        <v>0.7</v>
      </c>
      <c r="L36" s="1149">
        <v>148.69999999999999</v>
      </c>
      <c r="M36" s="4254">
        <v>11.4</v>
      </c>
      <c r="N36" s="4254">
        <v>6.7</v>
      </c>
      <c r="O36" s="4254">
        <v>545.1</v>
      </c>
      <c r="P36" s="4707">
        <v>1985</v>
      </c>
      <c r="Q36" s="4708"/>
      <c r="R36" s="4708" t="s">
        <v>247</v>
      </c>
      <c r="S36" s="4709"/>
    </row>
    <row r="37" spans="3:19" ht="45" customHeight="1">
      <c r="C37" s="1572">
        <f t="shared" si="0"/>
        <v>820</v>
      </c>
      <c r="D37" s="2015"/>
      <c r="E37" s="1168">
        <v>10.4</v>
      </c>
      <c r="F37" s="4184">
        <v>25.6</v>
      </c>
      <c r="G37" s="4184">
        <v>12</v>
      </c>
      <c r="H37" s="4184">
        <v>6</v>
      </c>
      <c r="I37" s="4191">
        <v>3.6</v>
      </c>
      <c r="J37" s="4191">
        <v>2.7</v>
      </c>
      <c r="K37" s="4191">
        <v>0.6</v>
      </c>
      <c r="L37" s="4191">
        <v>148.19999999999999</v>
      </c>
      <c r="M37" s="4184">
        <v>4</v>
      </c>
      <c r="N37" s="4184">
        <v>10.4</v>
      </c>
      <c r="O37" s="4184">
        <v>596.5</v>
      </c>
      <c r="P37" s="4704">
        <v>1986</v>
      </c>
      <c r="Q37" s="4705"/>
      <c r="R37" s="4705" t="s">
        <v>248</v>
      </c>
      <c r="S37" s="4706"/>
    </row>
    <row r="38" spans="3:19" ht="45" customHeight="1">
      <c r="C38" s="2204">
        <f t="shared" si="0"/>
        <v>930.5</v>
      </c>
      <c r="D38" s="1170"/>
      <c r="E38" s="1412">
        <v>8.6999999999999993</v>
      </c>
      <c r="F38" s="4254">
        <v>30.8</v>
      </c>
      <c r="G38" s="4254">
        <v>12</v>
      </c>
      <c r="H38" s="4254">
        <v>6</v>
      </c>
      <c r="I38" s="1149">
        <v>71</v>
      </c>
      <c r="J38" s="1149">
        <v>18.8</v>
      </c>
      <c r="K38" s="1149">
        <v>0.6</v>
      </c>
      <c r="L38" s="4254">
        <v>109.6</v>
      </c>
      <c r="M38" s="4254">
        <v>2.1</v>
      </c>
      <c r="N38" s="4254">
        <v>1.7</v>
      </c>
      <c r="O38" s="4254">
        <v>669.2</v>
      </c>
      <c r="P38" s="4707">
        <v>1987</v>
      </c>
      <c r="Q38" s="4708"/>
      <c r="R38" s="4708" t="s">
        <v>249</v>
      </c>
      <c r="S38" s="4709"/>
    </row>
    <row r="39" spans="3:19" ht="45" customHeight="1">
      <c r="C39" s="1572">
        <f t="shared" si="0"/>
        <v>1072.9000000000001</v>
      </c>
      <c r="D39" s="2015"/>
      <c r="E39" s="1168">
        <v>11.2</v>
      </c>
      <c r="F39" s="4184">
        <v>45.8</v>
      </c>
      <c r="G39" s="4184">
        <v>12</v>
      </c>
      <c r="H39" s="4184">
        <v>6</v>
      </c>
      <c r="I39" s="4191">
        <v>2.2000000000000002</v>
      </c>
      <c r="J39" s="4191">
        <v>19.600000000000001</v>
      </c>
      <c r="K39" s="4191">
        <v>0.5</v>
      </c>
      <c r="L39" s="4191">
        <v>131.30000000000001</v>
      </c>
      <c r="M39" s="4184">
        <v>2.9</v>
      </c>
      <c r="N39" s="4184">
        <v>15.5</v>
      </c>
      <c r="O39" s="4184">
        <v>825.9</v>
      </c>
      <c r="P39" s="4704">
        <v>1988</v>
      </c>
      <c r="Q39" s="4705"/>
      <c r="R39" s="4705" t="s">
        <v>250</v>
      </c>
      <c r="S39" s="4706"/>
    </row>
    <row r="40" spans="3:19" ht="45" customHeight="1">
      <c r="C40" s="2204">
        <f t="shared" si="0"/>
        <v>1357.5</v>
      </c>
      <c r="D40" s="1170"/>
      <c r="E40" s="1170">
        <v>11</v>
      </c>
      <c r="F40" s="4255">
        <v>104</v>
      </c>
      <c r="G40" s="4255">
        <v>12</v>
      </c>
      <c r="H40" s="4255">
        <v>6</v>
      </c>
      <c r="I40" s="4255">
        <v>28.5</v>
      </c>
      <c r="J40" s="4255">
        <v>24.9</v>
      </c>
      <c r="K40" s="4255">
        <v>0.8</v>
      </c>
      <c r="L40" s="4255">
        <v>242.6</v>
      </c>
      <c r="M40" s="4255">
        <v>12.9</v>
      </c>
      <c r="N40" s="4255">
        <v>27.3</v>
      </c>
      <c r="O40" s="4255">
        <v>887.5</v>
      </c>
      <c r="P40" s="4707">
        <v>1989</v>
      </c>
      <c r="Q40" s="4708"/>
      <c r="R40" s="4708" t="s">
        <v>251</v>
      </c>
      <c r="S40" s="4709"/>
    </row>
    <row r="41" spans="3:19" ht="45" customHeight="1">
      <c r="C41" s="1572">
        <f t="shared" si="0"/>
        <v>1631.5</v>
      </c>
      <c r="D41" s="2015"/>
      <c r="E41" s="1168">
        <v>191.9</v>
      </c>
      <c r="F41" s="4184">
        <v>97.7</v>
      </c>
      <c r="G41" s="4184">
        <v>12</v>
      </c>
      <c r="H41" s="4184">
        <v>6</v>
      </c>
      <c r="I41" s="4191">
        <v>1.4</v>
      </c>
      <c r="J41" s="4191">
        <v>21.2</v>
      </c>
      <c r="K41" s="4191">
        <v>0.8</v>
      </c>
      <c r="L41" s="4191">
        <v>252.2</v>
      </c>
      <c r="M41" s="4184">
        <v>8.5</v>
      </c>
      <c r="N41" s="4184">
        <v>17.600000000000001</v>
      </c>
      <c r="O41" s="4184">
        <v>1022.2</v>
      </c>
      <c r="P41" s="4704">
        <v>1990</v>
      </c>
      <c r="Q41" s="4705"/>
      <c r="R41" s="4705" t="s">
        <v>252</v>
      </c>
      <c r="S41" s="4706"/>
    </row>
    <row r="42" spans="3:19" ht="45" customHeight="1">
      <c r="C42" s="2204">
        <f t="shared" si="0"/>
        <v>2019.1</v>
      </c>
      <c r="D42" s="1170"/>
      <c r="E42" s="1170">
        <v>26.7</v>
      </c>
      <c r="F42" s="4255">
        <v>45.5</v>
      </c>
      <c r="G42" s="4255">
        <v>12</v>
      </c>
      <c r="H42" s="4255">
        <v>6</v>
      </c>
      <c r="I42" s="4255">
        <v>3.5</v>
      </c>
      <c r="J42" s="4255">
        <v>33.799999999999997</v>
      </c>
      <c r="K42" s="4255">
        <v>0.8</v>
      </c>
      <c r="L42" s="4255">
        <v>632.9</v>
      </c>
      <c r="M42" s="4255">
        <v>29.6</v>
      </c>
      <c r="N42" s="4255">
        <v>210.7</v>
      </c>
      <c r="O42" s="4255">
        <v>1017.6</v>
      </c>
      <c r="P42" s="4707">
        <v>1991</v>
      </c>
      <c r="Q42" s="4708"/>
      <c r="R42" s="4708" t="s">
        <v>253</v>
      </c>
      <c r="S42" s="4709"/>
    </row>
    <row r="43" spans="3:19" s="2205" customFormat="1" ht="45" customHeight="1">
      <c r="C43" s="1643">
        <f t="shared" si="0"/>
        <v>2012.8000000000002</v>
      </c>
      <c r="D43" s="1642"/>
      <c r="E43" s="1642">
        <v>25.8</v>
      </c>
      <c r="F43" s="4195">
        <v>28.8</v>
      </c>
      <c r="G43" s="4195">
        <v>12</v>
      </c>
      <c r="H43" s="4195">
        <v>6</v>
      </c>
      <c r="I43" s="2206">
        <v>5.0999999999999996</v>
      </c>
      <c r="J43" s="2206">
        <v>22.3</v>
      </c>
      <c r="K43" s="2206">
        <v>1.2</v>
      </c>
      <c r="L43" s="2206">
        <v>709.5</v>
      </c>
      <c r="M43" s="4195">
        <v>32.200000000000003</v>
      </c>
      <c r="N43" s="4195">
        <v>137.5</v>
      </c>
      <c r="O43" s="1207">
        <v>1032.4000000000001</v>
      </c>
      <c r="P43" s="4710">
        <v>1992</v>
      </c>
      <c r="Q43" s="4711"/>
      <c r="R43" s="4711" t="s">
        <v>410</v>
      </c>
      <c r="S43" s="4712"/>
    </row>
    <row r="44" spans="3:19" ht="35.1" customHeight="1">
      <c r="C44" s="2124"/>
      <c r="D44" s="2207"/>
      <c r="E44" s="2208"/>
      <c r="F44" s="2125"/>
      <c r="G44" s="2125"/>
      <c r="H44" s="2125"/>
      <c r="I44" s="2125"/>
      <c r="J44" s="2125"/>
      <c r="K44" s="2125"/>
      <c r="L44" s="2125"/>
      <c r="M44" s="2125"/>
      <c r="N44" s="2125"/>
      <c r="O44" s="2125"/>
      <c r="P44" s="2209"/>
      <c r="Q44" s="2210"/>
      <c r="R44" s="2211"/>
      <c r="S44" s="2211"/>
    </row>
    <row r="45" spans="3:19" ht="20.100000000000001" customHeight="1">
      <c r="C45" s="2124"/>
      <c r="D45" s="2207"/>
      <c r="E45" s="2208"/>
      <c r="F45" s="2125"/>
      <c r="G45" s="2125"/>
      <c r="H45" s="2125"/>
      <c r="I45" s="2125"/>
      <c r="J45" s="2125"/>
      <c r="K45" s="2125"/>
      <c r="L45" s="2125"/>
      <c r="M45" s="2125"/>
      <c r="N45" s="2125"/>
      <c r="O45" s="2125"/>
      <c r="P45" s="2209"/>
      <c r="Q45" s="2210"/>
      <c r="R45" s="2211"/>
      <c r="S45" s="2211"/>
    </row>
    <row r="46" spans="3:19" ht="20.100000000000001" customHeight="1">
      <c r="C46" s="2124"/>
      <c r="D46" s="2207"/>
      <c r="E46" s="2208"/>
      <c r="F46" s="2125"/>
      <c r="G46" s="2125"/>
      <c r="H46" s="2125"/>
      <c r="I46" s="2125"/>
      <c r="J46" s="2125"/>
      <c r="K46" s="2125"/>
      <c r="L46" s="2125"/>
      <c r="M46" s="2125"/>
      <c r="N46" s="2125"/>
      <c r="O46" s="2125"/>
      <c r="P46" s="2209"/>
      <c r="Q46" s="2210"/>
      <c r="R46" s="2211"/>
      <c r="S46" s="2211"/>
    </row>
    <row r="47" spans="3:19" s="2167" customFormat="1" ht="35.1" customHeight="1">
      <c r="C47" s="4602" t="s">
        <v>411</v>
      </c>
      <c r="D47" s="4602"/>
      <c r="E47" s="4602"/>
      <c r="F47" s="4602"/>
      <c r="G47" s="4602"/>
      <c r="H47" s="4602"/>
      <c r="I47" s="4602"/>
      <c r="J47" s="4602"/>
      <c r="K47" s="4602"/>
      <c r="L47" s="4602"/>
      <c r="M47" s="4602"/>
      <c r="N47" s="4602"/>
      <c r="O47" s="4602"/>
      <c r="P47" s="4602"/>
      <c r="Q47" s="4602"/>
      <c r="R47" s="4602"/>
      <c r="S47" s="4602"/>
    </row>
    <row r="48" spans="3:19" s="2168" customFormat="1" ht="35.1" customHeight="1">
      <c r="C48" s="1919" t="s">
        <v>412</v>
      </c>
      <c r="D48" s="1920"/>
      <c r="E48" s="2212"/>
      <c r="F48" s="2213"/>
      <c r="G48" s="2214"/>
      <c r="H48" s="2215"/>
      <c r="I48" s="2215"/>
      <c r="J48" s="2215"/>
      <c r="K48" s="2215"/>
      <c r="L48" s="2214"/>
      <c r="M48" s="2214"/>
      <c r="N48" s="2215"/>
      <c r="O48" s="2216"/>
      <c r="P48" s="1914"/>
      <c r="Q48" s="1900"/>
      <c r="R48" s="2212"/>
      <c r="S48" s="2217"/>
    </row>
    <row r="49" spans="3:19" s="2169" customFormat="1" ht="18" customHeight="1">
      <c r="C49" s="2170" t="s">
        <v>90</v>
      </c>
      <c r="D49" s="2171"/>
      <c r="E49" s="2172"/>
      <c r="F49" s="2172"/>
      <c r="G49" s="2172"/>
      <c r="H49" s="2172"/>
      <c r="I49" s="2172"/>
      <c r="J49" s="2172"/>
      <c r="K49" s="2172"/>
      <c r="L49" s="2172"/>
      <c r="M49" s="2172"/>
      <c r="N49" s="2172"/>
      <c r="O49" s="2172"/>
      <c r="P49" s="2218"/>
      <c r="Q49" s="2158"/>
      <c r="R49" s="2082"/>
      <c r="S49" s="2175" t="s">
        <v>91</v>
      </c>
    </row>
    <row r="50" spans="3:19" ht="6" customHeight="1">
      <c r="C50" s="2219"/>
      <c r="D50" s="2220"/>
      <c r="E50" s="2220"/>
      <c r="F50" s="2043"/>
      <c r="G50" s="2043"/>
      <c r="H50" s="2043"/>
      <c r="I50" s="2043"/>
      <c r="J50" s="2043"/>
      <c r="K50" s="2043"/>
      <c r="L50" s="2043"/>
      <c r="M50" s="2043"/>
      <c r="N50" s="2043"/>
      <c r="O50" s="2043"/>
      <c r="P50" s="2104"/>
      <c r="Q50" s="2221"/>
      <c r="R50" s="2222"/>
      <c r="S50" s="2222"/>
    </row>
    <row r="51" spans="3:19" ht="24.95" customHeight="1">
      <c r="C51" s="2223"/>
      <c r="D51" s="2181"/>
      <c r="E51" s="2224"/>
      <c r="F51" s="2225"/>
      <c r="G51" s="2226"/>
      <c r="H51" s="2181"/>
      <c r="I51" s="2227"/>
      <c r="J51" s="2228"/>
      <c r="K51" s="2227"/>
      <c r="L51" s="2228"/>
      <c r="M51" s="2227"/>
      <c r="N51" s="2229"/>
      <c r="O51" s="2225"/>
      <c r="P51" s="2184"/>
      <c r="Q51" s="2184"/>
      <c r="R51" s="2184"/>
      <c r="S51" s="2185"/>
    </row>
    <row r="52" spans="3:19" ht="24.95" customHeight="1">
      <c r="C52" s="2179"/>
      <c r="D52" s="2187"/>
      <c r="E52" s="2230"/>
      <c r="F52" s="2231"/>
      <c r="G52" s="4228"/>
      <c r="H52" s="2187"/>
      <c r="I52" s="2232" t="s">
        <v>413</v>
      </c>
      <c r="J52" s="2232"/>
      <c r="K52" s="2232" t="s">
        <v>211</v>
      </c>
      <c r="L52" s="2232"/>
      <c r="M52" s="2232" t="s">
        <v>414</v>
      </c>
      <c r="N52" s="1774"/>
      <c r="O52" s="2231"/>
      <c r="P52" s="2192"/>
      <c r="Q52" s="2192"/>
      <c r="R52" s="2192"/>
      <c r="S52" s="2193"/>
    </row>
    <row r="53" spans="3:19" ht="24.95" customHeight="1">
      <c r="C53" s="2233"/>
      <c r="D53" s="2195"/>
      <c r="E53" s="2234" t="s">
        <v>396</v>
      </c>
      <c r="F53" s="2235" t="s">
        <v>415</v>
      </c>
      <c r="G53" s="4228" t="s">
        <v>416</v>
      </c>
      <c r="H53" s="4228"/>
      <c r="I53" s="2236" t="s">
        <v>417</v>
      </c>
      <c r="J53" s="2236"/>
      <c r="K53" s="2236" t="s">
        <v>213</v>
      </c>
      <c r="L53" s="2236"/>
      <c r="M53" s="2236" t="s">
        <v>418</v>
      </c>
      <c r="N53" s="2236"/>
      <c r="O53" s="2231"/>
      <c r="P53" s="2192"/>
      <c r="Q53" s="2237"/>
      <c r="R53" s="2192"/>
      <c r="S53" s="2193"/>
    </row>
    <row r="54" spans="3:19" s="1963" customFormat="1" ht="24.95" customHeight="1">
      <c r="C54" s="2238" t="s">
        <v>338</v>
      </c>
      <c r="D54" s="4228" t="s">
        <v>391</v>
      </c>
      <c r="E54" s="4717" t="s">
        <v>99</v>
      </c>
      <c r="F54" s="4723"/>
      <c r="G54" s="4228" t="s">
        <v>113</v>
      </c>
      <c r="H54" s="4228" t="s">
        <v>100</v>
      </c>
      <c r="I54" s="4226" t="s">
        <v>165</v>
      </c>
      <c r="J54" s="4227" t="s">
        <v>165</v>
      </c>
      <c r="K54" s="4226" t="s">
        <v>165</v>
      </c>
      <c r="L54" s="4227" t="s">
        <v>165</v>
      </c>
      <c r="M54" s="4227" t="s">
        <v>368</v>
      </c>
      <c r="N54" s="4226" t="s">
        <v>419</v>
      </c>
      <c r="O54" s="4186" t="s">
        <v>103</v>
      </c>
      <c r="P54" s="4715" t="s">
        <v>107</v>
      </c>
      <c r="Q54" s="4715"/>
      <c r="R54" s="4715"/>
      <c r="S54" s="4716"/>
    </row>
    <row r="55" spans="3:19" s="1963" customFormat="1" ht="24.95" customHeight="1">
      <c r="C55" s="2238" t="s">
        <v>100</v>
      </c>
      <c r="D55" s="4228" t="s">
        <v>330</v>
      </c>
      <c r="E55" s="4717" t="s">
        <v>109</v>
      </c>
      <c r="F55" s="4723"/>
      <c r="G55" s="4228" t="s">
        <v>166</v>
      </c>
      <c r="H55" s="4228" t="s">
        <v>363</v>
      </c>
      <c r="I55" s="2120" t="s">
        <v>332</v>
      </c>
      <c r="J55" s="4228" t="s">
        <v>331</v>
      </c>
      <c r="K55" s="2120" t="s">
        <v>332</v>
      </c>
      <c r="L55" s="4228" t="s">
        <v>331</v>
      </c>
      <c r="M55" s="4229" t="s">
        <v>363</v>
      </c>
      <c r="N55" s="4228" t="s">
        <v>27</v>
      </c>
      <c r="O55" s="4186" t="s">
        <v>398</v>
      </c>
      <c r="P55" s="4715" t="s">
        <v>116</v>
      </c>
      <c r="Q55" s="4715"/>
      <c r="R55" s="4715"/>
      <c r="S55" s="4716"/>
    </row>
    <row r="56" spans="3:19" s="2118" customFormat="1" ht="24.95" customHeight="1">
      <c r="C56" s="2238"/>
      <c r="D56" s="4228"/>
      <c r="E56" s="4717" t="s">
        <v>117</v>
      </c>
      <c r="F56" s="4723"/>
      <c r="G56" s="4228" t="s">
        <v>185</v>
      </c>
      <c r="H56" s="4228"/>
      <c r="I56" s="4228"/>
      <c r="J56" s="4228"/>
      <c r="K56" s="4228"/>
      <c r="L56" s="4228"/>
      <c r="M56" s="4229"/>
      <c r="N56" s="4228"/>
      <c r="O56" s="4186"/>
      <c r="P56" s="2239"/>
      <c r="Q56" s="2240"/>
      <c r="R56" s="2239"/>
      <c r="S56" s="2241"/>
    </row>
    <row r="57" spans="3:19" s="2198" customFormat="1" ht="24.95" customHeight="1">
      <c r="C57" s="2238" t="s">
        <v>187</v>
      </c>
      <c r="D57" s="4228" t="s">
        <v>400</v>
      </c>
      <c r="E57" s="4717" t="s">
        <v>420</v>
      </c>
      <c r="F57" s="4723"/>
      <c r="G57" s="4228" t="s">
        <v>320</v>
      </c>
      <c r="H57" s="4228" t="s">
        <v>128</v>
      </c>
      <c r="I57" s="4228" t="s">
        <v>180</v>
      </c>
      <c r="J57" s="4228" t="s">
        <v>181</v>
      </c>
      <c r="K57" s="4228" t="s">
        <v>180</v>
      </c>
      <c r="L57" s="4228" t="s">
        <v>181</v>
      </c>
      <c r="M57" s="4229" t="s">
        <v>421</v>
      </c>
      <c r="N57" s="4228" t="s">
        <v>422</v>
      </c>
      <c r="O57" s="4186" t="s">
        <v>224</v>
      </c>
      <c r="P57" s="4717" t="s">
        <v>136</v>
      </c>
      <c r="Q57" s="4718"/>
      <c r="R57" s="4718"/>
      <c r="S57" s="4719"/>
    </row>
    <row r="58" spans="3:19" s="2198" customFormat="1" ht="24.95" customHeight="1">
      <c r="C58" s="2242" t="s">
        <v>139</v>
      </c>
      <c r="D58" s="2203" t="s">
        <v>139</v>
      </c>
      <c r="E58" s="4720" t="s">
        <v>423</v>
      </c>
      <c r="F58" s="4724"/>
      <c r="G58" s="2203" t="s">
        <v>140</v>
      </c>
      <c r="H58" s="2203" t="s">
        <v>139</v>
      </c>
      <c r="I58" s="2203" t="s">
        <v>280</v>
      </c>
      <c r="J58" s="2203" t="s">
        <v>228</v>
      </c>
      <c r="K58" s="2203" t="s">
        <v>280</v>
      </c>
      <c r="L58" s="2203" t="s">
        <v>228</v>
      </c>
      <c r="M58" s="4238" t="s">
        <v>350</v>
      </c>
      <c r="N58" s="2203" t="s">
        <v>424</v>
      </c>
      <c r="O58" s="4188" t="s">
        <v>405</v>
      </c>
      <c r="P58" s="4720" t="s">
        <v>144</v>
      </c>
      <c r="Q58" s="4721"/>
      <c r="R58" s="4721"/>
      <c r="S58" s="4722"/>
    </row>
    <row r="59" spans="3:19" s="2243" customFormat="1" ht="48.75" customHeight="1">
      <c r="C59" s="1167">
        <f>D59+E59+G59+H59+I59+J59+K59+L59+M59+N59+O59</f>
        <v>2790.1000000000004</v>
      </c>
      <c r="D59" s="2015">
        <v>29.2</v>
      </c>
      <c r="E59" s="4730">
        <f>18+42.3</f>
        <v>60.3</v>
      </c>
      <c r="F59" s="4730"/>
      <c r="G59" s="4190">
        <v>99.9</v>
      </c>
      <c r="H59" s="4190">
        <v>88.4</v>
      </c>
      <c r="I59" s="4190">
        <v>0</v>
      </c>
      <c r="J59" s="4190">
        <v>4</v>
      </c>
      <c r="K59" s="4190">
        <v>0.9</v>
      </c>
      <c r="L59" s="4190">
        <v>5.3</v>
      </c>
      <c r="M59" s="4190">
        <v>647.70000000000005</v>
      </c>
      <c r="N59" s="4190">
        <v>776.6</v>
      </c>
      <c r="O59" s="1172">
        <v>1077.8</v>
      </c>
      <c r="P59" s="4725" t="s">
        <v>425</v>
      </c>
      <c r="Q59" s="4731"/>
      <c r="R59" s="4731"/>
      <c r="S59" s="4732"/>
    </row>
    <row r="60" spans="3:19" s="2243" customFormat="1" ht="48.75" customHeight="1">
      <c r="C60" s="1413">
        <f t="shared" ref="C60:C86" si="1">D60+E60+G60+H60+I60+J60+K60+L60+M60+N60+O60</f>
        <v>3113.7</v>
      </c>
      <c r="D60" s="4183">
        <v>35</v>
      </c>
      <c r="E60" s="4726">
        <f>113.7+21.8</f>
        <v>135.5</v>
      </c>
      <c r="F60" s="4726"/>
      <c r="G60" s="4183">
        <v>224.7</v>
      </c>
      <c r="H60" s="4183">
        <v>82.3</v>
      </c>
      <c r="I60" s="4183">
        <v>0</v>
      </c>
      <c r="J60" s="4183">
        <v>2.1</v>
      </c>
      <c r="K60" s="4183">
        <v>1.3</v>
      </c>
      <c r="L60" s="4183">
        <v>6.3</v>
      </c>
      <c r="M60" s="4183">
        <v>738.2</v>
      </c>
      <c r="N60" s="4183">
        <v>775.5</v>
      </c>
      <c r="O60" s="1195">
        <v>1112.8</v>
      </c>
      <c r="P60" s="4708">
        <v>1994</v>
      </c>
      <c r="Q60" s="4708"/>
      <c r="R60" s="4708"/>
      <c r="S60" s="4709"/>
    </row>
    <row r="61" spans="3:19" s="1983" customFormat="1" ht="48.75" customHeight="1">
      <c r="C61" s="1167">
        <f t="shared" si="1"/>
        <v>3288.1</v>
      </c>
      <c r="D61" s="4184">
        <v>81.900000000000006</v>
      </c>
      <c r="E61" s="4725">
        <f>129.8+25</f>
        <v>154.80000000000001</v>
      </c>
      <c r="F61" s="4725"/>
      <c r="G61" s="4184">
        <v>163</v>
      </c>
      <c r="H61" s="4184">
        <v>58.4</v>
      </c>
      <c r="I61" s="4184">
        <v>0</v>
      </c>
      <c r="J61" s="4184">
        <v>3.2</v>
      </c>
      <c r="K61" s="4184">
        <v>21.6</v>
      </c>
      <c r="L61" s="4184">
        <v>9.4</v>
      </c>
      <c r="M61" s="4184">
        <v>825</v>
      </c>
      <c r="N61" s="4184">
        <v>880.3</v>
      </c>
      <c r="O61" s="1172">
        <v>1090.5</v>
      </c>
      <c r="P61" s="4705">
        <v>1995</v>
      </c>
      <c r="Q61" s="4705"/>
      <c r="R61" s="4705"/>
      <c r="S61" s="4706"/>
    </row>
    <row r="62" spans="3:19" s="1983" customFormat="1" ht="48.75" customHeight="1">
      <c r="C62" s="1413">
        <f t="shared" si="1"/>
        <v>3414.3999999999996</v>
      </c>
      <c r="D62" s="4183">
        <v>126.7</v>
      </c>
      <c r="E62" s="4726">
        <f>98.8+29.2</f>
        <v>128</v>
      </c>
      <c r="F62" s="4726"/>
      <c r="G62" s="4183">
        <v>323.3</v>
      </c>
      <c r="H62" s="4183">
        <v>50.6</v>
      </c>
      <c r="I62" s="4183">
        <v>0</v>
      </c>
      <c r="J62" s="4183">
        <v>0</v>
      </c>
      <c r="K62" s="4183">
        <v>1.2</v>
      </c>
      <c r="L62" s="4183">
        <v>5.3</v>
      </c>
      <c r="M62" s="4183">
        <v>705.9</v>
      </c>
      <c r="N62" s="4183">
        <v>1077.2</v>
      </c>
      <c r="O62" s="1195">
        <v>996.2</v>
      </c>
      <c r="P62" s="4708">
        <v>1996</v>
      </c>
      <c r="Q62" s="4708"/>
      <c r="R62" s="4708" t="s">
        <v>313</v>
      </c>
      <c r="S62" s="4709"/>
    </row>
    <row r="63" spans="3:19" s="1983" customFormat="1" ht="48.75" customHeight="1">
      <c r="C63" s="1167">
        <f t="shared" si="1"/>
        <v>3694.5</v>
      </c>
      <c r="D63" s="4184">
        <v>69.599999999999994</v>
      </c>
      <c r="E63" s="4725">
        <f>69.8+30</f>
        <v>99.8</v>
      </c>
      <c r="F63" s="4725"/>
      <c r="G63" s="4184">
        <v>310.7</v>
      </c>
      <c r="H63" s="4184">
        <v>31</v>
      </c>
      <c r="I63" s="4184">
        <v>0.1</v>
      </c>
      <c r="J63" s="4184">
        <v>3</v>
      </c>
      <c r="K63" s="4184">
        <v>1.5</v>
      </c>
      <c r="L63" s="4184">
        <v>21.5</v>
      </c>
      <c r="M63" s="4184">
        <v>333.5</v>
      </c>
      <c r="N63" s="4184">
        <v>1785.6</v>
      </c>
      <c r="O63" s="1172">
        <v>1038.2</v>
      </c>
      <c r="P63" s="4705">
        <v>1997</v>
      </c>
      <c r="Q63" s="4705"/>
      <c r="R63" s="4705" t="s">
        <v>312</v>
      </c>
      <c r="S63" s="4706"/>
    </row>
    <row r="64" spans="3:19" s="1983" customFormat="1" ht="48.75" customHeight="1">
      <c r="C64" s="1413">
        <f t="shared" si="1"/>
        <v>3383.3</v>
      </c>
      <c r="D64" s="4183">
        <v>71.3</v>
      </c>
      <c r="E64" s="4726">
        <v>90.1</v>
      </c>
      <c r="F64" s="4726"/>
      <c r="G64" s="4183">
        <v>208.9</v>
      </c>
      <c r="H64" s="4183">
        <v>23.2</v>
      </c>
      <c r="I64" s="4183">
        <v>0</v>
      </c>
      <c r="J64" s="4183">
        <v>19.8</v>
      </c>
      <c r="K64" s="4183">
        <v>0.5</v>
      </c>
      <c r="L64" s="4183">
        <v>4.4000000000000004</v>
      </c>
      <c r="M64" s="4183">
        <v>389.2</v>
      </c>
      <c r="N64" s="4183">
        <v>1570.6</v>
      </c>
      <c r="O64" s="1195">
        <v>1005.3</v>
      </c>
      <c r="P64" s="4727" t="s">
        <v>426</v>
      </c>
      <c r="Q64" s="4728"/>
      <c r="R64" s="4728"/>
      <c r="S64" s="4729"/>
    </row>
    <row r="65" spans="2:20" s="1983" customFormat="1" ht="48.75" customHeight="1">
      <c r="C65" s="1167">
        <f t="shared" si="1"/>
        <v>3927.7</v>
      </c>
      <c r="D65" s="4184">
        <v>41.2</v>
      </c>
      <c r="E65" s="4725">
        <v>59.5</v>
      </c>
      <c r="F65" s="4725"/>
      <c r="G65" s="4184">
        <v>152</v>
      </c>
      <c r="H65" s="4184">
        <v>163.5</v>
      </c>
      <c r="I65" s="4184">
        <v>0</v>
      </c>
      <c r="J65" s="4184">
        <v>14.7</v>
      </c>
      <c r="K65" s="4184">
        <v>2</v>
      </c>
      <c r="L65" s="4184">
        <v>5.4</v>
      </c>
      <c r="M65" s="4184">
        <v>432.4</v>
      </c>
      <c r="N65" s="4184">
        <v>1874.1</v>
      </c>
      <c r="O65" s="1172">
        <v>1182.9000000000001</v>
      </c>
      <c r="P65" s="4705">
        <v>1999</v>
      </c>
      <c r="Q65" s="4705"/>
      <c r="R65" s="4705" t="s">
        <v>427</v>
      </c>
      <c r="S65" s="4706"/>
    </row>
    <row r="66" spans="2:20" s="1983" customFormat="1" ht="48.75" customHeight="1">
      <c r="C66" s="1413">
        <f t="shared" si="1"/>
        <v>4423.2</v>
      </c>
      <c r="D66" s="4183">
        <v>29.3</v>
      </c>
      <c r="E66" s="4726">
        <v>78.099999999999994</v>
      </c>
      <c r="F66" s="4726"/>
      <c r="G66" s="4183">
        <v>420.7</v>
      </c>
      <c r="H66" s="4183">
        <v>125.9</v>
      </c>
      <c r="I66" s="4183">
        <v>0</v>
      </c>
      <c r="J66" s="4183">
        <v>11.4</v>
      </c>
      <c r="K66" s="4183">
        <v>3.4</v>
      </c>
      <c r="L66" s="4183">
        <v>7.8</v>
      </c>
      <c r="M66" s="4183">
        <v>385.4</v>
      </c>
      <c r="N66" s="4183">
        <v>2037.9</v>
      </c>
      <c r="O66" s="1195">
        <v>1323.3</v>
      </c>
      <c r="P66" s="4708">
        <v>2000</v>
      </c>
      <c r="Q66" s="4708"/>
      <c r="R66" s="4708" t="s">
        <v>283</v>
      </c>
      <c r="S66" s="4709"/>
    </row>
    <row r="67" spans="2:20" s="1983" customFormat="1" ht="48.75" customHeight="1">
      <c r="C67" s="1167">
        <f t="shared" si="1"/>
        <v>4246.5</v>
      </c>
      <c r="D67" s="4184">
        <v>29.2</v>
      </c>
      <c r="E67" s="4725">
        <v>77.3</v>
      </c>
      <c r="F67" s="4725"/>
      <c r="G67" s="4184">
        <v>401.6</v>
      </c>
      <c r="H67" s="4184">
        <v>128.5</v>
      </c>
      <c r="I67" s="4184">
        <v>2.4</v>
      </c>
      <c r="J67" s="4184">
        <v>10.8</v>
      </c>
      <c r="K67" s="4184">
        <v>4.3</v>
      </c>
      <c r="L67" s="4184">
        <v>8.1999999999999993</v>
      </c>
      <c r="M67" s="4184">
        <v>323.89999999999998</v>
      </c>
      <c r="N67" s="4184">
        <v>1981.3</v>
      </c>
      <c r="O67" s="1172">
        <v>1279</v>
      </c>
      <c r="P67" s="4705">
        <v>2001</v>
      </c>
      <c r="Q67" s="4705"/>
      <c r="R67" s="4705" t="s">
        <v>284</v>
      </c>
      <c r="S67" s="4706"/>
    </row>
    <row r="68" spans="2:20" s="1983" customFormat="1" ht="48.75" customHeight="1">
      <c r="C68" s="1413">
        <f t="shared" si="1"/>
        <v>4735.6000000000004</v>
      </c>
      <c r="D68" s="4183">
        <v>35.200000000000003</v>
      </c>
      <c r="E68" s="4726">
        <v>86</v>
      </c>
      <c r="F68" s="4726"/>
      <c r="G68" s="4183">
        <v>371.5</v>
      </c>
      <c r="H68" s="4183">
        <v>127.8</v>
      </c>
      <c r="I68" s="4183">
        <v>0.4</v>
      </c>
      <c r="J68" s="4183">
        <v>23.8</v>
      </c>
      <c r="K68" s="4183">
        <v>1.5</v>
      </c>
      <c r="L68" s="4183">
        <v>31.7</v>
      </c>
      <c r="M68" s="4183">
        <v>323.7</v>
      </c>
      <c r="N68" s="4183">
        <v>2401</v>
      </c>
      <c r="O68" s="1195">
        <v>1333</v>
      </c>
      <c r="P68" s="4708">
        <v>2002</v>
      </c>
      <c r="Q68" s="4708"/>
      <c r="R68" s="4708" t="s">
        <v>285</v>
      </c>
      <c r="S68" s="4709"/>
    </row>
    <row r="69" spans="2:20" s="1983" customFormat="1" ht="48.75" customHeight="1">
      <c r="C69" s="1167">
        <f t="shared" si="1"/>
        <v>5635.4000000000005</v>
      </c>
      <c r="D69" s="4184">
        <v>77.3</v>
      </c>
      <c r="E69" s="4725">
        <v>143</v>
      </c>
      <c r="F69" s="4725"/>
      <c r="G69" s="4184">
        <v>125.3</v>
      </c>
      <c r="H69" s="4184">
        <v>124.8</v>
      </c>
      <c r="I69" s="4184">
        <v>1.8</v>
      </c>
      <c r="J69" s="4184">
        <v>52.4</v>
      </c>
      <c r="K69" s="4184">
        <v>1.3</v>
      </c>
      <c r="L69" s="4184">
        <v>76</v>
      </c>
      <c r="M69" s="4184">
        <v>305.89999999999998</v>
      </c>
      <c r="N69" s="4184">
        <v>3192.3</v>
      </c>
      <c r="O69" s="1172">
        <v>1535.3</v>
      </c>
      <c r="P69" s="4705">
        <v>2003</v>
      </c>
      <c r="Q69" s="4705"/>
      <c r="R69" s="4705" t="s">
        <v>286</v>
      </c>
      <c r="S69" s="4706"/>
    </row>
    <row r="70" spans="2:20" s="1983" customFormat="1" ht="48.75" customHeight="1">
      <c r="C70" s="1413">
        <f t="shared" si="1"/>
        <v>5928.7</v>
      </c>
      <c r="D70" s="4183">
        <v>78.599999999999994</v>
      </c>
      <c r="E70" s="4726">
        <v>160.80000000000001</v>
      </c>
      <c r="F70" s="4726"/>
      <c r="G70" s="4183">
        <v>218.2</v>
      </c>
      <c r="H70" s="4183">
        <v>112.2</v>
      </c>
      <c r="I70" s="4183">
        <v>2.6</v>
      </c>
      <c r="J70" s="4183">
        <v>59.9</v>
      </c>
      <c r="K70" s="4183">
        <v>2.9</v>
      </c>
      <c r="L70" s="4183">
        <v>26.8</v>
      </c>
      <c r="M70" s="4183">
        <v>311.39999999999998</v>
      </c>
      <c r="N70" s="4183">
        <v>3447.8</v>
      </c>
      <c r="O70" s="1195">
        <v>1507.5</v>
      </c>
      <c r="P70" s="4708">
        <v>2004</v>
      </c>
      <c r="Q70" s="4708"/>
      <c r="R70" s="4708" t="s">
        <v>287</v>
      </c>
      <c r="S70" s="4709"/>
    </row>
    <row r="71" spans="2:20" s="1983" customFormat="1" ht="48.75" customHeight="1">
      <c r="C71" s="1167">
        <f t="shared" si="1"/>
        <v>6152.1</v>
      </c>
      <c r="D71" s="4184">
        <v>75.400000000000006</v>
      </c>
      <c r="E71" s="4725">
        <v>15.6</v>
      </c>
      <c r="F71" s="4725"/>
      <c r="G71" s="4184">
        <v>132.5</v>
      </c>
      <c r="H71" s="4184">
        <v>112.3</v>
      </c>
      <c r="I71" s="4184">
        <v>1.3</v>
      </c>
      <c r="J71" s="4184">
        <v>16.8</v>
      </c>
      <c r="K71" s="4184">
        <v>2.6</v>
      </c>
      <c r="L71" s="4184">
        <v>6.9</v>
      </c>
      <c r="M71" s="4184">
        <v>347.1</v>
      </c>
      <c r="N71" s="4184">
        <v>3658.6</v>
      </c>
      <c r="O71" s="1172">
        <v>1783</v>
      </c>
      <c r="P71" s="4705">
        <v>2005</v>
      </c>
      <c r="Q71" s="4705"/>
      <c r="R71" s="4705" t="s">
        <v>288</v>
      </c>
      <c r="S71" s="4706"/>
    </row>
    <row r="72" spans="2:20" s="1983" customFormat="1" ht="48.75" customHeight="1">
      <c r="C72" s="1413">
        <f t="shared" si="1"/>
        <v>7076.5</v>
      </c>
      <c r="D72" s="4183">
        <v>121.9</v>
      </c>
      <c r="E72" s="4726">
        <v>158.5</v>
      </c>
      <c r="F72" s="4726"/>
      <c r="G72" s="4183">
        <v>592.20000000000005</v>
      </c>
      <c r="H72" s="4183">
        <v>181.6</v>
      </c>
      <c r="I72" s="4183">
        <v>0.1</v>
      </c>
      <c r="J72" s="4183">
        <v>15.9</v>
      </c>
      <c r="K72" s="4183">
        <v>2.9</v>
      </c>
      <c r="L72" s="4183">
        <v>3.3</v>
      </c>
      <c r="M72" s="4183">
        <v>438</v>
      </c>
      <c r="N72" s="4183">
        <v>3361</v>
      </c>
      <c r="O72" s="1195">
        <v>2201.1</v>
      </c>
      <c r="P72" s="4708">
        <v>2006</v>
      </c>
      <c r="Q72" s="4708"/>
      <c r="R72" s="4708" t="s">
        <v>289</v>
      </c>
      <c r="S72" s="4709"/>
    </row>
    <row r="73" spans="2:20" s="1983" customFormat="1" ht="48.75" customHeight="1">
      <c r="B73" s="2246"/>
      <c r="C73" s="1167">
        <f t="shared" si="1"/>
        <v>7630.2</v>
      </c>
      <c r="D73" s="4184">
        <v>323.39999999999998</v>
      </c>
      <c r="E73" s="4725">
        <v>263.8</v>
      </c>
      <c r="F73" s="4725"/>
      <c r="G73" s="4184">
        <v>491.2</v>
      </c>
      <c r="H73" s="4184">
        <v>182.9</v>
      </c>
      <c r="I73" s="4184">
        <v>0</v>
      </c>
      <c r="J73" s="4184">
        <v>23.4</v>
      </c>
      <c r="K73" s="4184">
        <v>1.4</v>
      </c>
      <c r="L73" s="4184">
        <v>37.299999999999997</v>
      </c>
      <c r="M73" s="4184">
        <v>474.2</v>
      </c>
      <c r="N73" s="4184">
        <v>3482.4</v>
      </c>
      <c r="O73" s="1172">
        <v>2350.1999999999998</v>
      </c>
      <c r="P73" s="4705">
        <v>2007</v>
      </c>
      <c r="Q73" s="4705"/>
      <c r="R73" s="4705" t="s">
        <v>290</v>
      </c>
      <c r="S73" s="4706"/>
      <c r="T73" s="2247"/>
    </row>
    <row r="74" spans="2:20" s="1983" customFormat="1" ht="48.75" customHeight="1">
      <c r="C74" s="1413">
        <f t="shared" si="1"/>
        <v>8871.9</v>
      </c>
      <c r="D74" s="4183">
        <v>516</v>
      </c>
      <c r="E74" s="4726">
        <v>297.39999999999998</v>
      </c>
      <c r="F74" s="4726"/>
      <c r="G74" s="4183">
        <v>281.7</v>
      </c>
      <c r="H74" s="4183">
        <v>257.10000000000002</v>
      </c>
      <c r="I74" s="4183">
        <v>0.4</v>
      </c>
      <c r="J74" s="4183">
        <v>9.3000000000000007</v>
      </c>
      <c r="K74" s="4183">
        <v>2.8</v>
      </c>
      <c r="L74" s="4183">
        <v>202.5</v>
      </c>
      <c r="M74" s="4183">
        <v>577.29999999999995</v>
      </c>
      <c r="N74" s="4183">
        <v>3855.9</v>
      </c>
      <c r="O74" s="1195">
        <v>2871.5</v>
      </c>
      <c r="P74" s="4708">
        <v>2008</v>
      </c>
      <c r="Q74" s="4708"/>
      <c r="R74" s="4708" t="s">
        <v>291</v>
      </c>
      <c r="S74" s="4709"/>
    </row>
    <row r="75" spans="2:20" s="1983" customFormat="1" ht="48.75" customHeight="1">
      <c r="C75" s="1167">
        <f>D75+E75+G75+H75+I75+J75+K75+L75+M75+N75+O75</f>
        <v>11055.2</v>
      </c>
      <c r="D75" s="1168">
        <v>801.6</v>
      </c>
      <c r="E75" s="4725">
        <v>315.10000000000002</v>
      </c>
      <c r="F75" s="4725"/>
      <c r="G75" s="4184">
        <v>518.29999999999995</v>
      </c>
      <c r="H75" s="4184">
        <v>118.3</v>
      </c>
      <c r="I75" s="4184">
        <v>0.4</v>
      </c>
      <c r="J75" s="4184">
        <v>0</v>
      </c>
      <c r="K75" s="4184">
        <v>11.6</v>
      </c>
      <c r="L75" s="4184">
        <v>68.599999999999994</v>
      </c>
      <c r="M75" s="4184">
        <v>411.3</v>
      </c>
      <c r="N75" s="4184">
        <v>5923.7</v>
      </c>
      <c r="O75" s="1172">
        <v>2886.3</v>
      </c>
      <c r="P75" s="4705">
        <v>2009</v>
      </c>
      <c r="Q75" s="4705"/>
      <c r="R75" s="4705" t="s">
        <v>292</v>
      </c>
      <c r="S75" s="4706"/>
    </row>
    <row r="76" spans="2:20" s="1983" customFormat="1" ht="48.75" customHeight="1">
      <c r="C76" s="1413">
        <f t="shared" si="1"/>
        <v>12067.5</v>
      </c>
      <c r="D76" s="4183">
        <v>802.9</v>
      </c>
      <c r="E76" s="4726">
        <v>312.60000000000002</v>
      </c>
      <c r="F76" s="4726"/>
      <c r="G76" s="4183">
        <v>691.8</v>
      </c>
      <c r="H76" s="4183">
        <v>464.6</v>
      </c>
      <c r="I76" s="4183">
        <v>0</v>
      </c>
      <c r="J76" s="4183">
        <v>0</v>
      </c>
      <c r="K76" s="4183">
        <v>4.5999999999999996</v>
      </c>
      <c r="L76" s="4183">
        <v>27.4</v>
      </c>
      <c r="M76" s="4183">
        <v>417.8</v>
      </c>
      <c r="N76" s="4183">
        <v>6267.3</v>
      </c>
      <c r="O76" s="1195">
        <v>3078.5</v>
      </c>
      <c r="P76" s="4708">
        <v>2010</v>
      </c>
      <c r="Q76" s="4708"/>
      <c r="R76" s="4708" t="s">
        <v>293</v>
      </c>
      <c r="S76" s="4709"/>
    </row>
    <row r="77" spans="2:20" s="1983" customFormat="1" ht="48.75" customHeight="1">
      <c r="C77" s="1167">
        <f t="shared" si="1"/>
        <v>11142.1</v>
      </c>
      <c r="D77" s="1168">
        <v>573.70000000000005</v>
      </c>
      <c r="E77" s="4725">
        <v>451.8</v>
      </c>
      <c r="F77" s="4725"/>
      <c r="G77" s="4184">
        <v>773.4</v>
      </c>
      <c r="H77" s="4184">
        <v>109.6</v>
      </c>
      <c r="I77" s="4184">
        <v>0</v>
      </c>
      <c r="J77" s="4184">
        <v>0</v>
      </c>
      <c r="K77" s="4184">
        <v>6.4</v>
      </c>
      <c r="L77" s="4184">
        <v>13.9</v>
      </c>
      <c r="M77" s="4184">
        <v>518.5</v>
      </c>
      <c r="N77" s="4184">
        <v>5327.9</v>
      </c>
      <c r="O77" s="1172">
        <v>3366.9</v>
      </c>
      <c r="P77" s="4705">
        <v>2011</v>
      </c>
      <c r="Q77" s="4705"/>
      <c r="R77" s="4705" t="s">
        <v>294</v>
      </c>
      <c r="S77" s="4706"/>
    </row>
    <row r="78" spans="2:20" s="1983" customFormat="1" ht="48.75" customHeight="1">
      <c r="C78" s="1413">
        <f t="shared" si="1"/>
        <v>10314.4</v>
      </c>
      <c r="D78" s="4183">
        <v>347.5</v>
      </c>
      <c r="E78" s="4726">
        <v>464.4</v>
      </c>
      <c r="F78" s="4726"/>
      <c r="G78" s="4183">
        <v>759.2</v>
      </c>
      <c r="H78" s="4183">
        <v>612.9</v>
      </c>
      <c r="I78" s="4183">
        <v>0</v>
      </c>
      <c r="J78" s="4183">
        <v>0</v>
      </c>
      <c r="K78" s="4183">
        <v>3.7</v>
      </c>
      <c r="L78" s="4183">
        <v>15.2</v>
      </c>
      <c r="M78" s="4183">
        <v>876.4</v>
      </c>
      <c r="N78" s="4183">
        <v>3677.1</v>
      </c>
      <c r="O78" s="1195">
        <v>3558</v>
      </c>
      <c r="P78" s="4708">
        <v>2012</v>
      </c>
      <c r="Q78" s="4708"/>
      <c r="R78" s="4708" t="s">
        <v>295</v>
      </c>
      <c r="S78" s="4709"/>
    </row>
    <row r="79" spans="2:20" s="1983" customFormat="1" ht="48.75" customHeight="1">
      <c r="C79" s="1167">
        <f t="shared" si="1"/>
        <v>13203.9</v>
      </c>
      <c r="D79" s="1168">
        <v>310.89999999999998</v>
      </c>
      <c r="E79" s="4725">
        <v>290.8</v>
      </c>
      <c r="F79" s="4725"/>
      <c r="G79" s="4184">
        <v>1125</v>
      </c>
      <c r="H79" s="4184">
        <v>1348.9</v>
      </c>
      <c r="I79" s="4184">
        <v>0</v>
      </c>
      <c r="J79" s="4184">
        <v>0</v>
      </c>
      <c r="K79" s="4184">
        <v>7.4</v>
      </c>
      <c r="L79" s="4184">
        <v>13.3</v>
      </c>
      <c r="M79" s="4184">
        <v>711.8</v>
      </c>
      <c r="N79" s="4184">
        <v>5457.7</v>
      </c>
      <c r="O79" s="1172">
        <v>3938.1</v>
      </c>
      <c r="P79" s="4705">
        <v>2013</v>
      </c>
      <c r="Q79" s="4705"/>
      <c r="R79" s="4705" t="s">
        <v>296</v>
      </c>
      <c r="S79" s="4706"/>
    </row>
    <row r="80" spans="2:20" s="1983" customFormat="1" ht="48.75" customHeight="1">
      <c r="C80" s="1413">
        <f t="shared" si="1"/>
        <v>14032.800000000001</v>
      </c>
      <c r="D80" s="4183">
        <v>260</v>
      </c>
      <c r="E80" s="4726">
        <v>154.1</v>
      </c>
      <c r="F80" s="4726"/>
      <c r="G80" s="4183">
        <v>956.9</v>
      </c>
      <c r="H80" s="4183">
        <v>1196.5</v>
      </c>
      <c r="I80" s="4183">
        <v>0</v>
      </c>
      <c r="J80" s="4183">
        <v>0</v>
      </c>
      <c r="K80" s="4183">
        <v>5.7</v>
      </c>
      <c r="L80" s="4183">
        <v>1.9</v>
      </c>
      <c r="M80" s="4183">
        <v>738.2</v>
      </c>
      <c r="N80" s="4183">
        <v>6541.6</v>
      </c>
      <c r="O80" s="1195">
        <v>4177.8999999999996</v>
      </c>
      <c r="P80" s="4708">
        <v>2014</v>
      </c>
      <c r="Q80" s="4708"/>
      <c r="R80" s="4708" t="s">
        <v>295</v>
      </c>
      <c r="S80" s="4709"/>
    </row>
    <row r="81" spans="3:24" s="1983" customFormat="1" ht="48.75" customHeight="1">
      <c r="C81" s="1167">
        <f t="shared" si="1"/>
        <v>14329.400000000001</v>
      </c>
      <c r="D81" s="1168">
        <v>256.7</v>
      </c>
      <c r="E81" s="4725">
        <v>240.1</v>
      </c>
      <c r="F81" s="4725"/>
      <c r="G81" s="4184">
        <v>914.1</v>
      </c>
      <c r="H81" s="4184">
        <v>961.2</v>
      </c>
      <c r="I81" s="4184">
        <v>0</v>
      </c>
      <c r="J81" s="4184">
        <v>0</v>
      </c>
      <c r="K81" s="4184">
        <v>4.5</v>
      </c>
      <c r="L81" s="4184">
        <v>1.1000000000000001</v>
      </c>
      <c r="M81" s="4184">
        <v>617.9</v>
      </c>
      <c r="N81" s="4184">
        <v>6997</v>
      </c>
      <c r="O81" s="1172">
        <v>4336.8</v>
      </c>
      <c r="P81" s="4705">
        <v>2015</v>
      </c>
      <c r="Q81" s="4705"/>
      <c r="R81" s="4705"/>
      <c r="S81" s="4706"/>
    </row>
    <row r="82" spans="3:24" s="1983" customFormat="1" ht="48.75" customHeight="1">
      <c r="C82" s="1413">
        <f t="shared" si="1"/>
        <v>13453</v>
      </c>
      <c r="D82" s="4183">
        <v>267.3</v>
      </c>
      <c r="E82" s="4726">
        <v>293.5</v>
      </c>
      <c r="F82" s="4726"/>
      <c r="G82" s="4183">
        <v>1031</v>
      </c>
      <c r="H82" s="4183">
        <v>817.7</v>
      </c>
      <c r="I82" s="4183">
        <v>0</v>
      </c>
      <c r="J82" s="4183">
        <v>0</v>
      </c>
      <c r="K82" s="4183">
        <v>15.1</v>
      </c>
      <c r="L82" s="4183">
        <v>1.4</v>
      </c>
      <c r="M82" s="4183">
        <v>737.5</v>
      </c>
      <c r="N82" s="4183">
        <v>5668.7</v>
      </c>
      <c r="O82" s="1195">
        <v>4620.8</v>
      </c>
      <c r="P82" s="4708">
        <v>2016</v>
      </c>
      <c r="Q82" s="4708"/>
      <c r="R82" s="4708"/>
      <c r="S82" s="4709"/>
    </row>
    <row r="83" spans="3:24" s="1983" customFormat="1" ht="48.75" customHeight="1">
      <c r="C83" s="1167">
        <f t="shared" si="1"/>
        <v>13367.6</v>
      </c>
      <c r="D83" s="1168">
        <v>239.1</v>
      </c>
      <c r="E83" s="4725">
        <v>325</v>
      </c>
      <c r="F83" s="4725"/>
      <c r="G83" s="4184">
        <v>959.7</v>
      </c>
      <c r="H83" s="4184">
        <v>765.7</v>
      </c>
      <c r="I83" s="4184">
        <v>0</v>
      </c>
      <c r="J83" s="4184">
        <v>0</v>
      </c>
      <c r="K83" s="4184">
        <v>24.5</v>
      </c>
      <c r="L83" s="4184">
        <v>0.5</v>
      </c>
      <c r="M83" s="4184">
        <v>843.1</v>
      </c>
      <c r="N83" s="4184">
        <v>5373.5</v>
      </c>
      <c r="O83" s="1172">
        <v>4836.5</v>
      </c>
      <c r="P83" s="4705">
        <v>2017</v>
      </c>
      <c r="Q83" s="4705"/>
      <c r="R83" s="4705"/>
      <c r="S83" s="4706"/>
    </row>
    <row r="84" spans="3:24" s="1983" customFormat="1" ht="48.75" customHeight="1">
      <c r="C84" s="1413">
        <f t="shared" si="1"/>
        <v>12901.599999999999</v>
      </c>
      <c r="D84" s="4183">
        <v>255.3</v>
      </c>
      <c r="E84" s="4726">
        <v>368.8</v>
      </c>
      <c r="F84" s="4726"/>
      <c r="G84" s="4183">
        <v>513.5</v>
      </c>
      <c r="H84" s="4183">
        <v>1514.3</v>
      </c>
      <c r="I84" s="4183">
        <v>0</v>
      </c>
      <c r="J84" s="4183">
        <v>0</v>
      </c>
      <c r="K84" s="4183">
        <v>3.6</v>
      </c>
      <c r="L84" s="4183">
        <v>0.3</v>
      </c>
      <c r="M84" s="4183">
        <v>839.6</v>
      </c>
      <c r="N84" s="4183">
        <v>4603.8</v>
      </c>
      <c r="O84" s="1195">
        <v>4802.3999999999996</v>
      </c>
      <c r="P84" s="4708">
        <v>2018</v>
      </c>
      <c r="Q84" s="4708"/>
      <c r="R84" s="4708"/>
      <c r="S84" s="4709"/>
    </row>
    <row r="85" spans="3:24" s="1983" customFormat="1" ht="48.75" customHeight="1">
      <c r="C85" s="1167">
        <f t="shared" si="1"/>
        <v>13709.5</v>
      </c>
      <c r="D85" s="1168">
        <v>306.5</v>
      </c>
      <c r="E85" s="4725">
        <v>380.2</v>
      </c>
      <c r="F85" s="4725"/>
      <c r="G85" s="4184">
        <v>396.6</v>
      </c>
      <c r="H85" s="4184">
        <v>1567.4</v>
      </c>
      <c r="I85" s="4184">
        <v>0</v>
      </c>
      <c r="J85" s="4184">
        <v>0</v>
      </c>
      <c r="K85" s="4184">
        <v>1.7</v>
      </c>
      <c r="L85" s="4184">
        <v>0.2</v>
      </c>
      <c r="M85" s="4184">
        <v>760</v>
      </c>
      <c r="N85" s="4184">
        <v>5134.8999999999996</v>
      </c>
      <c r="O85" s="1172">
        <v>5162</v>
      </c>
      <c r="P85" s="4705">
        <v>2019</v>
      </c>
      <c r="Q85" s="4705"/>
      <c r="R85" s="4705"/>
      <c r="S85" s="4706"/>
    </row>
    <row r="86" spans="3:24" s="1983" customFormat="1" ht="48.75" customHeight="1">
      <c r="C86" s="4313">
        <f t="shared" si="1"/>
        <v>16025.599999999999</v>
      </c>
      <c r="D86" s="4237">
        <v>763</v>
      </c>
      <c r="E86" s="4733">
        <v>468.2</v>
      </c>
      <c r="F86" s="4733"/>
      <c r="G86" s="4237">
        <v>413.1</v>
      </c>
      <c r="H86" s="4237">
        <v>1506.5</v>
      </c>
      <c r="I86" s="4237">
        <v>0</v>
      </c>
      <c r="J86" s="4237">
        <v>0</v>
      </c>
      <c r="K86" s="4237">
        <v>4.5999999999999996</v>
      </c>
      <c r="L86" s="4237">
        <v>0.2</v>
      </c>
      <c r="M86" s="4237">
        <v>737.3</v>
      </c>
      <c r="N86" s="4237">
        <v>5636.2</v>
      </c>
      <c r="O86" s="1166">
        <v>6496.5</v>
      </c>
      <c r="P86" s="4734">
        <v>2020</v>
      </c>
      <c r="Q86" s="4734"/>
      <c r="R86" s="4734"/>
      <c r="S86" s="4735"/>
    </row>
    <row r="87" spans="3:24" s="1983" customFormat="1" ht="6.95" customHeight="1">
      <c r="C87" s="2248"/>
      <c r="D87" s="1649"/>
      <c r="E87" s="1798"/>
      <c r="F87" s="2249"/>
      <c r="G87" s="2249"/>
      <c r="H87" s="2249"/>
      <c r="I87" s="2249"/>
      <c r="J87" s="2249"/>
      <c r="K87" s="2249"/>
      <c r="L87" s="2249"/>
      <c r="M87" s="2249"/>
      <c r="N87" s="2249"/>
      <c r="O87" s="2249"/>
      <c r="P87" s="2250"/>
      <c r="Q87" s="2078"/>
      <c r="R87" s="4161"/>
      <c r="S87" s="1647"/>
    </row>
    <row r="88" spans="3:24" s="2251" customFormat="1">
      <c r="C88" s="2252" t="s">
        <v>428</v>
      </c>
      <c r="D88" s="1265"/>
      <c r="E88" s="1274"/>
      <c r="F88" s="2253"/>
      <c r="G88" s="2253"/>
      <c r="H88" s="2253"/>
      <c r="I88" s="2253"/>
      <c r="J88" s="2253"/>
      <c r="K88" s="2253"/>
      <c r="L88" s="2253"/>
      <c r="M88" s="2253"/>
      <c r="N88" s="2253"/>
      <c r="O88" s="2253"/>
      <c r="P88" s="4158"/>
      <c r="Q88" s="1268"/>
      <c r="R88" s="4160" t="s">
        <v>429</v>
      </c>
      <c r="S88" s="1647"/>
      <c r="T88" s="2254"/>
    </row>
    <row r="89" spans="3:24" s="2255" customFormat="1">
      <c r="C89" s="4169" t="s">
        <v>430</v>
      </c>
      <c r="D89" s="1265"/>
      <c r="E89" s="1274"/>
      <c r="F89" s="2253"/>
      <c r="G89" s="2253"/>
      <c r="H89" s="2253"/>
      <c r="I89" s="2253"/>
      <c r="J89" s="2253"/>
      <c r="K89" s="2253"/>
      <c r="L89" s="2253"/>
      <c r="M89" s="2253"/>
      <c r="N89" s="2253"/>
      <c r="O89" s="2253"/>
      <c r="P89" s="4158"/>
      <c r="Q89" s="1268"/>
      <c r="R89" s="4158" t="s">
        <v>431</v>
      </c>
      <c r="S89" s="2256"/>
    </row>
    <row r="90" spans="3:24" ht="18" customHeight="1">
      <c r="C90" s="2257" t="s">
        <v>432</v>
      </c>
      <c r="D90" s="2159"/>
      <c r="E90" s="2172"/>
      <c r="F90" s="2172"/>
      <c r="G90" s="2172"/>
      <c r="H90" s="2172"/>
      <c r="I90" s="2172"/>
      <c r="J90" s="2172"/>
      <c r="K90" s="2172"/>
      <c r="L90" s="2172"/>
      <c r="M90" s="2172"/>
      <c r="N90" s="2172"/>
      <c r="O90" s="2172"/>
      <c r="P90" s="2088"/>
      <c r="Q90" s="1268"/>
      <c r="R90" s="2258" t="s">
        <v>433</v>
      </c>
      <c r="S90" s="2178"/>
    </row>
    <row r="91" spans="3:24" s="1174" customFormat="1" ht="18" customHeight="1">
      <c r="C91" s="1192"/>
      <c r="D91" s="1192"/>
      <c r="E91" s="1192"/>
      <c r="F91" s="1192"/>
      <c r="G91" s="1192"/>
      <c r="H91" s="1192"/>
      <c r="I91" s="1760"/>
      <c r="J91" s="1843"/>
      <c r="K91" s="1192"/>
      <c r="L91" s="1192"/>
      <c r="M91" s="1192"/>
      <c r="N91" s="1192"/>
      <c r="O91" s="1192"/>
      <c r="P91" s="1192"/>
      <c r="Q91" s="1192"/>
      <c r="R91" s="1192"/>
      <c r="S91" s="1793"/>
      <c r="X91" s="1963"/>
    </row>
  </sheetData>
  <mergeCells count="101">
    <mergeCell ref="E84:F84"/>
    <mergeCell ref="P84:S84"/>
    <mergeCell ref="E85:F85"/>
    <mergeCell ref="P85:S85"/>
    <mergeCell ref="E86:F86"/>
    <mergeCell ref="P86:S86"/>
    <mergeCell ref="E81:F81"/>
    <mergeCell ref="P81:S81"/>
    <mergeCell ref="E82:F82"/>
    <mergeCell ref="P82:S82"/>
    <mergeCell ref="E83:F83"/>
    <mergeCell ref="P83:S83"/>
    <mergeCell ref="E62:F62"/>
    <mergeCell ref="P62:S62"/>
    <mergeCell ref="E63:F63"/>
    <mergeCell ref="P63:S63"/>
    <mergeCell ref="E64:F64"/>
    <mergeCell ref="P64:S64"/>
    <mergeCell ref="E59:F59"/>
    <mergeCell ref="P59:S59"/>
    <mergeCell ref="E60:F60"/>
    <mergeCell ref="P60:S60"/>
    <mergeCell ref="E61:F61"/>
    <mergeCell ref="P61:S61"/>
    <mergeCell ref="P18:S18"/>
    <mergeCell ref="P36:S36"/>
    <mergeCell ref="P37:S37"/>
    <mergeCell ref="P38:S38"/>
    <mergeCell ref="P39:S39"/>
    <mergeCell ref="P40:S40"/>
    <mergeCell ref="P24:S24"/>
    <mergeCell ref="P25:S25"/>
    <mergeCell ref="P26:S26"/>
    <mergeCell ref="P27:S27"/>
    <mergeCell ref="P28:S28"/>
    <mergeCell ref="E79:F79"/>
    <mergeCell ref="P79:S79"/>
    <mergeCell ref="E80:F80"/>
    <mergeCell ref="P80:S80"/>
    <mergeCell ref="E76:F76"/>
    <mergeCell ref="P76:S76"/>
    <mergeCell ref="E77:F77"/>
    <mergeCell ref="P77:S77"/>
    <mergeCell ref="E78:F78"/>
    <mergeCell ref="P78:S78"/>
    <mergeCell ref="E73:F73"/>
    <mergeCell ref="P73:S73"/>
    <mergeCell ref="E74:F74"/>
    <mergeCell ref="P74:S74"/>
    <mergeCell ref="E75:F75"/>
    <mergeCell ref="P75:S75"/>
    <mergeCell ref="E70:F70"/>
    <mergeCell ref="P70:S70"/>
    <mergeCell ref="E71:F71"/>
    <mergeCell ref="P71:S71"/>
    <mergeCell ref="E72:F72"/>
    <mergeCell ref="P72:S72"/>
    <mergeCell ref="E67:F67"/>
    <mergeCell ref="P67:S67"/>
    <mergeCell ref="E68:F68"/>
    <mergeCell ref="P68:S68"/>
    <mergeCell ref="E69:F69"/>
    <mergeCell ref="P69:S69"/>
    <mergeCell ref="E65:F65"/>
    <mergeCell ref="P65:S65"/>
    <mergeCell ref="E66:F66"/>
    <mergeCell ref="P66:S66"/>
    <mergeCell ref="C47:S47"/>
    <mergeCell ref="E54:F54"/>
    <mergeCell ref="P54:S54"/>
    <mergeCell ref="E55:F55"/>
    <mergeCell ref="P55:S55"/>
    <mergeCell ref="E56:F56"/>
    <mergeCell ref="E57:F57"/>
    <mergeCell ref="P57:S57"/>
    <mergeCell ref="E58:F58"/>
    <mergeCell ref="P58:S58"/>
    <mergeCell ref="P41:S41"/>
    <mergeCell ref="P42:S42"/>
    <mergeCell ref="P43:S43"/>
    <mergeCell ref="C3:S3"/>
    <mergeCell ref="C4:S4"/>
    <mergeCell ref="P10:S10"/>
    <mergeCell ref="P11:S11"/>
    <mergeCell ref="P13:S13"/>
    <mergeCell ref="P29:S29"/>
    <mergeCell ref="P30:S30"/>
    <mergeCell ref="P31:S31"/>
    <mergeCell ref="P32:S32"/>
    <mergeCell ref="P33:S33"/>
    <mergeCell ref="P34:S34"/>
    <mergeCell ref="P35:S35"/>
    <mergeCell ref="P19:S19"/>
    <mergeCell ref="P20:S20"/>
    <mergeCell ref="P21:S21"/>
    <mergeCell ref="P22:S22"/>
    <mergeCell ref="P23:S23"/>
    <mergeCell ref="P14:S14"/>
    <mergeCell ref="P15:S15"/>
    <mergeCell ref="P16:S16"/>
    <mergeCell ref="P17:S17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9" orientation="portrait" r:id="rId1"/>
  <headerFooter alignWithMargins="0">
    <oddFooter>&amp;C&amp;"Times New Roman (Arabic),Regular"&amp;22-13-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95"/>
  <sheetViews>
    <sheetView zoomScale="75" zoomScaleNormal="75" workbookViewId="0"/>
  </sheetViews>
  <sheetFormatPr defaultColWidth="10.7109375" defaultRowHeight="20.25"/>
  <cols>
    <col min="1" max="1" width="9.140625" style="1174" customWidth="1"/>
    <col min="2" max="2" width="10.7109375" style="1174" customWidth="1"/>
    <col min="3" max="3" width="14.7109375" style="1192" customWidth="1"/>
    <col min="4" max="4" width="15.7109375" style="1843" customWidth="1"/>
    <col min="5" max="5" width="14.42578125" style="1843" customWidth="1"/>
    <col min="6" max="6" width="13.28515625" style="1843" customWidth="1"/>
    <col min="7" max="7" width="15" style="1843" customWidth="1"/>
    <col min="8" max="8" width="12.85546875" style="1843" customWidth="1"/>
    <col min="9" max="9" width="17.5703125" style="1843" customWidth="1"/>
    <col min="10" max="10" width="12.28515625" style="1843" customWidth="1"/>
    <col min="11" max="11" width="22.42578125" style="1843" customWidth="1"/>
    <col min="12" max="12" width="14.5703125" style="1843" bestFit="1" customWidth="1"/>
    <col min="13" max="13" width="15.42578125" style="1843" customWidth="1"/>
    <col min="14" max="14" width="2" style="2259" customWidth="1"/>
    <col min="15" max="15" width="8.85546875" style="2260" customWidth="1"/>
    <col min="16" max="16" width="5" style="1192" customWidth="1"/>
    <col min="17" max="17" width="0" style="1192" hidden="1" customWidth="1"/>
    <col min="18" max="16384" width="10.7109375" style="1174"/>
  </cols>
  <sheetData>
    <row r="1" spans="2:17" ht="14.1" customHeight="1">
      <c r="C1" s="3492"/>
      <c r="D1" s="4319"/>
      <c r="E1" s="4319"/>
      <c r="F1" s="4319"/>
      <c r="G1" s="4319"/>
    </row>
    <row r="2" spans="2:17" ht="14.1" customHeight="1"/>
    <row r="3" spans="2:17" s="2096" customFormat="1" ht="28.35" customHeight="1">
      <c r="C3" s="4639" t="s">
        <v>434</v>
      </c>
      <c r="D3" s="4639"/>
      <c r="E3" s="4639"/>
      <c r="F3" s="4639"/>
      <c r="G3" s="4639"/>
      <c r="H3" s="4639"/>
      <c r="I3" s="4639"/>
      <c r="J3" s="4639"/>
      <c r="K3" s="4639"/>
      <c r="L3" s="4639"/>
      <c r="M3" s="4639"/>
      <c r="N3" s="4639"/>
      <c r="O3" s="4639"/>
      <c r="P3" s="4639"/>
      <c r="Q3" s="4320"/>
    </row>
    <row r="4" spans="2:17" s="1847" customFormat="1" ht="28.35" customHeight="1">
      <c r="B4" s="1847" t="s">
        <v>8</v>
      </c>
      <c r="C4" s="4640" t="s">
        <v>435</v>
      </c>
      <c r="D4" s="4640"/>
      <c r="E4" s="4640"/>
      <c r="F4" s="4640"/>
      <c r="G4" s="4640"/>
      <c r="H4" s="4640"/>
      <c r="I4" s="4640"/>
      <c r="J4" s="4640"/>
      <c r="K4" s="4640"/>
      <c r="L4" s="4640"/>
      <c r="M4" s="4640"/>
      <c r="N4" s="4640"/>
      <c r="O4" s="4640"/>
      <c r="P4" s="4640"/>
      <c r="Q4" s="3412"/>
    </row>
    <row r="5" spans="2:17" s="1849" customFormat="1" ht="17.100000000000001" customHeight="1">
      <c r="C5" s="1265" t="s">
        <v>436</v>
      </c>
      <c r="D5" s="2162"/>
      <c r="E5" s="2162"/>
      <c r="F5" s="2162"/>
      <c r="G5" s="2261"/>
      <c r="H5" s="2261"/>
      <c r="I5" s="2261"/>
      <c r="J5" s="2082"/>
      <c r="K5" s="2261"/>
      <c r="L5" s="2261"/>
      <c r="M5" s="2082"/>
      <c r="N5" s="2155"/>
      <c r="O5" s="2262"/>
      <c r="P5" s="4245" t="s">
        <v>91</v>
      </c>
      <c r="Q5" s="2264"/>
    </row>
    <row r="6" spans="2:17" s="1801" customFormat="1" ht="4.3499999999999996" customHeight="1">
      <c r="C6" s="1222"/>
      <c r="D6" s="2265"/>
      <c r="E6" s="2265"/>
      <c r="F6" s="2265"/>
      <c r="G6" s="2266"/>
      <c r="H6" s="2266"/>
      <c r="I6" s="2266"/>
      <c r="J6" s="2266"/>
      <c r="K6" s="2266"/>
      <c r="L6" s="2266"/>
      <c r="M6" s="2266"/>
      <c r="N6" s="2128"/>
      <c r="O6" s="2128"/>
      <c r="P6" s="2104"/>
      <c r="Q6" s="1793"/>
    </row>
    <row r="7" spans="2:17" ht="21.2" customHeight="1">
      <c r="C7" s="2267"/>
      <c r="D7" s="2226"/>
      <c r="E7" s="2226"/>
      <c r="F7" s="2226"/>
      <c r="G7" s="4321"/>
      <c r="H7" s="2268"/>
      <c r="I7" s="2268"/>
      <c r="J7" s="2268"/>
      <c r="K7" s="2268"/>
      <c r="L7" s="2268"/>
      <c r="M7" s="2268"/>
      <c r="N7" s="4217"/>
      <c r="O7" s="4212"/>
      <c r="P7" s="2133"/>
      <c r="Q7" s="2269"/>
    </row>
    <row r="8" spans="2:17" s="1190" customFormat="1" ht="21.2" customHeight="1">
      <c r="C8" s="2164"/>
      <c r="D8" s="4228"/>
      <c r="E8" s="4228"/>
      <c r="F8" s="4228"/>
      <c r="G8" s="2197"/>
      <c r="H8" s="2195"/>
      <c r="I8" s="2195"/>
      <c r="J8" s="2197"/>
      <c r="K8" s="2195"/>
      <c r="L8" s="4228" t="s">
        <v>437</v>
      </c>
      <c r="M8" s="2195"/>
      <c r="N8" s="4197"/>
      <c r="O8" s="4198"/>
      <c r="P8" s="1294"/>
      <c r="Q8" s="2270"/>
    </row>
    <row r="9" spans="2:17" s="1190" customFormat="1" ht="21.2" customHeight="1">
      <c r="C9" s="2164"/>
      <c r="D9" s="4228"/>
      <c r="E9" s="4228"/>
      <c r="F9" s="4228"/>
      <c r="G9" s="2197" t="s">
        <v>438</v>
      </c>
      <c r="H9" s="2195"/>
      <c r="I9" s="4228" t="s">
        <v>372</v>
      </c>
      <c r="J9" s="4228"/>
      <c r="K9" s="2197" t="s">
        <v>439</v>
      </c>
      <c r="L9" s="4228" t="s">
        <v>440</v>
      </c>
      <c r="M9" s="2195"/>
      <c r="N9" s="4197"/>
      <c r="O9" s="4198"/>
      <c r="P9" s="1294"/>
      <c r="Q9" s="2270"/>
    </row>
    <row r="10" spans="2:17" s="1190" customFormat="1" ht="21.2" customHeight="1">
      <c r="C10" s="2164" t="s">
        <v>8</v>
      </c>
      <c r="D10" s="4228" t="s">
        <v>8</v>
      </c>
      <c r="E10" s="4228" t="s">
        <v>8</v>
      </c>
      <c r="F10" s="4228" t="s">
        <v>8</v>
      </c>
      <c r="G10" s="2197" t="s">
        <v>441</v>
      </c>
      <c r="H10" s="4228" t="s">
        <v>442</v>
      </c>
      <c r="I10" s="4228" t="s">
        <v>367</v>
      </c>
      <c r="J10" s="2195"/>
      <c r="K10" s="2197" t="s">
        <v>443</v>
      </c>
      <c r="L10" s="4228" t="s">
        <v>19</v>
      </c>
      <c r="M10" s="4228" t="s">
        <v>103</v>
      </c>
      <c r="N10" s="4197"/>
      <c r="O10" s="4198"/>
      <c r="P10" s="1294"/>
      <c r="Q10" s="2270"/>
    </row>
    <row r="11" spans="2:17" s="1190" customFormat="1" ht="21.2" customHeight="1">
      <c r="C11" s="2164" t="s">
        <v>338</v>
      </c>
      <c r="D11" s="4228" t="s">
        <v>337</v>
      </c>
      <c r="E11" s="4228" t="s">
        <v>373</v>
      </c>
      <c r="F11" s="4228" t="s">
        <v>444</v>
      </c>
      <c r="G11" s="2197" t="s">
        <v>445</v>
      </c>
      <c r="H11" s="4228" t="s">
        <v>446</v>
      </c>
      <c r="I11" s="4228" t="s">
        <v>447</v>
      </c>
      <c r="J11" s="4228" t="s">
        <v>95</v>
      </c>
      <c r="K11" s="2197" t="s">
        <v>448</v>
      </c>
      <c r="L11" s="4228" t="s">
        <v>177</v>
      </c>
      <c r="M11" s="4228" t="s">
        <v>449</v>
      </c>
      <c r="N11" s="4745" t="s">
        <v>107</v>
      </c>
      <c r="O11" s="4745"/>
      <c r="P11" s="4746"/>
      <c r="Q11" s="2270"/>
    </row>
    <row r="12" spans="2:17" s="1190" customFormat="1" ht="21.2" customHeight="1">
      <c r="C12" s="2164" t="s">
        <v>95</v>
      </c>
      <c r="D12" s="4228" t="s">
        <v>330</v>
      </c>
      <c r="E12" s="4228" t="s">
        <v>450</v>
      </c>
      <c r="F12" s="4228" t="s">
        <v>451</v>
      </c>
      <c r="G12" s="2197" t="s">
        <v>452</v>
      </c>
      <c r="H12" s="4229" t="s">
        <v>172</v>
      </c>
      <c r="I12" s="4229" t="s">
        <v>453</v>
      </c>
      <c r="J12" s="4228" t="s">
        <v>363</v>
      </c>
      <c r="K12" s="2197" t="s">
        <v>454</v>
      </c>
      <c r="L12" s="4228" t="s">
        <v>419</v>
      </c>
      <c r="M12" s="4228" t="s">
        <v>455</v>
      </c>
      <c r="N12" s="4745" t="s">
        <v>116</v>
      </c>
      <c r="O12" s="4745"/>
      <c r="P12" s="4746"/>
      <c r="Q12" s="2270"/>
    </row>
    <row r="13" spans="2:17" s="1885" customFormat="1" ht="21.2" customHeight="1">
      <c r="C13" s="4147" t="s">
        <v>8</v>
      </c>
      <c r="D13" s="2120"/>
      <c r="E13" s="2120"/>
      <c r="F13" s="2120"/>
      <c r="G13" s="2232" t="s">
        <v>8</v>
      </c>
      <c r="H13" s="2120"/>
      <c r="I13" s="2120" t="s">
        <v>456</v>
      </c>
      <c r="J13" s="2120"/>
      <c r="K13" s="2232" t="s">
        <v>322</v>
      </c>
      <c r="L13" s="2120" t="s">
        <v>322</v>
      </c>
      <c r="M13" s="2120"/>
      <c r="N13" s="1284"/>
      <c r="O13" s="1240"/>
      <c r="P13" s="2273"/>
      <c r="Q13" s="2274"/>
    </row>
    <row r="14" spans="2:17" s="1885" customFormat="1" ht="21.2" customHeight="1">
      <c r="C14" s="4147"/>
      <c r="D14" s="2120"/>
      <c r="E14" s="2120"/>
      <c r="F14" s="2120" t="s">
        <v>457</v>
      </c>
      <c r="G14" s="2232" t="s">
        <v>318</v>
      </c>
      <c r="H14" s="2120" t="s">
        <v>355</v>
      </c>
      <c r="I14" s="2120" t="s">
        <v>458</v>
      </c>
      <c r="J14" s="2195"/>
      <c r="K14" s="2232" t="s">
        <v>459</v>
      </c>
      <c r="L14" s="2120" t="s">
        <v>460</v>
      </c>
      <c r="M14" s="2120"/>
      <c r="N14" s="4682"/>
      <c r="O14" s="4682"/>
      <c r="P14" s="4747"/>
      <c r="Q14" s="2274"/>
    </row>
    <row r="15" spans="2:17" s="1885" customFormat="1" ht="21.2" customHeight="1">
      <c r="C15" s="4147" t="s">
        <v>187</v>
      </c>
      <c r="D15" s="2120" t="s">
        <v>119</v>
      </c>
      <c r="E15" s="2120" t="s">
        <v>461</v>
      </c>
      <c r="F15" s="2120" t="s">
        <v>462</v>
      </c>
      <c r="G15" s="2232" t="s">
        <v>463</v>
      </c>
      <c r="H15" s="2120" t="s">
        <v>464</v>
      </c>
      <c r="I15" s="2120" t="s">
        <v>465</v>
      </c>
      <c r="J15" s="4228" t="s">
        <v>128</v>
      </c>
      <c r="K15" s="2232" t="s">
        <v>466</v>
      </c>
      <c r="L15" s="2120" t="s">
        <v>185</v>
      </c>
      <c r="M15" s="2120" t="s">
        <v>467</v>
      </c>
      <c r="N15" s="4682" t="s">
        <v>136</v>
      </c>
      <c r="O15" s="4682"/>
      <c r="P15" s="4747"/>
      <c r="Q15" s="2274"/>
    </row>
    <row r="16" spans="2:17" s="1885" customFormat="1" ht="21.2" customHeight="1">
      <c r="C16" s="1782" t="s">
        <v>123</v>
      </c>
      <c r="D16" s="2122" t="s">
        <v>123</v>
      </c>
      <c r="E16" s="2122" t="s">
        <v>123</v>
      </c>
      <c r="F16" s="2122" t="s">
        <v>468</v>
      </c>
      <c r="G16" s="2236" t="s">
        <v>469</v>
      </c>
      <c r="H16" s="4238" t="s">
        <v>189</v>
      </c>
      <c r="I16" s="4238" t="s">
        <v>470</v>
      </c>
      <c r="J16" s="2122" t="s">
        <v>123</v>
      </c>
      <c r="K16" s="2236" t="s">
        <v>192</v>
      </c>
      <c r="L16" s="2122" t="s">
        <v>471</v>
      </c>
      <c r="M16" s="2122" t="s">
        <v>472</v>
      </c>
      <c r="N16" s="4623" t="s">
        <v>144</v>
      </c>
      <c r="O16" s="4624"/>
      <c r="P16" s="4748"/>
      <c r="Q16" s="2274"/>
    </row>
    <row r="17" spans="2:17" ht="35.25" customHeight="1">
      <c r="C17" s="1167">
        <f t="shared" ref="C17:C45" si="0">SUM(D17:M17)</f>
        <v>63.199999999999996</v>
      </c>
      <c r="D17" s="4190">
        <v>2.1</v>
      </c>
      <c r="E17" s="4190">
        <v>0.9</v>
      </c>
      <c r="F17" s="4190">
        <v>0.2</v>
      </c>
      <c r="G17" s="1168">
        <v>0.8</v>
      </c>
      <c r="H17" s="4184">
        <v>29.3</v>
      </c>
      <c r="I17" s="4184">
        <v>0</v>
      </c>
      <c r="J17" s="4184">
        <v>24.7</v>
      </c>
      <c r="K17" s="4184">
        <v>3.6</v>
      </c>
      <c r="L17" s="4184">
        <v>0.3</v>
      </c>
      <c r="M17" s="1172">
        <v>1.3</v>
      </c>
      <c r="N17" s="4684">
        <v>1964</v>
      </c>
      <c r="O17" s="4684"/>
      <c r="P17" s="4692"/>
      <c r="Q17" s="2269"/>
    </row>
    <row r="18" spans="2:17" ht="35.25" customHeight="1">
      <c r="C18" s="1169">
        <f t="shared" si="0"/>
        <v>60</v>
      </c>
      <c r="D18" s="4255">
        <v>3</v>
      </c>
      <c r="E18" s="4255">
        <v>1.2</v>
      </c>
      <c r="F18" s="4255">
        <v>0.4</v>
      </c>
      <c r="G18" s="1414">
        <v>1.4</v>
      </c>
      <c r="H18" s="4254">
        <v>33.299999999999997</v>
      </c>
      <c r="I18" s="4254">
        <v>0</v>
      </c>
      <c r="J18" s="4254">
        <v>10.1</v>
      </c>
      <c r="K18" s="4254">
        <v>1.7</v>
      </c>
      <c r="L18" s="4254">
        <v>7.8</v>
      </c>
      <c r="M18" s="2013">
        <v>1.1000000000000001</v>
      </c>
      <c r="N18" s="4694">
        <f t="shared" ref="N18:N37" si="1">N17+1</f>
        <v>1965</v>
      </c>
      <c r="O18" s="4694"/>
      <c r="P18" s="4695"/>
      <c r="Q18" s="1813"/>
    </row>
    <row r="19" spans="2:17" ht="35.25" customHeight="1">
      <c r="C19" s="1167">
        <f t="shared" si="0"/>
        <v>70.3</v>
      </c>
      <c r="D19" s="4190">
        <v>4.8</v>
      </c>
      <c r="E19" s="4190">
        <v>1.3</v>
      </c>
      <c r="F19" s="4190">
        <v>0.8</v>
      </c>
      <c r="G19" s="1168">
        <v>1.7</v>
      </c>
      <c r="H19" s="4184">
        <v>39</v>
      </c>
      <c r="I19" s="4184">
        <v>0</v>
      </c>
      <c r="J19" s="4184">
        <v>7.3</v>
      </c>
      <c r="K19" s="4184">
        <v>0.6</v>
      </c>
      <c r="L19" s="4184">
        <v>13.3</v>
      </c>
      <c r="M19" s="1172">
        <v>1.5</v>
      </c>
      <c r="N19" s="4684">
        <f t="shared" si="1"/>
        <v>1966</v>
      </c>
      <c r="O19" s="4684"/>
      <c r="P19" s="4692"/>
      <c r="Q19" s="1813"/>
    </row>
    <row r="20" spans="2:17" ht="35.25" customHeight="1">
      <c r="C20" s="1169">
        <f t="shared" si="0"/>
        <v>70.799999999999983</v>
      </c>
      <c r="D20" s="4255">
        <v>4.3</v>
      </c>
      <c r="E20" s="4255">
        <v>1.4</v>
      </c>
      <c r="F20" s="4255">
        <v>0.9</v>
      </c>
      <c r="G20" s="1414">
        <v>0.8</v>
      </c>
      <c r="H20" s="4254">
        <v>38.9</v>
      </c>
      <c r="I20" s="4254">
        <v>0</v>
      </c>
      <c r="J20" s="4254">
        <v>5.3</v>
      </c>
      <c r="K20" s="4254">
        <v>0.8</v>
      </c>
      <c r="L20" s="4254">
        <v>16.899999999999999</v>
      </c>
      <c r="M20" s="2013">
        <v>1.5</v>
      </c>
      <c r="N20" s="4694">
        <f t="shared" si="1"/>
        <v>1967</v>
      </c>
      <c r="O20" s="4694"/>
      <c r="P20" s="4695"/>
      <c r="Q20" s="1813"/>
    </row>
    <row r="21" spans="2:17" ht="35.25" customHeight="1">
      <c r="C21" s="1167">
        <f t="shared" si="0"/>
        <v>71.3</v>
      </c>
      <c r="D21" s="4190">
        <v>1.9</v>
      </c>
      <c r="E21" s="4190">
        <v>1.8</v>
      </c>
      <c r="F21" s="4190">
        <v>1</v>
      </c>
      <c r="G21" s="1168">
        <v>0.9</v>
      </c>
      <c r="H21" s="4184">
        <v>41</v>
      </c>
      <c r="I21" s="4184">
        <v>0</v>
      </c>
      <c r="J21" s="4184">
        <v>6.3</v>
      </c>
      <c r="K21" s="4184">
        <v>0.9</v>
      </c>
      <c r="L21" s="4184">
        <v>15.7</v>
      </c>
      <c r="M21" s="1172">
        <v>1.8</v>
      </c>
      <c r="N21" s="4684">
        <f t="shared" si="1"/>
        <v>1968</v>
      </c>
      <c r="O21" s="4684"/>
      <c r="P21" s="4692"/>
      <c r="Q21" s="1813"/>
    </row>
    <row r="22" spans="2:17" ht="35.25" customHeight="1">
      <c r="C22" s="1169">
        <f t="shared" si="0"/>
        <v>74.699999999999989</v>
      </c>
      <c r="D22" s="4255">
        <v>1.8</v>
      </c>
      <c r="E22" s="4255">
        <v>2</v>
      </c>
      <c r="F22" s="4255">
        <v>1</v>
      </c>
      <c r="G22" s="1414">
        <v>1</v>
      </c>
      <c r="H22" s="4254">
        <v>45.4</v>
      </c>
      <c r="I22" s="4254">
        <v>3.8</v>
      </c>
      <c r="J22" s="4254">
        <v>4.8</v>
      </c>
      <c r="K22" s="4254">
        <v>0.5</v>
      </c>
      <c r="L22" s="4254">
        <v>12.6</v>
      </c>
      <c r="M22" s="2013">
        <v>1.8</v>
      </c>
      <c r="N22" s="4694">
        <f t="shared" si="1"/>
        <v>1969</v>
      </c>
      <c r="O22" s="4694"/>
      <c r="P22" s="4695"/>
      <c r="Q22" s="1813"/>
    </row>
    <row r="23" spans="2:17" ht="35.25" customHeight="1">
      <c r="C23" s="1167">
        <f t="shared" si="0"/>
        <v>76.399999999999991</v>
      </c>
      <c r="D23" s="4190">
        <v>2.4</v>
      </c>
      <c r="E23" s="4190">
        <v>2.2000000000000002</v>
      </c>
      <c r="F23" s="4190">
        <v>0.9</v>
      </c>
      <c r="G23" s="1168">
        <v>0.8</v>
      </c>
      <c r="H23" s="4184">
        <v>45.5</v>
      </c>
      <c r="I23" s="4184">
        <v>3.3</v>
      </c>
      <c r="J23" s="4184">
        <v>6.1</v>
      </c>
      <c r="K23" s="4184">
        <v>0.3</v>
      </c>
      <c r="L23" s="4184">
        <v>12.9</v>
      </c>
      <c r="M23" s="1172">
        <v>2</v>
      </c>
      <c r="N23" s="4684">
        <f t="shared" si="1"/>
        <v>1970</v>
      </c>
      <c r="O23" s="4684"/>
      <c r="P23" s="4692"/>
      <c r="Q23" s="1813"/>
    </row>
    <row r="24" spans="2:17" ht="35.25" customHeight="1">
      <c r="C24" s="1169">
        <f t="shared" si="0"/>
        <v>82.199999999999989</v>
      </c>
      <c r="D24" s="4255">
        <v>2.9</v>
      </c>
      <c r="E24" s="4255">
        <v>2.2000000000000002</v>
      </c>
      <c r="F24" s="4255">
        <v>0.9</v>
      </c>
      <c r="G24" s="1414">
        <v>0.9</v>
      </c>
      <c r="H24" s="4254">
        <v>46.9</v>
      </c>
      <c r="I24" s="4254">
        <v>8.5</v>
      </c>
      <c r="J24" s="4254">
        <v>3.1</v>
      </c>
      <c r="K24" s="4254">
        <v>0.3</v>
      </c>
      <c r="L24" s="4254">
        <v>14.9</v>
      </c>
      <c r="M24" s="2013">
        <v>1.6</v>
      </c>
      <c r="N24" s="4694">
        <f t="shared" si="1"/>
        <v>1971</v>
      </c>
      <c r="O24" s="4694"/>
      <c r="P24" s="4695"/>
      <c r="Q24" s="1813"/>
    </row>
    <row r="25" spans="2:17" ht="35.25" customHeight="1">
      <c r="C25" s="1167">
        <f t="shared" si="0"/>
        <v>95.500000000000014</v>
      </c>
      <c r="D25" s="4190">
        <v>1.6</v>
      </c>
      <c r="E25" s="4190">
        <v>2.2000000000000002</v>
      </c>
      <c r="F25" s="4190">
        <v>0.9</v>
      </c>
      <c r="G25" s="1168">
        <v>1.2</v>
      </c>
      <c r="H25" s="4184">
        <v>50.6</v>
      </c>
      <c r="I25" s="4184">
        <v>16.2</v>
      </c>
      <c r="J25" s="4184">
        <v>3.4</v>
      </c>
      <c r="K25" s="4184">
        <v>0.2</v>
      </c>
      <c r="L25" s="4184">
        <v>17.3</v>
      </c>
      <c r="M25" s="1172">
        <v>1.9</v>
      </c>
      <c r="N25" s="4684">
        <f t="shared" si="1"/>
        <v>1972</v>
      </c>
      <c r="O25" s="4684"/>
      <c r="P25" s="4692"/>
      <c r="Q25" s="1813"/>
    </row>
    <row r="26" spans="2:17" ht="35.25" customHeight="1">
      <c r="C26" s="1169">
        <f t="shared" si="0"/>
        <v>111.6</v>
      </c>
      <c r="D26" s="4255">
        <v>2.4</v>
      </c>
      <c r="E26" s="4255">
        <v>2.4</v>
      </c>
      <c r="F26" s="4255">
        <v>1.2</v>
      </c>
      <c r="G26" s="1414">
        <v>1.2</v>
      </c>
      <c r="H26" s="4254">
        <v>61.8</v>
      </c>
      <c r="I26" s="4254">
        <v>16.899999999999999</v>
      </c>
      <c r="J26" s="4254">
        <v>6.5</v>
      </c>
      <c r="K26" s="4254">
        <v>0.3</v>
      </c>
      <c r="L26" s="4254">
        <v>16.8</v>
      </c>
      <c r="M26" s="2013">
        <v>2.1</v>
      </c>
      <c r="N26" s="4694">
        <f t="shared" si="1"/>
        <v>1973</v>
      </c>
      <c r="O26" s="4694"/>
      <c r="P26" s="4695"/>
      <c r="Q26" s="1813"/>
    </row>
    <row r="27" spans="2:17" ht="35.25" customHeight="1">
      <c r="B27" s="1174" t="s">
        <v>8</v>
      </c>
      <c r="C27" s="1167">
        <f t="shared" si="0"/>
        <v>148.5</v>
      </c>
      <c r="D27" s="4190">
        <v>4.5</v>
      </c>
      <c r="E27" s="4190">
        <v>2.8</v>
      </c>
      <c r="F27" s="4190">
        <v>1.3</v>
      </c>
      <c r="G27" s="1168">
        <v>2.1</v>
      </c>
      <c r="H27" s="4184">
        <v>85</v>
      </c>
      <c r="I27" s="4184">
        <v>14.9</v>
      </c>
      <c r="J27" s="4184">
        <v>8</v>
      </c>
      <c r="K27" s="4184">
        <v>5.4</v>
      </c>
      <c r="L27" s="4184">
        <v>22</v>
      </c>
      <c r="M27" s="1172">
        <v>2.5</v>
      </c>
      <c r="N27" s="4684">
        <f t="shared" si="1"/>
        <v>1974</v>
      </c>
      <c r="O27" s="4684"/>
      <c r="P27" s="4692"/>
      <c r="Q27" s="1813"/>
    </row>
    <row r="28" spans="2:17" ht="35.25" customHeight="1">
      <c r="B28" s="1174" t="s">
        <v>8</v>
      </c>
      <c r="C28" s="1169">
        <f t="shared" si="0"/>
        <v>226.20000000000002</v>
      </c>
      <c r="D28" s="4255">
        <v>8.3000000000000007</v>
      </c>
      <c r="E28" s="4255">
        <v>3.8</v>
      </c>
      <c r="F28" s="4255">
        <v>1.3</v>
      </c>
      <c r="G28" s="1414">
        <v>2.7</v>
      </c>
      <c r="H28" s="4255">
        <v>126.7</v>
      </c>
      <c r="I28" s="4254">
        <v>24.5</v>
      </c>
      <c r="J28" s="4255">
        <v>12.5</v>
      </c>
      <c r="K28" s="4254">
        <v>10.5</v>
      </c>
      <c r="L28" s="4254">
        <v>32.9</v>
      </c>
      <c r="M28" s="2013">
        <v>3</v>
      </c>
      <c r="N28" s="4694">
        <f t="shared" si="1"/>
        <v>1975</v>
      </c>
      <c r="O28" s="4694"/>
      <c r="P28" s="4695"/>
      <c r="Q28" s="1813"/>
    </row>
    <row r="29" spans="2:17" ht="35.25" customHeight="1">
      <c r="B29" s="1174" t="s">
        <v>8</v>
      </c>
      <c r="C29" s="1167">
        <f t="shared" si="0"/>
        <v>333.6</v>
      </c>
      <c r="D29" s="4190">
        <v>10.4</v>
      </c>
      <c r="E29" s="4190">
        <v>5.5</v>
      </c>
      <c r="F29" s="4190">
        <v>1.6</v>
      </c>
      <c r="G29" s="1168">
        <v>4.2</v>
      </c>
      <c r="H29" s="4184">
        <v>207.1</v>
      </c>
      <c r="I29" s="4184">
        <v>23</v>
      </c>
      <c r="J29" s="4184">
        <v>19.2</v>
      </c>
      <c r="K29" s="4184">
        <v>8.4</v>
      </c>
      <c r="L29" s="4184">
        <v>50.6</v>
      </c>
      <c r="M29" s="1172">
        <v>3.6</v>
      </c>
      <c r="N29" s="4684">
        <f t="shared" si="1"/>
        <v>1976</v>
      </c>
      <c r="O29" s="4684"/>
      <c r="P29" s="4692"/>
      <c r="Q29" s="1813"/>
    </row>
    <row r="30" spans="2:17" ht="35.25" customHeight="1">
      <c r="B30" s="1174" t="s">
        <v>8</v>
      </c>
      <c r="C30" s="1169">
        <f t="shared" si="0"/>
        <v>422.49999999999994</v>
      </c>
      <c r="D30" s="4255">
        <v>8.5</v>
      </c>
      <c r="E30" s="4255">
        <v>7.5</v>
      </c>
      <c r="F30" s="4255">
        <v>3.7</v>
      </c>
      <c r="G30" s="1414">
        <v>4.0999999999999996</v>
      </c>
      <c r="H30" s="4255">
        <v>243.6</v>
      </c>
      <c r="I30" s="4254">
        <v>32.9</v>
      </c>
      <c r="J30" s="4255">
        <v>37.200000000000003</v>
      </c>
      <c r="K30" s="4254">
        <v>17.5</v>
      </c>
      <c r="L30" s="4254">
        <v>63.1</v>
      </c>
      <c r="M30" s="2013">
        <v>4.4000000000000004</v>
      </c>
      <c r="N30" s="4694">
        <f t="shared" si="1"/>
        <v>1977</v>
      </c>
      <c r="O30" s="4694"/>
      <c r="P30" s="4695"/>
      <c r="Q30" s="1813"/>
    </row>
    <row r="31" spans="2:17" ht="35.25" customHeight="1">
      <c r="C31" s="1167">
        <f t="shared" si="0"/>
        <v>637.1</v>
      </c>
      <c r="D31" s="4190">
        <v>9.6999999999999993</v>
      </c>
      <c r="E31" s="4190">
        <v>9.1</v>
      </c>
      <c r="F31" s="4190">
        <v>5</v>
      </c>
      <c r="G31" s="1168">
        <v>6.6</v>
      </c>
      <c r="H31" s="4184">
        <v>331.3</v>
      </c>
      <c r="I31" s="4184">
        <v>68.599999999999994</v>
      </c>
      <c r="J31" s="4184">
        <v>76.099999999999994</v>
      </c>
      <c r="K31" s="4184">
        <v>49</v>
      </c>
      <c r="L31" s="4184">
        <v>76.599999999999994</v>
      </c>
      <c r="M31" s="1172">
        <v>5.0999999999999996</v>
      </c>
      <c r="N31" s="4684">
        <f t="shared" si="1"/>
        <v>1978</v>
      </c>
      <c r="O31" s="4684"/>
      <c r="P31" s="4692"/>
      <c r="Q31" s="1813"/>
    </row>
    <row r="32" spans="2:17" ht="35.25" customHeight="1">
      <c r="C32" s="1169">
        <f t="shared" si="0"/>
        <v>823.69999999999993</v>
      </c>
      <c r="D32" s="4255">
        <v>20.8</v>
      </c>
      <c r="E32" s="4255">
        <v>13.3</v>
      </c>
      <c r="F32" s="4255">
        <v>6.7</v>
      </c>
      <c r="G32" s="1414">
        <v>11.1</v>
      </c>
      <c r="H32" s="4255">
        <v>462.3</v>
      </c>
      <c r="I32" s="4254">
        <v>73.8</v>
      </c>
      <c r="J32" s="4255">
        <v>82.8</v>
      </c>
      <c r="K32" s="4254">
        <v>51.3</v>
      </c>
      <c r="L32" s="4254">
        <v>95.1</v>
      </c>
      <c r="M32" s="2013">
        <v>6.5</v>
      </c>
      <c r="N32" s="4694">
        <f t="shared" si="1"/>
        <v>1979</v>
      </c>
      <c r="O32" s="4694"/>
      <c r="P32" s="4695"/>
      <c r="Q32" s="1813"/>
    </row>
    <row r="33" spans="2:17" ht="35.25" customHeight="1">
      <c r="C33" s="1167">
        <f t="shared" si="0"/>
        <v>1070.5</v>
      </c>
      <c r="D33" s="4190">
        <v>20.9</v>
      </c>
      <c r="E33" s="4190">
        <v>17.899999999999999</v>
      </c>
      <c r="F33" s="4190">
        <v>9.6</v>
      </c>
      <c r="G33" s="1168">
        <v>11.8</v>
      </c>
      <c r="H33" s="4184">
        <v>563.9</v>
      </c>
      <c r="I33" s="4184">
        <v>59.8</v>
      </c>
      <c r="J33" s="4184">
        <v>205.2</v>
      </c>
      <c r="K33" s="4184">
        <v>64.900000000000006</v>
      </c>
      <c r="L33" s="4184">
        <v>109.6</v>
      </c>
      <c r="M33" s="1172">
        <v>6.9</v>
      </c>
      <c r="N33" s="4684">
        <f t="shared" si="1"/>
        <v>1980</v>
      </c>
      <c r="O33" s="4684"/>
      <c r="P33" s="4692"/>
      <c r="Q33" s="1813"/>
    </row>
    <row r="34" spans="2:17" ht="35.25" customHeight="1">
      <c r="C34" s="1169">
        <f t="shared" si="0"/>
        <v>1330.7</v>
      </c>
      <c r="D34" s="4255">
        <v>30.8</v>
      </c>
      <c r="E34" s="4255">
        <v>27.1</v>
      </c>
      <c r="F34" s="4255">
        <v>13.4</v>
      </c>
      <c r="G34" s="1414">
        <v>16</v>
      </c>
      <c r="H34" s="4255">
        <v>710.2</v>
      </c>
      <c r="I34" s="4254">
        <v>80.8</v>
      </c>
      <c r="J34" s="4255">
        <v>244.4</v>
      </c>
      <c r="K34" s="4254">
        <v>92.9</v>
      </c>
      <c r="L34" s="4254">
        <v>106.5</v>
      </c>
      <c r="M34" s="2013">
        <v>8.6</v>
      </c>
      <c r="N34" s="4694">
        <f t="shared" si="1"/>
        <v>1981</v>
      </c>
      <c r="O34" s="4694"/>
      <c r="P34" s="4695"/>
      <c r="Q34" s="1813"/>
    </row>
    <row r="35" spans="2:17" ht="35.25" customHeight="1">
      <c r="C35" s="1167">
        <f t="shared" si="0"/>
        <v>1553.5000000000002</v>
      </c>
      <c r="D35" s="4190">
        <v>54.3</v>
      </c>
      <c r="E35" s="4190">
        <v>38.9</v>
      </c>
      <c r="F35" s="4190">
        <v>20.3</v>
      </c>
      <c r="G35" s="1168">
        <v>24.5</v>
      </c>
      <c r="H35" s="4184">
        <v>865.1</v>
      </c>
      <c r="I35" s="4184">
        <v>102.8</v>
      </c>
      <c r="J35" s="4184">
        <v>277.5</v>
      </c>
      <c r="K35" s="4184">
        <v>51.7</v>
      </c>
      <c r="L35" s="4184">
        <v>107.9</v>
      </c>
      <c r="M35" s="1172">
        <v>10.5</v>
      </c>
      <c r="N35" s="4684">
        <f t="shared" si="1"/>
        <v>1982</v>
      </c>
      <c r="O35" s="4684"/>
      <c r="P35" s="4692"/>
      <c r="Q35" s="1813"/>
    </row>
    <row r="36" spans="2:17" ht="35.25" customHeight="1">
      <c r="C36" s="1169">
        <f t="shared" si="0"/>
        <v>1863.2999999999997</v>
      </c>
      <c r="D36" s="4255">
        <v>58.7</v>
      </c>
      <c r="E36" s="4255">
        <v>46.5</v>
      </c>
      <c r="F36" s="4255">
        <v>27.8</v>
      </c>
      <c r="G36" s="1414">
        <v>20.7</v>
      </c>
      <c r="H36" s="4255">
        <v>1003.4</v>
      </c>
      <c r="I36" s="4254">
        <v>147.19999999999999</v>
      </c>
      <c r="J36" s="4255">
        <v>331.9</v>
      </c>
      <c r="K36" s="4254">
        <v>93</v>
      </c>
      <c r="L36" s="4254">
        <v>121.5</v>
      </c>
      <c r="M36" s="2013">
        <v>12.6</v>
      </c>
      <c r="N36" s="4694">
        <f t="shared" si="1"/>
        <v>1983</v>
      </c>
      <c r="O36" s="4694"/>
      <c r="P36" s="4695"/>
      <c r="Q36" s="1813"/>
    </row>
    <row r="37" spans="2:17" ht="35.25" customHeight="1">
      <c r="C37" s="1167">
        <f t="shared" si="0"/>
        <v>2136</v>
      </c>
      <c r="D37" s="4190">
        <v>71.099999999999994</v>
      </c>
      <c r="E37" s="4190">
        <v>57.9</v>
      </c>
      <c r="F37" s="4190">
        <v>33.799999999999997</v>
      </c>
      <c r="G37" s="1168">
        <v>21.8</v>
      </c>
      <c r="H37" s="4184">
        <v>1156.2</v>
      </c>
      <c r="I37" s="4184">
        <v>208.5</v>
      </c>
      <c r="J37" s="4184">
        <v>359.1</v>
      </c>
      <c r="K37" s="4184">
        <v>91.4</v>
      </c>
      <c r="L37" s="4184">
        <v>124.2</v>
      </c>
      <c r="M37" s="1172">
        <v>12</v>
      </c>
      <c r="N37" s="4684">
        <f t="shared" si="1"/>
        <v>1984</v>
      </c>
      <c r="O37" s="4684"/>
      <c r="P37" s="4692"/>
      <c r="Q37" s="1813"/>
    </row>
    <row r="38" spans="2:17" ht="35.25" customHeight="1">
      <c r="C38" s="1169">
        <f t="shared" si="0"/>
        <v>2392.1</v>
      </c>
      <c r="D38" s="4255">
        <v>76.099999999999994</v>
      </c>
      <c r="E38" s="4255">
        <v>66.8</v>
      </c>
      <c r="F38" s="4255">
        <v>36.200000000000003</v>
      </c>
      <c r="G38" s="1414">
        <v>19.3</v>
      </c>
      <c r="H38" s="4255">
        <v>1246.9000000000001</v>
      </c>
      <c r="I38" s="4254">
        <v>228.3</v>
      </c>
      <c r="J38" s="4255">
        <v>412.4</v>
      </c>
      <c r="K38" s="4254">
        <v>144.19999999999999</v>
      </c>
      <c r="L38" s="4254">
        <v>148.6</v>
      </c>
      <c r="M38" s="2013">
        <v>13.3</v>
      </c>
      <c r="N38" s="4694">
        <f>N37+1</f>
        <v>1985</v>
      </c>
      <c r="O38" s="4694"/>
      <c r="P38" s="4695"/>
      <c r="Q38" s="1813"/>
    </row>
    <row r="39" spans="2:17" ht="35.25" customHeight="1">
      <c r="C39" s="1167">
        <f t="shared" si="0"/>
        <v>2634.8</v>
      </c>
      <c r="D39" s="4190">
        <v>89.6</v>
      </c>
      <c r="E39" s="4190">
        <v>68</v>
      </c>
      <c r="F39" s="4190">
        <v>38.6</v>
      </c>
      <c r="G39" s="1168">
        <v>16.5</v>
      </c>
      <c r="H39" s="4184">
        <v>1366.9</v>
      </c>
      <c r="I39" s="4184">
        <v>275.7</v>
      </c>
      <c r="J39" s="4184">
        <v>431.8</v>
      </c>
      <c r="K39" s="4184">
        <v>167.2</v>
      </c>
      <c r="L39" s="4184">
        <v>167.9</v>
      </c>
      <c r="M39" s="1172">
        <v>12.6</v>
      </c>
      <c r="N39" s="4684">
        <f>N38+1</f>
        <v>1986</v>
      </c>
      <c r="O39" s="4684"/>
      <c r="P39" s="4692"/>
      <c r="Q39" s="1813"/>
    </row>
    <row r="40" spans="2:17" ht="35.25" customHeight="1">
      <c r="C40" s="1169">
        <f t="shared" si="0"/>
        <v>2898.5000000000005</v>
      </c>
      <c r="D40" s="4255">
        <v>81.8</v>
      </c>
      <c r="E40" s="4255">
        <v>73.900000000000006</v>
      </c>
      <c r="F40" s="4255">
        <v>40.700000000000003</v>
      </c>
      <c r="G40" s="1414">
        <v>25.8</v>
      </c>
      <c r="H40" s="4255">
        <v>1484.7</v>
      </c>
      <c r="I40" s="4254">
        <v>345.9</v>
      </c>
      <c r="J40" s="4255">
        <v>480.3</v>
      </c>
      <c r="K40" s="4254">
        <v>184.4</v>
      </c>
      <c r="L40" s="4254">
        <v>167.6</v>
      </c>
      <c r="M40" s="2013">
        <v>13.4</v>
      </c>
      <c r="N40" s="4694">
        <f t="shared" ref="N40:N45" si="2">N39+1</f>
        <v>1987</v>
      </c>
      <c r="O40" s="4694"/>
      <c r="P40" s="4695"/>
      <c r="Q40" s="1813"/>
    </row>
    <row r="41" spans="2:17" ht="35.25" customHeight="1">
      <c r="C41" s="1167">
        <f t="shared" si="0"/>
        <v>3250.4999999999995</v>
      </c>
      <c r="D41" s="4190">
        <v>92.3</v>
      </c>
      <c r="E41" s="4190">
        <v>78.099999999999994</v>
      </c>
      <c r="F41" s="4190">
        <v>43.3</v>
      </c>
      <c r="G41" s="1168">
        <v>22.3</v>
      </c>
      <c r="H41" s="4184">
        <v>1599.4</v>
      </c>
      <c r="I41" s="4184">
        <v>334.9</v>
      </c>
      <c r="J41" s="4184">
        <v>702.6</v>
      </c>
      <c r="K41" s="4184">
        <v>228.2</v>
      </c>
      <c r="L41" s="4184">
        <v>134.69999999999999</v>
      </c>
      <c r="M41" s="1172">
        <v>14.7</v>
      </c>
      <c r="N41" s="4684">
        <f t="shared" si="2"/>
        <v>1988</v>
      </c>
      <c r="O41" s="4684"/>
      <c r="P41" s="4692"/>
      <c r="Q41" s="1813"/>
    </row>
    <row r="42" spans="2:17" ht="35.25" customHeight="1">
      <c r="C42" s="1169">
        <f t="shared" si="0"/>
        <v>3780.3</v>
      </c>
      <c r="D42" s="4254">
        <v>178.9</v>
      </c>
      <c r="E42" s="4254">
        <v>84</v>
      </c>
      <c r="F42" s="4254">
        <v>52.2</v>
      </c>
      <c r="G42" s="1170">
        <v>19.5</v>
      </c>
      <c r="H42" s="4255">
        <v>1703.5</v>
      </c>
      <c r="I42" s="4255">
        <v>369</v>
      </c>
      <c r="J42" s="4255">
        <v>858.2</v>
      </c>
      <c r="K42" s="1414">
        <v>258.60000000000002</v>
      </c>
      <c r="L42" s="4255">
        <v>240.1</v>
      </c>
      <c r="M42" s="2013">
        <v>16.3</v>
      </c>
      <c r="N42" s="4694">
        <f t="shared" si="2"/>
        <v>1989</v>
      </c>
      <c r="O42" s="4694"/>
      <c r="P42" s="4695"/>
      <c r="Q42" s="1813"/>
    </row>
    <row r="43" spans="2:17" ht="35.25" customHeight="1">
      <c r="C43" s="1167">
        <f t="shared" si="0"/>
        <v>4089.9999999999995</v>
      </c>
      <c r="D43" s="4190">
        <v>205.6</v>
      </c>
      <c r="E43" s="4190">
        <v>90</v>
      </c>
      <c r="F43" s="4190">
        <v>71.099999999999994</v>
      </c>
      <c r="G43" s="1168">
        <v>20.9</v>
      </c>
      <c r="H43" s="4184">
        <v>1824.1</v>
      </c>
      <c r="I43" s="4184">
        <v>388.8</v>
      </c>
      <c r="J43" s="4184">
        <v>1045.7</v>
      </c>
      <c r="K43" s="4184">
        <v>227.2</v>
      </c>
      <c r="L43" s="4184">
        <v>200.6</v>
      </c>
      <c r="M43" s="1172">
        <v>16</v>
      </c>
      <c r="N43" s="4684">
        <f t="shared" si="2"/>
        <v>1990</v>
      </c>
      <c r="O43" s="4684"/>
      <c r="P43" s="4692"/>
      <c r="Q43" s="1813"/>
    </row>
    <row r="44" spans="2:17" ht="35.25" customHeight="1">
      <c r="B44" s="1801"/>
      <c r="C44" s="1169">
        <f t="shared" si="0"/>
        <v>5599.0999999999995</v>
      </c>
      <c r="D44" s="4254">
        <v>216.2</v>
      </c>
      <c r="E44" s="4254">
        <v>113.4</v>
      </c>
      <c r="F44" s="4254">
        <v>76.7</v>
      </c>
      <c r="G44" s="1170">
        <v>20.5</v>
      </c>
      <c r="H44" s="4255">
        <v>1945.5</v>
      </c>
      <c r="I44" s="4255">
        <v>424.1</v>
      </c>
      <c r="J44" s="4255">
        <v>2007</v>
      </c>
      <c r="K44" s="1170">
        <v>166.4</v>
      </c>
      <c r="L44" s="4255">
        <v>604.1</v>
      </c>
      <c r="M44" s="2013">
        <v>25.2</v>
      </c>
      <c r="N44" s="4694">
        <f t="shared" si="2"/>
        <v>1991</v>
      </c>
      <c r="O44" s="4694"/>
      <c r="P44" s="4695"/>
      <c r="Q44" s="1813"/>
    </row>
    <row r="45" spans="2:17" ht="35.25" customHeight="1">
      <c r="C45" s="1641">
        <f t="shared" si="0"/>
        <v>6311.1</v>
      </c>
      <c r="D45" s="4195">
        <v>303</v>
      </c>
      <c r="E45" s="4195">
        <v>115.5</v>
      </c>
      <c r="F45" s="4195">
        <v>90.8</v>
      </c>
      <c r="G45" s="1642">
        <v>26.1</v>
      </c>
      <c r="H45" s="4195">
        <v>2185.3000000000002</v>
      </c>
      <c r="I45" s="4195">
        <v>390.5</v>
      </c>
      <c r="J45" s="4195">
        <v>2324.8000000000002</v>
      </c>
      <c r="K45" s="4195">
        <v>137.80000000000001</v>
      </c>
      <c r="L45" s="4195">
        <v>708.8</v>
      </c>
      <c r="M45" s="1207">
        <v>28.5</v>
      </c>
      <c r="N45" s="4688">
        <f t="shared" si="2"/>
        <v>1992</v>
      </c>
      <c r="O45" s="4688"/>
      <c r="P45" s="4689"/>
      <c r="Q45" s="1813"/>
    </row>
    <row r="46" spans="2:17" ht="12" customHeight="1">
      <c r="C46" s="2275"/>
      <c r="D46" s="4250"/>
      <c r="E46" s="4250"/>
      <c r="F46" s="4250"/>
      <c r="G46" s="3558"/>
      <c r="H46" s="4250"/>
      <c r="I46" s="4250"/>
      <c r="J46" s="4250"/>
      <c r="K46" s="3558"/>
      <c r="L46" s="4250"/>
      <c r="M46" s="4250"/>
      <c r="N46" s="1802"/>
      <c r="O46" s="1802"/>
      <c r="P46" s="2276"/>
      <c r="Q46" s="1801"/>
    </row>
    <row r="47" spans="2:17" ht="28.35" customHeight="1">
      <c r="C47" s="2275"/>
      <c r="D47" s="4250"/>
      <c r="E47" s="4250"/>
      <c r="F47" s="4250"/>
      <c r="G47" s="3558"/>
      <c r="H47" s="4250"/>
      <c r="I47" s="4250"/>
      <c r="J47" s="4250"/>
      <c r="K47" s="3558"/>
      <c r="L47" s="4250"/>
      <c r="M47" s="4250"/>
      <c r="N47" s="1802"/>
      <c r="O47" s="1802"/>
      <c r="P47" s="2276"/>
      <c r="Q47" s="1801"/>
    </row>
    <row r="48" spans="2:17" ht="28.35" customHeight="1">
      <c r="C48" s="2275"/>
      <c r="D48" s="4250"/>
      <c r="E48" s="4250"/>
      <c r="F48" s="4250"/>
      <c r="G48" s="3558"/>
      <c r="H48" s="4250"/>
      <c r="I48" s="4250"/>
      <c r="J48" s="4250"/>
      <c r="K48" s="3558"/>
      <c r="L48" s="4250"/>
      <c r="M48" s="4250"/>
      <c r="N48" s="1802"/>
      <c r="O48" s="1802"/>
      <c r="P48" s="2276"/>
      <c r="Q48" s="1801"/>
    </row>
    <row r="49" spans="2:19" s="2096" customFormat="1" ht="28.35" customHeight="1">
      <c r="C49" s="4639" t="s">
        <v>473</v>
      </c>
      <c r="D49" s="4639"/>
      <c r="E49" s="4639"/>
      <c r="F49" s="4639"/>
      <c r="G49" s="4639"/>
      <c r="H49" s="4639"/>
      <c r="I49" s="4639"/>
      <c r="J49" s="4639"/>
      <c r="K49" s="4639"/>
      <c r="L49" s="4639"/>
      <c r="M49" s="4639"/>
      <c r="N49" s="4639"/>
      <c r="O49" s="4639"/>
      <c r="P49" s="4639"/>
      <c r="Q49" s="4320"/>
    </row>
    <row r="50" spans="2:19" s="1847" customFormat="1" ht="28.35" customHeight="1">
      <c r="B50" s="1847" t="s">
        <v>8</v>
      </c>
      <c r="C50" s="4640" t="s">
        <v>474</v>
      </c>
      <c r="D50" s="4640"/>
      <c r="E50" s="4640"/>
      <c r="F50" s="4640"/>
      <c r="G50" s="4640"/>
      <c r="H50" s="4640"/>
      <c r="I50" s="4640"/>
      <c r="J50" s="4640"/>
      <c r="K50" s="4640"/>
      <c r="L50" s="4640"/>
      <c r="M50" s="4640"/>
      <c r="N50" s="4640"/>
      <c r="O50" s="4640"/>
      <c r="P50" s="4640"/>
      <c r="Q50" s="3412"/>
    </row>
    <row r="51" spans="2:19" s="1849" customFormat="1" ht="17.100000000000001" customHeight="1">
      <c r="C51" s="1224" t="s">
        <v>436</v>
      </c>
      <c r="D51" s="2162"/>
      <c r="E51" s="2162"/>
      <c r="F51" s="2162"/>
      <c r="G51" s="2261"/>
      <c r="H51" s="2261"/>
      <c r="I51" s="2261"/>
      <c r="J51" s="2082"/>
      <c r="K51" s="2261"/>
      <c r="L51" s="2261"/>
      <c r="M51" s="2082"/>
      <c r="N51" s="2277"/>
      <c r="O51" s="2278"/>
      <c r="P51" s="4248" t="s">
        <v>91</v>
      </c>
      <c r="Q51" s="2264"/>
    </row>
    <row r="52" spans="2:19" s="1801" customFormat="1" ht="4.3499999999999996" customHeight="1">
      <c r="C52" s="2280"/>
      <c r="D52" s="2044"/>
      <c r="E52" s="2044"/>
      <c r="F52" s="2044"/>
      <c r="G52" s="2281"/>
      <c r="H52" s="2044"/>
      <c r="I52" s="2044"/>
      <c r="J52" s="2044"/>
      <c r="K52" s="2281"/>
      <c r="L52" s="2044"/>
      <c r="M52" s="2044"/>
      <c r="N52" s="2282"/>
      <c r="O52" s="2282"/>
      <c r="P52" s="2282"/>
      <c r="Q52" s="1793"/>
    </row>
    <row r="53" spans="2:19" ht="21.2" customHeight="1">
      <c r="C53" s="4211"/>
      <c r="D53" s="4736" t="s">
        <v>475</v>
      </c>
      <c r="E53" s="4737"/>
      <c r="F53" s="2184"/>
      <c r="G53" s="4605" t="s">
        <v>476</v>
      </c>
      <c r="H53" s="4740"/>
      <c r="I53" s="4743" t="s">
        <v>344</v>
      </c>
      <c r="J53" s="4737"/>
      <c r="K53" s="1992"/>
      <c r="L53" s="4605" t="s">
        <v>343</v>
      </c>
      <c r="M53" s="4740"/>
      <c r="N53" s="2283"/>
      <c r="O53" s="2284"/>
      <c r="P53" s="2285"/>
      <c r="Q53" s="1813"/>
    </row>
    <row r="54" spans="2:19" s="1190" customFormat="1" ht="21.2" customHeight="1">
      <c r="C54" s="2286"/>
      <c r="D54" s="4738"/>
      <c r="E54" s="4739"/>
      <c r="F54" s="1236"/>
      <c r="G54" s="4741"/>
      <c r="H54" s="4742"/>
      <c r="I54" s="4744"/>
      <c r="J54" s="4739"/>
      <c r="K54" s="1236"/>
      <c r="L54" s="4741"/>
      <c r="M54" s="4742"/>
      <c r="N54" s="2289"/>
      <c r="O54" s="2290"/>
      <c r="P54" s="2291"/>
      <c r="Q54" s="2270"/>
      <c r="R54" s="2292"/>
      <c r="S54" s="2292"/>
    </row>
    <row r="55" spans="2:19" ht="21.2" customHeight="1">
      <c r="C55" s="4214"/>
      <c r="D55" s="4227"/>
      <c r="E55" s="4226" t="s">
        <v>477</v>
      </c>
      <c r="F55" s="4227"/>
      <c r="G55" s="4227"/>
      <c r="H55" s="4227"/>
      <c r="I55" s="4227"/>
      <c r="J55" s="4227"/>
      <c r="K55" s="4227"/>
      <c r="L55" s="4227" t="s">
        <v>478</v>
      </c>
      <c r="M55" s="4220" t="s">
        <v>479</v>
      </c>
      <c r="N55" s="2289"/>
      <c r="O55" s="2290"/>
      <c r="P55" s="2291"/>
      <c r="Q55" s="1813"/>
    </row>
    <row r="56" spans="2:19" ht="21.2" customHeight="1">
      <c r="C56" s="4214"/>
      <c r="D56" s="4228"/>
      <c r="E56" s="4228" t="s">
        <v>480</v>
      </c>
      <c r="F56" s="4228"/>
      <c r="G56" s="4229" t="s">
        <v>92</v>
      </c>
      <c r="H56" s="4229"/>
      <c r="I56" s="4229"/>
      <c r="J56" s="4229" t="s">
        <v>337</v>
      </c>
      <c r="K56" s="4229" t="s">
        <v>481</v>
      </c>
      <c r="L56" s="4229" t="s">
        <v>440</v>
      </c>
      <c r="M56" s="4197" t="s">
        <v>455</v>
      </c>
      <c r="N56" s="2293"/>
      <c r="O56" s="1283"/>
      <c r="P56" s="2273"/>
      <c r="Q56" s="1813"/>
    </row>
    <row r="57" spans="2:19" ht="21.2" customHeight="1">
      <c r="C57" s="2294" t="s">
        <v>338</v>
      </c>
      <c r="D57" s="4228" t="s">
        <v>337</v>
      </c>
      <c r="E57" s="4228" t="s">
        <v>482</v>
      </c>
      <c r="F57" s="4228"/>
      <c r="G57" s="4228" t="s">
        <v>483</v>
      </c>
      <c r="H57" s="4229" t="s">
        <v>92</v>
      </c>
      <c r="I57" s="4229"/>
      <c r="J57" s="4229" t="s">
        <v>336</v>
      </c>
      <c r="K57" s="4229" t="s">
        <v>484</v>
      </c>
      <c r="L57" s="4229" t="s">
        <v>485</v>
      </c>
      <c r="M57" s="4197" t="s">
        <v>482</v>
      </c>
      <c r="N57" s="4749" t="s">
        <v>107</v>
      </c>
      <c r="O57" s="4750"/>
      <c r="P57" s="4751"/>
      <c r="Q57" s="1813"/>
    </row>
    <row r="58" spans="2:19" ht="21.2" customHeight="1">
      <c r="C58" s="2294" t="s">
        <v>95</v>
      </c>
      <c r="D58" s="4228" t="s">
        <v>330</v>
      </c>
      <c r="E58" s="4228" t="s">
        <v>486</v>
      </c>
      <c r="F58" s="4228" t="s">
        <v>487</v>
      </c>
      <c r="G58" s="4229" t="s">
        <v>172</v>
      </c>
      <c r="H58" s="4228" t="s">
        <v>488</v>
      </c>
      <c r="I58" s="1249" t="s">
        <v>170</v>
      </c>
      <c r="J58" s="4229" t="s">
        <v>330</v>
      </c>
      <c r="K58" s="4229" t="s">
        <v>489</v>
      </c>
      <c r="L58" s="4229" t="s">
        <v>490</v>
      </c>
      <c r="M58" s="4197" t="s">
        <v>363</v>
      </c>
      <c r="N58" s="4749" t="s">
        <v>116</v>
      </c>
      <c r="O58" s="4750"/>
      <c r="P58" s="4751"/>
      <c r="Q58" s="1813"/>
    </row>
    <row r="59" spans="2:19" s="2117" customFormat="1" ht="21.2" customHeight="1">
      <c r="C59" s="2294"/>
      <c r="D59" s="4229"/>
      <c r="E59" s="2120" t="s">
        <v>140</v>
      </c>
      <c r="F59" s="4229"/>
      <c r="G59" s="4170" t="s">
        <v>118</v>
      </c>
      <c r="H59" s="2120"/>
      <c r="I59" s="1242"/>
      <c r="J59" s="4229"/>
      <c r="K59" s="4170"/>
      <c r="L59" s="4170" t="s">
        <v>322</v>
      </c>
      <c r="M59" s="4171" t="s">
        <v>467</v>
      </c>
      <c r="N59" s="2289"/>
      <c r="O59" s="2290"/>
      <c r="P59" s="2291"/>
      <c r="Q59" s="2297"/>
    </row>
    <row r="60" spans="2:19" s="2117" customFormat="1" ht="21.2" customHeight="1">
      <c r="C60" s="2294"/>
      <c r="D60" s="4229"/>
      <c r="E60" s="4229" t="s">
        <v>491</v>
      </c>
      <c r="F60" s="4229"/>
      <c r="G60" s="4170" t="s">
        <v>125</v>
      </c>
      <c r="H60" s="4170" t="s">
        <v>118</v>
      </c>
      <c r="I60" s="1242"/>
      <c r="J60" s="4170" t="s">
        <v>119</v>
      </c>
      <c r="K60" s="4170" t="s">
        <v>492</v>
      </c>
      <c r="L60" s="4170" t="s">
        <v>459</v>
      </c>
      <c r="M60" s="4197" t="s">
        <v>472</v>
      </c>
      <c r="N60" s="4683"/>
      <c r="O60" s="4672"/>
      <c r="P60" s="4752"/>
      <c r="Q60" s="2297"/>
    </row>
    <row r="61" spans="2:19" s="2117" customFormat="1" ht="21.2" customHeight="1">
      <c r="C61" s="4233" t="s">
        <v>187</v>
      </c>
      <c r="D61" s="2120" t="s">
        <v>119</v>
      </c>
      <c r="E61" s="4229" t="s">
        <v>493</v>
      </c>
      <c r="F61" s="4228"/>
      <c r="G61" s="4170" t="s">
        <v>134</v>
      </c>
      <c r="H61" s="4170" t="s">
        <v>181</v>
      </c>
      <c r="I61" s="1242"/>
      <c r="J61" s="4170" t="s">
        <v>128</v>
      </c>
      <c r="K61" s="4170" t="s">
        <v>494</v>
      </c>
      <c r="L61" s="4229" t="s">
        <v>128</v>
      </c>
      <c r="M61" s="4171" t="s">
        <v>495</v>
      </c>
      <c r="N61" s="4683" t="s">
        <v>136</v>
      </c>
      <c r="O61" s="4672"/>
      <c r="P61" s="4752"/>
      <c r="Q61" s="2297"/>
    </row>
    <row r="62" spans="2:19" s="2117" customFormat="1" ht="21.2" customHeight="1">
      <c r="C62" s="1782" t="s">
        <v>123</v>
      </c>
      <c r="D62" s="2122" t="s">
        <v>123</v>
      </c>
      <c r="E62" s="2122" t="s">
        <v>350</v>
      </c>
      <c r="F62" s="2122" t="s">
        <v>120</v>
      </c>
      <c r="G62" s="4207" t="s">
        <v>496</v>
      </c>
      <c r="H62" s="4207" t="s">
        <v>134</v>
      </c>
      <c r="I62" s="4219" t="s">
        <v>187</v>
      </c>
      <c r="J62" s="4207" t="s">
        <v>123</v>
      </c>
      <c r="K62" s="4207" t="s">
        <v>497</v>
      </c>
      <c r="L62" s="4207" t="s">
        <v>192</v>
      </c>
      <c r="M62" s="4148" t="s">
        <v>498</v>
      </c>
      <c r="N62" s="4623" t="s">
        <v>144</v>
      </c>
      <c r="O62" s="4624"/>
      <c r="P62" s="4748"/>
      <c r="Q62" s="2297"/>
    </row>
    <row r="63" spans="2:19" ht="45" customHeight="1">
      <c r="B63" s="2298"/>
      <c r="C63" s="1167">
        <v>6747.5</v>
      </c>
      <c r="D63" s="4184">
        <f>C63-I63-(H63+G63+F63+E63)</f>
        <v>744.10000000000036</v>
      </c>
      <c r="E63" s="4184">
        <v>660.9</v>
      </c>
      <c r="F63" s="4184">
        <v>816.2</v>
      </c>
      <c r="G63" s="1168">
        <v>2310.5</v>
      </c>
      <c r="H63" s="4184">
        <v>655.5</v>
      </c>
      <c r="I63" s="4184">
        <v>1560.3</v>
      </c>
      <c r="J63" s="4184">
        <f>I63-(M63+L63+K63)</f>
        <v>114.29999999999995</v>
      </c>
      <c r="K63" s="1168">
        <v>161.4</v>
      </c>
      <c r="L63" s="4184">
        <v>1263.3</v>
      </c>
      <c r="M63" s="1168">
        <v>21.3</v>
      </c>
      <c r="N63" s="4753" t="s">
        <v>425</v>
      </c>
      <c r="O63" s="4754"/>
      <c r="P63" s="4755"/>
      <c r="Q63" s="2298"/>
    </row>
    <row r="64" spans="2:19" ht="45" customHeight="1">
      <c r="C64" s="1169">
        <v>7527.8</v>
      </c>
      <c r="D64" s="4254">
        <f>C64-I64-(H64+G64+F64+E64)</f>
        <v>856.80000000000018</v>
      </c>
      <c r="E64" s="4254">
        <v>754.2</v>
      </c>
      <c r="F64" s="4254">
        <v>822.7</v>
      </c>
      <c r="G64" s="1170">
        <v>2763.4</v>
      </c>
      <c r="H64" s="4255">
        <v>648.79999999999995</v>
      </c>
      <c r="I64" s="4255">
        <v>1681.9</v>
      </c>
      <c r="J64" s="4255">
        <f>I64-(M64+L64+K64)</f>
        <v>97.000000000000227</v>
      </c>
      <c r="K64" s="1170">
        <v>157</v>
      </c>
      <c r="L64" s="4255">
        <v>1404.8</v>
      </c>
      <c r="M64" s="1170">
        <v>23.1</v>
      </c>
      <c r="N64" s="4693">
        <v>1994</v>
      </c>
      <c r="O64" s="4694"/>
      <c r="P64" s="4695"/>
      <c r="Q64" s="2299"/>
    </row>
    <row r="65" spans="2:17" ht="45" customHeight="1">
      <c r="B65" s="2298"/>
      <c r="C65" s="1167">
        <v>8430.4</v>
      </c>
      <c r="D65" s="4184">
        <f>C65-I65-(H65+G65+F65+E65)</f>
        <v>953.59999999999945</v>
      </c>
      <c r="E65" s="4184">
        <v>874.7</v>
      </c>
      <c r="F65" s="4184">
        <v>924.9</v>
      </c>
      <c r="G65" s="1168">
        <v>3192.5</v>
      </c>
      <c r="H65" s="4184">
        <v>602.1</v>
      </c>
      <c r="I65" s="4184">
        <v>1882.6</v>
      </c>
      <c r="J65" s="4184">
        <f>I65-(M65+L65+K65)</f>
        <v>100.89999999999986</v>
      </c>
      <c r="K65" s="1168">
        <v>159.5</v>
      </c>
      <c r="L65" s="4184">
        <v>1600.7</v>
      </c>
      <c r="M65" s="1168">
        <v>21.5</v>
      </c>
      <c r="N65" s="4691">
        <v>1995</v>
      </c>
      <c r="O65" s="4684"/>
      <c r="P65" s="4692"/>
      <c r="Q65" s="2298"/>
    </row>
    <row r="66" spans="2:17" ht="45" customHeight="1">
      <c r="C66" s="1169">
        <v>8857.7000000000007</v>
      </c>
      <c r="D66" s="4254">
        <f>C66-I66-(H66+G66+F66+E66)</f>
        <v>984.50000000000091</v>
      </c>
      <c r="E66" s="4254">
        <v>737.2</v>
      </c>
      <c r="F66" s="4254">
        <v>1117.7</v>
      </c>
      <c r="G66" s="1170">
        <v>3354.9</v>
      </c>
      <c r="H66" s="4255">
        <v>646.29999999999995</v>
      </c>
      <c r="I66" s="4255">
        <v>2017.1</v>
      </c>
      <c r="J66" s="4255">
        <f>I66-(M66+L66+K66)</f>
        <v>94.100000000000136</v>
      </c>
      <c r="K66" s="1170">
        <v>154.80000000000001</v>
      </c>
      <c r="L66" s="4255">
        <v>1744.6</v>
      </c>
      <c r="M66" s="1170">
        <v>23.6</v>
      </c>
      <c r="N66" s="4693">
        <v>1996</v>
      </c>
      <c r="O66" s="4694"/>
      <c r="P66" s="4695"/>
      <c r="Q66" s="2299"/>
    </row>
    <row r="67" spans="2:17" ht="45" customHeight="1">
      <c r="B67" s="2298"/>
      <c r="C67" s="1167">
        <v>9679.2000000000007</v>
      </c>
      <c r="D67" s="4184">
        <f>C67-I67-(H67+G67+F67+E67)</f>
        <v>1218.9000000000005</v>
      </c>
      <c r="E67" s="4184">
        <v>339.6</v>
      </c>
      <c r="F67" s="4184">
        <v>1824.2</v>
      </c>
      <c r="G67" s="1168">
        <v>3526.6</v>
      </c>
      <c r="H67" s="4184">
        <v>588</v>
      </c>
      <c r="I67" s="4184">
        <v>2181.9</v>
      </c>
      <c r="J67" s="4184">
        <f>I67-(M67+L67+K67)</f>
        <v>206</v>
      </c>
      <c r="K67" s="1168">
        <v>150.30000000000001</v>
      </c>
      <c r="L67" s="4184">
        <v>1799.2</v>
      </c>
      <c r="M67" s="1168">
        <v>26.4</v>
      </c>
      <c r="N67" s="4691">
        <v>1997</v>
      </c>
      <c r="O67" s="4684"/>
      <c r="P67" s="4692"/>
      <c r="Q67" s="2298"/>
    </row>
    <row r="68" spans="2:17" ht="45" customHeight="1">
      <c r="C68" s="1169">
        <f t="shared" ref="C68:C90" si="3">D68+E68+F68+G68+H68+I68</f>
        <v>10460.299999999999</v>
      </c>
      <c r="D68" s="4254">
        <f>1197.5+41.4</f>
        <v>1238.9000000000001</v>
      </c>
      <c r="E68" s="4254">
        <v>388.1</v>
      </c>
      <c r="F68" s="4254">
        <v>1627.9</v>
      </c>
      <c r="G68" s="1170">
        <v>3830.2</v>
      </c>
      <c r="H68" s="4255">
        <v>817.7</v>
      </c>
      <c r="I68" s="4255">
        <f t="shared" ref="I68:I81" si="4">J68+K68+L68+M68</f>
        <v>2557.4999999999995</v>
      </c>
      <c r="J68" s="4255">
        <f>102.9+140.2</f>
        <v>243.1</v>
      </c>
      <c r="K68" s="1170">
        <v>200.1</v>
      </c>
      <c r="L68" s="4255">
        <v>2087.6999999999998</v>
      </c>
      <c r="M68" s="1170">
        <v>26.6</v>
      </c>
      <c r="N68" s="4693" t="s">
        <v>426</v>
      </c>
      <c r="O68" s="4694"/>
      <c r="P68" s="4695"/>
      <c r="Q68" s="2299"/>
    </row>
    <row r="69" spans="2:17" ht="45" customHeight="1">
      <c r="B69" s="2298"/>
      <c r="C69" s="1167">
        <f t="shared" si="3"/>
        <v>11551.199999999999</v>
      </c>
      <c r="D69" s="4184">
        <f>1233+44.8</f>
        <v>1277.8</v>
      </c>
      <c r="E69" s="4184">
        <v>433.4</v>
      </c>
      <c r="F69" s="4184">
        <v>1955.7</v>
      </c>
      <c r="G69" s="1168">
        <v>4020.2</v>
      </c>
      <c r="H69" s="4184">
        <v>956.2</v>
      </c>
      <c r="I69" s="4184">
        <f t="shared" si="4"/>
        <v>2907.9</v>
      </c>
      <c r="J69" s="4184">
        <f>98.9+195</f>
        <v>293.89999999999998</v>
      </c>
      <c r="K69" s="1168">
        <v>217.8</v>
      </c>
      <c r="L69" s="4184">
        <v>2357.8000000000002</v>
      </c>
      <c r="M69" s="1168">
        <v>38.4</v>
      </c>
      <c r="N69" s="4691">
        <f>N67+2</f>
        <v>1999</v>
      </c>
      <c r="O69" s="4684"/>
      <c r="P69" s="4692"/>
      <c r="Q69" s="2298"/>
    </row>
    <row r="70" spans="2:17" ht="45" customHeight="1">
      <c r="C70" s="1169">
        <f t="shared" si="3"/>
        <v>12913.5</v>
      </c>
      <c r="D70" s="4254">
        <f>1353.8+49.2</f>
        <v>1403</v>
      </c>
      <c r="E70" s="4254">
        <v>385.2</v>
      </c>
      <c r="F70" s="4254">
        <v>2132.9</v>
      </c>
      <c r="G70" s="1170">
        <v>4198.7</v>
      </c>
      <c r="H70" s="4255">
        <v>1082</v>
      </c>
      <c r="I70" s="4255">
        <f t="shared" si="4"/>
        <v>3711.7000000000003</v>
      </c>
      <c r="J70" s="4255">
        <f>130.9+296.2</f>
        <v>427.1</v>
      </c>
      <c r="K70" s="1170">
        <v>220.3</v>
      </c>
      <c r="L70" s="4255">
        <v>3032.3</v>
      </c>
      <c r="M70" s="1170">
        <v>32</v>
      </c>
      <c r="N70" s="4693">
        <f>N69+1</f>
        <v>2000</v>
      </c>
      <c r="O70" s="4694"/>
      <c r="P70" s="4695"/>
      <c r="Q70" s="2299"/>
    </row>
    <row r="71" spans="2:17" ht="45" customHeight="1">
      <c r="B71" s="2298"/>
      <c r="C71" s="1167">
        <f t="shared" si="3"/>
        <v>14153.6</v>
      </c>
      <c r="D71" s="4184">
        <f>1487.4+58.3</f>
        <v>1545.7</v>
      </c>
      <c r="E71" s="4184">
        <v>332.3</v>
      </c>
      <c r="F71" s="4184">
        <v>2051</v>
      </c>
      <c r="G71" s="1168">
        <v>4681.8999999999996</v>
      </c>
      <c r="H71" s="4184">
        <v>1214.7</v>
      </c>
      <c r="I71" s="4184">
        <f t="shared" si="4"/>
        <v>4328</v>
      </c>
      <c r="J71" s="4184">
        <f>291.9+360.7</f>
        <v>652.59999999999991</v>
      </c>
      <c r="K71" s="1168">
        <v>234.6</v>
      </c>
      <c r="L71" s="4184">
        <v>3401.9</v>
      </c>
      <c r="M71" s="1168">
        <v>38.9</v>
      </c>
      <c r="N71" s="4691">
        <f>N70+1</f>
        <v>2001</v>
      </c>
      <c r="O71" s="4684"/>
      <c r="P71" s="4692"/>
      <c r="Q71" s="2298"/>
    </row>
    <row r="72" spans="2:17" ht="45" customHeight="1">
      <c r="C72" s="1169">
        <f t="shared" si="3"/>
        <v>15119.400000000001</v>
      </c>
      <c r="D72" s="4254">
        <f>1569.1+48.7</f>
        <v>1617.8</v>
      </c>
      <c r="E72" s="4254">
        <v>331.9</v>
      </c>
      <c r="F72" s="4254">
        <v>2494.5</v>
      </c>
      <c r="G72" s="1170">
        <v>4833.3</v>
      </c>
      <c r="H72" s="4255">
        <v>1349.2</v>
      </c>
      <c r="I72" s="4255">
        <f t="shared" si="4"/>
        <v>4492.7</v>
      </c>
      <c r="J72" s="4255">
        <f>427.9+306.9</f>
        <v>734.8</v>
      </c>
      <c r="K72" s="1170">
        <v>263.39999999999998</v>
      </c>
      <c r="L72" s="4255">
        <v>3437.5</v>
      </c>
      <c r="M72" s="1170">
        <v>57</v>
      </c>
      <c r="N72" s="4693">
        <f>N71+1</f>
        <v>2002</v>
      </c>
      <c r="O72" s="4694"/>
      <c r="P72" s="4695"/>
      <c r="Q72" s="2299"/>
    </row>
    <row r="73" spans="2:17" ht="45" customHeight="1">
      <c r="B73" s="2298"/>
      <c r="C73" s="1167">
        <f t="shared" si="3"/>
        <v>15701.5</v>
      </c>
      <c r="D73" s="4184">
        <f>1520.7+46.1</f>
        <v>1566.8</v>
      </c>
      <c r="E73" s="4184">
        <v>306.2</v>
      </c>
      <c r="F73" s="4184">
        <v>3280.6</v>
      </c>
      <c r="G73" s="1168">
        <v>5000.3999999999996</v>
      </c>
      <c r="H73" s="4184">
        <v>1165.7</v>
      </c>
      <c r="I73" s="4184">
        <f t="shared" si="4"/>
        <v>4381.8</v>
      </c>
      <c r="J73" s="4184">
        <f>512.3+287.7</f>
        <v>800</v>
      </c>
      <c r="K73" s="1168">
        <v>290</v>
      </c>
      <c r="L73" s="4184">
        <v>3224.7</v>
      </c>
      <c r="M73" s="1168">
        <v>67.099999999999994</v>
      </c>
      <c r="N73" s="4691">
        <f>N72+1</f>
        <v>2003</v>
      </c>
      <c r="O73" s="4684"/>
      <c r="P73" s="4692"/>
      <c r="Q73" s="2298"/>
    </row>
    <row r="74" spans="2:17" ht="45" customHeight="1">
      <c r="C74" s="1169">
        <f>D74+E74+F74+G74+H74+I74</f>
        <v>17821.099999999999</v>
      </c>
      <c r="D74" s="4254">
        <v>1593.8</v>
      </c>
      <c r="E74" s="4254">
        <v>314.89999999999998</v>
      </c>
      <c r="F74" s="4254">
        <v>3469.2</v>
      </c>
      <c r="G74" s="1170">
        <v>5866.7</v>
      </c>
      <c r="H74" s="4255">
        <v>1574.4</v>
      </c>
      <c r="I74" s="4255">
        <f>J74+K74+L74+M74</f>
        <v>5002.0999999999995</v>
      </c>
      <c r="J74" s="4255">
        <f>666.3+305.7</f>
        <v>972</v>
      </c>
      <c r="K74" s="1170">
        <v>254.2</v>
      </c>
      <c r="L74" s="4255">
        <v>3699.7</v>
      </c>
      <c r="M74" s="1170">
        <v>76.2</v>
      </c>
      <c r="N74" s="4693">
        <v>2004</v>
      </c>
      <c r="O74" s="4694"/>
      <c r="P74" s="4695"/>
      <c r="Q74" s="2299"/>
    </row>
    <row r="75" spans="2:17" ht="45" customHeight="1">
      <c r="B75" s="2298"/>
      <c r="C75" s="1167">
        <f t="shared" si="3"/>
        <v>21086.5</v>
      </c>
      <c r="D75" s="4184">
        <v>2022.2</v>
      </c>
      <c r="E75" s="4184">
        <v>337.7</v>
      </c>
      <c r="F75" s="4184">
        <v>3848.9</v>
      </c>
      <c r="G75" s="1168">
        <v>7650.5</v>
      </c>
      <c r="H75" s="4184">
        <v>1865.4</v>
      </c>
      <c r="I75" s="4184">
        <f t="shared" si="4"/>
        <v>5361.8</v>
      </c>
      <c r="J75" s="4184">
        <v>943</v>
      </c>
      <c r="K75" s="1168">
        <v>229.6</v>
      </c>
      <c r="L75" s="4184">
        <v>4108.5</v>
      </c>
      <c r="M75" s="1168">
        <v>80.7</v>
      </c>
      <c r="N75" s="4691">
        <v>2005</v>
      </c>
      <c r="O75" s="4684"/>
      <c r="P75" s="4692"/>
      <c r="Q75" s="2298"/>
    </row>
    <row r="76" spans="2:17" ht="45" customHeight="1">
      <c r="C76" s="1169">
        <f t="shared" si="3"/>
        <v>24237.600000000002</v>
      </c>
      <c r="D76" s="4254">
        <f>117.6+2066.7</f>
        <v>2184.2999999999997</v>
      </c>
      <c r="E76" s="4254">
        <v>436.5</v>
      </c>
      <c r="F76" s="4254">
        <v>3572.2</v>
      </c>
      <c r="G76" s="1170">
        <v>9528.7000000000007</v>
      </c>
      <c r="H76" s="4255">
        <v>2312.5</v>
      </c>
      <c r="I76" s="4255">
        <f t="shared" si="4"/>
        <v>6203.4000000000005</v>
      </c>
      <c r="J76" s="4255">
        <f>684.4+422.3</f>
        <v>1106.7</v>
      </c>
      <c r="K76" s="1170">
        <v>312.89999999999998</v>
      </c>
      <c r="L76" s="4255">
        <v>4716.6000000000004</v>
      </c>
      <c r="M76" s="1170">
        <v>67.2</v>
      </c>
      <c r="N76" s="4693">
        <v>2006</v>
      </c>
      <c r="O76" s="4694"/>
      <c r="P76" s="4695"/>
      <c r="Q76" s="2299"/>
    </row>
    <row r="77" spans="2:17" ht="45" customHeight="1">
      <c r="B77" s="2298"/>
      <c r="C77" s="1167">
        <f t="shared" si="3"/>
        <v>26815.600000000002</v>
      </c>
      <c r="D77" s="4184">
        <f>176.6+1956.7</f>
        <v>2133.3000000000002</v>
      </c>
      <c r="E77" s="4184">
        <v>472.2</v>
      </c>
      <c r="F77" s="4184">
        <v>3630.7</v>
      </c>
      <c r="G77" s="1168">
        <v>10985.5</v>
      </c>
      <c r="H77" s="4184">
        <v>3077.4</v>
      </c>
      <c r="I77" s="4184">
        <f t="shared" si="4"/>
        <v>6516.5</v>
      </c>
      <c r="J77" s="4184">
        <f>372.6+442.4</f>
        <v>815</v>
      </c>
      <c r="K77" s="1168">
        <v>309.7</v>
      </c>
      <c r="L77" s="4184">
        <v>5295.7</v>
      </c>
      <c r="M77" s="1168">
        <v>96.1</v>
      </c>
      <c r="N77" s="4691">
        <v>2007</v>
      </c>
      <c r="O77" s="4684"/>
      <c r="P77" s="4692"/>
      <c r="Q77" s="2298"/>
    </row>
    <row r="78" spans="2:17" ht="45" customHeight="1">
      <c r="C78" s="1169">
        <f t="shared" si="3"/>
        <v>29796.600000000002</v>
      </c>
      <c r="D78" s="4254">
        <f>2286.2+246.1</f>
        <v>2532.2999999999997</v>
      </c>
      <c r="E78" s="4254">
        <v>573</v>
      </c>
      <c r="F78" s="4254">
        <v>4013.4</v>
      </c>
      <c r="G78" s="1170">
        <v>12514.5</v>
      </c>
      <c r="H78" s="4255">
        <v>4353.1000000000004</v>
      </c>
      <c r="I78" s="4255">
        <f t="shared" si="4"/>
        <v>5810.3</v>
      </c>
      <c r="J78" s="4255">
        <f>283.1+333.5</f>
        <v>616.6</v>
      </c>
      <c r="K78" s="1170">
        <v>536.4</v>
      </c>
      <c r="L78" s="4255">
        <v>4531.6000000000004</v>
      </c>
      <c r="M78" s="1170">
        <v>125.7</v>
      </c>
      <c r="N78" s="4693">
        <v>2008</v>
      </c>
      <c r="O78" s="4694"/>
      <c r="P78" s="4695"/>
      <c r="Q78" s="2299"/>
    </row>
    <row r="79" spans="2:17" ht="45" customHeight="1">
      <c r="B79" s="2298"/>
      <c r="C79" s="1167">
        <f t="shared" si="3"/>
        <v>31956.999999999996</v>
      </c>
      <c r="D79" s="4184">
        <f>166.1+2185</f>
        <v>2351.1</v>
      </c>
      <c r="E79" s="4184">
        <v>409.3</v>
      </c>
      <c r="F79" s="4184">
        <v>6009</v>
      </c>
      <c r="G79" s="1168">
        <v>12674.4</v>
      </c>
      <c r="H79" s="4184">
        <v>5203.3999999999996</v>
      </c>
      <c r="I79" s="4184">
        <f t="shared" si="4"/>
        <v>5309.8</v>
      </c>
      <c r="J79" s="4184">
        <v>1074</v>
      </c>
      <c r="K79" s="1168">
        <v>945.3</v>
      </c>
      <c r="L79" s="4184">
        <v>3192.4</v>
      </c>
      <c r="M79" s="1168">
        <v>98.1</v>
      </c>
      <c r="N79" s="4691">
        <v>2009</v>
      </c>
      <c r="O79" s="4684"/>
      <c r="P79" s="4692"/>
      <c r="Q79" s="2298"/>
    </row>
    <row r="80" spans="2:17" ht="45" customHeight="1">
      <c r="C80" s="1169">
        <f t="shared" si="3"/>
        <v>34973</v>
      </c>
      <c r="D80" s="4254">
        <f>146.4+2553.2</f>
        <v>2699.6</v>
      </c>
      <c r="E80" s="4254">
        <v>411.2</v>
      </c>
      <c r="F80" s="4254">
        <v>6477.8</v>
      </c>
      <c r="G80" s="1170">
        <v>13593.7</v>
      </c>
      <c r="H80" s="4255">
        <v>5686.3</v>
      </c>
      <c r="I80" s="4255">
        <f t="shared" si="4"/>
        <v>6104.4</v>
      </c>
      <c r="J80" s="4255">
        <f>256.2+816.1</f>
        <v>1072.3</v>
      </c>
      <c r="K80" s="1170">
        <v>1020.1</v>
      </c>
      <c r="L80" s="4255">
        <v>3897.5</v>
      </c>
      <c r="M80" s="1170">
        <v>114.5</v>
      </c>
      <c r="N80" s="4693">
        <v>2010</v>
      </c>
      <c r="O80" s="4694"/>
      <c r="P80" s="4695"/>
      <c r="Q80" s="2299"/>
    </row>
    <row r="81" spans="2:18" ht="45" customHeight="1">
      <c r="B81" s="2298"/>
      <c r="C81" s="1167">
        <f t="shared" si="3"/>
        <v>37686.300000000003</v>
      </c>
      <c r="D81" s="4184">
        <f>128.1+2798</f>
        <v>2926.1</v>
      </c>
      <c r="E81" s="4184">
        <v>527.4</v>
      </c>
      <c r="F81" s="4184">
        <v>5639</v>
      </c>
      <c r="G81" s="1168">
        <v>14905.2</v>
      </c>
      <c r="H81" s="4184">
        <v>7402.7</v>
      </c>
      <c r="I81" s="4184">
        <f t="shared" si="4"/>
        <v>6285.9000000000005</v>
      </c>
      <c r="J81" s="4184">
        <f>637.5+240.5</f>
        <v>878</v>
      </c>
      <c r="K81" s="1168">
        <v>974</v>
      </c>
      <c r="L81" s="4184">
        <v>4298.6000000000004</v>
      </c>
      <c r="M81" s="1168">
        <v>135.30000000000001</v>
      </c>
      <c r="N81" s="4691">
        <v>2011</v>
      </c>
      <c r="O81" s="4684"/>
      <c r="P81" s="4692"/>
      <c r="Q81" s="2298"/>
    </row>
    <row r="82" spans="2:18" ht="45" customHeight="1">
      <c r="C82" s="1169">
        <f t="shared" si="3"/>
        <v>39275.399999999994</v>
      </c>
      <c r="D82" s="4254">
        <f>122.5+3000.6</f>
        <v>3123.1</v>
      </c>
      <c r="E82" s="4254">
        <v>865.8</v>
      </c>
      <c r="F82" s="4254">
        <v>3976.2</v>
      </c>
      <c r="G82" s="1170">
        <v>15933.5</v>
      </c>
      <c r="H82" s="4255">
        <v>9023.7999999999993</v>
      </c>
      <c r="I82" s="4255">
        <f>J82+K82+L82+M82</f>
        <v>6353</v>
      </c>
      <c r="J82" s="4255">
        <f>288.7+483.8</f>
        <v>772.5</v>
      </c>
      <c r="K82" s="1170">
        <v>853.4</v>
      </c>
      <c r="L82" s="4255">
        <v>4437.5</v>
      </c>
      <c r="M82" s="1170">
        <v>289.60000000000002</v>
      </c>
      <c r="N82" s="4693">
        <v>2012</v>
      </c>
      <c r="O82" s="4694"/>
      <c r="P82" s="4695"/>
      <c r="Q82" s="2299"/>
    </row>
    <row r="83" spans="2:18" ht="45" customHeight="1">
      <c r="B83" s="2298"/>
      <c r="C83" s="1167">
        <f t="shared" si="3"/>
        <v>42802.9</v>
      </c>
      <c r="D83" s="4184">
        <f>90.3+3402.8</f>
        <v>3493.1000000000004</v>
      </c>
      <c r="E83" s="4184">
        <v>751.9</v>
      </c>
      <c r="F83" s="4184">
        <v>5745.1</v>
      </c>
      <c r="G83" s="1168">
        <v>17201.900000000001</v>
      </c>
      <c r="H83" s="4184">
        <v>10458.799999999999</v>
      </c>
      <c r="I83" s="4184">
        <v>5152.1000000000004</v>
      </c>
      <c r="J83" s="4184">
        <f>508.9+238.2</f>
        <v>747.09999999999991</v>
      </c>
      <c r="K83" s="1168">
        <v>818</v>
      </c>
      <c r="L83" s="4184">
        <v>3348.1</v>
      </c>
      <c r="M83" s="1168">
        <v>238.8</v>
      </c>
      <c r="N83" s="4691">
        <v>2013</v>
      </c>
      <c r="O83" s="4684"/>
      <c r="P83" s="4692"/>
      <c r="Q83" s="2298"/>
    </row>
    <row r="84" spans="2:18" ht="45" customHeight="1">
      <c r="C84" s="1169">
        <f t="shared" si="3"/>
        <v>44868.1</v>
      </c>
      <c r="D84" s="4254">
        <v>3700.2999999999997</v>
      </c>
      <c r="E84" s="4254">
        <v>732.8</v>
      </c>
      <c r="F84" s="4254">
        <v>6858.2</v>
      </c>
      <c r="G84" s="1414">
        <v>17830.3</v>
      </c>
      <c r="H84" s="4254">
        <v>11015.4</v>
      </c>
      <c r="I84" s="4254">
        <f t="shared" ref="I84:I90" si="5">J84+K84+L84+M84</f>
        <v>4731.1000000000004</v>
      </c>
      <c r="J84" s="4254">
        <v>749.1</v>
      </c>
      <c r="K84" s="1414">
        <v>481.9</v>
      </c>
      <c r="L84" s="4254">
        <v>3289.6</v>
      </c>
      <c r="M84" s="1414">
        <v>210.5</v>
      </c>
      <c r="N84" s="4693">
        <v>2014</v>
      </c>
      <c r="O84" s="4694"/>
      <c r="P84" s="4695"/>
      <c r="Q84" s="2299"/>
    </row>
    <row r="85" spans="2:18" ht="45" customHeight="1">
      <c r="B85" s="2298"/>
      <c r="C85" s="1167">
        <f t="shared" si="3"/>
        <v>47133.2</v>
      </c>
      <c r="D85" s="4184">
        <v>4280.8999999999996</v>
      </c>
      <c r="E85" s="4184">
        <v>611.5</v>
      </c>
      <c r="F85" s="4184">
        <v>7360.9</v>
      </c>
      <c r="G85" s="1168">
        <v>18681.3</v>
      </c>
      <c r="H85" s="4184">
        <v>11514.1</v>
      </c>
      <c r="I85" s="4184">
        <f t="shared" si="5"/>
        <v>4684.5</v>
      </c>
      <c r="J85" s="4184">
        <v>764.7</v>
      </c>
      <c r="K85" s="1168">
        <v>477.1</v>
      </c>
      <c r="L85" s="4184">
        <v>3258.5</v>
      </c>
      <c r="M85" s="1168">
        <v>184.2</v>
      </c>
      <c r="N85" s="4691">
        <v>2015</v>
      </c>
      <c r="O85" s="4684"/>
      <c r="P85" s="4692"/>
      <c r="Q85" s="2298"/>
    </row>
    <row r="86" spans="2:18" ht="45" customHeight="1">
      <c r="C86" s="1169">
        <f t="shared" si="3"/>
        <v>48383.5</v>
      </c>
      <c r="D86" s="4254">
        <v>4517.3</v>
      </c>
      <c r="E86" s="4254">
        <v>731.5</v>
      </c>
      <c r="F86" s="4254">
        <v>6036.5</v>
      </c>
      <c r="G86" s="1414">
        <v>20567.400000000001</v>
      </c>
      <c r="H86" s="4254">
        <v>11086.2</v>
      </c>
      <c r="I86" s="4254">
        <f t="shared" si="5"/>
        <v>5444.6</v>
      </c>
      <c r="J86" s="4254">
        <v>855.4</v>
      </c>
      <c r="K86" s="1414">
        <v>479.8</v>
      </c>
      <c r="L86" s="4254">
        <v>3934.9</v>
      </c>
      <c r="M86" s="1414">
        <v>174.5</v>
      </c>
      <c r="N86" s="4693">
        <v>2016</v>
      </c>
      <c r="O86" s="4694"/>
      <c r="P86" s="4695"/>
      <c r="Q86" s="2299"/>
    </row>
    <row r="87" spans="2:18" ht="45" customHeight="1">
      <c r="C87" s="1167">
        <f>D87+E87+F87+G87+H87+I87</f>
        <v>49102.5</v>
      </c>
      <c r="D87" s="4184">
        <v>3954.7</v>
      </c>
      <c r="E87" s="4184">
        <v>840.1</v>
      </c>
      <c r="F87" s="4184">
        <v>5850.5</v>
      </c>
      <c r="G87" s="1168">
        <v>22502.9</v>
      </c>
      <c r="H87" s="4184">
        <v>10292.6</v>
      </c>
      <c r="I87" s="4184">
        <f t="shared" si="5"/>
        <v>5661.7000000000007</v>
      </c>
      <c r="J87" s="4184">
        <v>895.09999999999991</v>
      </c>
      <c r="K87" s="1168">
        <v>500.2</v>
      </c>
      <c r="L87" s="4184">
        <v>4064.8</v>
      </c>
      <c r="M87" s="1168">
        <v>201.6</v>
      </c>
      <c r="N87" s="4691">
        <v>2017</v>
      </c>
      <c r="O87" s="4684"/>
      <c r="P87" s="4692"/>
      <c r="Q87" s="2300"/>
    </row>
    <row r="88" spans="2:18" ht="45" customHeight="1">
      <c r="C88" s="1169">
        <f t="shared" ref="C88:C89" si="6">D88+E88+F88+G88+H88+I88</f>
        <v>50917.799999999996</v>
      </c>
      <c r="D88" s="4254">
        <v>4592.3</v>
      </c>
      <c r="E88" s="4254">
        <v>857.5</v>
      </c>
      <c r="F88" s="4254">
        <v>5048.5</v>
      </c>
      <c r="G88" s="1414">
        <v>23686.799999999999</v>
      </c>
      <c r="H88" s="4254">
        <v>11180.8</v>
      </c>
      <c r="I88" s="4254">
        <f t="shared" si="5"/>
        <v>5551.9</v>
      </c>
      <c r="J88" s="4254">
        <v>818.2</v>
      </c>
      <c r="K88" s="1414">
        <v>655.29999999999995</v>
      </c>
      <c r="L88" s="4254">
        <v>3836.7</v>
      </c>
      <c r="M88" s="1414">
        <v>241.7</v>
      </c>
      <c r="N88" s="4693">
        <v>2018</v>
      </c>
      <c r="O88" s="4694"/>
      <c r="P88" s="4695"/>
      <c r="Q88" s="2300"/>
    </row>
    <row r="89" spans="2:18" ht="45" customHeight="1">
      <c r="C89" s="1167">
        <f t="shared" si="6"/>
        <v>53642</v>
      </c>
      <c r="D89" s="4184">
        <v>4663.8</v>
      </c>
      <c r="E89" s="4184">
        <v>763.8</v>
      </c>
      <c r="F89" s="4184">
        <v>5641.5</v>
      </c>
      <c r="G89" s="1168">
        <v>24742.799999999999</v>
      </c>
      <c r="H89" s="4184">
        <v>12247.8</v>
      </c>
      <c r="I89" s="4184">
        <f t="shared" si="5"/>
        <v>5582.3</v>
      </c>
      <c r="J89" s="4184">
        <v>883.9</v>
      </c>
      <c r="K89" s="1168">
        <v>674.4</v>
      </c>
      <c r="L89" s="4184">
        <v>3816.8</v>
      </c>
      <c r="M89" s="1168">
        <v>207.2</v>
      </c>
      <c r="N89" s="4691">
        <v>2019</v>
      </c>
      <c r="O89" s="4684"/>
      <c r="P89" s="4692"/>
      <c r="Q89" s="2300"/>
    </row>
    <row r="90" spans="2:18" ht="45" customHeight="1">
      <c r="C90" s="4322">
        <f t="shared" si="3"/>
        <v>57038</v>
      </c>
      <c r="D90" s="2019">
        <v>4764.6000000000004</v>
      </c>
      <c r="E90" s="2019">
        <v>734.1</v>
      </c>
      <c r="F90" s="2019">
        <v>6123.1</v>
      </c>
      <c r="G90" s="2017">
        <v>26238.400000000001</v>
      </c>
      <c r="H90" s="2019">
        <v>12874.8</v>
      </c>
      <c r="I90" s="2019">
        <f t="shared" si="5"/>
        <v>6303.0000000000009</v>
      </c>
      <c r="J90" s="2019">
        <v>912.3</v>
      </c>
      <c r="K90" s="2017">
        <v>612.79999999999995</v>
      </c>
      <c r="L90" s="2019">
        <v>4494.1000000000004</v>
      </c>
      <c r="M90" s="2017">
        <v>283.8</v>
      </c>
      <c r="N90" s="4756">
        <v>2020</v>
      </c>
      <c r="O90" s="4757"/>
      <c r="P90" s="4758"/>
      <c r="Q90" s="2300"/>
    </row>
    <row r="91" spans="2:18" s="1801" customFormat="1" ht="6.95" customHeight="1">
      <c r="C91" s="1645"/>
      <c r="D91" s="2074"/>
      <c r="E91" s="2249"/>
      <c r="F91" s="2249"/>
      <c r="G91" s="2249"/>
      <c r="H91" s="2249"/>
      <c r="I91" s="2249"/>
      <c r="J91" s="2249"/>
      <c r="K91" s="2249"/>
      <c r="L91" s="2249"/>
      <c r="M91" s="2151"/>
      <c r="N91" s="2256"/>
      <c r="O91" s="2080"/>
      <c r="P91" s="1397"/>
      <c r="Q91" s="1793"/>
    </row>
    <row r="92" spans="2:18" s="2251" customFormat="1" ht="18.95" customHeight="1">
      <c r="C92" s="2157" t="s">
        <v>499</v>
      </c>
      <c r="D92" s="2081"/>
      <c r="E92" s="2253"/>
      <c r="F92" s="2253"/>
      <c r="G92" s="2253"/>
      <c r="H92" s="2253"/>
      <c r="I92" s="2253"/>
      <c r="J92" s="2253"/>
      <c r="K92" s="2253"/>
      <c r="L92" s="2253"/>
      <c r="M92" s="2088"/>
      <c r="N92" s="2084"/>
      <c r="O92" s="4261"/>
      <c r="P92" s="4261" t="s">
        <v>500</v>
      </c>
      <c r="Q92" s="1398"/>
      <c r="R92" s="1191"/>
    </row>
    <row r="93" spans="2:18" s="2255" customFormat="1" ht="18.95" customHeight="1">
      <c r="C93" s="2159" t="s">
        <v>501</v>
      </c>
      <c r="D93" s="2081"/>
      <c r="E93" s="2253"/>
      <c r="F93" s="2253"/>
      <c r="G93" s="2253"/>
      <c r="H93" s="2253"/>
      <c r="I93" s="2253"/>
      <c r="J93" s="2253"/>
      <c r="K93" s="2253"/>
      <c r="L93" s="2253"/>
      <c r="M93" s="2088"/>
      <c r="N93" s="2301"/>
      <c r="O93" s="2088"/>
      <c r="P93" s="2088" t="s">
        <v>305</v>
      </c>
      <c r="Q93" s="2302" t="s">
        <v>502</v>
      </c>
    </row>
    <row r="94" spans="2:18" s="1191" customFormat="1" ht="18.95" customHeight="1">
      <c r="C94" s="2157" t="s">
        <v>503</v>
      </c>
      <c r="D94" s="2081"/>
      <c r="E94" s="2172"/>
      <c r="F94" s="2172"/>
      <c r="G94" s="2172"/>
      <c r="H94" s="2172"/>
      <c r="I94" s="2172"/>
      <c r="J94" s="2172"/>
      <c r="K94" s="2172"/>
      <c r="L94" s="2172"/>
      <c r="M94" s="2088"/>
      <c r="N94" s="2084"/>
      <c r="O94" s="4261"/>
      <c r="P94" s="4261" t="s">
        <v>504</v>
      </c>
      <c r="Q94" s="1398"/>
    </row>
    <row r="95" spans="2:18">
      <c r="E95" s="1192"/>
    </row>
  </sheetData>
  <mergeCells count="75">
    <mergeCell ref="N89:P89"/>
    <mergeCell ref="N90:P90"/>
    <mergeCell ref="N77:P77"/>
    <mergeCell ref="N78:P78"/>
    <mergeCell ref="N79:P79"/>
    <mergeCell ref="N80:P80"/>
    <mergeCell ref="N81:P81"/>
    <mergeCell ref="N82:P82"/>
    <mergeCell ref="N83:P83"/>
    <mergeCell ref="N84:P84"/>
    <mergeCell ref="N85:P85"/>
    <mergeCell ref="N86:P86"/>
    <mergeCell ref="N87:P87"/>
    <mergeCell ref="N88:P88"/>
    <mergeCell ref="N72:P72"/>
    <mergeCell ref="N73:P73"/>
    <mergeCell ref="N74:P74"/>
    <mergeCell ref="N75:P75"/>
    <mergeCell ref="N76:P76"/>
    <mergeCell ref="N22:P22"/>
    <mergeCell ref="N23:P23"/>
    <mergeCell ref="N24:P24"/>
    <mergeCell ref="N25:P25"/>
    <mergeCell ref="N64:P64"/>
    <mergeCell ref="N30:P30"/>
    <mergeCell ref="N31:P31"/>
    <mergeCell ref="N32:P32"/>
    <mergeCell ref="N33:P33"/>
    <mergeCell ref="N34:P34"/>
    <mergeCell ref="N35:P35"/>
    <mergeCell ref="N36:P36"/>
    <mergeCell ref="N37:P37"/>
    <mergeCell ref="N38:P38"/>
    <mergeCell ref="N39:P39"/>
    <mergeCell ref="N40:P40"/>
    <mergeCell ref="N69:P69"/>
    <mergeCell ref="N70:P70"/>
    <mergeCell ref="N71:P71"/>
    <mergeCell ref="N57:P57"/>
    <mergeCell ref="N58:P58"/>
    <mergeCell ref="N60:P60"/>
    <mergeCell ref="N61:P61"/>
    <mergeCell ref="N62:P62"/>
    <mergeCell ref="N63:P63"/>
    <mergeCell ref="N65:P65"/>
    <mergeCell ref="N66:P66"/>
    <mergeCell ref="N67:P67"/>
    <mergeCell ref="N68:P68"/>
    <mergeCell ref="C3:P3"/>
    <mergeCell ref="N26:P26"/>
    <mergeCell ref="N27:P27"/>
    <mergeCell ref="N28:P28"/>
    <mergeCell ref="N29:P29"/>
    <mergeCell ref="C4:P4"/>
    <mergeCell ref="N11:P11"/>
    <mergeCell ref="N12:P12"/>
    <mergeCell ref="N14:P14"/>
    <mergeCell ref="N15:P15"/>
    <mergeCell ref="N16:P16"/>
    <mergeCell ref="N17:P17"/>
    <mergeCell ref="N18:P18"/>
    <mergeCell ref="N19:P19"/>
    <mergeCell ref="N20:P20"/>
    <mergeCell ref="N21:P21"/>
    <mergeCell ref="N41:P41"/>
    <mergeCell ref="N42:P42"/>
    <mergeCell ref="N43:P43"/>
    <mergeCell ref="N44:P44"/>
    <mergeCell ref="N45:P45"/>
    <mergeCell ref="C49:P49"/>
    <mergeCell ref="C50:P50"/>
    <mergeCell ref="D53:E54"/>
    <mergeCell ref="G53:H54"/>
    <mergeCell ref="I53:J54"/>
    <mergeCell ref="L53:M54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9" orientation="portrait" r:id="rId1"/>
  <headerFooter alignWithMargins="0">
    <oddFooter>&amp;C&amp;"+,Regular"&amp;22-15-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61</vt:i4>
      </vt:variant>
    </vt:vector>
  </HeadingPairs>
  <TitlesOfParts>
    <vt:vector size="118" baseType="lpstr">
      <vt:lpstr>Arabic</vt:lpstr>
      <vt:lpstr>English</vt:lpstr>
      <vt:lpstr>si_1</vt:lpstr>
      <vt:lpstr>si_2</vt:lpstr>
      <vt:lpstr>si_3</vt:lpstr>
      <vt:lpstr>si_4</vt:lpstr>
      <vt:lpstr>si_5</vt:lpstr>
      <vt:lpstr>si_6</vt:lpstr>
      <vt:lpstr>si_7</vt:lpstr>
      <vt:lpstr>si_8</vt:lpstr>
      <vt:lpstr>si_9</vt:lpstr>
      <vt:lpstr>si_10</vt:lpstr>
      <vt:lpstr>si_11</vt:lpstr>
      <vt:lpstr>si_12</vt:lpstr>
      <vt:lpstr>si_13</vt:lpstr>
      <vt:lpstr>si_14</vt:lpstr>
      <vt:lpstr>si_15</vt:lpstr>
      <vt:lpstr>si_16</vt:lpstr>
      <vt:lpstr>si_17</vt:lpstr>
      <vt:lpstr>si_18</vt:lpstr>
      <vt:lpstr>si_19</vt:lpstr>
      <vt:lpstr>si_20</vt:lpstr>
      <vt:lpstr>si_20a</vt:lpstr>
      <vt:lpstr>si_20b</vt:lpstr>
      <vt:lpstr>si_20c</vt:lpstr>
      <vt:lpstr>si_21</vt:lpstr>
      <vt:lpstr>si_22</vt:lpstr>
      <vt:lpstr>si_23</vt:lpstr>
      <vt:lpstr>si_24</vt:lpstr>
      <vt:lpstr>si_25</vt:lpstr>
      <vt:lpstr>si_26</vt:lpstr>
      <vt:lpstr>si_27</vt:lpstr>
      <vt:lpstr>si_28</vt:lpstr>
      <vt:lpstr>si_29</vt:lpstr>
      <vt:lpstr>si_30</vt:lpstr>
      <vt:lpstr>si_31</vt:lpstr>
      <vt:lpstr>si_32</vt:lpstr>
      <vt:lpstr>si_33</vt:lpstr>
      <vt:lpstr>si_34</vt:lpstr>
      <vt:lpstr>si_35</vt:lpstr>
      <vt:lpstr>si_36</vt:lpstr>
      <vt:lpstr>si_37</vt:lpstr>
      <vt:lpstr>si_38</vt:lpstr>
      <vt:lpstr>si_39</vt:lpstr>
      <vt:lpstr>si_40a</vt:lpstr>
      <vt:lpstr>si_40b</vt:lpstr>
      <vt:lpstr>si_40c</vt:lpstr>
      <vt:lpstr>si_40d</vt:lpstr>
      <vt:lpstr>si_41</vt:lpstr>
      <vt:lpstr>si_42</vt:lpstr>
      <vt:lpstr>si_43</vt:lpstr>
      <vt:lpstr>si_44</vt:lpstr>
      <vt:lpstr>si_45</vt:lpstr>
      <vt:lpstr>si_46a</vt:lpstr>
      <vt:lpstr>si_46b</vt:lpstr>
      <vt:lpstr>si_46c</vt:lpstr>
      <vt:lpstr>si_47</vt:lpstr>
      <vt:lpstr>si_11!Database</vt:lpstr>
      <vt:lpstr>si_12!Database</vt:lpstr>
      <vt:lpstr>si_3!Database</vt:lpstr>
      <vt:lpstr>si_4!Database</vt:lpstr>
      <vt:lpstr>Arabic!Print_Area</vt:lpstr>
      <vt:lpstr>English!Print_Area</vt:lpstr>
      <vt:lpstr>si_1!Print_Area</vt:lpstr>
      <vt:lpstr>si_10!Print_Area</vt:lpstr>
      <vt:lpstr>si_11!Print_Area</vt:lpstr>
      <vt:lpstr>si_12!Print_Area</vt:lpstr>
      <vt:lpstr>si_13!Print_Area</vt:lpstr>
      <vt:lpstr>si_14!Print_Area</vt:lpstr>
      <vt:lpstr>si_15!Print_Area</vt:lpstr>
      <vt:lpstr>si_16!Print_Area</vt:lpstr>
      <vt:lpstr>si_17!Print_Area</vt:lpstr>
      <vt:lpstr>si_18!Print_Area</vt:lpstr>
      <vt:lpstr>si_19!Print_Area</vt:lpstr>
      <vt:lpstr>si_2!Print_Area</vt:lpstr>
      <vt:lpstr>si_20!Print_Area</vt:lpstr>
      <vt:lpstr>si_20a!Print_Area</vt:lpstr>
      <vt:lpstr>si_20b!Print_Area</vt:lpstr>
      <vt:lpstr>si_20c!Print_Area</vt:lpstr>
      <vt:lpstr>si_21!Print_Area</vt:lpstr>
      <vt:lpstr>si_22!Print_Area</vt:lpstr>
      <vt:lpstr>si_23!Print_Area</vt:lpstr>
      <vt:lpstr>si_24!Print_Area</vt:lpstr>
      <vt:lpstr>si_25!Print_Area</vt:lpstr>
      <vt:lpstr>si_26!Print_Area</vt:lpstr>
      <vt:lpstr>si_27!Print_Area</vt:lpstr>
      <vt:lpstr>si_28!Print_Area</vt:lpstr>
      <vt:lpstr>si_29!Print_Area</vt:lpstr>
      <vt:lpstr>si_3!Print_Area</vt:lpstr>
      <vt:lpstr>si_30!Print_Area</vt:lpstr>
      <vt:lpstr>si_31!Print_Area</vt:lpstr>
      <vt:lpstr>si_32!Print_Area</vt:lpstr>
      <vt:lpstr>si_33!Print_Area</vt:lpstr>
      <vt:lpstr>si_34!Print_Area</vt:lpstr>
      <vt:lpstr>si_35!Print_Area</vt:lpstr>
      <vt:lpstr>si_36!Print_Area</vt:lpstr>
      <vt:lpstr>si_37!Print_Area</vt:lpstr>
      <vt:lpstr>si_38!Print_Area</vt:lpstr>
      <vt:lpstr>si_39!Print_Area</vt:lpstr>
      <vt:lpstr>si_4!Print_Area</vt:lpstr>
      <vt:lpstr>si_40a!Print_Area</vt:lpstr>
      <vt:lpstr>si_40b!Print_Area</vt:lpstr>
      <vt:lpstr>si_40c!Print_Area</vt:lpstr>
      <vt:lpstr>si_40d!Print_Area</vt:lpstr>
      <vt:lpstr>si_41!Print_Area</vt:lpstr>
      <vt:lpstr>si_42!Print_Area</vt:lpstr>
      <vt:lpstr>si_43!Print_Area</vt:lpstr>
      <vt:lpstr>si_44!Print_Area</vt:lpstr>
      <vt:lpstr>si_45!Print_Area</vt:lpstr>
      <vt:lpstr>si_46a!Print_Area</vt:lpstr>
      <vt:lpstr>si_46b!Print_Area</vt:lpstr>
      <vt:lpstr>si_46c!Print_Area</vt:lpstr>
      <vt:lpstr>si_47!Print_Area</vt:lpstr>
      <vt:lpstr>si_5!Print_Area</vt:lpstr>
      <vt:lpstr>si_6!Print_Area</vt:lpstr>
      <vt:lpstr>si_7!Print_Area</vt:lpstr>
      <vt:lpstr>si_8!Print_Area</vt:lpstr>
      <vt:lpstr>si_9!Print_Area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2006-09-13T11:26:54Z</dcterms:created>
  <dcterms:modified xsi:type="dcterms:W3CDTF">2023-10-24T14:54:56Z</dcterms:modified>
</cp:coreProperties>
</file>